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pivotTables/pivotTable2.xml" ContentType="application/vnd.openxmlformats-officedocument.spreadsheetml.pivotTable+xml"/>
  <Default Extension="xml" ContentType="application/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worksheets/sheet59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20400" windowHeight="7995" activeTab="3"/>
  </bookViews>
  <sheets>
    <sheet name="MyData" sheetId="10" r:id="rId1"/>
    <sheet name="נתונים ידניים" sheetId="79" r:id="rId2"/>
    <sheet name="נתוני יסוד" sheetId="25" r:id="rId3"/>
    <sheet name="main" sheetId="20" r:id="rId4"/>
    <sheet name="דווח ביטוחים" sheetId="68" r:id="rId5"/>
    <sheet name="סכומי ביטוח " sheetId="76" r:id="rId6"/>
    <sheet name="קה&quot;ש" sheetId="28" r:id="rId7"/>
    <sheet name="ריכוז סכומי ביטוח" sheetId="74" r:id="rId8"/>
    <sheet name="הערות" sheetId="29" r:id="rId9"/>
    <sheet name="פרוט כיסויים בפוליסות " sheetId="75" r:id="rId10"/>
    <sheet name="תחזית" sheetId="34" r:id="rId11"/>
    <sheet name="תחזית ה" sheetId="56" r:id="rId12"/>
    <sheet name="ראשי" sheetId="73" r:id="rId13"/>
    <sheet name="קצבה מזכה 2016" sheetId="31" r:id="rId14"/>
    <sheet name="סיכומי מקורות" sheetId="33" r:id="rId15"/>
    <sheet name="השוואה בחירתית" sheetId="57" r:id="rId16"/>
    <sheet name="השוואות מזעור" sheetId="58" r:id="rId17"/>
    <sheet name="כולל מקס אחרת" sheetId="59" r:id="rId18"/>
    <sheet name="זקיפות מס" sheetId="60" r:id="rId19"/>
    <sheet name="חישוב פתוח" sheetId="61" r:id="rId20"/>
    <sheet name="קצבה מוכרת וקצבה" sheetId="63" r:id="rId21"/>
    <sheet name="מקסימום פנסיה עם קצבה פטורה" sheetId="64" r:id="rId22"/>
    <sheet name="מקסימום הון" sheetId="65" r:id="rId23"/>
    <sheet name="פיצויים פטורים והוני" sheetId="66" r:id="rId24"/>
    <sheet name="פיצויים פטורים וקצבה" sheetId="67" r:id="rId25"/>
    <sheet name="פיצויים פטורים והוני מיכאל" sheetId="48" r:id="rId26"/>
    <sheet name="קצבה פטורה והוני" sheetId="49" r:id="rId27"/>
    <sheet name="מקס פטור וקצבה" sheetId="50" r:id="rId28"/>
    <sheet name="חישוביי ביניים" sheetId="51" r:id="rId29"/>
    <sheet name="מיסוי פנסיה" sheetId="52" r:id="rId30"/>
    <sheet name="פנסיות מול ח&quot;פ" sheetId="53" r:id="rId31"/>
    <sheet name="הדדית" sheetId="54" r:id="rId32"/>
    <sheet name="תוס' פיצויים" sheetId="55" r:id="rId33"/>
    <sheet name="RicusKrenHishtalmut" sheetId="30" r:id="rId34"/>
    <sheet name="RicusPolice" sheetId="1" r:id="rId35"/>
    <sheet name="PerutMasluleiHashkaa" sheetId="4" r:id="rId36"/>
    <sheet name="PirteiKisuiBeMutzar" sheetId="6" r:id="rId37"/>
    <sheet name="PerutYitrot" sheetId="11" r:id="rId38"/>
    <sheet name="PerutYitraLeTkufa_till2000" sheetId="18" r:id="rId39"/>
    <sheet name="PerutYitraLeTkufa_after2000" sheetId="19" r:id="rId40"/>
    <sheet name="CrossTabYitraLeTkufa_till_2000" sheetId="70" r:id="rId41"/>
    <sheet name="CrossTabYitraLeTkufa_after_2000" sheetId="71" r:id="rId42"/>
    <sheet name="PerutYitraLeTkufa" sheetId="2" r:id="rId43"/>
    <sheet name="PerutYitraLeTkufa_crosTab" sheetId="17" r:id="rId44"/>
    <sheet name="PerutYitraLeTkufa_groupby" sheetId="69" r:id="rId45"/>
    <sheet name="Kupa" sheetId="15" r:id="rId46"/>
    <sheet name="YitraLefiGilPrisha" sheetId="14" r:id="rId47"/>
    <sheet name="PerutHafrashotLePolisa" sheetId="3" r:id="rId48"/>
    <sheet name="PerutHafkadotMetchilatShanaAvgM" sheetId="78" r:id="rId49"/>
    <sheet name="PerutHafkadotMetchilatShana" sheetId="5" r:id="rId50"/>
    <sheet name="PerutMivneDmeiNihul" sheetId="7" r:id="rId51"/>
    <sheet name="PerutPirteiHafkadaAchrona" sheetId="12" r:id="rId52"/>
    <sheet name="PerutHafkadaAchrona" sheetId="13" r:id="rId53"/>
    <sheet name="HafkadotMetchilatShanaAverages" sheetId="16" r:id="rId54"/>
    <sheet name="PirteiOved" sheetId="8" r:id="rId55"/>
    <sheet name="ClientList" sheetId="9" r:id="rId56"/>
    <sheet name="PirteiKisuiBeMutzar_procerur" sheetId="22" r:id="rId57"/>
    <sheet name="PirteiKisuiBeMutzarPrmia" sheetId="24" r:id="rId58"/>
    <sheet name="SchumeiBituahYesodi" sheetId="23" r:id="rId59"/>
    <sheet name="PirteiHaasaka" sheetId="21" r:id="rId60"/>
    <sheet name="KisuiBKerenPensiaDBWithParams" sheetId="72" r:id="rId61"/>
    <sheet name="HotzaotBafoalLehodeshDivoach" sheetId="77" r:id="rId62"/>
  </sheets>
  <externalReferences>
    <externalReference r:id="rId63"/>
    <externalReference r:id="rId64"/>
  </externalReferences>
  <definedNames>
    <definedName name="_xlnm._FilterDatabase" localSheetId="2" hidden="1">'נתוני יסוד'!$D$41:$F$41</definedName>
    <definedName name="perutYitraLeTkufa_till2000">PerutYitraLeTkufa_till2000!$D$6:$Q$100</definedName>
    <definedName name="_xlnm.Print_Area" localSheetId="15">'השוואה בחירתית'!$A$54:$H$96</definedName>
    <definedName name="_xlnm.Print_Titles" localSheetId="8">הערות!$3:$3</definedName>
    <definedName name="_xlnm.Print_Titles" localSheetId="6">'קה"ש'!$2:$2</definedName>
    <definedName name="_xlnm.Print_Titles" localSheetId="10">תחזית!$2:$2</definedName>
    <definedName name="_xlnm.Print_Titles" localSheetId="11">'תחזית ה'!$2:$2</definedName>
    <definedName name="Z_2DF84D25_6475_40BF_A4B4_422A9C027976_.wvu.FilterData" localSheetId="2" hidden="1">'נתוני יסוד'!$D$41:$F$41</definedName>
    <definedName name="Z_2DF84D25_6475_40BF_A4B4_422A9C027976_.wvu.PrintArea" localSheetId="15" hidden="1">'השוואה בחירתית'!$A$54:$H$96</definedName>
    <definedName name="גילבןהזוג">'נתוני יסוד'!$B$43</definedName>
    <definedName name="גילהמבוטח">'נתוני יסוד'!$E$4</definedName>
    <definedName name="חיבור" localSheetId="41">#REF!</definedName>
    <definedName name="חיבור" localSheetId="1">#REF!</definedName>
    <definedName name="חיבור" localSheetId="5">#REF!</definedName>
    <definedName name="חיבור" localSheetId="7">#REF!</definedName>
    <definedName name="חיבור">#REF!</definedName>
  </definedNames>
  <calcPr calcId="125725"/>
  <pivotCaches>
    <pivotCache cacheId="3" r:id="rId65"/>
    <pivotCache cacheId="4" r:id="rId66"/>
  </pivotCaches>
</workbook>
</file>

<file path=xl/calcChain.xml><?xml version="1.0" encoding="utf-8"?>
<calcChain xmlns="http://schemas.openxmlformats.org/spreadsheetml/2006/main">
  <c r="T10" i="2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9"/>
  <c r="I52" i="79"/>
  <c r="H52"/>
  <c r="G52"/>
  <c r="F52"/>
  <c r="E52"/>
  <c r="D52"/>
  <c r="C52"/>
  <c r="B52"/>
  <c r="A52"/>
  <c r="E51"/>
  <c r="D51"/>
  <c r="C51"/>
  <c r="B51"/>
  <c r="A51"/>
  <c r="E50"/>
  <c r="D50"/>
  <c r="C50"/>
  <c r="B50"/>
  <c r="A50"/>
  <c r="E49"/>
  <c r="D49"/>
  <c r="C49"/>
  <c r="B49"/>
  <c r="A49"/>
  <c r="E48"/>
  <c r="D48"/>
  <c r="C48"/>
  <c r="B48"/>
  <c r="A48"/>
  <c r="E47"/>
  <c r="D47"/>
  <c r="C47"/>
  <c r="B47"/>
  <c r="A47"/>
  <c r="E46"/>
  <c r="D46"/>
  <c r="C46"/>
  <c r="B46"/>
  <c r="A46"/>
  <c r="E45"/>
  <c r="D45"/>
  <c r="C45"/>
  <c r="B45"/>
  <c r="A45"/>
  <c r="E44"/>
  <c r="D44"/>
  <c r="C44"/>
  <c r="B44"/>
  <c r="A44"/>
  <c r="E43"/>
  <c r="D43"/>
  <c r="C43"/>
  <c r="B43"/>
  <c r="A43"/>
  <c r="E42"/>
  <c r="D42"/>
  <c r="C42"/>
  <c r="B42"/>
  <c r="A42"/>
  <c r="E41"/>
  <c r="D41"/>
  <c r="C41"/>
  <c r="B41"/>
  <c r="A41"/>
  <c r="E40"/>
  <c r="D40"/>
  <c r="C40"/>
  <c r="B40"/>
  <c r="A40"/>
  <c r="E39"/>
  <c r="D39"/>
  <c r="C39"/>
  <c r="B39"/>
  <c r="A39"/>
  <c r="E38"/>
  <c r="D38"/>
  <c r="C38"/>
  <c r="B38"/>
  <c r="A38"/>
  <c r="E37"/>
  <c r="D37"/>
  <c r="C37"/>
  <c r="B37"/>
  <c r="A37"/>
  <c r="E36"/>
  <c r="D36"/>
  <c r="C36"/>
  <c r="B36"/>
  <c r="A36"/>
  <c r="E35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M7" i="76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6"/>
  <c r="I1" i="56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G3"/>
  <c r="F3"/>
  <c r="E3"/>
  <c r="D3"/>
  <c r="C3"/>
  <c r="A4" i="3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F3"/>
  <c r="E3"/>
  <c r="D3"/>
  <c r="C3"/>
  <c r="B3"/>
  <c r="B3" i="56"/>
  <c r="A3"/>
  <c r="F1" i="3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 l="1"/>
  <c r="A3"/>
  <c r="BH10" i="20"/>
  <c r="I4" i="34" s="1"/>
  <c r="BI10" i="20"/>
  <c r="I4" i="56" s="1"/>
  <c r="J4" s="1"/>
  <c r="BH11" i="20"/>
  <c r="I5" i="34" s="1"/>
  <c r="BI11" i="20"/>
  <c r="I5" i="56" s="1"/>
  <c r="J5" s="1"/>
  <c r="BH12" i="20"/>
  <c r="I6" i="34" s="1"/>
  <c r="BI12" i="20"/>
  <c r="I6" i="56" s="1"/>
  <c r="J6" s="1"/>
  <c r="BH13" i="20"/>
  <c r="I7" i="34" s="1"/>
  <c r="BI13" i="20"/>
  <c r="I7" i="56" s="1"/>
  <c r="J7" s="1"/>
  <c r="BH14" i="20"/>
  <c r="I8" i="34" s="1"/>
  <c r="BI14" i="20"/>
  <c r="I8" i="56" s="1"/>
  <c r="J8" s="1"/>
  <c r="BH15" i="20"/>
  <c r="I9" i="34" s="1"/>
  <c r="BI15" i="20"/>
  <c r="I9" i="56" s="1"/>
  <c r="J9" s="1"/>
  <c r="BH16" i="20"/>
  <c r="I10" i="34" s="1"/>
  <c r="BI16" i="20"/>
  <c r="I10" i="56" s="1"/>
  <c r="J10" s="1"/>
  <c r="BH17" i="20"/>
  <c r="I11" i="34" s="1"/>
  <c r="BI17" i="20"/>
  <c r="I11" i="56" s="1"/>
  <c r="J11" s="1"/>
  <c r="BH18" i="20"/>
  <c r="I12" i="34" s="1"/>
  <c r="BI18" i="20"/>
  <c r="I12" i="56" s="1"/>
  <c r="J12" s="1"/>
  <c r="BH19" i="20"/>
  <c r="I13" i="34" s="1"/>
  <c r="BI19" i="20"/>
  <c r="I13" i="56" s="1"/>
  <c r="J13" s="1"/>
  <c r="BH20" i="20"/>
  <c r="I14" i="34" s="1"/>
  <c r="BI20" i="20"/>
  <c r="I14" i="56" s="1"/>
  <c r="J14" s="1"/>
  <c r="BH21" i="20"/>
  <c r="I15" i="34" s="1"/>
  <c r="BI21" i="20"/>
  <c r="I15" i="56" s="1"/>
  <c r="J15" s="1"/>
  <c r="BH22" i="20"/>
  <c r="I16" i="34" s="1"/>
  <c r="BI22" i="20"/>
  <c r="I16" i="56" s="1"/>
  <c r="J16" s="1"/>
  <c r="BH23" i="20"/>
  <c r="I17" i="34" s="1"/>
  <c r="BI23" i="20"/>
  <c r="I17" i="56" s="1"/>
  <c r="J17" s="1"/>
  <c r="BH24" i="20"/>
  <c r="I18" i="34" s="1"/>
  <c r="BI24" i="20"/>
  <c r="I18" i="56" s="1"/>
  <c r="J18" s="1"/>
  <c r="BH25" i="20"/>
  <c r="I19" i="34" s="1"/>
  <c r="BI25" i="20"/>
  <c r="I19" i="56" s="1"/>
  <c r="J19" s="1"/>
  <c r="BH26" i="20"/>
  <c r="I20" i="34" s="1"/>
  <c r="BI26" i="20"/>
  <c r="I20" i="56" s="1"/>
  <c r="J20" s="1"/>
  <c r="BH27" i="20"/>
  <c r="I21" i="34" s="1"/>
  <c r="BI27" i="20"/>
  <c r="I21" i="56" s="1"/>
  <c r="J21" s="1"/>
  <c r="BH28" i="20"/>
  <c r="I22" i="34" s="1"/>
  <c r="BI28" i="20"/>
  <c r="I22" i="56" s="1"/>
  <c r="J22" s="1"/>
  <c r="BH29" i="20"/>
  <c r="I23" i="34" s="1"/>
  <c r="BI29" i="20"/>
  <c r="I23" i="56" s="1"/>
  <c r="J23" s="1"/>
  <c r="BH30" i="20"/>
  <c r="I24" i="34" s="1"/>
  <c r="BI30" i="20"/>
  <c r="I24" i="56" s="1"/>
  <c r="J24" s="1"/>
  <c r="BH31" i="20"/>
  <c r="I25" i="34" s="1"/>
  <c r="BI31" i="20"/>
  <c r="I25" i="56" s="1"/>
  <c r="J25" s="1"/>
  <c r="BH32" i="20"/>
  <c r="I26" i="34" s="1"/>
  <c r="BI32" i="20"/>
  <c r="I26" i="56" s="1"/>
  <c r="J26" s="1"/>
  <c r="BH33" i="20"/>
  <c r="I27" i="34" s="1"/>
  <c r="BI33" i="20"/>
  <c r="I27" i="56" s="1"/>
  <c r="J27" s="1"/>
  <c r="BH34" i="20"/>
  <c r="I28" i="34" s="1"/>
  <c r="BI34" i="20"/>
  <c r="I28" i="56" s="1"/>
  <c r="J28" s="1"/>
  <c r="BH35" i="20"/>
  <c r="I29" i="34" s="1"/>
  <c r="BI35" i="20"/>
  <c r="I29" i="56" s="1"/>
  <c r="J29" s="1"/>
  <c r="BH36" i="20"/>
  <c r="I30" i="34" s="1"/>
  <c r="BI36" i="20"/>
  <c r="I30" i="56" s="1"/>
  <c r="J30" s="1"/>
  <c r="BH37" i="20"/>
  <c r="BI37"/>
  <c r="I31" i="56" s="1"/>
  <c r="J31" s="1"/>
  <c r="BH38" i="20"/>
  <c r="BI38"/>
  <c r="I32" i="56" s="1"/>
  <c r="J32" s="1"/>
  <c r="BH39" i="20"/>
  <c r="BI39"/>
  <c r="I33" i="56" s="1"/>
  <c r="J33" s="1"/>
  <c r="BH40" i="20"/>
  <c r="BI40"/>
  <c r="I34" i="56" s="1"/>
  <c r="J34" s="1"/>
  <c r="BH41" i="20"/>
  <c r="BI41"/>
  <c r="I35" i="56" s="1"/>
  <c r="J35" s="1"/>
  <c r="BH42" i="20"/>
  <c r="BI42"/>
  <c r="I36" i="56" s="1"/>
  <c r="J36" s="1"/>
  <c r="BH43" i="20"/>
  <c r="BI43"/>
  <c r="I37" i="56" s="1"/>
  <c r="J37" s="1"/>
  <c r="BH44" i="20"/>
  <c r="BI44"/>
  <c r="I38" i="56" s="1"/>
  <c r="J38" s="1"/>
  <c r="BH45" i="20"/>
  <c r="BI45"/>
  <c r="I39" i="56" s="1"/>
  <c r="J39" s="1"/>
  <c r="BH46" i="20"/>
  <c r="BI46"/>
  <c r="BH47"/>
  <c r="BI47"/>
  <c r="BH48"/>
  <c r="BI48"/>
  <c r="BH49"/>
  <c r="BI49"/>
  <c r="BH50"/>
  <c r="BI50"/>
  <c r="BH51"/>
  <c r="BI51"/>
  <c r="BH52"/>
  <c r="BI52"/>
  <c r="BH53"/>
  <c r="BI53"/>
  <c r="BH54"/>
  <c r="BI54"/>
  <c r="BH55"/>
  <c r="BI55"/>
  <c r="BH56"/>
  <c r="BI56"/>
  <c r="BH57"/>
  <c r="BI57"/>
  <c r="BH58"/>
  <c r="BI58"/>
  <c r="BH59"/>
  <c r="BI59"/>
  <c r="BH60"/>
  <c r="BI60"/>
  <c r="BH61"/>
  <c r="BI61"/>
  <c r="BH62"/>
  <c r="BI62"/>
  <c r="BH63"/>
  <c r="BI63"/>
  <c r="BH64"/>
  <c r="BI64"/>
  <c r="BH65"/>
  <c r="BI65"/>
  <c r="BH66"/>
  <c r="BI66"/>
  <c r="BH67"/>
  <c r="BI67"/>
  <c r="BH68"/>
  <c r="BI68"/>
  <c r="BH69"/>
  <c r="BI69"/>
  <c r="BH70"/>
  <c r="BI70"/>
  <c r="BH71"/>
  <c r="BI71"/>
  <c r="BH72"/>
  <c r="BI72"/>
  <c r="BH73"/>
  <c r="BI73"/>
  <c r="BH74"/>
  <c r="BI74"/>
  <c r="BH75"/>
  <c r="BI75"/>
  <c r="BH76"/>
  <c r="BI76"/>
  <c r="BH77"/>
  <c r="BI77"/>
  <c r="BH78"/>
  <c r="BI78"/>
  <c r="BH79"/>
  <c r="BI79"/>
  <c r="BH80"/>
  <c r="BI80"/>
  <c r="BH81"/>
  <c r="BI81"/>
  <c r="BH82"/>
  <c r="BI82"/>
  <c r="BH83"/>
  <c r="BI83"/>
  <c r="BH84"/>
  <c r="BI84"/>
  <c r="BH85"/>
  <c r="BI85"/>
  <c r="BH86"/>
  <c r="BI86"/>
  <c r="BH87"/>
  <c r="BI87"/>
  <c r="BH88"/>
  <c r="BI88"/>
  <c r="BH89"/>
  <c r="BI89"/>
  <c r="BH90"/>
  <c r="BI90"/>
  <c r="BH91"/>
  <c r="BI91"/>
  <c r="BH92"/>
  <c r="BI92"/>
  <c r="BH93"/>
  <c r="BI93"/>
  <c r="BH94"/>
  <c r="BI94"/>
  <c r="BH95"/>
  <c r="BI95"/>
  <c r="BH96"/>
  <c r="BI96"/>
  <c r="BH97"/>
  <c r="BI97"/>
  <c r="BH98"/>
  <c r="BI98"/>
  <c r="BH99"/>
  <c r="BI99"/>
  <c r="BH100"/>
  <c r="BI100"/>
  <c r="BH101"/>
  <c r="BI101"/>
  <c r="BI9"/>
  <c r="I3" i="56" s="1"/>
  <c r="J3" s="1"/>
  <c r="BH9" i="20" l="1"/>
  <c r="I3" i="34" s="1"/>
  <c r="CL10" i="20"/>
  <c r="CL11"/>
  <c r="CL12"/>
  <c r="CL13"/>
  <c r="CL14"/>
  <c r="CL15"/>
  <c r="CL16"/>
  <c r="CL17"/>
  <c r="CL18"/>
  <c r="CL19"/>
  <c r="CL20"/>
  <c r="CL21"/>
  <c r="CL22"/>
  <c r="CL23"/>
  <c r="CL24"/>
  <c r="CL25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L45"/>
  <c r="CL46"/>
  <c r="CL47"/>
  <c r="CL48"/>
  <c r="CL49"/>
  <c r="CL50"/>
  <c r="CL51"/>
  <c r="CL52"/>
  <c r="CL53"/>
  <c r="CL54"/>
  <c r="CL55"/>
  <c r="CL56"/>
  <c r="CL57"/>
  <c r="CL58"/>
  <c r="CL59"/>
  <c r="CL60"/>
  <c r="CL61"/>
  <c r="CL62"/>
  <c r="CL63"/>
  <c r="CL64"/>
  <c r="CL65"/>
  <c r="CL66"/>
  <c r="CL67"/>
  <c r="CL68"/>
  <c r="CL69"/>
  <c r="CL70"/>
  <c r="CL71"/>
  <c r="CL72"/>
  <c r="CL73"/>
  <c r="CL74"/>
  <c r="CL75"/>
  <c r="CL76"/>
  <c r="CL77"/>
  <c r="CL78"/>
  <c r="CL79"/>
  <c r="CL80"/>
  <c r="CL81"/>
  <c r="CL82"/>
  <c r="CL83"/>
  <c r="CL84"/>
  <c r="CL85"/>
  <c r="CL86"/>
  <c r="CL87"/>
  <c r="CL88"/>
  <c r="CL89"/>
  <c r="CL90"/>
  <c r="CL91"/>
  <c r="CL92"/>
  <c r="CL93"/>
  <c r="CL94"/>
  <c r="CL95"/>
  <c r="CL96"/>
  <c r="CL97"/>
  <c r="CL98"/>
  <c r="CL99"/>
  <c r="CL100"/>
  <c r="CL101"/>
  <c r="CL9"/>
  <c r="CE10"/>
  <c r="CE11"/>
  <c r="CE12"/>
  <c r="CE13"/>
  <c r="CE14"/>
  <c r="CE15"/>
  <c r="CE16"/>
  <c r="CE17"/>
  <c r="CE18"/>
  <c r="CE19"/>
  <c r="CE20"/>
  <c r="CE21"/>
  <c r="CE22"/>
  <c r="CE23"/>
  <c r="CE24"/>
  <c r="CE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E45"/>
  <c r="CE46"/>
  <c r="CE47"/>
  <c r="CE48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E68"/>
  <c r="CE69"/>
  <c r="CE70"/>
  <c r="CE71"/>
  <c r="CE72"/>
  <c r="CE73"/>
  <c r="CE74"/>
  <c r="CE75"/>
  <c r="CE76"/>
  <c r="CE77"/>
  <c r="CE78"/>
  <c r="CE79"/>
  <c r="CE80"/>
  <c r="CE81"/>
  <c r="CE82"/>
  <c r="CE83"/>
  <c r="CE84"/>
  <c r="CE85"/>
  <c r="CE86"/>
  <c r="CE87"/>
  <c r="CE88"/>
  <c r="CE89"/>
  <c r="CE90"/>
  <c r="CE91"/>
  <c r="CE92"/>
  <c r="CE93"/>
  <c r="CE94"/>
  <c r="CE95"/>
  <c r="CE96"/>
  <c r="CE97"/>
  <c r="CE98"/>
  <c r="CE99"/>
  <c r="CE100"/>
  <c r="CE101"/>
  <c r="CE9"/>
  <c r="BX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X45"/>
  <c r="BX46"/>
  <c r="BX47"/>
  <c r="BX48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X69"/>
  <c r="BX70"/>
  <c r="BX71"/>
  <c r="BX72"/>
  <c r="BX73"/>
  <c r="BX74"/>
  <c r="BX75"/>
  <c r="BX76"/>
  <c r="BX77"/>
  <c r="BX78"/>
  <c r="BX79"/>
  <c r="BX80"/>
  <c r="BX81"/>
  <c r="BX82"/>
  <c r="BX83"/>
  <c r="BX84"/>
  <c r="BX85"/>
  <c r="BX86"/>
  <c r="BX87"/>
  <c r="BX88"/>
  <c r="BX89"/>
  <c r="BX90"/>
  <c r="BX91"/>
  <c r="BX92"/>
  <c r="BX93"/>
  <c r="BX94"/>
  <c r="BX95"/>
  <c r="BX96"/>
  <c r="BX97"/>
  <c r="BX98"/>
  <c r="BX99"/>
  <c r="BX100"/>
  <c r="BX101"/>
  <c r="BX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8"/>
  <c r="BR89"/>
  <c r="BR90"/>
  <c r="BR91"/>
  <c r="BR92"/>
  <c r="BR93"/>
  <c r="BR94"/>
  <c r="BR95"/>
  <c r="BR96"/>
  <c r="BR97"/>
  <c r="BR98"/>
  <c r="BR99"/>
  <c r="BR100"/>
  <c r="BR101"/>
  <c r="BR9"/>
  <c r="BK10"/>
  <c r="BK6" s="1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97"/>
  <c r="BK98"/>
  <c r="BK99"/>
  <c r="BK100"/>
  <c r="BK101"/>
  <c r="BK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6"/>
  <c r="BG97"/>
  <c r="BG98"/>
  <c r="BG99"/>
  <c r="BG100"/>
  <c r="BG101"/>
  <c r="BG9"/>
  <c r="AW10"/>
  <c r="AX10"/>
  <c r="AY10"/>
  <c r="BD10" s="1"/>
  <c r="AZ10"/>
  <c r="BA10"/>
  <c r="BB10"/>
  <c r="BC10"/>
  <c r="AW11"/>
  <c r="AX11"/>
  <c r="AY11"/>
  <c r="BD11" s="1"/>
  <c r="CP11" s="1"/>
  <c r="AZ11"/>
  <c r="BA11"/>
  <c r="BB11"/>
  <c r="BC11"/>
  <c r="AW12"/>
  <c r="AX12"/>
  <c r="AY12"/>
  <c r="BD12" s="1"/>
  <c r="AZ12"/>
  <c r="BA12"/>
  <c r="BB12"/>
  <c r="BC12"/>
  <c r="AW13"/>
  <c r="AX13"/>
  <c r="AY13"/>
  <c r="BD13" s="1"/>
  <c r="AZ13"/>
  <c r="BA13"/>
  <c r="BB13"/>
  <c r="BC13"/>
  <c r="AW14"/>
  <c r="AX14"/>
  <c r="AY14"/>
  <c r="BD14" s="1"/>
  <c r="AZ14"/>
  <c r="BA14"/>
  <c r="BB14"/>
  <c r="BC14"/>
  <c r="AW15"/>
  <c r="AX15"/>
  <c r="AY15"/>
  <c r="BD15" s="1"/>
  <c r="CP15" s="1"/>
  <c r="AZ15"/>
  <c r="BA15"/>
  <c r="BB15"/>
  <c r="BC15"/>
  <c r="AW16"/>
  <c r="AX16"/>
  <c r="AY16"/>
  <c r="BD16" s="1"/>
  <c r="CP16" s="1"/>
  <c r="AZ16"/>
  <c r="BA16"/>
  <c r="BB16"/>
  <c r="BC16"/>
  <c r="AW17"/>
  <c r="AX17"/>
  <c r="AY17"/>
  <c r="BD17" s="1"/>
  <c r="AZ17"/>
  <c r="BA17"/>
  <c r="BB17"/>
  <c r="BC17"/>
  <c r="AW18"/>
  <c r="AX18"/>
  <c r="AY18"/>
  <c r="BD18" s="1"/>
  <c r="AZ18"/>
  <c r="BA18"/>
  <c r="BB18"/>
  <c r="BC18"/>
  <c r="AW19"/>
  <c r="AX19"/>
  <c r="AY19"/>
  <c r="BD19" s="1"/>
  <c r="CP19" s="1"/>
  <c r="AZ19"/>
  <c r="BA19"/>
  <c r="BB19"/>
  <c r="BC19"/>
  <c r="AW20"/>
  <c r="AX20"/>
  <c r="AY20"/>
  <c r="BD20" s="1"/>
  <c r="CP20" s="1"/>
  <c r="AZ20"/>
  <c r="BA20"/>
  <c r="BB20"/>
  <c r="BC20"/>
  <c r="AW21"/>
  <c r="AX21"/>
  <c r="AY21"/>
  <c r="BD21" s="1"/>
  <c r="AZ21"/>
  <c r="BA21"/>
  <c r="BB21"/>
  <c r="BC21"/>
  <c r="AW22"/>
  <c r="AX22"/>
  <c r="AY22"/>
  <c r="BD22" s="1"/>
  <c r="AZ22"/>
  <c r="BA22"/>
  <c r="BB22"/>
  <c r="BC22"/>
  <c r="AW23"/>
  <c r="AX23"/>
  <c r="AY23"/>
  <c r="BD23" s="1"/>
  <c r="CP23" s="1"/>
  <c r="AZ23"/>
  <c r="BA23"/>
  <c r="BB23"/>
  <c r="BC23"/>
  <c r="AW24"/>
  <c r="AX24"/>
  <c r="AY24"/>
  <c r="BD24" s="1"/>
  <c r="CP24" s="1"/>
  <c r="AZ24"/>
  <c r="BA24"/>
  <c r="BB24"/>
  <c r="BC24"/>
  <c r="AW25"/>
  <c r="AX25"/>
  <c r="AY25"/>
  <c r="BD25" s="1"/>
  <c r="AZ25"/>
  <c r="BA25"/>
  <c r="BB25"/>
  <c r="BC25"/>
  <c r="AW26"/>
  <c r="AX26"/>
  <c r="AY26"/>
  <c r="BD26" s="1"/>
  <c r="AZ26"/>
  <c r="BA26"/>
  <c r="BB26"/>
  <c r="BC26"/>
  <c r="AW27"/>
  <c r="AX27"/>
  <c r="AY27"/>
  <c r="BD27" s="1"/>
  <c r="CP27" s="1"/>
  <c r="AZ27"/>
  <c r="BA27"/>
  <c r="BB27"/>
  <c r="BC27"/>
  <c r="AW28"/>
  <c r="AX28"/>
  <c r="AY28"/>
  <c r="BD28" s="1"/>
  <c r="CP28" s="1"/>
  <c r="AZ28"/>
  <c r="BA28"/>
  <c r="BB28"/>
  <c r="BC28"/>
  <c r="AW29"/>
  <c r="AX29"/>
  <c r="AY29"/>
  <c r="BD29" s="1"/>
  <c r="AZ29"/>
  <c r="BA29"/>
  <c r="BB29"/>
  <c r="BC29"/>
  <c r="AW30"/>
  <c r="AX30"/>
  <c r="AY30"/>
  <c r="BD30" s="1"/>
  <c r="CP30" s="1"/>
  <c r="AZ30"/>
  <c r="BA30"/>
  <c r="BB30"/>
  <c r="BC30"/>
  <c r="AW31"/>
  <c r="AX31"/>
  <c r="AY31"/>
  <c r="BD31" s="1"/>
  <c r="AZ31"/>
  <c r="BA31"/>
  <c r="BB31"/>
  <c r="BC31"/>
  <c r="AW32"/>
  <c r="AX32"/>
  <c r="AY32"/>
  <c r="BD32" s="1"/>
  <c r="CP32" s="1"/>
  <c r="AZ32"/>
  <c r="BA32"/>
  <c r="BB32"/>
  <c r="BC32"/>
  <c r="AW33"/>
  <c r="AX33"/>
  <c r="AY33"/>
  <c r="BD33" s="1"/>
  <c r="AZ33"/>
  <c r="BA33"/>
  <c r="BB33"/>
  <c r="BC33"/>
  <c r="AW34"/>
  <c r="AX34"/>
  <c r="AY34"/>
  <c r="BD34" s="1"/>
  <c r="CP34" s="1"/>
  <c r="AZ34"/>
  <c r="BA34"/>
  <c r="BB34"/>
  <c r="BC34"/>
  <c r="AW35"/>
  <c r="AX35"/>
  <c r="AY35"/>
  <c r="BD35" s="1"/>
  <c r="CP35" s="1"/>
  <c r="AZ35"/>
  <c r="BA35"/>
  <c r="BB35"/>
  <c r="BC35"/>
  <c r="AW36"/>
  <c r="AX36"/>
  <c r="AY36"/>
  <c r="BD36" s="1"/>
  <c r="CP36" s="1"/>
  <c r="AZ36"/>
  <c r="BA36"/>
  <c r="BB36"/>
  <c r="BC36"/>
  <c r="AW37"/>
  <c r="AX37"/>
  <c r="AY37"/>
  <c r="BD37" s="1"/>
  <c r="AZ37"/>
  <c r="BA37"/>
  <c r="BB37"/>
  <c r="BC37"/>
  <c r="AW38"/>
  <c r="AX38"/>
  <c r="AY38"/>
  <c r="BD38" s="1"/>
  <c r="AZ38"/>
  <c r="BA38"/>
  <c r="BB38"/>
  <c r="BC38"/>
  <c r="AW39"/>
  <c r="AX39"/>
  <c r="AY39"/>
  <c r="BD39" s="1"/>
  <c r="CP39" s="1"/>
  <c r="AZ39"/>
  <c r="BA39"/>
  <c r="BB39"/>
  <c r="BC39"/>
  <c r="AW40"/>
  <c r="AX40"/>
  <c r="AY40"/>
  <c r="BD40" s="1"/>
  <c r="AZ40"/>
  <c r="BA40"/>
  <c r="BB40"/>
  <c r="BC40"/>
  <c r="AW41"/>
  <c r="AX41"/>
  <c r="AY41"/>
  <c r="BD41" s="1"/>
  <c r="AZ41"/>
  <c r="BA41"/>
  <c r="BB41"/>
  <c r="BC41"/>
  <c r="AW42"/>
  <c r="AX42"/>
  <c r="AY42"/>
  <c r="BD42" s="1"/>
  <c r="AZ42"/>
  <c r="BA42"/>
  <c r="BB42"/>
  <c r="BC42"/>
  <c r="AW43"/>
  <c r="AX43"/>
  <c r="AY43"/>
  <c r="BD43" s="1"/>
  <c r="AZ43"/>
  <c r="BA43"/>
  <c r="BB43"/>
  <c r="BC43"/>
  <c r="AW44"/>
  <c r="AX44"/>
  <c r="AY44"/>
  <c r="BD44" s="1"/>
  <c r="AZ44"/>
  <c r="BA44"/>
  <c r="BB44"/>
  <c r="BC44"/>
  <c r="AW45"/>
  <c r="AX45"/>
  <c r="AY45"/>
  <c r="BD45" s="1"/>
  <c r="AZ45"/>
  <c r="BA45"/>
  <c r="BB45"/>
  <c r="BC45"/>
  <c r="AW46"/>
  <c r="AZ46" s="1"/>
  <c r="AX46"/>
  <c r="AY46"/>
  <c r="BD46" s="1"/>
  <c r="BA46"/>
  <c r="BB46"/>
  <c r="BC46"/>
  <c r="AW47"/>
  <c r="AZ47" s="1"/>
  <c r="AX47"/>
  <c r="AY47"/>
  <c r="BD47" s="1"/>
  <c r="BA47"/>
  <c r="BB47"/>
  <c r="BC47"/>
  <c r="AW48"/>
  <c r="AZ48" s="1"/>
  <c r="AX48"/>
  <c r="AY48"/>
  <c r="BD48" s="1"/>
  <c r="BA48"/>
  <c r="BB48"/>
  <c r="BC48"/>
  <c r="AW49"/>
  <c r="AZ49" s="1"/>
  <c r="AX49"/>
  <c r="AY49"/>
  <c r="BD49" s="1"/>
  <c r="BA49"/>
  <c r="BB49"/>
  <c r="BC49"/>
  <c r="AW50"/>
  <c r="AZ50" s="1"/>
  <c r="AX50"/>
  <c r="AY50"/>
  <c r="BD50" s="1"/>
  <c r="BA50"/>
  <c r="BB50"/>
  <c r="BC50"/>
  <c r="AW51"/>
  <c r="AZ51" s="1"/>
  <c r="AX51"/>
  <c r="AY51"/>
  <c r="BD51" s="1"/>
  <c r="BA51"/>
  <c r="BB51"/>
  <c r="BC51"/>
  <c r="AW52"/>
  <c r="AZ52" s="1"/>
  <c r="AX52"/>
  <c r="AY52"/>
  <c r="BD52" s="1"/>
  <c r="BA52"/>
  <c r="BB52"/>
  <c r="BC52"/>
  <c r="AW53"/>
  <c r="AZ53" s="1"/>
  <c r="AX53"/>
  <c r="AY53"/>
  <c r="BD53" s="1"/>
  <c r="BA53"/>
  <c r="BB53"/>
  <c r="BC53"/>
  <c r="AW54"/>
  <c r="AZ54" s="1"/>
  <c r="AX54"/>
  <c r="AY54"/>
  <c r="BD54" s="1"/>
  <c r="BA54"/>
  <c r="BB54"/>
  <c r="BC54"/>
  <c r="AW55"/>
  <c r="AZ55" s="1"/>
  <c r="AX55"/>
  <c r="AY55"/>
  <c r="BD55" s="1"/>
  <c r="BA55"/>
  <c r="BB55"/>
  <c r="BC55"/>
  <c r="AW56"/>
  <c r="AZ56" s="1"/>
  <c r="AX56"/>
  <c r="AY56"/>
  <c r="BD56" s="1"/>
  <c r="BA56"/>
  <c r="BB56"/>
  <c r="BC56"/>
  <c r="AW57"/>
  <c r="AZ57" s="1"/>
  <c r="AX57"/>
  <c r="AY57"/>
  <c r="BD57" s="1"/>
  <c r="BA57"/>
  <c r="BB57"/>
  <c r="BC57"/>
  <c r="AW58"/>
  <c r="AZ58" s="1"/>
  <c r="AX58"/>
  <c r="AY58"/>
  <c r="BD58" s="1"/>
  <c r="BA58"/>
  <c r="BB58"/>
  <c r="BC58"/>
  <c r="AW59"/>
  <c r="AZ59" s="1"/>
  <c r="AX59"/>
  <c r="AY59"/>
  <c r="BD59" s="1"/>
  <c r="BA59"/>
  <c r="BB59"/>
  <c r="BC59"/>
  <c r="AW60"/>
  <c r="AZ60" s="1"/>
  <c r="AX60"/>
  <c r="AY60"/>
  <c r="BD60" s="1"/>
  <c r="BA60"/>
  <c r="BB60"/>
  <c r="BC60"/>
  <c r="AW61"/>
  <c r="AZ61" s="1"/>
  <c r="AX61"/>
  <c r="AY61"/>
  <c r="BD61" s="1"/>
  <c r="BA61"/>
  <c r="BB61"/>
  <c r="BC61"/>
  <c r="AW62"/>
  <c r="AZ62" s="1"/>
  <c r="AX62"/>
  <c r="AY62"/>
  <c r="BD62" s="1"/>
  <c r="BA62"/>
  <c r="BB62"/>
  <c r="BC62"/>
  <c r="AW63"/>
  <c r="AZ63" s="1"/>
  <c r="AX63"/>
  <c r="AY63"/>
  <c r="BD63" s="1"/>
  <c r="BA63"/>
  <c r="BB63"/>
  <c r="BC63"/>
  <c r="AW64"/>
  <c r="AZ64" s="1"/>
  <c r="AX64"/>
  <c r="AY64"/>
  <c r="BD64" s="1"/>
  <c r="BA64"/>
  <c r="BB64"/>
  <c r="BC64"/>
  <c r="AW65"/>
  <c r="AZ65" s="1"/>
  <c r="AX65"/>
  <c r="AY65"/>
  <c r="BD65" s="1"/>
  <c r="BA65"/>
  <c r="BB65"/>
  <c r="BC65"/>
  <c r="AW66"/>
  <c r="AZ66" s="1"/>
  <c r="AX66"/>
  <c r="AY66"/>
  <c r="BD66" s="1"/>
  <c r="BA66"/>
  <c r="BB66"/>
  <c r="BC66"/>
  <c r="AW67"/>
  <c r="AZ67" s="1"/>
  <c r="AX67"/>
  <c r="AY67"/>
  <c r="BD67" s="1"/>
  <c r="BA67"/>
  <c r="BB67"/>
  <c r="BC67"/>
  <c r="AW68"/>
  <c r="AZ68" s="1"/>
  <c r="AX68"/>
  <c r="AY68"/>
  <c r="BD68" s="1"/>
  <c r="BA68"/>
  <c r="BB68"/>
  <c r="BC68"/>
  <c r="AW69"/>
  <c r="AZ69" s="1"/>
  <c r="AX69"/>
  <c r="AY69"/>
  <c r="BD69" s="1"/>
  <c r="BA69"/>
  <c r="BB69"/>
  <c r="BC69"/>
  <c r="AW70"/>
  <c r="AZ70" s="1"/>
  <c r="AX70"/>
  <c r="AY70"/>
  <c r="BD70" s="1"/>
  <c r="BA70"/>
  <c r="BB70"/>
  <c r="BC70"/>
  <c r="AW71"/>
  <c r="AZ71" s="1"/>
  <c r="AX71"/>
  <c r="AY71"/>
  <c r="BD71" s="1"/>
  <c r="BA71"/>
  <c r="BB71"/>
  <c r="BC71"/>
  <c r="AW72"/>
  <c r="AZ72" s="1"/>
  <c r="AX72"/>
  <c r="AY72"/>
  <c r="BD72" s="1"/>
  <c r="BA72"/>
  <c r="BB72"/>
  <c r="BC72"/>
  <c r="AW73"/>
  <c r="AZ73" s="1"/>
  <c r="AX73"/>
  <c r="AY73"/>
  <c r="BD73" s="1"/>
  <c r="BA73"/>
  <c r="BB73"/>
  <c r="BC73"/>
  <c r="AW74"/>
  <c r="AZ74" s="1"/>
  <c r="AX74"/>
  <c r="AY74"/>
  <c r="BD74" s="1"/>
  <c r="BA74"/>
  <c r="BB74"/>
  <c r="BC74"/>
  <c r="AW75"/>
  <c r="AZ75" s="1"/>
  <c r="AX75"/>
  <c r="AY75"/>
  <c r="BD75" s="1"/>
  <c r="BA75"/>
  <c r="BB75"/>
  <c r="BC75"/>
  <c r="AW76"/>
  <c r="AZ76" s="1"/>
  <c r="AX76"/>
  <c r="AY76"/>
  <c r="BD76" s="1"/>
  <c r="BA76"/>
  <c r="BB76"/>
  <c r="BC76"/>
  <c r="AW77"/>
  <c r="AZ77" s="1"/>
  <c r="AX77"/>
  <c r="AY77"/>
  <c r="BD77" s="1"/>
  <c r="BA77"/>
  <c r="BB77"/>
  <c r="BC77"/>
  <c r="AW78"/>
  <c r="AZ78" s="1"/>
  <c r="AX78"/>
  <c r="AY78"/>
  <c r="BD78" s="1"/>
  <c r="BA78"/>
  <c r="BB78"/>
  <c r="BC78"/>
  <c r="AW79"/>
  <c r="AZ79" s="1"/>
  <c r="AX79"/>
  <c r="AY79"/>
  <c r="BD79" s="1"/>
  <c r="BA79"/>
  <c r="BB79"/>
  <c r="BC79"/>
  <c r="AW80"/>
  <c r="AZ80" s="1"/>
  <c r="AX80"/>
  <c r="AY80"/>
  <c r="BD80" s="1"/>
  <c r="BA80"/>
  <c r="BB80"/>
  <c r="BC80"/>
  <c r="AW81"/>
  <c r="AZ81" s="1"/>
  <c r="AX81"/>
  <c r="AY81"/>
  <c r="BD81" s="1"/>
  <c r="BA81"/>
  <c r="BB81"/>
  <c r="BC81"/>
  <c r="AW82"/>
  <c r="AZ82" s="1"/>
  <c r="AX82"/>
  <c r="AY82"/>
  <c r="BD82" s="1"/>
  <c r="BA82"/>
  <c r="BB82"/>
  <c r="BC82"/>
  <c r="AW83"/>
  <c r="AZ83" s="1"/>
  <c r="AX83"/>
  <c r="AY83"/>
  <c r="BD83" s="1"/>
  <c r="BA83"/>
  <c r="BB83"/>
  <c r="BC83"/>
  <c r="AW84"/>
  <c r="AZ84" s="1"/>
  <c r="AX84"/>
  <c r="AY84"/>
  <c r="BD84" s="1"/>
  <c r="BA84"/>
  <c r="BB84"/>
  <c r="BC84"/>
  <c r="AW85"/>
  <c r="AZ85" s="1"/>
  <c r="AX85"/>
  <c r="AY85"/>
  <c r="BD85" s="1"/>
  <c r="BA85"/>
  <c r="BB85"/>
  <c r="BC85"/>
  <c r="AW86"/>
  <c r="AZ86" s="1"/>
  <c r="AX86"/>
  <c r="AY86"/>
  <c r="BD86" s="1"/>
  <c r="BA86"/>
  <c r="BB86"/>
  <c r="BC86"/>
  <c r="AW87"/>
  <c r="AZ87" s="1"/>
  <c r="AX87"/>
  <c r="AY87"/>
  <c r="BD87" s="1"/>
  <c r="BA87"/>
  <c r="BB87"/>
  <c r="BC87"/>
  <c r="AW88"/>
  <c r="AZ88" s="1"/>
  <c r="AX88"/>
  <c r="AY88"/>
  <c r="BD88" s="1"/>
  <c r="BA88"/>
  <c r="BB88"/>
  <c r="BC88"/>
  <c r="AW89"/>
  <c r="AZ89" s="1"/>
  <c r="AX89"/>
  <c r="AY89"/>
  <c r="BD89" s="1"/>
  <c r="BA89"/>
  <c r="BB89"/>
  <c r="BC89"/>
  <c r="AW90"/>
  <c r="AZ90" s="1"/>
  <c r="AX90"/>
  <c r="AY90"/>
  <c r="BD90" s="1"/>
  <c r="BA90"/>
  <c r="BB90"/>
  <c r="BC90"/>
  <c r="AW91"/>
  <c r="AZ91" s="1"/>
  <c r="AX91"/>
  <c r="AY91"/>
  <c r="BD91" s="1"/>
  <c r="BA91"/>
  <c r="BB91"/>
  <c r="BC91"/>
  <c r="AW92"/>
  <c r="AZ92" s="1"/>
  <c r="AX92"/>
  <c r="AY92"/>
  <c r="BD92" s="1"/>
  <c r="BA92"/>
  <c r="BB92"/>
  <c r="BC92"/>
  <c r="AW93"/>
  <c r="AZ93" s="1"/>
  <c r="AX93"/>
  <c r="AY93"/>
  <c r="BD93" s="1"/>
  <c r="BA93"/>
  <c r="BB93"/>
  <c r="BC93"/>
  <c r="AW94"/>
  <c r="AZ94" s="1"/>
  <c r="AX94"/>
  <c r="AY94"/>
  <c r="BD94" s="1"/>
  <c r="BA94"/>
  <c r="BB94"/>
  <c r="BC94"/>
  <c r="AW95"/>
  <c r="AZ95" s="1"/>
  <c r="AX95"/>
  <c r="AY95"/>
  <c r="BD95" s="1"/>
  <c r="BA95"/>
  <c r="BB95"/>
  <c r="BC95"/>
  <c r="AW96"/>
  <c r="AZ96" s="1"/>
  <c r="AX96"/>
  <c r="AY96"/>
  <c r="BD96" s="1"/>
  <c r="BA96"/>
  <c r="BB96"/>
  <c r="BC96"/>
  <c r="AW97"/>
  <c r="AZ97" s="1"/>
  <c r="AX97"/>
  <c r="AY97"/>
  <c r="BD97" s="1"/>
  <c r="BA97"/>
  <c r="BB97"/>
  <c r="BC97"/>
  <c r="AW98"/>
  <c r="AZ98" s="1"/>
  <c r="AX98"/>
  <c r="AY98"/>
  <c r="BD98" s="1"/>
  <c r="BA98"/>
  <c r="BB98"/>
  <c r="BC98"/>
  <c r="AW99"/>
  <c r="AZ99" s="1"/>
  <c r="AX99"/>
  <c r="AY99"/>
  <c r="BD99" s="1"/>
  <c r="BA99"/>
  <c r="BB99"/>
  <c r="BC99"/>
  <c r="AW100"/>
  <c r="AZ100" s="1"/>
  <c r="AX100"/>
  <c r="AY100"/>
  <c r="BD100" s="1"/>
  <c r="BA100"/>
  <c r="BB100"/>
  <c r="BC100"/>
  <c r="AW101"/>
  <c r="AZ101" s="1"/>
  <c r="AX101"/>
  <c r="AY101"/>
  <c r="BD101" s="1"/>
  <c r="BA101"/>
  <c r="BB101"/>
  <c r="BC101"/>
  <c r="BE9"/>
  <c r="BD9"/>
  <c r="BC9"/>
  <c r="BB9"/>
  <c r="BA9"/>
  <c r="AZ9"/>
  <c r="AY9"/>
  <c r="AX9"/>
  <c r="AW9"/>
  <c r="BF9"/>
  <c r="BE10"/>
  <c r="BL10"/>
  <c r="BM10"/>
  <c r="BS10"/>
  <c r="BT10"/>
  <c r="BU10" s="1"/>
  <c r="BV10" s="1"/>
  <c r="BY10"/>
  <c r="BZ10"/>
  <c r="CF10"/>
  <c r="CG10"/>
  <c r="CH10" s="1"/>
  <c r="CI10" s="1"/>
  <c r="CM10"/>
  <c r="CN10"/>
  <c r="CO10" s="1"/>
  <c r="BE11"/>
  <c r="BF11"/>
  <c r="BL11"/>
  <c r="BM11"/>
  <c r="BN11" s="1"/>
  <c r="BO11" s="1"/>
  <c r="BS11"/>
  <c r="BT11"/>
  <c r="BU11" s="1"/>
  <c r="BV11" s="1"/>
  <c r="BY11"/>
  <c r="BZ11"/>
  <c r="CF11"/>
  <c r="CG11"/>
  <c r="CH11" s="1"/>
  <c r="CI11" s="1"/>
  <c r="CM11"/>
  <c r="CN11"/>
  <c r="CO11" s="1"/>
  <c r="BE12"/>
  <c r="BF12"/>
  <c r="BL12"/>
  <c r="BM12"/>
  <c r="BS12"/>
  <c r="BT12"/>
  <c r="BU12" s="1"/>
  <c r="BV12" s="1"/>
  <c r="BY12"/>
  <c r="BZ12"/>
  <c r="CF12"/>
  <c r="CG12"/>
  <c r="CH12" s="1"/>
  <c r="CI12" s="1"/>
  <c r="CM12"/>
  <c r="CN12"/>
  <c r="CO12" s="1"/>
  <c r="BE13"/>
  <c r="BF13"/>
  <c r="BL13"/>
  <c r="BM13"/>
  <c r="BS13"/>
  <c r="BT13"/>
  <c r="BU13" s="1"/>
  <c r="BV13" s="1"/>
  <c r="BY13"/>
  <c r="BZ13"/>
  <c r="CF13"/>
  <c r="CG13"/>
  <c r="CH13" s="1"/>
  <c r="CI13" s="1"/>
  <c r="CM13"/>
  <c r="CN13"/>
  <c r="CO13" s="1"/>
  <c r="BE14"/>
  <c r="BF14"/>
  <c r="BL14"/>
  <c r="BM14"/>
  <c r="BN14"/>
  <c r="BO14" s="1"/>
  <c r="BS14"/>
  <c r="BT14"/>
  <c r="BY14"/>
  <c r="BZ14"/>
  <c r="CA14" s="1"/>
  <c r="CB14" s="1"/>
  <c r="CF14"/>
  <c r="CG14"/>
  <c r="CH14"/>
  <c r="CI14" s="1"/>
  <c r="CM14"/>
  <c r="CN14"/>
  <c r="CO14" s="1"/>
  <c r="BE15"/>
  <c r="BF15"/>
  <c r="BL15"/>
  <c r="BM15"/>
  <c r="BN15"/>
  <c r="BO15" s="1"/>
  <c r="BS15"/>
  <c r="BT15"/>
  <c r="BY15"/>
  <c r="BZ15"/>
  <c r="CA15" s="1"/>
  <c r="CB15" s="1"/>
  <c r="CF15"/>
  <c r="CG15"/>
  <c r="CH15"/>
  <c r="CI15"/>
  <c r="CM15"/>
  <c r="CN15"/>
  <c r="CO15"/>
  <c r="BE16"/>
  <c r="BF16"/>
  <c r="BL16"/>
  <c r="BM16"/>
  <c r="BN16"/>
  <c r="BS16"/>
  <c r="BT16"/>
  <c r="BY16"/>
  <c r="BZ16"/>
  <c r="CF16"/>
  <c r="CG16"/>
  <c r="CH16"/>
  <c r="CI16"/>
  <c r="CM16"/>
  <c r="CN16"/>
  <c r="CO16"/>
  <c r="BE17"/>
  <c r="BF17"/>
  <c r="BL17"/>
  <c r="BM17"/>
  <c r="BS17"/>
  <c r="BT17"/>
  <c r="BU17" s="1"/>
  <c r="BV17" s="1"/>
  <c r="BY17"/>
  <c r="BZ17"/>
  <c r="CF17"/>
  <c r="CG17"/>
  <c r="CM17"/>
  <c r="CN17"/>
  <c r="BE18"/>
  <c r="BF18"/>
  <c r="BL18"/>
  <c r="BM18"/>
  <c r="BS18"/>
  <c r="BT18"/>
  <c r="BU18" s="1"/>
  <c r="BV18" s="1"/>
  <c r="BY18"/>
  <c r="BZ18"/>
  <c r="CF18"/>
  <c r="CG18"/>
  <c r="CH18" s="1"/>
  <c r="CI18" s="1"/>
  <c r="CM18"/>
  <c r="CN18"/>
  <c r="CO18" s="1"/>
  <c r="BE19"/>
  <c r="BF19"/>
  <c r="BL19"/>
  <c r="BM19"/>
  <c r="BN19"/>
  <c r="BS19"/>
  <c r="BT19"/>
  <c r="BU19" s="1"/>
  <c r="BV19" s="1"/>
  <c r="BY19"/>
  <c r="BZ19"/>
  <c r="CF19"/>
  <c r="CG19"/>
  <c r="CH19"/>
  <c r="CI19" s="1"/>
  <c r="CM19"/>
  <c r="CN19"/>
  <c r="CO19"/>
  <c r="BE20"/>
  <c r="BF20"/>
  <c r="BL20"/>
  <c r="BM20"/>
  <c r="BN20"/>
  <c r="BS20"/>
  <c r="BT20"/>
  <c r="BY20"/>
  <c r="BZ20"/>
  <c r="CF20"/>
  <c r="CG20"/>
  <c r="CH20"/>
  <c r="CI20"/>
  <c r="CM20"/>
  <c r="CN20"/>
  <c r="CO20"/>
  <c r="BE21"/>
  <c r="BF21"/>
  <c r="BL21"/>
  <c r="BM21"/>
  <c r="BS21"/>
  <c r="BT21"/>
  <c r="BU21" s="1"/>
  <c r="BV21" s="1"/>
  <c r="BY21"/>
  <c r="BZ21"/>
  <c r="CF21"/>
  <c r="CG21"/>
  <c r="CM21"/>
  <c r="CN21"/>
  <c r="BE22"/>
  <c r="BF22"/>
  <c r="BL22"/>
  <c r="BM22"/>
  <c r="BS22"/>
  <c r="BT22"/>
  <c r="BU22" s="1"/>
  <c r="BV22" s="1"/>
  <c r="BY22"/>
  <c r="BZ22"/>
  <c r="CF22"/>
  <c r="CG22"/>
  <c r="CH22" s="1"/>
  <c r="CI22" s="1"/>
  <c r="CM22"/>
  <c r="CN22"/>
  <c r="CO22" s="1"/>
  <c r="BE23"/>
  <c r="BF23"/>
  <c r="BL23"/>
  <c r="BM23"/>
  <c r="BN23"/>
  <c r="BS23"/>
  <c r="BT23"/>
  <c r="BU23" s="1"/>
  <c r="BV23" s="1"/>
  <c r="BY23"/>
  <c r="BZ23"/>
  <c r="CF23"/>
  <c r="CG23"/>
  <c r="CH23"/>
  <c r="CI23" s="1"/>
  <c r="CM23"/>
  <c r="CN23"/>
  <c r="CO23"/>
  <c r="BE24"/>
  <c r="BF24"/>
  <c r="BL24"/>
  <c r="BM24"/>
  <c r="BN24"/>
  <c r="BS24"/>
  <c r="BT24"/>
  <c r="BY24"/>
  <c r="BZ24"/>
  <c r="CF24"/>
  <c r="CG24"/>
  <c r="CH24"/>
  <c r="CI24"/>
  <c r="CM24"/>
  <c r="CN24"/>
  <c r="CO24"/>
  <c r="BE25"/>
  <c r="BF25"/>
  <c r="BL25"/>
  <c r="BM25"/>
  <c r="BS25"/>
  <c r="BT25"/>
  <c r="BU25" s="1"/>
  <c r="BV25" s="1"/>
  <c r="BY25"/>
  <c r="BZ25"/>
  <c r="CF25"/>
  <c r="CG25"/>
  <c r="CM25"/>
  <c r="CN25"/>
  <c r="BE26"/>
  <c r="BF26"/>
  <c r="BL26"/>
  <c r="BM26"/>
  <c r="BS26"/>
  <c r="BT26"/>
  <c r="BU26" s="1"/>
  <c r="BV26" s="1"/>
  <c r="BY26"/>
  <c r="BZ26"/>
  <c r="CF26"/>
  <c r="CG26"/>
  <c r="CH26" s="1"/>
  <c r="CI26" s="1"/>
  <c r="CM26"/>
  <c r="CN26"/>
  <c r="CO26" s="1"/>
  <c r="BE27"/>
  <c r="BF27"/>
  <c r="BL27"/>
  <c r="BM27"/>
  <c r="BN27"/>
  <c r="BS27"/>
  <c r="BT27"/>
  <c r="BU27" s="1"/>
  <c r="BV27" s="1"/>
  <c r="BY27"/>
  <c r="BZ27"/>
  <c r="CF27"/>
  <c r="CG27"/>
  <c r="CH27"/>
  <c r="CI27" s="1"/>
  <c r="CM27"/>
  <c r="CN27"/>
  <c r="CO27"/>
  <c r="BE28"/>
  <c r="BF28"/>
  <c r="BL28"/>
  <c r="BM28"/>
  <c r="BN28"/>
  <c r="BS28"/>
  <c r="BT28"/>
  <c r="BY28"/>
  <c r="BZ28"/>
  <c r="CF28"/>
  <c r="CG28"/>
  <c r="CH28"/>
  <c r="CI28"/>
  <c r="CM28"/>
  <c r="CN28"/>
  <c r="CO28"/>
  <c r="BE29"/>
  <c r="BF29"/>
  <c r="BL29"/>
  <c r="BM29"/>
  <c r="BS29"/>
  <c r="BT29"/>
  <c r="BU29" s="1"/>
  <c r="BV29" s="1"/>
  <c r="BY29"/>
  <c r="BZ29"/>
  <c r="CF29"/>
  <c r="CG29"/>
  <c r="CM29"/>
  <c r="CN29"/>
  <c r="BE30"/>
  <c r="BF30"/>
  <c r="BL30"/>
  <c r="BM30"/>
  <c r="BS30"/>
  <c r="BT30"/>
  <c r="BU30" s="1"/>
  <c r="BV30" s="1"/>
  <c r="BY30"/>
  <c r="BZ30"/>
  <c r="CF30"/>
  <c r="CG30"/>
  <c r="CH30" s="1"/>
  <c r="CI30" s="1"/>
  <c r="CM30"/>
  <c r="CN30"/>
  <c r="CO30"/>
  <c r="BE31"/>
  <c r="BF31"/>
  <c r="BL31"/>
  <c r="BM31"/>
  <c r="BS31"/>
  <c r="BT31"/>
  <c r="BY31"/>
  <c r="BZ31"/>
  <c r="CF31"/>
  <c r="CG31"/>
  <c r="CH31" s="1"/>
  <c r="CI31" s="1"/>
  <c r="CM31"/>
  <c r="CN31"/>
  <c r="CO31" s="1"/>
  <c r="BE32"/>
  <c r="BF32"/>
  <c r="BL32"/>
  <c r="BM32"/>
  <c r="BN32"/>
  <c r="BS32"/>
  <c r="BT32"/>
  <c r="BU32" s="1"/>
  <c r="BV32" s="1"/>
  <c r="BY32"/>
  <c r="BZ32"/>
  <c r="CF32"/>
  <c r="CG32"/>
  <c r="CH32" s="1"/>
  <c r="CI32" s="1"/>
  <c r="CM32"/>
  <c r="CN32"/>
  <c r="CO32"/>
  <c r="BE33"/>
  <c r="BF33"/>
  <c r="BL33"/>
  <c r="BM33"/>
  <c r="BS33"/>
  <c r="BT33"/>
  <c r="BY33"/>
  <c r="BZ33"/>
  <c r="CF33"/>
  <c r="CG33"/>
  <c r="CH33" s="1"/>
  <c r="CI33" s="1"/>
  <c r="CM33"/>
  <c r="CN33"/>
  <c r="CO33" s="1"/>
  <c r="BE34"/>
  <c r="BF34"/>
  <c r="BL34"/>
  <c r="BM34"/>
  <c r="BN34"/>
  <c r="BS34"/>
  <c r="BT34"/>
  <c r="BU34" s="1"/>
  <c r="BV34" s="1"/>
  <c r="BY34"/>
  <c r="BZ34"/>
  <c r="CF34"/>
  <c r="CG34"/>
  <c r="CH34" s="1"/>
  <c r="CI34" s="1"/>
  <c r="CM34"/>
  <c r="CN34"/>
  <c r="CO34"/>
  <c r="BE35"/>
  <c r="BF35"/>
  <c r="BL35"/>
  <c r="BM35"/>
  <c r="BS35"/>
  <c r="BT35"/>
  <c r="BY35"/>
  <c r="BZ35"/>
  <c r="CF35"/>
  <c r="CG35"/>
  <c r="CH35" s="1"/>
  <c r="CI35" s="1"/>
  <c r="CM35"/>
  <c r="CN35"/>
  <c r="CO35" s="1"/>
  <c r="BE36"/>
  <c r="BF36"/>
  <c r="BL36"/>
  <c r="BM36"/>
  <c r="BN36"/>
  <c r="BS36"/>
  <c r="BT36"/>
  <c r="BU36" s="1"/>
  <c r="BV36" s="1"/>
  <c r="BY36"/>
  <c r="BZ36"/>
  <c r="CF36"/>
  <c r="CG36"/>
  <c r="CH36" s="1"/>
  <c r="CI36" s="1"/>
  <c r="CM36"/>
  <c r="CN36"/>
  <c r="CO36"/>
  <c r="BE37"/>
  <c r="BF37"/>
  <c r="BL37"/>
  <c r="BM37"/>
  <c r="BS37"/>
  <c r="BT37"/>
  <c r="BY37"/>
  <c r="BZ37"/>
  <c r="CF37"/>
  <c r="CG37"/>
  <c r="CH37" s="1"/>
  <c r="CI37"/>
  <c r="CM37"/>
  <c r="CN37"/>
  <c r="BE38"/>
  <c r="BF38"/>
  <c r="BL38"/>
  <c r="BM38"/>
  <c r="BS38"/>
  <c r="BT38"/>
  <c r="BU38" s="1"/>
  <c r="BV38" s="1"/>
  <c r="BY38"/>
  <c r="BZ38"/>
  <c r="CF38"/>
  <c r="CG38"/>
  <c r="CM38"/>
  <c r="CN38"/>
  <c r="CO38" s="1"/>
  <c r="BE39"/>
  <c r="BF39"/>
  <c r="BL39"/>
  <c r="BM39"/>
  <c r="BN39"/>
  <c r="BS39"/>
  <c r="BT39"/>
  <c r="BU39" s="1"/>
  <c r="BV39" s="1"/>
  <c r="BY39"/>
  <c r="BZ39"/>
  <c r="CF39"/>
  <c r="CG39"/>
  <c r="CH39" s="1"/>
  <c r="CI39" s="1"/>
  <c r="CM39"/>
  <c r="CN39"/>
  <c r="CO39"/>
  <c r="BE40"/>
  <c r="BF40"/>
  <c r="BL40"/>
  <c r="BM40"/>
  <c r="BS40"/>
  <c r="BT40"/>
  <c r="BU40" s="1"/>
  <c r="BV40" s="1"/>
  <c r="BY40"/>
  <c r="BZ40"/>
  <c r="CF40"/>
  <c r="CG40"/>
  <c r="CM40"/>
  <c r="CN40"/>
  <c r="CO40"/>
  <c r="BE41"/>
  <c r="BF41"/>
  <c r="BL41"/>
  <c r="BM41"/>
  <c r="BS41"/>
  <c r="BT41"/>
  <c r="BU41" s="1"/>
  <c r="BV41" s="1"/>
  <c r="BY41"/>
  <c r="BZ41"/>
  <c r="CA41"/>
  <c r="CB41" s="1"/>
  <c r="CF41"/>
  <c r="CG41"/>
  <c r="CH41" s="1"/>
  <c r="CI41" s="1"/>
  <c r="CM41"/>
  <c r="CN41"/>
  <c r="BE42"/>
  <c r="BF42"/>
  <c r="BL42"/>
  <c r="BM42"/>
  <c r="BS42"/>
  <c r="BT42"/>
  <c r="BY42"/>
  <c r="BZ42"/>
  <c r="CF42"/>
  <c r="CG42"/>
  <c r="CM42"/>
  <c r="CN42"/>
  <c r="CO42" s="1"/>
  <c r="BE43"/>
  <c r="BF43"/>
  <c r="BL43"/>
  <c r="BM43"/>
  <c r="BS43"/>
  <c r="BT43"/>
  <c r="BY43"/>
  <c r="BZ43"/>
  <c r="CF43"/>
  <c r="CG43"/>
  <c r="CH43"/>
  <c r="CI43" s="1"/>
  <c r="CM43"/>
  <c r="CN43"/>
  <c r="BE44"/>
  <c r="BF44"/>
  <c r="BL44"/>
  <c r="BM44"/>
  <c r="BN44"/>
  <c r="BS44"/>
  <c r="BT44"/>
  <c r="BY44"/>
  <c r="BZ44"/>
  <c r="CA44"/>
  <c r="CB44" s="1"/>
  <c r="CF44"/>
  <c r="CG44"/>
  <c r="CH44" s="1"/>
  <c r="CM44"/>
  <c r="CN44"/>
  <c r="CO44" s="1"/>
  <c r="BE45"/>
  <c r="BF45"/>
  <c r="BL45"/>
  <c r="BM45"/>
  <c r="BS45"/>
  <c r="BT45"/>
  <c r="BU45" s="1"/>
  <c r="BV45" s="1"/>
  <c r="BY45"/>
  <c r="BZ45"/>
  <c r="CA45"/>
  <c r="CB45" s="1"/>
  <c r="CF45"/>
  <c r="CG45"/>
  <c r="CH45" s="1"/>
  <c r="CM45"/>
  <c r="CN45"/>
  <c r="BE46"/>
  <c r="BF46"/>
  <c r="BL46"/>
  <c r="BM46"/>
  <c r="BS46"/>
  <c r="BT46"/>
  <c r="BY46"/>
  <c r="BZ46"/>
  <c r="CF46"/>
  <c r="CG46"/>
  <c r="CM46"/>
  <c r="CN46"/>
  <c r="CO46" s="1"/>
  <c r="BE47"/>
  <c r="BF47"/>
  <c r="BL47"/>
  <c r="BM47"/>
  <c r="BS47"/>
  <c r="BT47"/>
  <c r="BY47"/>
  <c r="BZ47"/>
  <c r="CF47"/>
  <c r="CG47"/>
  <c r="CM47"/>
  <c r="CN47"/>
  <c r="CO47" s="1"/>
  <c r="BE48"/>
  <c r="BF48"/>
  <c r="BL48"/>
  <c r="BM48"/>
  <c r="BS48"/>
  <c r="BU48" s="1"/>
  <c r="BV48" s="1"/>
  <c r="BT48"/>
  <c r="BY48"/>
  <c r="BZ48"/>
  <c r="CF48"/>
  <c r="CG48"/>
  <c r="CH48" s="1"/>
  <c r="CI48" s="1"/>
  <c r="CM48"/>
  <c r="CO48" s="1"/>
  <c r="CP48" s="1"/>
  <c r="CN48"/>
  <c r="BE49"/>
  <c r="BF49"/>
  <c r="BL49"/>
  <c r="BN49" s="1"/>
  <c r="BO49" s="1"/>
  <c r="BM49"/>
  <c r="BS49"/>
  <c r="BT49"/>
  <c r="BU49"/>
  <c r="BV49" s="1"/>
  <c r="BY49"/>
  <c r="BZ49"/>
  <c r="CF49"/>
  <c r="CG49"/>
  <c r="CH49" s="1"/>
  <c r="CI49" s="1"/>
  <c r="CM49"/>
  <c r="CN49"/>
  <c r="CO49"/>
  <c r="CP49" s="1"/>
  <c r="BE50"/>
  <c r="BF50"/>
  <c r="BL50"/>
  <c r="BM50"/>
  <c r="BN50"/>
  <c r="BO50" s="1"/>
  <c r="BS50"/>
  <c r="BT50"/>
  <c r="BU50" s="1"/>
  <c r="BV50" s="1"/>
  <c r="BY50"/>
  <c r="BZ50"/>
  <c r="CA50" s="1"/>
  <c r="CB50" s="1"/>
  <c r="CF50"/>
  <c r="CG50"/>
  <c r="CM50"/>
  <c r="CN50"/>
  <c r="CO50" s="1"/>
  <c r="BE51"/>
  <c r="BF51"/>
  <c r="BL51"/>
  <c r="BM51"/>
  <c r="BN51" s="1"/>
  <c r="BO51" s="1"/>
  <c r="BS51"/>
  <c r="BT51"/>
  <c r="BY51"/>
  <c r="BZ51"/>
  <c r="CA51" s="1"/>
  <c r="CB51" s="1"/>
  <c r="CF51"/>
  <c r="CG51"/>
  <c r="CM51"/>
  <c r="CN51"/>
  <c r="BE52"/>
  <c r="BF52"/>
  <c r="BL52"/>
  <c r="BN52" s="1"/>
  <c r="BO52" s="1"/>
  <c r="BM52"/>
  <c r="BS52"/>
  <c r="BU52" s="1"/>
  <c r="BV52" s="1"/>
  <c r="BT52"/>
  <c r="BY52"/>
  <c r="BZ52"/>
  <c r="CA52" s="1"/>
  <c r="CB52" s="1"/>
  <c r="CF52"/>
  <c r="CG52"/>
  <c r="CH52" s="1"/>
  <c r="CI52" s="1"/>
  <c r="CM52"/>
  <c r="CO52" s="1"/>
  <c r="CP52" s="1"/>
  <c r="CN52"/>
  <c r="BE53"/>
  <c r="BF53"/>
  <c r="BL53"/>
  <c r="BN53" s="1"/>
  <c r="BO53" s="1"/>
  <c r="BM53"/>
  <c r="BS53"/>
  <c r="BT53"/>
  <c r="BU53" s="1"/>
  <c r="BV53" s="1"/>
  <c r="BY53"/>
  <c r="BZ53"/>
  <c r="CF53"/>
  <c r="CG53"/>
  <c r="CM53"/>
  <c r="CN53"/>
  <c r="CO53" s="1"/>
  <c r="CP53" s="1"/>
  <c r="BE54"/>
  <c r="BF54"/>
  <c r="BL54"/>
  <c r="BM54"/>
  <c r="BN54" s="1"/>
  <c r="BO54" s="1"/>
  <c r="BS54"/>
  <c r="BT54"/>
  <c r="BU54" s="1"/>
  <c r="BV54" s="1"/>
  <c r="BY54"/>
  <c r="BZ54"/>
  <c r="CA54" s="1"/>
  <c r="CB54" s="1"/>
  <c r="CF54"/>
  <c r="CG54"/>
  <c r="CM54"/>
  <c r="CN54"/>
  <c r="CO54" s="1"/>
  <c r="BE55"/>
  <c r="BF55"/>
  <c r="BL55"/>
  <c r="BM55"/>
  <c r="BN55"/>
  <c r="BO55" s="1"/>
  <c r="BS55"/>
  <c r="BT55"/>
  <c r="BY55"/>
  <c r="BZ55"/>
  <c r="CF55"/>
  <c r="CG55"/>
  <c r="CM55"/>
  <c r="CN55"/>
  <c r="BE56"/>
  <c r="BF56"/>
  <c r="BL56"/>
  <c r="BN56" s="1"/>
  <c r="BO56" s="1"/>
  <c r="BM56"/>
  <c r="BS56"/>
  <c r="BU56" s="1"/>
  <c r="BV56" s="1"/>
  <c r="BT56"/>
  <c r="BY56"/>
  <c r="BZ56"/>
  <c r="CA56" s="1"/>
  <c r="CB56" s="1"/>
  <c r="CF56"/>
  <c r="CG56"/>
  <c r="CH56" s="1"/>
  <c r="CI56" s="1"/>
  <c r="CM56"/>
  <c r="CO56" s="1"/>
  <c r="CP56" s="1"/>
  <c r="CN56"/>
  <c r="BE57"/>
  <c r="BF57"/>
  <c r="BL57"/>
  <c r="BN57" s="1"/>
  <c r="BO57" s="1"/>
  <c r="BM57"/>
  <c r="BS57"/>
  <c r="BT57"/>
  <c r="BU57" s="1"/>
  <c r="BV57" s="1"/>
  <c r="BY57"/>
  <c r="BZ57"/>
  <c r="CF57"/>
  <c r="CG57"/>
  <c r="CM57"/>
  <c r="CN57"/>
  <c r="CO57" s="1"/>
  <c r="CP57" s="1"/>
  <c r="BE58"/>
  <c r="BF58"/>
  <c r="BL58"/>
  <c r="BM58"/>
  <c r="BN58" s="1"/>
  <c r="BO58" s="1"/>
  <c r="BS58"/>
  <c r="BT58"/>
  <c r="BU58" s="1"/>
  <c r="BV58" s="1"/>
  <c r="BY58"/>
  <c r="BZ58"/>
  <c r="CA58" s="1"/>
  <c r="CB58" s="1"/>
  <c r="CF58"/>
  <c r="CG58"/>
  <c r="CM58"/>
  <c r="CN58"/>
  <c r="CO58" s="1"/>
  <c r="BE59"/>
  <c r="BF59"/>
  <c r="BL59"/>
  <c r="BM59"/>
  <c r="BN59" s="1"/>
  <c r="BO59" s="1"/>
  <c r="BS59"/>
  <c r="BT59"/>
  <c r="BU59" s="1"/>
  <c r="BV59" s="1"/>
  <c r="BY59"/>
  <c r="BZ59"/>
  <c r="CA59" s="1"/>
  <c r="CB59" s="1"/>
  <c r="CF59"/>
  <c r="CG59"/>
  <c r="CM59"/>
  <c r="CN59"/>
  <c r="CO59" s="1"/>
  <c r="CP59" s="1"/>
  <c r="BE60"/>
  <c r="BF60"/>
  <c r="BL60"/>
  <c r="BN60" s="1"/>
  <c r="BO60" s="1"/>
  <c r="BM60"/>
  <c r="BS60"/>
  <c r="BT60"/>
  <c r="BU60" s="1"/>
  <c r="BV60" s="1"/>
  <c r="BY60"/>
  <c r="BZ60"/>
  <c r="CF60"/>
  <c r="CG60"/>
  <c r="CM60"/>
  <c r="CN60"/>
  <c r="CO60" s="1"/>
  <c r="CP60" s="1"/>
  <c r="BE61"/>
  <c r="BF61"/>
  <c r="BL61"/>
  <c r="BN61" s="1"/>
  <c r="BO61" s="1"/>
  <c r="BM61"/>
  <c r="BS61"/>
  <c r="BT61"/>
  <c r="BU61"/>
  <c r="BV61" s="1"/>
  <c r="BY61"/>
  <c r="BZ61"/>
  <c r="CF61"/>
  <c r="CG61"/>
  <c r="CH61" s="1"/>
  <c r="CI61" s="1"/>
  <c r="CM61"/>
  <c r="CN61"/>
  <c r="CO61"/>
  <c r="CP61" s="1"/>
  <c r="BE62"/>
  <c r="BF62"/>
  <c r="BL62"/>
  <c r="BM62"/>
  <c r="BN62"/>
  <c r="BO62" s="1"/>
  <c r="BS62"/>
  <c r="BT62"/>
  <c r="BY62"/>
  <c r="BZ62"/>
  <c r="CF62"/>
  <c r="CG62"/>
  <c r="CM62"/>
  <c r="CN62"/>
  <c r="CO62" s="1"/>
  <c r="CP62" s="1"/>
  <c r="BE63"/>
  <c r="BF63"/>
  <c r="BL63"/>
  <c r="BN63" s="1"/>
  <c r="BO63" s="1"/>
  <c r="BM63"/>
  <c r="BS63"/>
  <c r="BT63"/>
  <c r="BY63"/>
  <c r="BZ63"/>
  <c r="CF63"/>
  <c r="CG63"/>
  <c r="CM63"/>
  <c r="CN63"/>
  <c r="CO63" s="1"/>
  <c r="CP63" s="1"/>
  <c r="BE64"/>
  <c r="BF64"/>
  <c r="BL64"/>
  <c r="BM64"/>
  <c r="BN64" s="1"/>
  <c r="BO64" s="1"/>
  <c r="BS64"/>
  <c r="BT64"/>
  <c r="BU64" s="1"/>
  <c r="BV64" s="1"/>
  <c r="BY64"/>
  <c r="BZ64"/>
  <c r="CA64" s="1"/>
  <c r="CB64" s="1"/>
  <c r="CF64"/>
  <c r="CG64"/>
  <c r="CM64"/>
  <c r="CN64"/>
  <c r="CO64" s="1"/>
  <c r="CP64" s="1"/>
  <c r="BE65"/>
  <c r="BF65"/>
  <c r="BL65"/>
  <c r="BM65"/>
  <c r="BN65" s="1"/>
  <c r="BO65" s="1"/>
  <c r="BS65"/>
  <c r="BT65"/>
  <c r="BU65" s="1"/>
  <c r="BV65" s="1"/>
  <c r="BY65"/>
  <c r="BZ65"/>
  <c r="CA65" s="1"/>
  <c r="CB65" s="1"/>
  <c r="CF65"/>
  <c r="CG65"/>
  <c r="CM65"/>
  <c r="CN65"/>
  <c r="CO65" s="1"/>
  <c r="CP65" s="1"/>
  <c r="BE66"/>
  <c r="BF66"/>
  <c r="BL66"/>
  <c r="BM66"/>
  <c r="BN66" s="1"/>
  <c r="BO66" s="1"/>
  <c r="BS66"/>
  <c r="BT66"/>
  <c r="BU66" s="1"/>
  <c r="BV66" s="1"/>
  <c r="BY66"/>
  <c r="BZ66"/>
  <c r="CA66" s="1"/>
  <c r="CB66" s="1"/>
  <c r="CF66"/>
  <c r="CG66"/>
  <c r="CM66"/>
  <c r="CN66"/>
  <c r="CO66" s="1"/>
  <c r="CP66" s="1"/>
  <c r="BE67"/>
  <c r="BF67"/>
  <c r="BL67"/>
  <c r="BM67"/>
  <c r="BN67" s="1"/>
  <c r="BO67" s="1"/>
  <c r="BS67"/>
  <c r="BT67"/>
  <c r="BU67" s="1"/>
  <c r="BV67" s="1"/>
  <c r="BY67"/>
  <c r="BZ67"/>
  <c r="CA67" s="1"/>
  <c r="CB67" s="1"/>
  <c r="CF67"/>
  <c r="CG67"/>
  <c r="CM67"/>
  <c r="CN67"/>
  <c r="CO67" s="1"/>
  <c r="CP67" s="1"/>
  <c r="BE68"/>
  <c r="BF68"/>
  <c r="BL68"/>
  <c r="BM68"/>
  <c r="BN68" s="1"/>
  <c r="BO68" s="1"/>
  <c r="BS68"/>
  <c r="BT68"/>
  <c r="BU68" s="1"/>
  <c r="BV68" s="1"/>
  <c r="BY68"/>
  <c r="BZ68"/>
  <c r="CA68" s="1"/>
  <c r="CB68" s="1"/>
  <c r="CF68"/>
  <c r="CG68"/>
  <c r="CM68"/>
  <c r="CN68"/>
  <c r="CO68" s="1"/>
  <c r="CP68" s="1"/>
  <c r="BE69"/>
  <c r="BF69"/>
  <c r="BL69"/>
  <c r="BM69"/>
  <c r="BN69" s="1"/>
  <c r="BO69" s="1"/>
  <c r="BS69"/>
  <c r="BT69"/>
  <c r="BU69" s="1"/>
  <c r="BV69" s="1"/>
  <c r="BY69"/>
  <c r="BZ69"/>
  <c r="CA69" s="1"/>
  <c r="CB69" s="1"/>
  <c r="CF69"/>
  <c r="CG69"/>
  <c r="CM69"/>
  <c r="CN69"/>
  <c r="CO69" s="1"/>
  <c r="CP69" s="1"/>
  <c r="BE70"/>
  <c r="BF70"/>
  <c r="BL70"/>
  <c r="BM70"/>
  <c r="BN70" s="1"/>
  <c r="BO70" s="1"/>
  <c r="BS70"/>
  <c r="BT70"/>
  <c r="BU70" s="1"/>
  <c r="BV70" s="1"/>
  <c r="BY70"/>
  <c r="BZ70"/>
  <c r="CA70" s="1"/>
  <c r="CB70" s="1"/>
  <c r="CF70"/>
  <c r="CG70"/>
  <c r="CM70"/>
  <c r="CN70"/>
  <c r="CO70" s="1"/>
  <c r="CP70" s="1"/>
  <c r="BE71"/>
  <c r="BF71"/>
  <c r="BL71"/>
  <c r="BM71"/>
  <c r="BN71" s="1"/>
  <c r="BO71" s="1"/>
  <c r="BS71"/>
  <c r="BT71"/>
  <c r="BU71" s="1"/>
  <c r="BV71" s="1"/>
  <c r="BY71"/>
  <c r="BZ71"/>
  <c r="CA71" s="1"/>
  <c r="CB71" s="1"/>
  <c r="CF71"/>
  <c r="CG71"/>
  <c r="CM71"/>
  <c r="CN71"/>
  <c r="CO71" s="1"/>
  <c r="CP71" s="1"/>
  <c r="BE72"/>
  <c r="BF72"/>
  <c r="BL72"/>
  <c r="BM72"/>
  <c r="BN72" s="1"/>
  <c r="BO72" s="1"/>
  <c r="BS72"/>
  <c r="BT72"/>
  <c r="BU72" s="1"/>
  <c r="BV72" s="1"/>
  <c r="BY72"/>
  <c r="BZ72"/>
  <c r="CA72" s="1"/>
  <c r="CB72" s="1"/>
  <c r="CF72"/>
  <c r="CG72"/>
  <c r="CM72"/>
  <c r="CN72"/>
  <c r="CO72" s="1"/>
  <c r="CP72" s="1"/>
  <c r="BE73"/>
  <c r="BF73"/>
  <c r="BL73"/>
  <c r="BM73"/>
  <c r="BN73" s="1"/>
  <c r="BO73" s="1"/>
  <c r="BS73"/>
  <c r="BT73"/>
  <c r="BU73" s="1"/>
  <c r="BV73" s="1"/>
  <c r="BY73"/>
  <c r="BZ73"/>
  <c r="CA73" s="1"/>
  <c r="CB73" s="1"/>
  <c r="CF73"/>
  <c r="CG73"/>
  <c r="CM73"/>
  <c r="CN73"/>
  <c r="CO73" s="1"/>
  <c r="CP73" s="1"/>
  <c r="BE74"/>
  <c r="BF74"/>
  <c r="BL74"/>
  <c r="BM74"/>
  <c r="BN74" s="1"/>
  <c r="BO74" s="1"/>
  <c r="BS74"/>
  <c r="BT74"/>
  <c r="BU74" s="1"/>
  <c r="BV74" s="1"/>
  <c r="BY74"/>
  <c r="BZ74"/>
  <c r="CA74" s="1"/>
  <c r="CB74" s="1"/>
  <c r="CF74"/>
  <c r="CG74"/>
  <c r="CM74"/>
  <c r="CN74"/>
  <c r="CO74" s="1"/>
  <c r="CP74" s="1"/>
  <c r="BE75"/>
  <c r="BF75"/>
  <c r="BL75"/>
  <c r="BM75"/>
  <c r="BN75" s="1"/>
  <c r="BO75" s="1"/>
  <c r="BS75"/>
  <c r="BT75"/>
  <c r="BU75" s="1"/>
  <c r="BV75" s="1"/>
  <c r="BY75"/>
  <c r="BZ75"/>
  <c r="CA75" s="1"/>
  <c r="CB75" s="1"/>
  <c r="CF75"/>
  <c r="CG75"/>
  <c r="CM75"/>
  <c r="CN75"/>
  <c r="CO75" s="1"/>
  <c r="CP75" s="1"/>
  <c r="BE76"/>
  <c r="BF76"/>
  <c r="BL76"/>
  <c r="BM76"/>
  <c r="BN76" s="1"/>
  <c r="BO76" s="1"/>
  <c r="BS76"/>
  <c r="BT76"/>
  <c r="BU76" s="1"/>
  <c r="BV76" s="1"/>
  <c r="BY76"/>
  <c r="BZ76"/>
  <c r="CA76" s="1"/>
  <c r="CB76" s="1"/>
  <c r="CF76"/>
  <c r="CG76"/>
  <c r="CM76"/>
  <c r="CN76"/>
  <c r="CO76" s="1"/>
  <c r="CP76" s="1"/>
  <c r="BE77"/>
  <c r="BF77"/>
  <c r="BL77"/>
  <c r="BM77"/>
  <c r="BN77" s="1"/>
  <c r="BO77" s="1"/>
  <c r="BS77"/>
  <c r="BT77"/>
  <c r="BU77" s="1"/>
  <c r="BV77" s="1"/>
  <c r="BY77"/>
  <c r="BZ77"/>
  <c r="CA77" s="1"/>
  <c r="CB77" s="1"/>
  <c r="CF77"/>
  <c r="CG77"/>
  <c r="CM77"/>
  <c r="CN77"/>
  <c r="CO77" s="1"/>
  <c r="CP77" s="1"/>
  <c r="BE78"/>
  <c r="BF78"/>
  <c r="BL78"/>
  <c r="BM78"/>
  <c r="BN78" s="1"/>
  <c r="BO78" s="1"/>
  <c r="BS78"/>
  <c r="BT78"/>
  <c r="BU78" s="1"/>
  <c r="BV78" s="1"/>
  <c r="BY78"/>
  <c r="BZ78"/>
  <c r="CA78" s="1"/>
  <c r="CB78" s="1"/>
  <c r="CF78"/>
  <c r="CG78"/>
  <c r="CM78"/>
  <c r="CN78"/>
  <c r="CO78" s="1"/>
  <c r="CP78" s="1"/>
  <c r="BE79"/>
  <c r="BF79"/>
  <c r="BL79"/>
  <c r="BM79"/>
  <c r="BN79" s="1"/>
  <c r="BO79" s="1"/>
  <c r="BS79"/>
  <c r="BT79"/>
  <c r="BU79" s="1"/>
  <c r="BV79" s="1"/>
  <c r="BY79"/>
  <c r="BZ79"/>
  <c r="CA79" s="1"/>
  <c r="CB79" s="1"/>
  <c r="CF79"/>
  <c r="CG79"/>
  <c r="CM79"/>
  <c r="CN79"/>
  <c r="CO79" s="1"/>
  <c r="CP79" s="1"/>
  <c r="BE80"/>
  <c r="BF80"/>
  <c r="BL80"/>
  <c r="BM80"/>
  <c r="BN80" s="1"/>
  <c r="BO80" s="1"/>
  <c r="BS80"/>
  <c r="BT80"/>
  <c r="BU80" s="1"/>
  <c r="BV80" s="1"/>
  <c r="BY80"/>
  <c r="BZ80"/>
  <c r="CA80" s="1"/>
  <c r="CB80" s="1"/>
  <c r="CF80"/>
  <c r="CG80"/>
  <c r="CM80"/>
  <c r="CN80"/>
  <c r="CO80" s="1"/>
  <c r="CP80" s="1"/>
  <c r="BE81"/>
  <c r="BF81"/>
  <c r="BL81"/>
  <c r="BM81"/>
  <c r="BN81" s="1"/>
  <c r="BO81" s="1"/>
  <c r="BS81"/>
  <c r="BT81"/>
  <c r="BU81" s="1"/>
  <c r="BV81" s="1"/>
  <c r="BY81"/>
  <c r="BZ81"/>
  <c r="CA81" s="1"/>
  <c r="CB81" s="1"/>
  <c r="CF81"/>
  <c r="CG81"/>
  <c r="CM81"/>
  <c r="CN81"/>
  <c r="CO81" s="1"/>
  <c r="CP81" s="1"/>
  <c r="BE82"/>
  <c r="BF82"/>
  <c r="BL82"/>
  <c r="BM82"/>
  <c r="BN82" s="1"/>
  <c r="BO82" s="1"/>
  <c r="BS82"/>
  <c r="BT82"/>
  <c r="BU82" s="1"/>
  <c r="BV82" s="1"/>
  <c r="BY82"/>
  <c r="BZ82"/>
  <c r="CA82" s="1"/>
  <c r="CB82" s="1"/>
  <c r="CF82"/>
  <c r="CG82"/>
  <c r="CM82"/>
  <c r="CN82"/>
  <c r="CO82" s="1"/>
  <c r="CP82" s="1"/>
  <c r="BE83"/>
  <c r="BF83"/>
  <c r="BL83"/>
  <c r="BM83"/>
  <c r="BN83" s="1"/>
  <c r="BO83" s="1"/>
  <c r="BS83"/>
  <c r="BT83"/>
  <c r="BU83" s="1"/>
  <c r="BV83" s="1"/>
  <c r="BY83"/>
  <c r="BZ83"/>
  <c r="CA83" s="1"/>
  <c r="CB83" s="1"/>
  <c r="CF83"/>
  <c r="CG83"/>
  <c r="CM83"/>
  <c r="CN83"/>
  <c r="CO83" s="1"/>
  <c r="CP83" s="1"/>
  <c r="BE84"/>
  <c r="BF84"/>
  <c r="BL84"/>
  <c r="BM84"/>
  <c r="BN84" s="1"/>
  <c r="BO84" s="1"/>
  <c r="BS84"/>
  <c r="BT84"/>
  <c r="BU84" s="1"/>
  <c r="BV84" s="1"/>
  <c r="BY84"/>
  <c r="BZ84"/>
  <c r="CA84" s="1"/>
  <c r="CB84" s="1"/>
  <c r="CF84"/>
  <c r="CG84"/>
  <c r="CM84"/>
  <c r="CN84"/>
  <c r="CO84" s="1"/>
  <c r="CP84" s="1"/>
  <c r="BE85"/>
  <c r="BF85"/>
  <c r="BL85"/>
  <c r="BM85"/>
  <c r="BN85" s="1"/>
  <c r="BO85" s="1"/>
  <c r="BS85"/>
  <c r="BT85"/>
  <c r="BU85" s="1"/>
  <c r="BV85" s="1"/>
  <c r="BY85"/>
  <c r="BZ85"/>
  <c r="CA85" s="1"/>
  <c r="CB85" s="1"/>
  <c r="CF85"/>
  <c r="CG85"/>
  <c r="CM85"/>
  <c r="CN85"/>
  <c r="CO85" s="1"/>
  <c r="CP85" s="1"/>
  <c r="BE86"/>
  <c r="BF86"/>
  <c r="BL86"/>
  <c r="BM86"/>
  <c r="BN86" s="1"/>
  <c r="BO86" s="1"/>
  <c r="BS86"/>
  <c r="BT86"/>
  <c r="BU86" s="1"/>
  <c r="BV86" s="1"/>
  <c r="BY86"/>
  <c r="BZ86"/>
  <c r="CA86" s="1"/>
  <c r="CB86" s="1"/>
  <c r="CF86"/>
  <c r="CG86"/>
  <c r="CM86"/>
  <c r="CN86"/>
  <c r="CO86" s="1"/>
  <c r="CP86" s="1"/>
  <c r="BE87"/>
  <c r="BF87"/>
  <c r="BL87"/>
  <c r="BM87"/>
  <c r="BN87" s="1"/>
  <c r="BO87" s="1"/>
  <c r="BS87"/>
  <c r="BT87"/>
  <c r="BU87" s="1"/>
  <c r="BV87" s="1"/>
  <c r="BY87"/>
  <c r="BZ87"/>
  <c r="CA87" s="1"/>
  <c r="CB87" s="1"/>
  <c r="CF87"/>
  <c r="CG87"/>
  <c r="CM87"/>
  <c r="CN87"/>
  <c r="CO87" s="1"/>
  <c r="CP87" s="1"/>
  <c r="BE88"/>
  <c r="BF88"/>
  <c r="BL88"/>
  <c r="BM88"/>
  <c r="BN88" s="1"/>
  <c r="BO88" s="1"/>
  <c r="BS88"/>
  <c r="BT88"/>
  <c r="BU88" s="1"/>
  <c r="BV88" s="1"/>
  <c r="BY88"/>
  <c r="BZ88"/>
  <c r="CA88" s="1"/>
  <c r="CB88" s="1"/>
  <c r="CF88"/>
  <c r="CG88"/>
  <c r="CM88"/>
  <c r="CN88"/>
  <c r="CO88" s="1"/>
  <c r="CP88" s="1"/>
  <c r="BE89"/>
  <c r="BF89"/>
  <c r="BL89"/>
  <c r="BM89"/>
  <c r="BN89" s="1"/>
  <c r="BO89" s="1"/>
  <c r="BS89"/>
  <c r="BT89"/>
  <c r="BU89" s="1"/>
  <c r="BV89" s="1"/>
  <c r="BY89"/>
  <c r="BZ89"/>
  <c r="CA89" s="1"/>
  <c r="CB89" s="1"/>
  <c r="CF89"/>
  <c r="CG89"/>
  <c r="CM89"/>
  <c r="CN89"/>
  <c r="CO89" s="1"/>
  <c r="CP89" s="1"/>
  <c r="BE90"/>
  <c r="BF90"/>
  <c r="BL90"/>
  <c r="BM90"/>
  <c r="BN90" s="1"/>
  <c r="BO90" s="1"/>
  <c r="BS90"/>
  <c r="BT90"/>
  <c r="BU90" s="1"/>
  <c r="BV90" s="1"/>
  <c r="BY90"/>
  <c r="BZ90"/>
  <c r="CA90" s="1"/>
  <c r="CB90" s="1"/>
  <c r="CF90"/>
  <c r="CG90"/>
  <c r="CM90"/>
  <c r="CN90"/>
  <c r="CO90" s="1"/>
  <c r="CP90" s="1"/>
  <c r="BE91"/>
  <c r="BF91"/>
  <c r="BL91"/>
  <c r="BM91"/>
  <c r="BN91"/>
  <c r="BO91" s="1"/>
  <c r="BS91"/>
  <c r="BT91"/>
  <c r="BY91"/>
  <c r="CA91" s="1"/>
  <c r="CB91" s="1"/>
  <c r="BZ91"/>
  <c r="CF91"/>
  <c r="CG91"/>
  <c r="CH91" s="1"/>
  <c r="CI91" s="1"/>
  <c r="CM91"/>
  <c r="CN91"/>
  <c r="CO91" s="1"/>
  <c r="CP91" s="1"/>
  <c r="BE92"/>
  <c r="BF92"/>
  <c r="BL92"/>
  <c r="BM92"/>
  <c r="BS92"/>
  <c r="BT92"/>
  <c r="BY92"/>
  <c r="CA92" s="1"/>
  <c r="CB92" s="1"/>
  <c r="BZ92"/>
  <c r="CF92"/>
  <c r="CG92"/>
  <c r="CH92" s="1"/>
  <c r="CI92" s="1"/>
  <c r="CM92"/>
  <c r="CN92"/>
  <c r="CO92" s="1"/>
  <c r="CP92" s="1"/>
  <c r="BE93"/>
  <c r="BF93"/>
  <c r="BL93"/>
  <c r="BM93"/>
  <c r="BN93"/>
  <c r="BS93"/>
  <c r="BT93"/>
  <c r="BY93"/>
  <c r="CA93" s="1"/>
  <c r="CB93" s="1"/>
  <c r="BZ93"/>
  <c r="CF93"/>
  <c r="CG93"/>
  <c r="CH93" s="1"/>
  <c r="CI93" s="1"/>
  <c r="CM93"/>
  <c r="CN93"/>
  <c r="CO93" s="1"/>
  <c r="CP93" s="1"/>
  <c r="BE94"/>
  <c r="BF94"/>
  <c r="BL94"/>
  <c r="BM94"/>
  <c r="BS94"/>
  <c r="BT94"/>
  <c r="BY94"/>
  <c r="CA94" s="1"/>
  <c r="CB94" s="1"/>
  <c r="BZ94"/>
  <c r="CF94"/>
  <c r="CG94"/>
  <c r="CH94" s="1"/>
  <c r="CI94" s="1"/>
  <c r="CM94"/>
  <c r="CN94"/>
  <c r="CO94" s="1"/>
  <c r="CP94" s="1"/>
  <c r="BE95"/>
  <c r="BF95"/>
  <c r="BL95"/>
  <c r="BM95"/>
  <c r="BN95"/>
  <c r="BS95"/>
  <c r="BT95"/>
  <c r="BY95"/>
  <c r="CA95" s="1"/>
  <c r="CB95" s="1"/>
  <c r="BZ95"/>
  <c r="CF95"/>
  <c r="CG95"/>
  <c r="CH95" s="1"/>
  <c r="CI95" s="1"/>
  <c r="CM95"/>
  <c r="CN95"/>
  <c r="CO95" s="1"/>
  <c r="CP95" s="1"/>
  <c r="BE96"/>
  <c r="BF96"/>
  <c r="BL96"/>
  <c r="BM96"/>
  <c r="BS96"/>
  <c r="BT96"/>
  <c r="BY96"/>
  <c r="CA96" s="1"/>
  <c r="CB96" s="1"/>
  <c r="BZ96"/>
  <c r="CF96"/>
  <c r="CG96"/>
  <c r="CH96" s="1"/>
  <c r="CI96" s="1"/>
  <c r="CM96"/>
  <c r="CN96"/>
  <c r="CO96" s="1"/>
  <c r="CP96" s="1"/>
  <c r="BE97"/>
  <c r="BF97"/>
  <c r="BL97"/>
  <c r="BM97"/>
  <c r="BN97"/>
  <c r="BS97"/>
  <c r="BT97"/>
  <c r="BY97"/>
  <c r="CA97" s="1"/>
  <c r="CB97" s="1"/>
  <c r="BZ97"/>
  <c r="CF97"/>
  <c r="CG97"/>
  <c r="CH97" s="1"/>
  <c r="CI97" s="1"/>
  <c r="CM97"/>
  <c r="CN97"/>
  <c r="CO97" s="1"/>
  <c r="CP97" s="1"/>
  <c r="BE98"/>
  <c r="BF98"/>
  <c r="BL98"/>
  <c r="BM98"/>
  <c r="BS98"/>
  <c r="BT98"/>
  <c r="BY98"/>
  <c r="CA98" s="1"/>
  <c r="CB98" s="1"/>
  <c r="BZ98"/>
  <c r="CF98"/>
  <c r="CG98"/>
  <c r="CH98" s="1"/>
  <c r="CI98" s="1"/>
  <c r="CM98"/>
  <c r="CN98"/>
  <c r="CO98" s="1"/>
  <c r="CP98" s="1"/>
  <c r="BE99"/>
  <c r="BF99"/>
  <c r="BL99"/>
  <c r="BM99"/>
  <c r="BN99"/>
  <c r="BS99"/>
  <c r="BT99"/>
  <c r="BY99"/>
  <c r="CA99" s="1"/>
  <c r="CB99" s="1"/>
  <c r="BZ99"/>
  <c r="CF99"/>
  <c r="CG99"/>
  <c r="CH99" s="1"/>
  <c r="CI99" s="1"/>
  <c r="CM99"/>
  <c r="CN99"/>
  <c r="CO99" s="1"/>
  <c r="CP99" s="1"/>
  <c r="BE100"/>
  <c r="BF100"/>
  <c r="BL100"/>
  <c r="BM100"/>
  <c r="BS100"/>
  <c r="BT100"/>
  <c r="BY100"/>
  <c r="CA100" s="1"/>
  <c r="CB100" s="1"/>
  <c r="BZ100"/>
  <c r="CF100"/>
  <c r="CG100"/>
  <c r="CH100" s="1"/>
  <c r="CI100" s="1"/>
  <c r="CM100"/>
  <c r="CN100"/>
  <c r="CO100" s="1"/>
  <c r="CP100" s="1"/>
  <c r="BE101"/>
  <c r="BF101"/>
  <c r="BL101"/>
  <c r="BM101"/>
  <c r="BN101"/>
  <c r="BS101"/>
  <c r="BT101"/>
  <c r="BY101"/>
  <c r="CA101" s="1"/>
  <c r="CB101" s="1"/>
  <c r="BZ101"/>
  <c r="CF101"/>
  <c r="CG101"/>
  <c r="CH101" s="1"/>
  <c r="CI101" s="1"/>
  <c r="CM101"/>
  <c r="CN101"/>
  <c r="CO101" s="1"/>
  <c r="CP101" s="1"/>
  <c r="CN9"/>
  <c r="CM9"/>
  <c r="CF9"/>
  <c r="CG9"/>
  <c r="CH9" s="1"/>
  <c r="BZ9"/>
  <c r="CA9" s="1"/>
  <c r="BY9"/>
  <c r="BX6" s="1"/>
  <c r="B20" i="33" s="1"/>
  <c r="BS9" i="20"/>
  <c r="BT9"/>
  <c r="BU9" s="1"/>
  <c r="BV9" s="1"/>
  <c r="BM9"/>
  <c r="BL9"/>
  <c r="EG10"/>
  <c r="EG11"/>
  <c r="EG12"/>
  <c r="EG13"/>
  <c r="EG14"/>
  <c r="EG15"/>
  <c r="EG16"/>
  <c r="EG17"/>
  <c r="EG18"/>
  <c r="EG19"/>
  <c r="EG20"/>
  <c r="EG21"/>
  <c r="EG22"/>
  <c r="EG23"/>
  <c r="EG24"/>
  <c r="EG25"/>
  <c r="EG26"/>
  <c r="EG27"/>
  <c r="EG28"/>
  <c r="EG29"/>
  <c r="EG30"/>
  <c r="EG31"/>
  <c r="EG32"/>
  <c r="EG33"/>
  <c r="EG34"/>
  <c r="EG35"/>
  <c r="EG36"/>
  <c r="EG37"/>
  <c r="EG38"/>
  <c r="EG39"/>
  <c r="EG40"/>
  <c r="EG41"/>
  <c r="EG42"/>
  <c r="EG43"/>
  <c r="EG44"/>
  <c r="EG45"/>
  <c r="EG46"/>
  <c r="EG47"/>
  <c r="EG48"/>
  <c r="EG49"/>
  <c r="EG50"/>
  <c r="EG51"/>
  <c r="EG52"/>
  <c r="EG53"/>
  <c r="EG54"/>
  <c r="EG55"/>
  <c r="EG56"/>
  <c r="EG57"/>
  <c r="EG58"/>
  <c r="EG59"/>
  <c r="EG60"/>
  <c r="EG61"/>
  <c r="EG62"/>
  <c r="EG63"/>
  <c r="EG64"/>
  <c r="EG65"/>
  <c r="EG66"/>
  <c r="EG67"/>
  <c r="EG68"/>
  <c r="EG69"/>
  <c r="EG70"/>
  <c r="EG71"/>
  <c r="EG72"/>
  <c r="EG73"/>
  <c r="EG74"/>
  <c r="EG75"/>
  <c r="EG76"/>
  <c r="EG77"/>
  <c r="EG78"/>
  <c r="EG79"/>
  <c r="EG80"/>
  <c r="EG81"/>
  <c r="EG82"/>
  <c r="EG83"/>
  <c r="EG84"/>
  <c r="EG85"/>
  <c r="EG86"/>
  <c r="EG87"/>
  <c r="EG88"/>
  <c r="EG89"/>
  <c r="EG90"/>
  <c r="EG91"/>
  <c r="EG92"/>
  <c r="EG93"/>
  <c r="EG94"/>
  <c r="EG95"/>
  <c r="EG96"/>
  <c r="EG97"/>
  <c r="EG98"/>
  <c r="EG99"/>
  <c r="EG100"/>
  <c r="EG101"/>
  <c r="EG9"/>
  <c r="BN9"/>
  <c r="BO9" s="1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9"/>
  <c r="BD6"/>
  <c r="CB9"/>
  <c r="AZ6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9"/>
  <c r="AW6"/>
  <c r="G17" i="10"/>
  <c r="G18"/>
  <c r="G19"/>
  <c r="G20"/>
  <c r="G21"/>
  <c r="G22"/>
  <c r="G23"/>
  <c r="G24"/>
  <c r="G25"/>
  <c r="G26"/>
  <c r="G27"/>
  <c r="G28"/>
  <c r="G29"/>
  <c r="G30"/>
  <c r="DQ10" i="20"/>
  <c r="DR10"/>
  <c r="DS10"/>
  <c r="DQ11"/>
  <c r="DR11"/>
  <c r="DS11"/>
  <c r="DQ12"/>
  <c r="DR12"/>
  <c r="DS12"/>
  <c r="DQ13"/>
  <c r="DR13"/>
  <c r="DS13"/>
  <c r="DQ14"/>
  <c r="DR14"/>
  <c r="DS14"/>
  <c r="DQ15"/>
  <c r="DR15"/>
  <c r="DS15"/>
  <c r="DQ16"/>
  <c r="DR16"/>
  <c r="DS16"/>
  <c r="DQ17"/>
  <c r="DR17"/>
  <c r="DS17"/>
  <c r="DQ18"/>
  <c r="DR18"/>
  <c r="DS18"/>
  <c r="DQ19"/>
  <c r="DR19"/>
  <c r="DS19"/>
  <c r="DQ20"/>
  <c r="DR20"/>
  <c r="DS20"/>
  <c r="DQ21"/>
  <c r="DR21"/>
  <c r="DS21"/>
  <c r="DQ22"/>
  <c r="DR22"/>
  <c r="DS22"/>
  <c r="DQ23"/>
  <c r="DR23"/>
  <c r="DS23"/>
  <c r="DQ24"/>
  <c r="DR24"/>
  <c r="DS24"/>
  <c r="DQ25"/>
  <c r="DR25"/>
  <c r="DS25"/>
  <c r="DQ26"/>
  <c r="DR26"/>
  <c r="DS26"/>
  <c r="DQ27"/>
  <c r="DR27"/>
  <c r="DS27"/>
  <c r="DQ28"/>
  <c r="DR28"/>
  <c r="DS28"/>
  <c r="DQ29"/>
  <c r="DR29"/>
  <c r="DS29"/>
  <c r="DQ30"/>
  <c r="DR30"/>
  <c r="DS30"/>
  <c r="DQ31"/>
  <c r="DR31"/>
  <c r="DS31"/>
  <c r="DQ32"/>
  <c r="DR32"/>
  <c r="DS32"/>
  <c r="DQ33"/>
  <c r="DR33"/>
  <c r="DS33"/>
  <c r="DQ34"/>
  <c r="DR34"/>
  <c r="DS34"/>
  <c r="DQ35"/>
  <c r="DR35"/>
  <c r="DS35"/>
  <c r="DQ36"/>
  <c r="DR36"/>
  <c r="DS36"/>
  <c r="DQ37"/>
  <c r="DR37"/>
  <c r="DS37"/>
  <c r="DQ38"/>
  <c r="DR38"/>
  <c r="DS38"/>
  <c r="DQ39"/>
  <c r="DR39"/>
  <c r="DS39"/>
  <c r="DQ40"/>
  <c r="DR40"/>
  <c r="DS40"/>
  <c r="DQ41"/>
  <c r="DR41"/>
  <c r="DS41"/>
  <c r="DQ42"/>
  <c r="DR42"/>
  <c r="DS42"/>
  <c r="DQ43"/>
  <c r="DR43"/>
  <c r="DS43"/>
  <c r="DQ44"/>
  <c r="DR44"/>
  <c r="DS44"/>
  <c r="DQ45"/>
  <c r="DR45"/>
  <c r="DS45"/>
  <c r="DQ46"/>
  <c r="DR46"/>
  <c r="DS46"/>
  <c r="DQ47"/>
  <c r="DR47"/>
  <c r="DS47"/>
  <c r="DQ48"/>
  <c r="DR48"/>
  <c r="DS48"/>
  <c r="DQ49"/>
  <c r="DR49"/>
  <c r="DS49"/>
  <c r="DQ50"/>
  <c r="DR50"/>
  <c r="DS50"/>
  <c r="DQ51"/>
  <c r="DR51"/>
  <c r="DS51"/>
  <c r="DQ52"/>
  <c r="DR52"/>
  <c r="DS52"/>
  <c r="DQ53"/>
  <c r="DR53"/>
  <c r="DS53"/>
  <c r="DQ54"/>
  <c r="DR54"/>
  <c r="DS54"/>
  <c r="DQ55"/>
  <c r="DR55"/>
  <c r="DS55"/>
  <c r="DQ56"/>
  <c r="DR56"/>
  <c r="DS56"/>
  <c r="DQ57"/>
  <c r="DR57"/>
  <c r="DS57"/>
  <c r="DQ58"/>
  <c r="DR58"/>
  <c r="DS58"/>
  <c r="DQ59"/>
  <c r="DR59"/>
  <c r="DS59"/>
  <c r="DQ60"/>
  <c r="DR60"/>
  <c r="DS60"/>
  <c r="DQ61"/>
  <c r="DR61"/>
  <c r="DS61"/>
  <c r="DQ62"/>
  <c r="DR62"/>
  <c r="DS62"/>
  <c r="DQ63"/>
  <c r="DR63"/>
  <c r="DS63"/>
  <c r="DQ64"/>
  <c r="DR64"/>
  <c r="DS64"/>
  <c r="DQ65"/>
  <c r="DR65"/>
  <c r="DS65"/>
  <c r="DQ66"/>
  <c r="DR66"/>
  <c r="DS66"/>
  <c r="DQ67"/>
  <c r="DR67"/>
  <c r="DS67"/>
  <c r="DQ68"/>
  <c r="DR68"/>
  <c r="DS68"/>
  <c r="DQ69"/>
  <c r="DR69"/>
  <c r="DS69"/>
  <c r="DQ70"/>
  <c r="DR70"/>
  <c r="DS70"/>
  <c r="DQ71"/>
  <c r="DR71"/>
  <c r="DS71"/>
  <c r="DQ72"/>
  <c r="DR72"/>
  <c r="DS72"/>
  <c r="DQ73"/>
  <c r="DR73"/>
  <c r="DS73"/>
  <c r="DQ74"/>
  <c r="DR74"/>
  <c r="DS74"/>
  <c r="DQ75"/>
  <c r="DR75"/>
  <c r="DS75"/>
  <c r="DQ76"/>
  <c r="DR76"/>
  <c r="DS76"/>
  <c r="DQ77"/>
  <c r="DR77"/>
  <c r="DS77"/>
  <c r="DQ78"/>
  <c r="DR78"/>
  <c r="DS78"/>
  <c r="DQ79"/>
  <c r="DR79"/>
  <c r="DS79"/>
  <c r="DQ80"/>
  <c r="DR80"/>
  <c r="DS80"/>
  <c r="DQ81"/>
  <c r="DR81"/>
  <c r="DS81"/>
  <c r="DQ82"/>
  <c r="DR82"/>
  <c r="DS82"/>
  <c r="DQ83"/>
  <c r="DR83"/>
  <c r="DS83"/>
  <c r="DQ84"/>
  <c r="DR84"/>
  <c r="DS84"/>
  <c r="DQ85"/>
  <c r="DR85"/>
  <c r="DS85"/>
  <c r="DQ86"/>
  <c r="DR86"/>
  <c r="DS86"/>
  <c r="DQ87"/>
  <c r="DR87"/>
  <c r="DS87"/>
  <c r="DQ88"/>
  <c r="DR88"/>
  <c r="DS88"/>
  <c r="DQ89"/>
  <c r="DR89"/>
  <c r="DS89"/>
  <c r="DQ90"/>
  <c r="DR90"/>
  <c r="DS90"/>
  <c r="DQ91"/>
  <c r="DR91"/>
  <c r="DS91"/>
  <c r="DQ92"/>
  <c r="DR92"/>
  <c r="DS92"/>
  <c r="DQ93"/>
  <c r="DR93"/>
  <c r="DS93"/>
  <c r="DQ94"/>
  <c r="DR94"/>
  <c r="DS94"/>
  <c r="DQ95"/>
  <c r="DR95"/>
  <c r="DS95"/>
  <c r="DQ96"/>
  <c r="DR96"/>
  <c r="DS96"/>
  <c r="DQ97"/>
  <c r="DR97"/>
  <c r="DS97"/>
  <c r="DQ98"/>
  <c r="DR98"/>
  <c r="DS98"/>
  <c r="DQ99"/>
  <c r="DR99"/>
  <c r="DS99"/>
  <c r="DQ100"/>
  <c r="DR100"/>
  <c r="DS100"/>
  <c r="DQ101"/>
  <c r="DR101"/>
  <c r="DS101"/>
  <c r="DS9"/>
  <c r="DR9"/>
  <c r="DQ9"/>
  <c r="G3" i="10"/>
  <c r="G4"/>
  <c r="G5"/>
  <c r="G6"/>
  <c r="G7"/>
  <c r="G8"/>
  <c r="G9"/>
  <c r="G10"/>
  <c r="G11"/>
  <c r="G12"/>
  <c r="G13"/>
  <c r="G14"/>
  <c r="G15"/>
  <c r="G16"/>
  <c r="B5" i="28"/>
  <c r="C5"/>
  <c r="D5"/>
  <c r="E5"/>
  <c r="F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6"/>
  <c r="C36"/>
  <c r="D36"/>
  <c r="E36"/>
  <c r="F36"/>
  <c r="B37"/>
  <c r="C37"/>
  <c r="D37"/>
  <c r="E37"/>
  <c r="F37"/>
  <c r="B38"/>
  <c r="C38"/>
  <c r="D38"/>
  <c r="E38"/>
  <c r="F38"/>
  <c r="B3"/>
  <c r="C3"/>
  <c r="D3"/>
  <c r="E3"/>
  <c r="F3"/>
  <c r="F4"/>
  <c r="E4"/>
  <c r="D4"/>
  <c r="C4"/>
  <c r="B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3"/>
  <c r="B8" i="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7"/>
  <c r="B6"/>
  <c r="B10" i="20"/>
  <c r="A10"/>
  <c r="A7" i="76"/>
  <c r="B11" i="20"/>
  <c r="A11"/>
  <c r="A8" i="76"/>
  <c r="B12" i="20"/>
  <c r="A12"/>
  <c r="A9" i="76"/>
  <c r="B13" i="20"/>
  <c r="A13"/>
  <c r="A10" i="76"/>
  <c r="B14" i="20"/>
  <c r="A14"/>
  <c r="A11" i="76"/>
  <c r="B15" i="20"/>
  <c r="A15"/>
  <c r="A12" i="76"/>
  <c r="B16" i="20"/>
  <c r="A16"/>
  <c r="A13" i="76"/>
  <c r="B17" i="20"/>
  <c r="A17"/>
  <c r="A14" i="76"/>
  <c r="B18" i="20"/>
  <c r="A18"/>
  <c r="A15" i="76"/>
  <c r="B19" i="20"/>
  <c r="A19"/>
  <c r="A16" i="76"/>
  <c r="B20" i="20"/>
  <c r="A20"/>
  <c r="A17" i="76"/>
  <c r="B21" i="20"/>
  <c r="A21"/>
  <c r="A18" i="76"/>
  <c r="B22" i="20"/>
  <c r="A22"/>
  <c r="A19" i="76"/>
  <c r="B23" i="20"/>
  <c r="A23"/>
  <c r="A20" i="76"/>
  <c r="B24" i="20"/>
  <c r="A24"/>
  <c r="A21" i="76"/>
  <c r="B25" i="20"/>
  <c r="A25"/>
  <c r="A22" i="76"/>
  <c r="B26" i="20"/>
  <c r="A26"/>
  <c r="A23" i="76"/>
  <c r="B27" i="20"/>
  <c r="A27"/>
  <c r="A24" i="76"/>
  <c r="B28" i="20"/>
  <c r="A28"/>
  <c r="A25" i="76"/>
  <c r="B29" i="20"/>
  <c r="A29"/>
  <c r="A26" i="76"/>
  <c r="B30" i="20"/>
  <c r="A30"/>
  <c r="A27" i="76"/>
  <c r="B31" i="20"/>
  <c r="A31"/>
  <c r="A28" i="76"/>
  <c r="B32" i="20"/>
  <c r="A32"/>
  <c r="A29" i="76"/>
  <c r="B33" i="20"/>
  <c r="A33"/>
  <c r="A30" i="76"/>
  <c r="B34" i="20"/>
  <c r="A34"/>
  <c r="A31" i="76"/>
  <c r="B35" i="20"/>
  <c r="A35"/>
  <c r="A32" i="76"/>
  <c r="B36" i="20"/>
  <c r="A36"/>
  <c r="A33" i="76"/>
  <c r="B37" i="20"/>
  <c r="A37"/>
  <c r="A34" i="76"/>
  <c r="B38" i="20"/>
  <c r="A38"/>
  <c r="A35" i="76"/>
  <c r="B39" i="20"/>
  <c r="A39"/>
  <c r="A36" i="76"/>
  <c r="B40" i="20"/>
  <c r="A40"/>
  <c r="A37" i="76"/>
  <c r="B41" i="20"/>
  <c r="A41"/>
  <c r="A38" i="76"/>
  <c r="B42" i="20"/>
  <c r="A42"/>
  <c r="A39" i="76"/>
  <c r="B43" i="20"/>
  <c r="A43"/>
  <c r="A40" i="76"/>
  <c r="B44" i="20"/>
  <c r="A44"/>
  <c r="A41" i="76"/>
  <c r="B45" i="20"/>
  <c r="A45"/>
  <c r="A42" i="76"/>
  <c r="B46" i="20"/>
  <c r="A46"/>
  <c r="A43" i="76"/>
  <c r="B47" i="20"/>
  <c r="A47"/>
  <c r="A44" i="76" s="1"/>
  <c r="B48" i="20"/>
  <c r="A48"/>
  <c r="A45" i="76" s="1"/>
  <c r="B49" i="20"/>
  <c r="A49"/>
  <c r="A46" i="76" s="1"/>
  <c r="B50" i="20"/>
  <c r="A50"/>
  <c r="A47" i="76" s="1"/>
  <c r="B51" i="20"/>
  <c r="A51"/>
  <c r="A48" i="76" s="1"/>
  <c r="B52" i="20"/>
  <c r="A52"/>
  <c r="A49" i="76" s="1"/>
  <c r="B9" i="20"/>
  <c r="A9"/>
  <c r="A6" i="76"/>
  <c r="B53" i="20"/>
  <c r="A53"/>
  <c r="B54"/>
  <c r="A54"/>
  <c r="B55"/>
  <c r="A55"/>
  <c r="B56"/>
  <c r="A56"/>
  <c r="B57"/>
  <c r="A57"/>
  <c r="B58"/>
  <c r="A58"/>
  <c r="B59"/>
  <c r="A59"/>
  <c r="B60"/>
  <c r="A60"/>
  <c r="B61"/>
  <c r="A61"/>
  <c r="B62"/>
  <c r="A62"/>
  <c r="B63"/>
  <c r="A63"/>
  <c r="B64"/>
  <c r="A64"/>
  <c r="B65"/>
  <c r="A65"/>
  <c r="B66"/>
  <c r="A66"/>
  <c r="B67"/>
  <c r="A67"/>
  <c r="B68"/>
  <c r="A68"/>
  <c r="B69"/>
  <c r="A69"/>
  <c r="B70"/>
  <c r="A70"/>
  <c r="B71"/>
  <c r="A71"/>
  <c r="B72"/>
  <c r="A72"/>
  <c r="B73"/>
  <c r="A73"/>
  <c r="B74"/>
  <c r="A74"/>
  <c r="B75"/>
  <c r="A75"/>
  <c r="B76"/>
  <c r="A76"/>
  <c r="B77"/>
  <c r="A77"/>
  <c r="B78"/>
  <c r="A78"/>
  <c r="B79"/>
  <c r="A79"/>
  <c r="B80"/>
  <c r="A80"/>
  <c r="B81"/>
  <c r="A81"/>
  <c r="B82"/>
  <c r="A82"/>
  <c r="B83"/>
  <c r="A83"/>
  <c r="B84"/>
  <c r="A84"/>
  <c r="B85"/>
  <c r="A85"/>
  <c r="B86"/>
  <c r="A86"/>
  <c r="B87"/>
  <c r="A87"/>
  <c r="B88"/>
  <c r="A88"/>
  <c r="B89"/>
  <c r="A89"/>
  <c r="B90"/>
  <c r="A90"/>
  <c r="B91"/>
  <c r="A91"/>
  <c r="B92"/>
  <c r="A92"/>
  <c r="B93"/>
  <c r="A93"/>
  <c r="B94"/>
  <c r="A94"/>
  <c r="B95"/>
  <c r="A95"/>
  <c r="B96"/>
  <c r="A96"/>
  <c r="B97"/>
  <c r="A97"/>
  <c r="B98"/>
  <c r="A98"/>
  <c r="B99"/>
  <c r="A99"/>
  <c r="B100"/>
  <c r="A100"/>
  <c r="B101"/>
  <c r="A101"/>
  <c r="B102"/>
  <c r="A102"/>
  <c r="EF9"/>
  <c r="EE9"/>
  <c r="L9"/>
  <c r="DN9"/>
  <c r="K6" i="76"/>
  <c r="L10" i="20"/>
  <c r="DN10"/>
  <c r="K7" i="76"/>
  <c r="L11" i="20"/>
  <c r="DN11"/>
  <c r="K8" i="76"/>
  <c r="L12" i="20"/>
  <c r="DN12"/>
  <c r="K9" i="76"/>
  <c r="L13" i="20"/>
  <c r="DN13"/>
  <c r="K10" i="76"/>
  <c r="L14" i="20"/>
  <c r="DN14"/>
  <c r="K11" i="76"/>
  <c r="L15" i="20"/>
  <c r="DN15"/>
  <c r="K12" i="76"/>
  <c r="L16" i="20"/>
  <c r="DN16"/>
  <c r="K13" i="76"/>
  <c r="L17" i="20"/>
  <c r="DN17"/>
  <c r="K14" i="76"/>
  <c r="L18" i="20"/>
  <c r="DN18"/>
  <c r="K15" i="76"/>
  <c r="L19" i="20"/>
  <c r="DN19"/>
  <c r="K16" i="76"/>
  <c r="L20" i="20"/>
  <c r="DN20"/>
  <c r="K17" i="76"/>
  <c r="L21" i="20"/>
  <c r="DN21"/>
  <c r="K18" i="76"/>
  <c r="L22" i="20"/>
  <c r="DN22"/>
  <c r="K19" i="76"/>
  <c r="L23" i="20"/>
  <c r="DN23"/>
  <c r="K20" i="76"/>
  <c r="L24" i="20"/>
  <c r="DN24"/>
  <c r="K21" i="76"/>
  <c r="L25" i="20"/>
  <c r="DN25"/>
  <c r="K22" i="76"/>
  <c r="L26" i="20"/>
  <c r="DN26"/>
  <c r="K23" i="76"/>
  <c r="L27" i="20"/>
  <c r="DN27"/>
  <c r="K24" i="76"/>
  <c r="L28" i="20"/>
  <c r="DN28"/>
  <c r="K25" i="76"/>
  <c r="L29" i="20"/>
  <c r="DN29"/>
  <c r="K26" i="76"/>
  <c r="L30" i="20"/>
  <c r="DN30"/>
  <c r="K27" i="76"/>
  <c r="L31" i="20"/>
  <c r="DN31"/>
  <c r="K28" i="76"/>
  <c r="L32" i="20"/>
  <c r="DN32"/>
  <c r="K29" i="76"/>
  <c r="L33" i="20"/>
  <c r="DN33"/>
  <c r="K30" i="76"/>
  <c r="L34" i="20"/>
  <c r="DN34"/>
  <c r="K31" i="76"/>
  <c r="L35" i="20"/>
  <c r="DN35"/>
  <c r="K32" i="76"/>
  <c r="L36" i="20"/>
  <c r="DN36"/>
  <c r="K33" i="76"/>
  <c r="L37" i="20"/>
  <c r="DN37"/>
  <c r="K34" i="76"/>
  <c r="L38" i="20"/>
  <c r="DN38"/>
  <c r="K35" i="76"/>
  <c r="L39" i="20"/>
  <c r="DN39"/>
  <c r="K36" i="76"/>
  <c r="L40" i="20"/>
  <c r="DN40"/>
  <c r="K37" i="76"/>
  <c r="L41" i="20"/>
  <c r="DN41"/>
  <c r="K38" i="76"/>
  <c r="L42" i="20"/>
  <c r="DN42"/>
  <c r="K39" i="76"/>
  <c r="L43" i="20"/>
  <c r="DN43"/>
  <c r="K40" i="76"/>
  <c r="L44" i="20"/>
  <c r="DN44"/>
  <c r="K41" i="76"/>
  <c r="L45" i="20"/>
  <c r="DN45"/>
  <c r="K42" i="76"/>
  <c r="L46" i="20"/>
  <c r="DN46"/>
  <c r="K43" i="76"/>
  <c r="L47" i="20"/>
  <c r="DN47"/>
  <c r="K44" i="76"/>
  <c r="L48" i="20"/>
  <c r="DN48"/>
  <c r="K45" i="76"/>
  <c r="L49" i="20"/>
  <c r="DN49"/>
  <c r="K46" i="76"/>
  <c r="L50" i="20"/>
  <c r="DN50"/>
  <c r="K47" i="76"/>
  <c r="L51" i="20"/>
  <c r="DN51"/>
  <c r="K48" i="76"/>
  <c r="L52" i="20"/>
  <c r="DN52"/>
  <c r="K49" i="76"/>
  <c r="K50"/>
  <c r="DM9" i="20"/>
  <c r="DM10"/>
  <c r="DM11"/>
  <c r="DM12"/>
  <c r="DM13"/>
  <c r="DM14"/>
  <c r="DM15"/>
  <c r="DM16"/>
  <c r="DM17"/>
  <c r="DM18"/>
  <c r="DM19"/>
  <c r="DM20"/>
  <c r="DM21"/>
  <c r="DM22"/>
  <c r="DM23"/>
  <c r="DM24"/>
  <c r="DM25"/>
  <c r="DM26"/>
  <c r="DM27"/>
  <c r="DM28"/>
  <c r="DM29"/>
  <c r="DM30"/>
  <c r="DM31"/>
  <c r="DM32"/>
  <c r="DM33"/>
  <c r="DM34"/>
  <c r="DM35"/>
  <c r="DM36"/>
  <c r="DM37"/>
  <c r="DM38"/>
  <c r="DM39"/>
  <c r="DM40"/>
  <c r="DM41"/>
  <c r="DM42"/>
  <c r="DM43"/>
  <c r="DM44"/>
  <c r="DM45"/>
  <c r="DM46"/>
  <c r="DM47"/>
  <c r="DM48"/>
  <c r="DM49"/>
  <c r="DM50"/>
  <c r="DM51"/>
  <c r="DM52"/>
  <c r="J50" i="76"/>
  <c r="DA9" i="20"/>
  <c r="I6" i="76"/>
  <c r="DA10" i="20"/>
  <c r="I7" i="76"/>
  <c r="DA11" i="20"/>
  <c r="I8" i="76"/>
  <c r="DA12" i="20"/>
  <c r="I9" i="76"/>
  <c r="DA13" i="20"/>
  <c r="I10" i="76"/>
  <c r="DA14" i="20"/>
  <c r="I11" i="76"/>
  <c r="DA15" i="20"/>
  <c r="I12" i="76"/>
  <c r="DA16" i="20"/>
  <c r="I13" i="76"/>
  <c r="DA17" i="20"/>
  <c r="I14" i="76"/>
  <c r="DA18" i="20"/>
  <c r="I15" i="76"/>
  <c r="DA19" i="20"/>
  <c r="I16" i="76"/>
  <c r="DA20" i="20"/>
  <c r="I17" i="76"/>
  <c r="DA21" i="20"/>
  <c r="I18" i="76"/>
  <c r="DA22" i="20"/>
  <c r="I19" i="76"/>
  <c r="DA23" i="20"/>
  <c r="I20" i="76"/>
  <c r="DA24" i="20"/>
  <c r="I21" i="76"/>
  <c r="DA25" i="20"/>
  <c r="I22" i="76"/>
  <c r="DA26" i="20"/>
  <c r="I23" i="76"/>
  <c r="DA27" i="20"/>
  <c r="I24" i="76"/>
  <c r="DA28" i="20"/>
  <c r="I25" i="76"/>
  <c r="DA29" i="20"/>
  <c r="I26" i="76"/>
  <c r="DA30" i="20"/>
  <c r="I27" i="76"/>
  <c r="DA31" i="20"/>
  <c r="I28" i="76"/>
  <c r="DA32" i="20"/>
  <c r="I29" i="76"/>
  <c r="DA33" i="20"/>
  <c r="I30" i="76"/>
  <c r="DA34" i="20"/>
  <c r="I31" i="76"/>
  <c r="DA35" i="20"/>
  <c r="I32" i="76"/>
  <c r="DA36" i="20"/>
  <c r="I33" i="76"/>
  <c r="DA37" i="20"/>
  <c r="I34" i="76"/>
  <c r="DA38" i="20"/>
  <c r="I35" i="76"/>
  <c r="DA39" i="20"/>
  <c r="I36" i="76"/>
  <c r="DA40" i="20"/>
  <c r="I37" i="76"/>
  <c r="DA41" i="20"/>
  <c r="I38" i="76"/>
  <c r="DA42" i="20"/>
  <c r="I39" i="76"/>
  <c r="DA43" i="20"/>
  <c r="I40" i="76"/>
  <c r="DA44" i="20"/>
  <c r="I41" i="76"/>
  <c r="DA45" i="20"/>
  <c r="I42" i="76"/>
  <c r="DA46" i="20"/>
  <c r="I43" i="76"/>
  <c r="DA47" i="20"/>
  <c r="I44" i="76"/>
  <c r="DA48" i="20"/>
  <c r="I45" i="76"/>
  <c r="DA49" i="20"/>
  <c r="I46" i="76"/>
  <c r="DA50" i="20"/>
  <c r="I47" i="76"/>
  <c r="DA51" i="20"/>
  <c r="I48" i="76"/>
  <c r="DA52" i="20"/>
  <c r="I49" i="76"/>
  <c r="I50"/>
  <c r="CX9" i="20"/>
  <c r="H6" i="76"/>
  <c r="CX10" i="20"/>
  <c r="H7" i="76"/>
  <c r="CX11" i="20"/>
  <c r="H8" i="76"/>
  <c r="CX12" i="20"/>
  <c r="H9" i="76"/>
  <c r="CX13" i="20"/>
  <c r="H10" i="76"/>
  <c r="CX14" i="20"/>
  <c r="H11" i="76"/>
  <c r="CX15" i="20"/>
  <c r="H12" i="76"/>
  <c r="CX16" i="20"/>
  <c r="H13" i="76"/>
  <c r="CX17" i="20"/>
  <c r="H14" i="76"/>
  <c r="CX18" i="20"/>
  <c r="H15" i="76"/>
  <c r="CX19" i="20"/>
  <c r="H16" i="76"/>
  <c r="CX20" i="20"/>
  <c r="H17" i="76"/>
  <c r="CX21" i="20"/>
  <c r="H18" i="76"/>
  <c r="CX22" i="20"/>
  <c r="H19" i="76"/>
  <c r="CX23" i="20"/>
  <c r="H20" i="76"/>
  <c r="CX24" i="20"/>
  <c r="H21" i="76"/>
  <c r="CX25" i="20"/>
  <c r="H22" i="76"/>
  <c r="CX26" i="20"/>
  <c r="H23" i="76"/>
  <c r="CX27" i="20"/>
  <c r="H24" i="76"/>
  <c r="CX28" i="20"/>
  <c r="H25" i="76"/>
  <c r="CX29" i="20"/>
  <c r="H26" i="76"/>
  <c r="CX30" i="20"/>
  <c r="H27" i="76"/>
  <c r="CX31" i="20"/>
  <c r="H28" i="76"/>
  <c r="CX32" i="20"/>
  <c r="H29" i="76"/>
  <c r="CX33" i="20"/>
  <c r="H30" i="76"/>
  <c r="CX34" i="20"/>
  <c r="H31" i="76"/>
  <c r="CX35" i="20"/>
  <c r="H32" i="76"/>
  <c r="CX36" i="20"/>
  <c r="H33" i="76"/>
  <c r="CX37" i="20"/>
  <c r="H34" i="76"/>
  <c r="CX38" i="20"/>
  <c r="H35" i="76"/>
  <c r="CX39" i="20"/>
  <c r="H36" i="76"/>
  <c r="CX40" i="20"/>
  <c r="H37" i="76"/>
  <c r="CX41" i="20"/>
  <c r="H38" i="76"/>
  <c r="CX42" i="20"/>
  <c r="H39" i="76"/>
  <c r="CX43" i="20"/>
  <c r="H40" i="76"/>
  <c r="CX44" i="20"/>
  <c r="H41" i="76"/>
  <c r="CX45" i="20"/>
  <c r="H42" i="76"/>
  <c r="CX46" i="20"/>
  <c r="H43" i="76"/>
  <c r="CX47" i="20"/>
  <c r="H44" i="76"/>
  <c r="CX48" i="20"/>
  <c r="H45" i="76"/>
  <c r="CX49" i="20"/>
  <c r="H46" i="76"/>
  <c r="CX50" i="20"/>
  <c r="H47" i="76"/>
  <c r="CX51" i="20"/>
  <c r="H48" i="76"/>
  <c r="CX52" i="20"/>
  <c r="H49" i="76"/>
  <c r="H50"/>
  <c r="CS9" i="20"/>
  <c r="G6" i="76"/>
  <c r="CS10" i="20"/>
  <c r="G7" i="76"/>
  <c r="CS11" i="20"/>
  <c r="G8" i="76"/>
  <c r="CS12" i="20"/>
  <c r="G9" i="76"/>
  <c r="CS13" i="20"/>
  <c r="G10" i="76"/>
  <c r="CS14" i="20"/>
  <c r="G11" i="76"/>
  <c r="CS15" i="20"/>
  <c r="G12" i="76"/>
  <c r="CS16" i="20"/>
  <c r="G13" i="76"/>
  <c r="CS17" i="20"/>
  <c r="G14" i="76"/>
  <c r="CS18" i="20"/>
  <c r="G15" i="76"/>
  <c r="CS19" i="20"/>
  <c r="G16" i="76"/>
  <c r="CS20" i="20"/>
  <c r="G17" i="76"/>
  <c r="CS21" i="20"/>
  <c r="G18" i="76"/>
  <c r="CS22" i="20"/>
  <c r="G19" i="76"/>
  <c r="CS23" i="20"/>
  <c r="G20" i="76"/>
  <c r="CS24" i="20"/>
  <c r="G21" i="76"/>
  <c r="CS25" i="20"/>
  <c r="G22" i="76"/>
  <c r="CS26" i="20"/>
  <c r="G23" i="76"/>
  <c r="CS27" i="20"/>
  <c r="G24" i="76"/>
  <c r="CS28" i="20"/>
  <c r="G25" i="76"/>
  <c r="CS29" i="20"/>
  <c r="G26" i="76"/>
  <c r="CS30" i="20"/>
  <c r="G27" i="76"/>
  <c r="CS31" i="20"/>
  <c r="G28" i="76"/>
  <c r="CS32" i="20"/>
  <c r="G29" i="76"/>
  <c r="CS33" i="20"/>
  <c r="G30" i="76"/>
  <c r="CS34" i="20"/>
  <c r="G31" i="76"/>
  <c r="CS35" i="20"/>
  <c r="G32" i="76"/>
  <c r="CS36" i="20"/>
  <c r="G33" i="76"/>
  <c r="CS37" i="20"/>
  <c r="G34" i="76"/>
  <c r="CS38" i="20"/>
  <c r="G35" i="76"/>
  <c r="CS39" i="20"/>
  <c r="G36" i="76"/>
  <c r="CS40" i="20"/>
  <c r="G37" i="76"/>
  <c r="CS41" i="20"/>
  <c r="G38" i="76"/>
  <c r="CS42" i="20"/>
  <c r="G39" i="76"/>
  <c r="CS43" i="20"/>
  <c r="G40" i="76"/>
  <c r="CS44" i="20"/>
  <c r="G41" i="76"/>
  <c r="CS45" i="20"/>
  <c r="G42" i="76"/>
  <c r="CS46" i="20"/>
  <c r="G43" i="76"/>
  <c r="CS47" i="20"/>
  <c r="G44" i="76"/>
  <c r="CS48" i="20"/>
  <c r="G45" i="76"/>
  <c r="CS49" i="20"/>
  <c r="G46" i="76"/>
  <c r="CS50" i="20"/>
  <c r="G47" i="76"/>
  <c r="CS51" i="20"/>
  <c r="G48" i="76"/>
  <c r="CS52" i="20"/>
  <c r="G49" i="76"/>
  <c r="G50"/>
  <c r="DV9" i="20"/>
  <c r="CV9"/>
  <c r="EC9"/>
  <c r="E6" i="76"/>
  <c r="DV10" i="20"/>
  <c r="CV10"/>
  <c r="EC10"/>
  <c r="E7" i="76"/>
  <c r="DV11" i="20"/>
  <c r="CV11"/>
  <c r="EC11"/>
  <c r="E8" i="76"/>
  <c r="DV12" i="20"/>
  <c r="CV12"/>
  <c r="EC12"/>
  <c r="E9" i="76"/>
  <c r="DV13" i="20"/>
  <c r="CV13"/>
  <c r="EC13"/>
  <c r="E10" i="76"/>
  <c r="DV14" i="20"/>
  <c r="CV14"/>
  <c r="EC14"/>
  <c r="E11" i="76"/>
  <c r="DV15" i="20"/>
  <c r="CV15"/>
  <c r="EC15"/>
  <c r="E12" i="76"/>
  <c r="DV16" i="20"/>
  <c r="CV16"/>
  <c r="EC16"/>
  <c r="E13" i="76"/>
  <c r="DV17" i="20"/>
  <c r="CV17"/>
  <c r="EC17"/>
  <c r="E14" i="76"/>
  <c r="DV18" i="20"/>
  <c r="CV18"/>
  <c r="EC18"/>
  <c r="E15" i="76"/>
  <c r="DV19" i="20"/>
  <c r="CV19"/>
  <c r="EC19"/>
  <c r="E16" i="76"/>
  <c r="DV20" i="20"/>
  <c r="CV20"/>
  <c r="EC20"/>
  <c r="E17" i="76"/>
  <c r="DV21" i="20"/>
  <c r="CV21"/>
  <c r="EC21"/>
  <c r="E18" i="76"/>
  <c r="DV22" i="20"/>
  <c r="CV22"/>
  <c r="EC22"/>
  <c r="E19" i="76"/>
  <c r="DV23" i="20"/>
  <c r="CV23"/>
  <c r="EC23"/>
  <c r="E20" i="76"/>
  <c r="DV24" i="20"/>
  <c r="CV24"/>
  <c r="EC24"/>
  <c r="E21" i="76"/>
  <c r="DV25" i="20"/>
  <c r="CV25"/>
  <c r="EC25"/>
  <c r="E22" i="76"/>
  <c r="DV26" i="20"/>
  <c r="CV26"/>
  <c r="EC26"/>
  <c r="E23" i="76"/>
  <c r="DV27" i="20"/>
  <c r="CV27"/>
  <c r="EC27"/>
  <c r="E24" i="76"/>
  <c r="DV28" i="20"/>
  <c r="CV28"/>
  <c r="EC28"/>
  <c r="E25" i="76"/>
  <c r="DV29" i="20"/>
  <c r="CV29"/>
  <c r="EC29"/>
  <c r="E26" i="76"/>
  <c r="DV30" i="20"/>
  <c r="CV30"/>
  <c r="EC30"/>
  <c r="E27" i="76"/>
  <c r="DV31" i="20"/>
  <c r="CV31"/>
  <c r="EC31"/>
  <c r="E28" i="76"/>
  <c r="DV32" i="20"/>
  <c r="CV32"/>
  <c r="EC32"/>
  <c r="E29" i="76"/>
  <c r="DV33" i="20"/>
  <c r="CV33"/>
  <c r="EC33"/>
  <c r="E30" i="76"/>
  <c r="DV34" i="20"/>
  <c r="CV34"/>
  <c r="EC34"/>
  <c r="E31" i="76"/>
  <c r="DV35" i="20"/>
  <c r="CV35"/>
  <c r="EC35"/>
  <c r="E32" i="76"/>
  <c r="DV36" i="20"/>
  <c r="CV36"/>
  <c r="EC36"/>
  <c r="E33" i="76"/>
  <c r="DV37" i="20"/>
  <c r="CV37"/>
  <c r="EC37"/>
  <c r="E34" i="76"/>
  <c r="DV38" i="20"/>
  <c r="CV38"/>
  <c r="EC38"/>
  <c r="E35" i="76"/>
  <c r="DV39" i="20"/>
  <c r="CV39"/>
  <c r="EC39"/>
  <c r="E36" i="76"/>
  <c r="DV40" i="20"/>
  <c r="CV40"/>
  <c r="EC40"/>
  <c r="E37" i="76"/>
  <c r="DV41" i="20"/>
  <c r="CV41"/>
  <c r="EC41"/>
  <c r="E38" i="76"/>
  <c r="DV42" i="20"/>
  <c r="CV42"/>
  <c r="EC42"/>
  <c r="E39" i="76"/>
  <c r="DV43" i="20"/>
  <c r="CV43"/>
  <c r="EC43"/>
  <c r="E40" i="76"/>
  <c r="DV44" i="20"/>
  <c r="CV44"/>
  <c r="EC44"/>
  <c r="E41" i="76"/>
  <c r="DV45" i="20"/>
  <c r="CV45"/>
  <c r="EC45"/>
  <c r="E42" i="76"/>
  <c r="DV46" i="20"/>
  <c r="CV46"/>
  <c r="EC46"/>
  <c r="E43" i="76"/>
  <c r="DV47" i="20"/>
  <c r="CV47"/>
  <c r="EC47"/>
  <c r="E44" i="76"/>
  <c r="DV48" i="20"/>
  <c r="CV48"/>
  <c r="EC48"/>
  <c r="E45" i="76"/>
  <c r="DV49" i="20"/>
  <c r="CV49"/>
  <c r="EC49"/>
  <c r="E46" i="76"/>
  <c r="DV50" i="20"/>
  <c r="CV50"/>
  <c r="EC50"/>
  <c r="E47" i="76"/>
  <c r="DV51" i="20"/>
  <c r="CV51"/>
  <c r="EC51"/>
  <c r="E48" i="76"/>
  <c r="DV52" i="20"/>
  <c r="CV52"/>
  <c r="EC52"/>
  <c r="E49" i="76"/>
  <c r="E50"/>
  <c r="DW52" i="20"/>
  <c r="F49" i="76"/>
  <c r="B49"/>
  <c r="DW51" i="20"/>
  <c r="F48" i="76"/>
  <c r="B48"/>
  <c r="DW50" i="20"/>
  <c r="F47" i="76"/>
  <c r="B47"/>
  <c r="DW49" i="20"/>
  <c r="F46" i="76"/>
  <c r="B46"/>
  <c r="DW48" i="20"/>
  <c r="F45" i="76"/>
  <c r="B45"/>
  <c r="DW47" i="20"/>
  <c r="F44" i="76"/>
  <c r="B44"/>
  <c r="DW46" i="20"/>
  <c r="F43" i="76"/>
  <c r="B43"/>
  <c r="DW45" i="20"/>
  <c r="F42" i="76"/>
  <c r="B42"/>
  <c r="DW44" i="20"/>
  <c r="F41" i="76"/>
  <c r="B41"/>
  <c r="DW43" i="20"/>
  <c r="F40" i="76"/>
  <c r="B40"/>
  <c r="DW42" i="20"/>
  <c r="F39" i="76"/>
  <c r="B39"/>
  <c r="DW41" i="20"/>
  <c r="F38" i="76"/>
  <c r="B38"/>
  <c r="DW40" i="20"/>
  <c r="F37" i="76"/>
  <c r="B37"/>
  <c r="DW39" i="20"/>
  <c r="F36" i="76"/>
  <c r="B36"/>
  <c r="DW38" i="20"/>
  <c r="F35" i="76"/>
  <c r="B35"/>
  <c r="DW37" i="20"/>
  <c r="F34" i="76"/>
  <c r="B34"/>
  <c r="DW36" i="20"/>
  <c r="F33" i="76"/>
  <c r="B33"/>
  <c r="DW35" i="20"/>
  <c r="F32" i="76"/>
  <c r="B32"/>
  <c r="DW34" i="20"/>
  <c r="F31" i="76"/>
  <c r="B31"/>
  <c r="DW33" i="20"/>
  <c r="F30" i="76"/>
  <c r="B30"/>
  <c r="DW32" i="20"/>
  <c r="F29" i="76"/>
  <c r="B29"/>
  <c r="DW31" i="20"/>
  <c r="F28" i="76"/>
  <c r="B28"/>
  <c r="DW30" i="20"/>
  <c r="F27" i="76"/>
  <c r="B27"/>
  <c r="DW29" i="20"/>
  <c r="F26" i="76"/>
  <c r="B26"/>
  <c r="DW28" i="20"/>
  <c r="F25" i="76"/>
  <c r="B25"/>
  <c r="DW27" i="20"/>
  <c r="F24" i="76"/>
  <c r="B24"/>
  <c r="DW26" i="20"/>
  <c r="F23" i="76"/>
  <c r="B23"/>
  <c r="DW25" i="20"/>
  <c r="F22" i="76"/>
  <c r="B22"/>
  <c r="DW24" i="20"/>
  <c r="F21" i="76"/>
  <c r="B21"/>
  <c r="DW23" i="20"/>
  <c r="F20" i="76"/>
  <c r="B20"/>
  <c r="DW22" i="20"/>
  <c r="F19" i="76"/>
  <c r="B19"/>
  <c r="DW21" i="20"/>
  <c r="F18" i="76"/>
  <c r="B18"/>
  <c r="DW20" i="20"/>
  <c r="F17" i="76"/>
  <c r="B17"/>
  <c r="DW19" i="20"/>
  <c r="F16" i="76"/>
  <c r="B16"/>
  <c r="DW18" i="20"/>
  <c r="F15" i="76"/>
  <c r="B15"/>
  <c r="DW17" i="20"/>
  <c r="F14" i="76"/>
  <c r="B14"/>
  <c r="DW16" i="20"/>
  <c r="F13" i="76"/>
  <c r="B13"/>
  <c r="DW15" i="20"/>
  <c r="F12" i="76"/>
  <c r="B12"/>
  <c r="DW14" i="20"/>
  <c r="F11" i="76"/>
  <c r="B11"/>
  <c r="DW13" i="20"/>
  <c r="F10" i="76"/>
  <c r="B10"/>
  <c r="DW12" i="20"/>
  <c r="F9" i="76"/>
  <c r="B9"/>
  <c r="DW11" i="20"/>
  <c r="F8" i="76"/>
  <c r="B8"/>
  <c r="DW10" i="20"/>
  <c r="F7" i="76"/>
  <c r="B7"/>
  <c r="DW9" i="20"/>
  <c r="F6" i="76"/>
  <c r="B6"/>
  <c r="CU10" i="20"/>
  <c r="N7" i="68"/>
  <c r="O7"/>
  <c r="CW10" i="20"/>
  <c r="P7" i="68"/>
  <c r="Q7"/>
  <c r="CU11" i="20"/>
  <c r="N8" i="68"/>
  <c r="O8"/>
  <c r="CW11" i="20"/>
  <c r="P8" i="68"/>
  <c r="Q8"/>
  <c r="CU12" i="20"/>
  <c r="N9" i="68"/>
  <c r="O9"/>
  <c r="CW12" i="20"/>
  <c r="P9" i="68"/>
  <c r="Q9"/>
  <c r="CU13" i="20"/>
  <c r="N10" i="68"/>
  <c r="O10"/>
  <c r="CW13" i="20"/>
  <c r="P10" i="68"/>
  <c r="Q10"/>
  <c r="CU14" i="20"/>
  <c r="N11" i="68"/>
  <c r="O11"/>
  <c r="CW14" i="20"/>
  <c r="P11" i="68"/>
  <c r="Q11"/>
  <c r="CU15" i="20"/>
  <c r="N12" i="68"/>
  <c r="O12"/>
  <c r="CW15" i="20"/>
  <c r="P12" i="68"/>
  <c r="Q12"/>
  <c r="CU16" i="20"/>
  <c r="N13" i="68"/>
  <c r="O13"/>
  <c r="CW16" i="20"/>
  <c r="P13" i="68"/>
  <c r="Q13"/>
  <c r="CU17" i="20"/>
  <c r="N14" i="68"/>
  <c r="O14"/>
  <c r="CW17" i="20"/>
  <c r="P14" i="68"/>
  <c r="Q14"/>
  <c r="CU18" i="20"/>
  <c r="N15" i="68"/>
  <c r="O15"/>
  <c r="CW18" i="20"/>
  <c r="P15" i="68"/>
  <c r="Q15"/>
  <c r="CU19" i="20"/>
  <c r="N16" i="68"/>
  <c r="O16"/>
  <c r="CW19" i="20"/>
  <c r="P16" i="68"/>
  <c r="Q16"/>
  <c r="CU20" i="20"/>
  <c r="N17" i="68"/>
  <c r="O17"/>
  <c r="CW20" i="20"/>
  <c r="P17" i="68"/>
  <c r="Q17"/>
  <c r="CU21" i="20"/>
  <c r="N18" i="68"/>
  <c r="O18"/>
  <c r="CW21" i="20"/>
  <c r="P18" i="68"/>
  <c r="Q18"/>
  <c r="CU22" i="20"/>
  <c r="N19" i="68"/>
  <c r="O19"/>
  <c r="CW22" i="20"/>
  <c r="P19" i="68"/>
  <c r="Q19"/>
  <c r="CU23" i="20"/>
  <c r="N20" i="68"/>
  <c r="O20"/>
  <c r="CW23" i="20"/>
  <c r="P20" i="68"/>
  <c r="Q20"/>
  <c r="CU24" i="20"/>
  <c r="N21" i="68"/>
  <c r="O21"/>
  <c r="CW24" i="20"/>
  <c r="P21" i="68"/>
  <c r="Q21"/>
  <c r="CU25" i="20"/>
  <c r="N22" i="68"/>
  <c r="O22"/>
  <c r="CW25" i="20"/>
  <c r="P22" i="68"/>
  <c r="Q22"/>
  <c r="CU26" i="20"/>
  <c r="N23" i="68"/>
  <c r="O23"/>
  <c r="CW26" i="20"/>
  <c r="P23" i="68"/>
  <c r="Q23"/>
  <c r="CU27" i="20"/>
  <c r="N24" i="68"/>
  <c r="O24"/>
  <c r="CW27" i="20"/>
  <c r="P24" i="68"/>
  <c r="Q24"/>
  <c r="CU28" i="20"/>
  <c r="N25" i="68"/>
  <c r="O25"/>
  <c r="CW28" i="20"/>
  <c r="P25" i="68"/>
  <c r="Q25"/>
  <c r="CU29" i="20"/>
  <c r="N26" i="68"/>
  <c r="O26"/>
  <c r="CW29" i="20"/>
  <c r="P26" i="68"/>
  <c r="Q26"/>
  <c r="CU30" i="20"/>
  <c r="N27" i="68"/>
  <c r="O27"/>
  <c r="CW30" i="20"/>
  <c r="P27" i="68"/>
  <c r="Q27"/>
  <c r="CU31" i="20"/>
  <c r="N28" i="68"/>
  <c r="O28"/>
  <c r="CW31" i="20"/>
  <c r="P28" i="68"/>
  <c r="Q28"/>
  <c r="CU32" i="20"/>
  <c r="N29" i="68"/>
  <c r="O29"/>
  <c r="CW32" i="20"/>
  <c r="P29" i="68"/>
  <c r="Q29"/>
  <c r="CU33" i="20"/>
  <c r="N30" i="68"/>
  <c r="O30"/>
  <c r="CW33" i="20"/>
  <c r="P30" i="68"/>
  <c r="Q30"/>
  <c r="CU34" i="20"/>
  <c r="N31" i="68"/>
  <c r="O31"/>
  <c r="CW34" i="20"/>
  <c r="P31" i="68"/>
  <c r="Q31"/>
  <c r="CU35" i="20"/>
  <c r="N32" i="68"/>
  <c r="O32"/>
  <c r="CW35" i="20"/>
  <c r="P32" i="68"/>
  <c r="Q32"/>
  <c r="CU36" i="20"/>
  <c r="N33" i="68"/>
  <c r="O33"/>
  <c r="CW36" i="20"/>
  <c r="P33" i="68"/>
  <c r="Q33"/>
  <c r="CU37" i="20"/>
  <c r="N34" i="68"/>
  <c r="O34"/>
  <c r="CW37" i="20"/>
  <c r="P34" i="68"/>
  <c r="Q34"/>
  <c r="CU38" i="20"/>
  <c r="N35" i="68"/>
  <c r="O35"/>
  <c r="CW38" i="20"/>
  <c r="P35" i="68"/>
  <c r="Q35"/>
  <c r="CU39" i="20"/>
  <c r="N36" i="68"/>
  <c r="O36"/>
  <c r="CW39" i="20"/>
  <c r="P36" i="68"/>
  <c r="Q36"/>
  <c r="CU40" i="20"/>
  <c r="N37" i="68"/>
  <c r="O37"/>
  <c r="CW40" i="20"/>
  <c r="P37" i="68"/>
  <c r="Q37"/>
  <c r="CU41" i="20"/>
  <c r="N38" i="68"/>
  <c r="O38"/>
  <c r="CW41" i="20"/>
  <c r="P38" i="68"/>
  <c r="Q38"/>
  <c r="CU42" i="20"/>
  <c r="N39" i="68"/>
  <c r="O39"/>
  <c r="CW42" i="20"/>
  <c r="P39" i="68"/>
  <c r="Q39"/>
  <c r="CU43" i="20"/>
  <c r="N40" i="68"/>
  <c r="O40"/>
  <c r="CW43" i="20"/>
  <c r="P40" i="68"/>
  <c r="Q40"/>
  <c r="CU44" i="20"/>
  <c r="N41" i="68"/>
  <c r="O41"/>
  <c r="CW44" i="20"/>
  <c r="P41" i="68"/>
  <c r="Q41"/>
  <c r="CU45" i="20"/>
  <c r="N42" i="68"/>
  <c r="O42"/>
  <c r="CW45" i="20"/>
  <c r="P42" i="68"/>
  <c r="Q42"/>
  <c r="CU46" i="20"/>
  <c r="N43" i="68"/>
  <c r="O43"/>
  <c r="CW46" i="20"/>
  <c r="P43" i="68"/>
  <c r="Q43"/>
  <c r="CU47" i="20"/>
  <c r="N44" i="68"/>
  <c r="O44"/>
  <c r="CW47" i="20"/>
  <c r="P44" i="68"/>
  <c r="Q44"/>
  <c r="CU48" i="20"/>
  <c r="N45" i="68"/>
  <c r="O45"/>
  <c r="CW48" i="20"/>
  <c r="P45" i="68"/>
  <c r="Q45"/>
  <c r="CU49" i="20"/>
  <c r="N46" i="68"/>
  <c r="O46"/>
  <c r="CW49" i="20"/>
  <c r="P46" i="68"/>
  <c r="Q46"/>
  <c r="CU50" i="20"/>
  <c r="N47" i="68"/>
  <c r="O47"/>
  <c r="CW50" i="20"/>
  <c r="P47" i="68"/>
  <c r="Q47"/>
  <c r="CU51" i="20"/>
  <c r="N48" i="68"/>
  <c r="O48"/>
  <c r="CW51" i="20"/>
  <c r="P48" i="68"/>
  <c r="Q48"/>
  <c r="CU52" i="20"/>
  <c r="N49" i="68"/>
  <c r="O49"/>
  <c r="CW52" i="20"/>
  <c r="P49" i="68"/>
  <c r="Q49"/>
  <c r="Q6"/>
  <c r="CW9" i="20"/>
  <c r="P6" i="68"/>
  <c r="O6"/>
  <c r="CU9" i="20"/>
  <c r="N6" i="68"/>
  <c r="CQ10" i="20"/>
  <c r="CR10"/>
  <c r="J7" i="68"/>
  <c r="CQ11" i="20"/>
  <c r="CR11"/>
  <c r="J8" i="68"/>
  <c r="CQ12" i="20"/>
  <c r="CR12"/>
  <c r="J9" i="68"/>
  <c r="CQ13" i="20"/>
  <c r="CR13"/>
  <c r="J10" i="68"/>
  <c r="CQ14" i="20"/>
  <c r="CR14"/>
  <c r="J11" i="68"/>
  <c r="CQ15" i="20"/>
  <c r="CR15"/>
  <c r="J12" i="68"/>
  <c r="CQ16" i="20"/>
  <c r="CR16"/>
  <c r="J13" i="68"/>
  <c r="CQ17" i="20"/>
  <c r="CR17"/>
  <c r="J14" i="68"/>
  <c r="CQ18" i="20"/>
  <c r="CR18"/>
  <c r="J15" i="68"/>
  <c r="CQ19" i="20"/>
  <c r="CR19"/>
  <c r="J16" i="68"/>
  <c r="CQ20" i="20"/>
  <c r="CR20"/>
  <c r="J17" i="68"/>
  <c r="CQ21" i="20"/>
  <c r="CR21"/>
  <c r="J18" i="68"/>
  <c r="CQ22" i="20"/>
  <c r="CR22"/>
  <c r="J19" i="68"/>
  <c r="CQ23" i="20"/>
  <c r="CR23"/>
  <c r="J20" i="68"/>
  <c r="CQ24" i="20"/>
  <c r="CR24"/>
  <c r="J21" i="68"/>
  <c r="CQ25" i="20"/>
  <c r="CR25"/>
  <c r="J22" i="68"/>
  <c r="CQ26" i="20"/>
  <c r="CR26"/>
  <c r="J23" i="68"/>
  <c r="CQ27" i="20"/>
  <c r="CR27"/>
  <c r="J24" i="68"/>
  <c r="CQ28" i="20"/>
  <c r="CR28"/>
  <c r="J25" i="68"/>
  <c r="CQ29" i="20"/>
  <c r="CR29"/>
  <c r="J26" i="68"/>
  <c r="CQ30" i="20"/>
  <c r="CR30"/>
  <c r="J27" i="68"/>
  <c r="CQ31" i="20"/>
  <c r="CR31"/>
  <c r="J28" i="68"/>
  <c r="CQ32" i="20"/>
  <c r="CR32"/>
  <c r="J29" i="68"/>
  <c r="CQ33" i="20"/>
  <c r="CR33"/>
  <c r="J30" i="68"/>
  <c r="CQ34" i="20"/>
  <c r="CR34"/>
  <c r="J31" i="68"/>
  <c r="CQ35" i="20"/>
  <c r="CR35"/>
  <c r="J32" i="68"/>
  <c r="CQ36" i="20"/>
  <c r="CR36"/>
  <c r="J33" i="68"/>
  <c r="CQ37" i="20"/>
  <c r="CR37"/>
  <c r="J34" i="68"/>
  <c r="CQ38" i="20"/>
  <c r="CR38"/>
  <c r="J35" i="68"/>
  <c r="CQ39" i="20"/>
  <c r="CR39"/>
  <c r="J36" i="68"/>
  <c r="CQ40" i="20"/>
  <c r="CR40"/>
  <c r="J37" i="68"/>
  <c r="CQ41" i="20"/>
  <c r="CR41"/>
  <c r="J38" i="68"/>
  <c r="CQ42" i="20"/>
  <c r="CR42"/>
  <c r="J39" i="68"/>
  <c r="CQ43" i="20"/>
  <c r="CR43"/>
  <c r="J40" i="68"/>
  <c r="CQ44" i="20"/>
  <c r="CR44"/>
  <c r="J41" i="68"/>
  <c r="CQ45" i="20"/>
  <c r="CR45"/>
  <c r="J42" i="68"/>
  <c r="CQ46" i="20"/>
  <c r="CR46"/>
  <c r="J43" i="68"/>
  <c r="CQ47" i="20"/>
  <c r="CR47"/>
  <c r="J44" i="68"/>
  <c r="CQ48" i="20"/>
  <c r="CR48"/>
  <c r="J45" i="68"/>
  <c r="CQ49" i="20"/>
  <c r="CR49"/>
  <c r="J46" i="68"/>
  <c r="CQ50" i="20"/>
  <c r="CR50"/>
  <c r="J47" i="68"/>
  <c r="CQ51" i="20"/>
  <c r="CR51"/>
  <c r="J48" i="68"/>
  <c r="CQ52" i="20"/>
  <c r="CR52"/>
  <c r="J49" i="68"/>
  <c r="CQ9" i="20"/>
  <c r="CR9"/>
  <c r="J6" i="68"/>
  <c r="AG9" i="20"/>
  <c r="AH9"/>
  <c r="AI9"/>
  <c r="AJ9"/>
  <c r="DO9"/>
  <c r="K6" i="68"/>
  <c r="AF9" i="20"/>
  <c r="L6" i="68"/>
  <c r="DP9" i="20"/>
  <c r="M6" i="68"/>
  <c r="AG10" i="20"/>
  <c r="AH10"/>
  <c r="AI10"/>
  <c r="AJ10"/>
  <c r="DO10"/>
  <c r="K7" i="68"/>
  <c r="AF10" i="20"/>
  <c r="L7" i="68"/>
  <c r="DP10" i="20"/>
  <c r="M7" i="68"/>
  <c r="AG11" i="20"/>
  <c r="AH11"/>
  <c r="AI11"/>
  <c r="AJ11"/>
  <c r="DO11"/>
  <c r="K8" i="68"/>
  <c r="AF11" i="20"/>
  <c r="L8" i="68"/>
  <c r="DP11" i="20"/>
  <c r="M8" i="68"/>
  <c r="AG12" i="20"/>
  <c r="AH12"/>
  <c r="AI12"/>
  <c r="AJ12"/>
  <c r="DO12"/>
  <c r="K9" i="68"/>
  <c r="AF12" i="20"/>
  <c r="L9" i="68"/>
  <c r="DP12" i="20"/>
  <c r="M9" i="68"/>
  <c r="AG13" i="20"/>
  <c r="AH13"/>
  <c r="AI13"/>
  <c r="AJ13"/>
  <c r="DO13"/>
  <c r="K10" i="68"/>
  <c r="AF13" i="20"/>
  <c r="L10" i="68"/>
  <c r="DP13" i="20"/>
  <c r="M10" i="68"/>
  <c r="AG14" i="20"/>
  <c r="AH14"/>
  <c r="AI14"/>
  <c r="AJ14"/>
  <c r="DO14"/>
  <c r="K11" i="68"/>
  <c r="AF14" i="20"/>
  <c r="L11" i="68"/>
  <c r="DP14" i="20"/>
  <c r="M11" i="68"/>
  <c r="AG15" i="20"/>
  <c r="AH15"/>
  <c r="AI15"/>
  <c r="AJ15"/>
  <c r="DO15"/>
  <c r="K12" i="68"/>
  <c r="AF15" i="20"/>
  <c r="L12" i="68"/>
  <c r="DP15" i="20"/>
  <c r="M12" i="68"/>
  <c r="AG16" i="20"/>
  <c r="AH16"/>
  <c r="AI16"/>
  <c r="AJ16"/>
  <c r="DO16"/>
  <c r="K13" i="68"/>
  <c r="AF16" i="20"/>
  <c r="L13" i="68"/>
  <c r="DP16" i="20"/>
  <c r="M13" i="68"/>
  <c r="AG17" i="20"/>
  <c r="AH17"/>
  <c r="AI17"/>
  <c r="AJ17"/>
  <c r="DO17"/>
  <c r="K14" i="68"/>
  <c r="AF17" i="20"/>
  <c r="L14" i="68"/>
  <c r="DP17" i="20"/>
  <c r="M14" i="68"/>
  <c r="AG18" i="20"/>
  <c r="AH18"/>
  <c r="AI18"/>
  <c r="AJ18"/>
  <c r="DO18"/>
  <c r="K15" i="68"/>
  <c r="AF18" i="20"/>
  <c r="L15" i="68"/>
  <c r="DP18" i="20"/>
  <c r="M15" i="68"/>
  <c r="AG19" i="20"/>
  <c r="AH19"/>
  <c r="AI19"/>
  <c r="AJ19"/>
  <c r="DO19"/>
  <c r="K16" i="68"/>
  <c r="AF19" i="20"/>
  <c r="L16" i="68"/>
  <c r="DP19" i="20"/>
  <c r="M16" i="68"/>
  <c r="AG20" i="20"/>
  <c r="AH20"/>
  <c r="AI20"/>
  <c r="AJ20"/>
  <c r="DO20"/>
  <c r="K17" i="68"/>
  <c r="AF20" i="20"/>
  <c r="L17" i="68"/>
  <c r="DP20" i="20"/>
  <c r="M17" i="68"/>
  <c r="AG21" i="20"/>
  <c r="AH21"/>
  <c r="AI21"/>
  <c r="AJ21"/>
  <c r="DO21"/>
  <c r="K18" i="68"/>
  <c r="AF21" i="20"/>
  <c r="L18" i="68"/>
  <c r="DP21" i="20"/>
  <c r="M18" i="68"/>
  <c r="AG22" i="20"/>
  <c r="AH22"/>
  <c r="AI22"/>
  <c r="AJ22"/>
  <c r="DO22"/>
  <c r="K19" i="68"/>
  <c r="AF22" i="20"/>
  <c r="L19" i="68"/>
  <c r="DP22" i="20"/>
  <c r="M19" i="68"/>
  <c r="AG23" i="20"/>
  <c r="AH23"/>
  <c r="AI23"/>
  <c r="AJ23"/>
  <c r="DO23"/>
  <c r="K20" i="68"/>
  <c r="AF23" i="20"/>
  <c r="L20" i="68"/>
  <c r="DP23" i="20"/>
  <c r="M20" i="68"/>
  <c r="AG24" i="20"/>
  <c r="AH24"/>
  <c r="AI24"/>
  <c r="AJ24"/>
  <c r="DO24"/>
  <c r="K21" i="68"/>
  <c r="AF24" i="20"/>
  <c r="L21" i="68"/>
  <c r="DP24" i="20"/>
  <c r="M21" i="68"/>
  <c r="AG25" i="20"/>
  <c r="AH25"/>
  <c r="AI25"/>
  <c r="AJ25"/>
  <c r="DO25"/>
  <c r="K22" i="68"/>
  <c r="AF25" i="20"/>
  <c r="L22" i="68"/>
  <c r="DP25" i="20"/>
  <c r="M22" i="68"/>
  <c r="AG26" i="20"/>
  <c r="AH26"/>
  <c r="AI26"/>
  <c r="AJ26"/>
  <c r="DO26"/>
  <c r="K23" i="68"/>
  <c r="AF26" i="20"/>
  <c r="L23" i="68"/>
  <c r="DP26" i="20"/>
  <c r="M23" i="68"/>
  <c r="AG27" i="20"/>
  <c r="AH27"/>
  <c r="AI27"/>
  <c r="AJ27"/>
  <c r="DO27"/>
  <c r="K24" i="68"/>
  <c r="AF27" i="20"/>
  <c r="L24" i="68"/>
  <c r="DP27" i="20"/>
  <c r="M24" i="68"/>
  <c r="AG28" i="20"/>
  <c r="AH28"/>
  <c r="AI28"/>
  <c r="AJ28"/>
  <c r="DO28"/>
  <c r="K25" i="68"/>
  <c r="AF28" i="20"/>
  <c r="L25" i="68"/>
  <c r="DP28" i="20"/>
  <c r="M25" i="68"/>
  <c r="AG29" i="20"/>
  <c r="AH29"/>
  <c r="AI29"/>
  <c r="AJ29"/>
  <c r="DO29"/>
  <c r="K26" i="68"/>
  <c r="AF29" i="20"/>
  <c r="L26" i="68"/>
  <c r="DP29" i="20"/>
  <c r="M26" i="68"/>
  <c r="AG30" i="20"/>
  <c r="AH30"/>
  <c r="AI30"/>
  <c r="AJ30"/>
  <c r="DO30"/>
  <c r="K27" i="68"/>
  <c r="AF30" i="20"/>
  <c r="L27" i="68"/>
  <c r="DP30" i="20"/>
  <c r="M27" i="68"/>
  <c r="AG31" i="20"/>
  <c r="AH31"/>
  <c r="AI31"/>
  <c r="AJ31"/>
  <c r="DO31"/>
  <c r="K28" i="68"/>
  <c r="AF31" i="20"/>
  <c r="L28" i="68"/>
  <c r="DP31" i="20"/>
  <c r="M28" i="68"/>
  <c r="AG32" i="20"/>
  <c r="AH32"/>
  <c r="AI32"/>
  <c r="AJ32"/>
  <c r="DO32"/>
  <c r="K29" i="68"/>
  <c r="AF32" i="20"/>
  <c r="L29" i="68"/>
  <c r="DP32" i="20"/>
  <c r="M29" i="68"/>
  <c r="AG33" i="20"/>
  <c r="AH33"/>
  <c r="AI33"/>
  <c r="AJ33"/>
  <c r="DO33"/>
  <c r="K30" i="68"/>
  <c r="AF33" i="20"/>
  <c r="L30" i="68"/>
  <c r="DP33" i="20"/>
  <c r="M30" i="68"/>
  <c r="AG34" i="20"/>
  <c r="AH34"/>
  <c r="AI34"/>
  <c r="AJ34"/>
  <c r="DO34"/>
  <c r="K31" i="68"/>
  <c r="AF34" i="20"/>
  <c r="L31" i="68"/>
  <c r="DP34" i="20"/>
  <c r="M31" i="68"/>
  <c r="AG35" i="20"/>
  <c r="AH35"/>
  <c r="AI35"/>
  <c r="AJ35"/>
  <c r="DO35"/>
  <c r="K32" i="68"/>
  <c r="AF35" i="20"/>
  <c r="L32" i="68"/>
  <c r="DP35" i="20"/>
  <c r="M32" i="68"/>
  <c r="AG36" i="20"/>
  <c r="AH36"/>
  <c r="AI36"/>
  <c r="AJ36"/>
  <c r="DO36"/>
  <c r="K33" i="68"/>
  <c r="AF36" i="20"/>
  <c r="L33" i="68"/>
  <c r="DP36" i="20"/>
  <c r="M33" i="68"/>
  <c r="AG37" i="20"/>
  <c r="AH37"/>
  <c r="AI37"/>
  <c r="AJ37"/>
  <c r="DO37"/>
  <c r="K34" i="68"/>
  <c r="AF37" i="20"/>
  <c r="L34" i="68"/>
  <c r="DP37" i="20"/>
  <c r="M34" i="68"/>
  <c r="AG38" i="20"/>
  <c r="AH38"/>
  <c r="AI38"/>
  <c r="AJ38"/>
  <c r="DO38"/>
  <c r="K35" i="68"/>
  <c r="AF38" i="20"/>
  <c r="L35" i="68"/>
  <c r="DP38" i="20"/>
  <c r="M35" i="68"/>
  <c r="AG39" i="20"/>
  <c r="AH39"/>
  <c r="AI39"/>
  <c r="AJ39"/>
  <c r="DO39"/>
  <c r="K36" i="68"/>
  <c r="AF39" i="20"/>
  <c r="L36" i="68"/>
  <c r="DP39" i="20"/>
  <c r="M36" i="68"/>
  <c r="AG40" i="20"/>
  <c r="AH40"/>
  <c r="AI40"/>
  <c r="AJ40"/>
  <c r="DO40"/>
  <c r="K37" i="68"/>
  <c r="AF40" i="20"/>
  <c r="L37" i="68"/>
  <c r="DP40" i="20"/>
  <c r="M37" i="68"/>
  <c r="AG41" i="20"/>
  <c r="AH41"/>
  <c r="AI41"/>
  <c r="AJ41"/>
  <c r="DO41"/>
  <c r="K38" i="68"/>
  <c r="AF41" i="20"/>
  <c r="L38" i="68"/>
  <c r="DP41" i="20"/>
  <c r="M38" i="68"/>
  <c r="AG42" i="20"/>
  <c r="AH42"/>
  <c r="AI42"/>
  <c r="AJ42"/>
  <c r="DO42"/>
  <c r="K39" i="68"/>
  <c r="AF42" i="20"/>
  <c r="L39" i="68"/>
  <c r="DP42" i="20"/>
  <c r="M39" i="68"/>
  <c r="AG43" i="20"/>
  <c r="AH43"/>
  <c r="AI43"/>
  <c r="AJ43"/>
  <c r="DO43"/>
  <c r="K40" i="68"/>
  <c r="AF43" i="20"/>
  <c r="L40" i="68"/>
  <c r="DP43" i="20"/>
  <c r="M40" i="68"/>
  <c r="AG44" i="20"/>
  <c r="AH44"/>
  <c r="AI44"/>
  <c r="AJ44"/>
  <c r="DO44"/>
  <c r="K41" i="68"/>
  <c r="AF44" i="20"/>
  <c r="L41" i="68"/>
  <c r="DP44" i="20"/>
  <c r="M41" i="68"/>
  <c r="AG45" i="20"/>
  <c r="AH45"/>
  <c r="AI45"/>
  <c r="AJ45"/>
  <c r="DO45"/>
  <c r="K42" i="68"/>
  <c r="AF45" i="20"/>
  <c r="L42" i="68"/>
  <c r="DP45" i="20"/>
  <c r="M42" i="68"/>
  <c r="AG46" i="20"/>
  <c r="AH46"/>
  <c r="AI46"/>
  <c r="AJ46"/>
  <c r="DO46"/>
  <c r="K43" i="68"/>
  <c r="AF46" i="20"/>
  <c r="L43" i="68"/>
  <c r="DP46" i="20"/>
  <c r="M43" i="68"/>
  <c r="AG47" i="20"/>
  <c r="AH47"/>
  <c r="AI47"/>
  <c r="AJ47"/>
  <c r="DO47"/>
  <c r="K44" i="68"/>
  <c r="AF47" i="20"/>
  <c r="L44" i="68"/>
  <c r="DP47" i="20"/>
  <c r="M44" i="68"/>
  <c r="AG48" i="20"/>
  <c r="AH48"/>
  <c r="AI48"/>
  <c r="AJ48"/>
  <c r="DO48"/>
  <c r="K45" i="68"/>
  <c r="AF48" i="20"/>
  <c r="L45" i="68"/>
  <c r="DP48" i="20"/>
  <c r="M45" i="68"/>
  <c r="AG49" i="20"/>
  <c r="AH49"/>
  <c r="AI49"/>
  <c r="AJ49"/>
  <c r="DO49"/>
  <c r="K46" i="68"/>
  <c r="AF49" i="20"/>
  <c r="L46" i="68"/>
  <c r="DP49" i="20"/>
  <c r="M46" i="68"/>
  <c r="AG50" i="20"/>
  <c r="AH50"/>
  <c r="AI50"/>
  <c r="AJ50"/>
  <c r="DO50"/>
  <c r="K47" i="68"/>
  <c r="AF50" i="20"/>
  <c r="L47" i="68"/>
  <c r="DP50" i="20"/>
  <c r="M47" i="68"/>
  <c r="AG51" i="20"/>
  <c r="AH51"/>
  <c r="AI51"/>
  <c r="AJ51"/>
  <c r="DO51"/>
  <c r="K48" i="68"/>
  <c r="AF51" i="20"/>
  <c r="L48" i="68"/>
  <c r="DP51" i="20"/>
  <c r="M48" i="68"/>
  <c r="AG52" i="20"/>
  <c r="AH52"/>
  <c r="AI52"/>
  <c r="AJ52"/>
  <c r="DO52"/>
  <c r="K49" i="68"/>
  <c r="AF52" i="20"/>
  <c r="L49" i="68"/>
  <c r="DP52" i="20"/>
  <c r="M49" i="68"/>
  <c r="M10" i="2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0"/>
  <c r="N50"/>
  <c r="M51"/>
  <c r="N51"/>
  <c r="M52"/>
  <c r="N52"/>
  <c r="M53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M79"/>
  <c r="N79"/>
  <c r="M80"/>
  <c r="N80"/>
  <c r="M81"/>
  <c r="N81"/>
  <c r="M82"/>
  <c r="N82"/>
  <c r="M83"/>
  <c r="N83"/>
  <c r="M84"/>
  <c r="N84"/>
  <c r="M85"/>
  <c r="N85"/>
  <c r="M86"/>
  <c r="N86"/>
  <c r="M87"/>
  <c r="N87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N9"/>
  <c r="M9"/>
  <c r="F7" i="68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6"/>
  <c r="K10" i="20"/>
  <c r="G7" i="68"/>
  <c r="K11" i="20"/>
  <c r="G8" i="68"/>
  <c r="K12" i="20"/>
  <c r="G9" i="68"/>
  <c r="K13" i="20"/>
  <c r="G10" i="68"/>
  <c r="K14" i="20"/>
  <c r="G11" i="68"/>
  <c r="K15" i="20"/>
  <c r="G12" i="68"/>
  <c r="K16" i="20"/>
  <c r="G13" i="68"/>
  <c r="K17" i="20"/>
  <c r="G14" i="68"/>
  <c r="K18" i="20"/>
  <c r="G15" i="68"/>
  <c r="K19" i="20"/>
  <c r="G16" i="68"/>
  <c r="K20" i="20"/>
  <c r="G17" i="68"/>
  <c r="K21" i="20"/>
  <c r="G18" i="68"/>
  <c r="K22" i="20"/>
  <c r="G19" i="68"/>
  <c r="K23" i="20"/>
  <c r="G20" i="68"/>
  <c r="K24" i="20"/>
  <c r="G21" i="68"/>
  <c r="K25" i="20"/>
  <c r="G22" i="68"/>
  <c r="K26" i="20"/>
  <c r="G23" i="68"/>
  <c r="K27" i="20"/>
  <c r="G24" i="68"/>
  <c r="K28" i="20"/>
  <c r="G25" i="68"/>
  <c r="K29" i="20"/>
  <c r="G26" i="68"/>
  <c r="K30" i="20"/>
  <c r="G27" i="68"/>
  <c r="K31" i="20"/>
  <c r="G28" i="68"/>
  <c r="K32" i="20"/>
  <c r="G29" i="68"/>
  <c r="K33" i="20"/>
  <c r="G30" i="68"/>
  <c r="K34" i="20"/>
  <c r="G31" i="68"/>
  <c r="K35" i="20"/>
  <c r="G32" i="68"/>
  <c r="K36" i="20"/>
  <c r="G33" i="68"/>
  <c r="K37" i="20"/>
  <c r="G34" i="68"/>
  <c r="K38" i="20"/>
  <c r="G35" i="68"/>
  <c r="K39" i="20"/>
  <c r="G36" i="68"/>
  <c r="K40" i="20"/>
  <c r="G37" i="68"/>
  <c r="K41" i="20"/>
  <c r="G38" i="68"/>
  <c r="K42" i="20"/>
  <c r="G39" i="68"/>
  <c r="K43" i="20"/>
  <c r="G40" i="68"/>
  <c r="K44" i="20"/>
  <c r="G41" i="68"/>
  <c r="K45" i="20"/>
  <c r="G42" i="68"/>
  <c r="K46" i="20"/>
  <c r="G43" i="68"/>
  <c r="K47" i="20"/>
  <c r="G44" i="68"/>
  <c r="K48" i="20"/>
  <c r="G45" i="68"/>
  <c r="K49" i="20"/>
  <c r="G46" i="68"/>
  <c r="K50" i="20"/>
  <c r="G47" i="68"/>
  <c r="K51" i="20"/>
  <c r="G48" i="68"/>
  <c r="K52" i="20"/>
  <c r="G49" i="68"/>
  <c r="K9" i="20"/>
  <c r="G6" i="68"/>
  <c r="C10" i="2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9"/>
  <c r="O10"/>
  <c r="H7" i="68"/>
  <c r="O11" i="20"/>
  <c r="H8" i="68"/>
  <c r="O12" i="20"/>
  <c r="H9" i="68"/>
  <c r="O13" i="20"/>
  <c r="H10" i="68"/>
  <c r="O14" i="20"/>
  <c r="H11" i="68"/>
  <c r="O15" i="20"/>
  <c r="H12" i="68"/>
  <c r="O16" i="20"/>
  <c r="H13" i="68"/>
  <c r="O17" i="20"/>
  <c r="H14" i="68"/>
  <c r="O18" i="20"/>
  <c r="H15" i="68"/>
  <c r="O19" i="20"/>
  <c r="H16" i="68"/>
  <c r="O20" i="20"/>
  <c r="H17" i="68"/>
  <c r="O21" i="20"/>
  <c r="H18" i="68"/>
  <c r="O22" i="20"/>
  <c r="H19" i="68"/>
  <c r="O23" i="20"/>
  <c r="H20" i="68"/>
  <c r="O24" i="20"/>
  <c r="H21" i="68"/>
  <c r="O25" i="20"/>
  <c r="H22" i="68"/>
  <c r="O26" i="20"/>
  <c r="H23" i="68"/>
  <c r="O27" i="20"/>
  <c r="H24" i="68"/>
  <c r="O28" i="20"/>
  <c r="H25" i="68"/>
  <c r="O29" i="20"/>
  <c r="H26" i="68"/>
  <c r="O30" i="20"/>
  <c r="H27" i="68"/>
  <c r="O31" i="20"/>
  <c r="H28" i="68"/>
  <c r="O32" i="20"/>
  <c r="H29" i="68"/>
  <c r="O33" i="20"/>
  <c r="H30" i="68"/>
  <c r="O34" i="20"/>
  <c r="H31" i="68"/>
  <c r="O35" i="20"/>
  <c r="H32" i="68"/>
  <c r="O36" i="20"/>
  <c r="H33" i="68"/>
  <c r="O37" i="20"/>
  <c r="H34" i="68"/>
  <c r="O38" i="20"/>
  <c r="H35" i="68"/>
  <c r="O39" i="20"/>
  <c r="H36" i="68"/>
  <c r="O40" i="20"/>
  <c r="H37" i="68"/>
  <c r="O41" i="20"/>
  <c r="H38" i="68"/>
  <c r="O42" i="20"/>
  <c r="H39" i="68"/>
  <c r="O43" i="20"/>
  <c r="H40" i="68"/>
  <c r="O44" i="20"/>
  <c r="H41" i="68"/>
  <c r="O45" i="20"/>
  <c r="H42" i="68"/>
  <c r="O46" i="20"/>
  <c r="H43" i="68"/>
  <c r="O47" i="20"/>
  <c r="H44" i="68"/>
  <c r="O48" i="20"/>
  <c r="H45" i="68"/>
  <c r="O49" i="20"/>
  <c r="H46" i="68"/>
  <c r="O50" i="20"/>
  <c r="H47" i="68"/>
  <c r="O51" i="20"/>
  <c r="H48" i="68"/>
  <c r="O52" i="20"/>
  <c r="H49" i="68"/>
  <c r="O9" i="20"/>
  <c r="H6" i="68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6"/>
  <c r="K6" i="74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6"/>
  <c r="J7" i="73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6"/>
  <c r="L53" i="20"/>
  <c r="DM53"/>
  <c r="DN53"/>
  <c r="L54"/>
  <c r="DM54"/>
  <c r="DN54"/>
  <c r="L55"/>
  <c r="DM55"/>
  <c r="DN55"/>
  <c r="L56"/>
  <c r="DM56"/>
  <c r="DN56"/>
  <c r="L57"/>
  <c r="DM57"/>
  <c r="DN57"/>
  <c r="L58"/>
  <c r="DM58"/>
  <c r="DN58"/>
  <c r="L59"/>
  <c r="DM59"/>
  <c r="DN59"/>
  <c r="L60"/>
  <c r="DM60"/>
  <c r="DN60"/>
  <c r="L61"/>
  <c r="DM61"/>
  <c r="DN61"/>
  <c r="L62"/>
  <c r="DM62"/>
  <c r="DN62"/>
  <c r="L63"/>
  <c r="DM63"/>
  <c r="DN63"/>
  <c r="L64"/>
  <c r="DM64"/>
  <c r="DN64"/>
  <c r="L65"/>
  <c r="DM65"/>
  <c r="DN65"/>
  <c r="L66"/>
  <c r="DM66"/>
  <c r="DN66"/>
  <c r="L67"/>
  <c r="DM67"/>
  <c r="DN67"/>
  <c r="L68"/>
  <c r="DM68"/>
  <c r="DN68"/>
  <c r="L69"/>
  <c r="DM69"/>
  <c r="DN69"/>
  <c r="L70"/>
  <c r="DM70"/>
  <c r="DN70"/>
  <c r="L71"/>
  <c r="DM71"/>
  <c r="DN71"/>
  <c r="L72"/>
  <c r="DM72"/>
  <c r="DN72"/>
  <c r="L73"/>
  <c r="DM73"/>
  <c r="DN73"/>
  <c r="L74"/>
  <c r="DM74"/>
  <c r="DN74"/>
  <c r="L75"/>
  <c r="DM75"/>
  <c r="DN75"/>
  <c r="L76"/>
  <c r="DM76"/>
  <c r="DN76"/>
  <c r="L77"/>
  <c r="DM77"/>
  <c r="DN77"/>
  <c r="L78"/>
  <c r="DM78"/>
  <c r="DN78"/>
  <c r="L79"/>
  <c r="DM79"/>
  <c r="DN79"/>
  <c r="L80"/>
  <c r="DM80"/>
  <c r="DN80"/>
  <c r="L81"/>
  <c r="DM81"/>
  <c r="DN81"/>
  <c r="L82"/>
  <c r="DM82"/>
  <c r="DN82"/>
  <c r="L83"/>
  <c r="DM83"/>
  <c r="DN83"/>
  <c r="L84"/>
  <c r="DM84"/>
  <c r="DN84"/>
  <c r="L85"/>
  <c r="DM85"/>
  <c r="DN85"/>
  <c r="L86"/>
  <c r="DM86"/>
  <c r="DN86"/>
  <c r="L87"/>
  <c r="DM87"/>
  <c r="DN87"/>
  <c r="L88"/>
  <c r="DM88"/>
  <c r="DN88"/>
  <c r="L89"/>
  <c r="DM89"/>
  <c r="DN89"/>
  <c r="L90"/>
  <c r="DM90"/>
  <c r="DN90"/>
  <c r="L91"/>
  <c r="DM91"/>
  <c r="DN91"/>
  <c r="L92"/>
  <c r="DM92"/>
  <c r="DN92"/>
  <c r="L93"/>
  <c r="DM93"/>
  <c r="DN93"/>
  <c r="L94"/>
  <c r="DM94"/>
  <c r="DN94"/>
  <c r="L95"/>
  <c r="DM95"/>
  <c r="DN95"/>
  <c r="L96"/>
  <c r="DM96"/>
  <c r="DN96"/>
  <c r="L97"/>
  <c r="DM97"/>
  <c r="DN97"/>
  <c r="L98"/>
  <c r="DM98"/>
  <c r="DN98"/>
  <c r="L99"/>
  <c r="DM99"/>
  <c r="DN99"/>
  <c r="L100"/>
  <c r="DM100"/>
  <c r="DN100"/>
  <c r="L101"/>
  <c r="DM101"/>
  <c r="DN101"/>
  <c r="L102"/>
  <c r="D18"/>
  <c r="B15" i="73"/>
  <c r="E7" i="74"/>
  <c r="F7"/>
  <c r="DX10" i="20"/>
  <c r="G7" i="74"/>
  <c r="H7"/>
  <c r="I7"/>
  <c r="CT10" i="20"/>
  <c r="J7" i="74"/>
  <c r="E8"/>
  <c r="F8"/>
  <c r="DX11" i="20"/>
  <c r="G8" i="74"/>
  <c r="H8"/>
  <c r="I8"/>
  <c r="CT11" i="20"/>
  <c r="J8" i="74"/>
  <c r="E9"/>
  <c r="F9"/>
  <c r="DX12" i="20"/>
  <c r="G9" i="74"/>
  <c r="H9"/>
  <c r="I9"/>
  <c r="CT12" i="20"/>
  <c r="J9" i="74"/>
  <c r="E10"/>
  <c r="F10"/>
  <c r="DX13" i="20"/>
  <c r="G10" i="74"/>
  <c r="H10"/>
  <c r="I10"/>
  <c r="CT13" i="20"/>
  <c r="J10" i="74"/>
  <c r="E11"/>
  <c r="F11"/>
  <c r="DX14" i="20"/>
  <c r="G11" i="74"/>
  <c r="H11"/>
  <c r="I11"/>
  <c r="CT14" i="20"/>
  <c r="J11" i="74"/>
  <c r="E12"/>
  <c r="F12"/>
  <c r="DX15" i="20"/>
  <c r="G12" i="74"/>
  <c r="H12"/>
  <c r="I12"/>
  <c r="CT15" i="20"/>
  <c r="J12" i="74"/>
  <c r="E13"/>
  <c r="F13"/>
  <c r="DX16" i="20"/>
  <c r="G13" i="74"/>
  <c r="H13"/>
  <c r="I13"/>
  <c r="CT16" i="20"/>
  <c r="J13" i="74"/>
  <c r="E14"/>
  <c r="F14"/>
  <c r="DX17" i="20"/>
  <c r="G14" i="74"/>
  <c r="H14"/>
  <c r="I14"/>
  <c r="CT17" i="20"/>
  <c r="J14" i="74"/>
  <c r="E15"/>
  <c r="F15"/>
  <c r="DX18" i="20"/>
  <c r="G15" i="74"/>
  <c r="H15"/>
  <c r="I15"/>
  <c r="CT18" i="20"/>
  <c r="J15" i="74"/>
  <c r="E16"/>
  <c r="F16"/>
  <c r="DX19" i="20"/>
  <c r="G16" i="74"/>
  <c r="H16"/>
  <c r="I16"/>
  <c r="CT19" i="20"/>
  <c r="J16" i="74"/>
  <c r="E17"/>
  <c r="F17"/>
  <c r="DX20" i="20"/>
  <c r="G17" i="74"/>
  <c r="H17"/>
  <c r="I17"/>
  <c r="CT20" i="20"/>
  <c r="J17" i="74"/>
  <c r="E18"/>
  <c r="F18"/>
  <c r="DX21" i="20"/>
  <c r="G18" i="74"/>
  <c r="H18"/>
  <c r="I18"/>
  <c r="CT21" i="20"/>
  <c r="J18" i="74"/>
  <c r="E19"/>
  <c r="F19"/>
  <c r="DX22" i="20"/>
  <c r="G19" i="74"/>
  <c r="H19"/>
  <c r="I19"/>
  <c r="CT22" i="20"/>
  <c r="J19" i="74"/>
  <c r="E20"/>
  <c r="F20"/>
  <c r="DX23" i="20"/>
  <c r="G20" i="74"/>
  <c r="H20"/>
  <c r="I20"/>
  <c r="CT23" i="20"/>
  <c r="J20" i="74"/>
  <c r="E21"/>
  <c r="F21"/>
  <c r="DX24" i="20"/>
  <c r="G21" i="74"/>
  <c r="H21"/>
  <c r="I21"/>
  <c r="CT24" i="20"/>
  <c r="J21" i="74"/>
  <c r="E22"/>
  <c r="F22"/>
  <c r="DX25" i="20"/>
  <c r="G22" i="74"/>
  <c r="H22"/>
  <c r="I22"/>
  <c r="CT25" i="20"/>
  <c r="J22" i="74"/>
  <c r="E23"/>
  <c r="F23"/>
  <c r="DX26" i="20"/>
  <c r="G23" i="74"/>
  <c r="H23"/>
  <c r="I23"/>
  <c r="CT26" i="20"/>
  <c r="J23" i="74"/>
  <c r="E24"/>
  <c r="F24"/>
  <c r="DX27" i="20"/>
  <c r="G24" i="74"/>
  <c r="H24"/>
  <c r="I24"/>
  <c r="CT27" i="20"/>
  <c r="J24" i="74"/>
  <c r="E25"/>
  <c r="F25"/>
  <c r="DX28" i="20"/>
  <c r="G25" i="74"/>
  <c r="H25"/>
  <c r="I25"/>
  <c r="CT28" i="20"/>
  <c r="J25" i="74"/>
  <c r="E26"/>
  <c r="F26"/>
  <c r="DX29" i="20"/>
  <c r="G26" i="74"/>
  <c r="H26"/>
  <c r="I26"/>
  <c r="CT29" i="20"/>
  <c r="J26" i="74"/>
  <c r="E27"/>
  <c r="F27"/>
  <c r="DX30" i="20"/>
  <c r="G27" i="74"/>
  <c r="H27"/>
  <c r="I27"/>
  <c r="CT30" i="20"/>
  <c r="J27" i="74"/>
  <c r="E28"/>
  <c r="F28"/>
  <c r="DX31" i="20"/>
  <c r="G28" i="74"/>
  <c r="H28"/>
  <c r="I28"/>
  <c r="CT31" i="20"/>
  <c r="J28" i="74"/>
  <c r="E29"/>
  <c r="F29"/>
  <c r="DX32" i="20"/>
  <c r="G29" i="74"/>
  <c r="H29"/>
  <c r="I29"/>
  <c r="CT32" i="20"/>
  <c r="J29" i="74"/>
  <c r="E30"/>
  <c r="F30"/>
  <c r="DX33" i="20"/>
  <c r="G30" i="74"/>
  <c r="H30"/>
  <c r="I30"/>
  <c r="CT33" i="20"/>
  <c r="J30" i="74"/>
  <c r="E31"/>
  <c r="F31"/>
  <c r="DX34" i="20"/>
  <c r="G31" i="74"/>
  <c r="H31"/>
  <c r="I31"/>
  <c r="CT34" i="20"/>
  <c r="J31" i="74"/>
  <c r="E32"/>
  <c r="F32"/>
  <c r="DX35" i="20"/>
  <c r="G32" i="74"/>
  <c r="H32"/>
  <c r="I32"/>
  <c r="CT35" i="20"/>
  <c r="J32" i="74"/>
  <c r="E33"/>
  <c r="F33"/>
  <c r="DX36" i="20"/>
  <c r="G33" i="74"/>
  <c r="H33"/>
  <c r="I33"/>
  <c r="CT36" i="20"/>
  <c r="J33" i="74"/>
  <c r="E34"/>
  <c r="F34"/>
  <c r="DX37" i="20"/>
  <c r="G34" i="74"/>
  <c r="H34"/>
  <c r="I34"/>
  <c r="CT37" i="20"/>
  <c r="J34" i="74"/>
  <c r="E35"/>
  <c r="F35"/>
  <c r="DX38" i="20"/>
  <c r="G35" i="74"/>
  <c r="H35"/>
  <c r="I35"/>
  <c r="CT38" i="20"/>
  <c r="J35" i="74"/>
  <c r="E36"/>
  <c r="F36"/>
  <c r="DX39" i="20"/>
  <c r="G36" i="74"/>
  <c r="H36"/>
  <c r="I36"/>
  <c r="CT39" i="20"/>
  <c r="J36" i="74"/>
  <c r="E37"/>
  <c r="F37"/>
  <c r="DX40" i="20"/>
  <c r="G37" i="74"/>
  <c r="H37"/>
  <c r="I37"/>
  <c r="CT40" i="20"/>
  <c r="J37" i="74"/>
  <c r="E38"/>
  <c r="F38"/>
  <c r="DX41" i="20"/>
  <c r="G38" i="74"/>
  <c r="H38"/>
  <c r="I38"/>
  <c r="CT41" i="20"/>
  <c r="J38" i="74"/>
  <c r="E39"/>
  <c r="F39"/>
  <c r="DX42" i="20"/>
  <c r="G39" i="74"/>
  <c r="H39"/>
  <c r="I39"/>
  <c r="CT42" i="20"/>
  <c r="J39" i="74"/>
  <c r="E40"/>
  <c r="F40"/>
  <c r="DX43" i="20"/>
  <c r="G40" i="74"/>
  <c r="H40"/>
  <c r="I40"/>
  <c r="CT43" i="20"/>
  <c r="J40" i="74"/>
  <c r="E41"/>
  <c r="F41"/>
  <c r="DX44" i="20"/>
  <c r="G41" i="74"/>
  <c r="H41"/>
  <c r="I41"/>
  <c r="CT44" i="20"/>
  <c r="J41" i="74"/>
  <c r="E42"/>
  <c r="F42"/>
  <c r="DX45" i="20"/>
  <c r="G42" i="74"/>
  <c r="H42"/>
  <c r="I42"/>
  <c r="CT45" i="20"/>
  <c r="J42" i="74"/>
  <c r="E43"/>
  <c r="F43"/>
  <c r="DX46" i="20"/>
  <c r="G43" i="74"/>
  <c r="H43"/>
  <c r="I43"/>
  <c r="CT46" i="20"/>
  <c r="J43" i="74"/>
  <c r="E44"/>
  <c r="F44"/>
  <c r="DX47" i="20"/>
  <c r="G44" i="74"/>
  <c r="H44"/>
  <c r="I44"/>
  <c r="CT47" i="20"/>
  <c r="J44" i="74"/>
  <c r="E45"/>
  <c r="F45"/>
  <c r="DX48" i="20"/>
  <c r="G45" i="74"/>
  <c r="H45"/>
  <c r="I45"/>
  <c r="CT48" i="20"/>
  <c r="J45" i="74"/>
  <c r="E46"/>
  <c r="F46"/>
  <c r="DX49" i="20"/>
  <c r="G46" i="74"/>
  <c r="H46"/>
  <c r="I46"/>
  <c r="CT49" i="20"/>
  <c r="J46" i="74"/>
  <c r="E47"/>
  <c r="F47"/>
  <c r="DX50" i="20"/>
  <c r="G47" i="74"/>
  <c r="H47"/>
  <c r="I47"/>
  <c r="CT50" i="20"/>
  <c r="J47" i="74"/>
  <c r="E48"/>
  <c r="F48"/>
  <c r="DX51" i="20"/>
  <c r="G48" i="74"/>
  <c r="H48"/>
  <c r="I48"/>
  <c r="CT51" i="20"/>
  <c r="J48" i="74"/>
  <c r="E49"/>
  <c r="F49"/>
  <c r="DX52" i="20"/>
  <c r="G49" i="74"/>
  <c r="H49"/>
  <c r="I49"/>
  <c r="CT52" i="20"/>
  <c r="J49" i="74"/>
  <c r="AQ7" i="1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6"/>
  <c r="DT10" i="20"/>
  <c r="DU10"/>
  <c r="DY10"/>
  <c r="DZ10"/>
  <c r="EA10"/>
  <c r="EB10"/>
  <c r="DT11"/>
  <c r="DU11"/>
  <c r="DY11"/>
  <c r="DZ11"/>
  <c r="EA11"/>
  <c r="EB11"/>
  <c r="DT12"/>
  <c r="DU12"/>
  <c r="DY12"/>
  <c r="DZ12"/>
  <c r="EA12"/>
  <c r="EB12"/>
  <c r="DT13"/>
  <c r="DU13"/>
  <c r="DY13"/>
  <c r="DZ13"/>
  <c r="EA13"/>
  <c r="EB13"/>
  <c r="DT14"/>
  <c r="DU14"/>
  <c r="DY14"/>
  <c r="DZ14"/>
  <c r="EA14"/>
  <c r="EB14"/>
  <c r="DT15"/>
  <c r="DU15"/>
  <c r="DY15"/>
  <c r="DZ15"/>
  <c r="EA15"/>
  <c r="EB15"/>
  <c r="DT16"/>
  <c r="DU16"/>
  <c r="DY16"/>
  <c r="DZ16"/>
  <c r="EA16"/>
  <c r="EB16"/>
  <c r="DT17"/>
  <c r="DU17"/>
  <c r="DY17"/>
  <c r="DZ17"/>
  <c r="EA17"/>
  <c r="EB17"/>
  <c r="DT18"/>
  <c r="DU18"/>
  <c r="DY18"/>
  <c r="DZ18"/>
  <c r="EA18"/>
  <c r="EB18"/>
  <c r="DT19"/>
  <c r="DU19"/>
  <c r="DY19"/>
  <c r="DZ19"/>
  <c r="EA19"/>
  <c r="EB19"/>
  <c r="DT20"/>
  <c r="DU20"/>
  <c r="DY20"/>
  <c r="DZ20"/>
  <c r="EA20"/>
  <c r="EB20"/>
  <c r="DT21"/>
  <c r="DU21"/>
  <c r="DY21"/>
  <c r="DZ21"/>
  <c r="EA21"/>
  <c r="EB21"/>
  <c r="DT22"/>
  <c r="DU22"/>
  <c r="DY22"/>
  <c r="DZ22"/>
  <c r="EA22"/>
  <c r="EB22"/>
  <c r="DT23"/>
  <c r="DU23"/>
  <c r="DY23"/>
  <c r="DZ23"/>
  <c r="EA23"/>
  <c r="EB23"/>
  <c r="DT24"/>
  <c r="DU24"/>
  <c r="DY24"/>
  <c r="DZ24"/>
  <c r="EA24"/>
  <c r="EB24"/>
  <c r="DT25"/>
  <c r="DU25"/>
  <c r="DY25"/>
  <c r="DZ25"/>
  <c r="EA25"/>
  <c r="EB25"/>
  <c r="DT26"/>
  <c r="DU26"/>
  <c r="DY26"/>
  <c r="DZ26"/>
  <c r="EA26"/>
  <c r="EB26"/>
  <c r="DT27"/>
  <c r="DU27"/>
  <c r="DY27"/>
  <c r="DZ27"/>
  <c r="EA27"/>
  <c r="EB27"/>
  <c r="DT28"/>
  <c r="DU28"/>
  <c r="DY28"/>
  <c r="DZ28"/>
  <c r="EA28"/>
  <c r="EB28"/>
  <c r="DT29"/>
  <c r="DU29"/>
  <c r="DY29"/>
  <c r="DZ29"/>
  <c r="EA29"/>
  <c r="EB29"/>
  <c r="DT30"/>
  <c r="DU30"/>
  <c r="DY30"/>
  <c r="DZ30"/>
  <c r="EA30"/>
  <c r="EB30"/>
  <c r="DT31"/>
  <c r="DU31"/>
  <c r="DY31"/>
  <c r="DZ31"/>
  <c r="EA31"/>
  <c r="EB31"/>
  <c r="DT32"/>
  <c r="DU32"/>
  <c r="DY32"/>
  <c r="DZ32"/>
  <c r="EA32"/>
  <c r="EB32"/>
  <c r="DT33"/>
  <c r="DU33"/>
  <c r="DY33"/>
  <c r="DZ33"/>
  <c r="EA33"/>
  <c r="EB33"/>
  <c r="DT34"/>
  <c r="DU34"/>
  <c r="DY34"/>
  <c r="DZ34"/>
  <c r="EA34"/>
  <c r="EB34"/>
  <c r="DT35"/>
  <c r="DU35"/>
  <c r="DY35"/>
  <c r="DZ35"/>
  <c r="EA35"/>
  <c r="EB35"/>
  <c r="DT36"/>
  <c r="DU36"/>
  <c r="DY36"/>
  <c r="DZ36"/>
  <c r="EA36"/>
  <c r="EB36"/>
  <c r="DT37"/>
  <c r="DU37"/>
  <c r="DY37"/>
  <c r="DZ37"/>
  <c r="EA37"/>
  <c r="EB37"/>
  <c r="DT38"/>
  <c r="DU38"/>
  <c r="DY38"/>
  <c r="DZ38"/>
  <c r="EA38"/>
  <c r="EB38"/>
  <c r="DT39"/>
  <c r="DU39"/>
  <c r="DY39"/>
  <c r="DZ39"/>
  <c r="EA39"/>
  <c r="EB39"/>
  <c r="DT40"/>
  <c r="DU40"/>
  <c r="DY40"/>
  <c r="DZ40"/>
  <c r="EA40"/>
  <c r="EB40"/>
  <c r="DT41"/>
  <c r="DU41"/>
  <c r="DY41"/>
  <c r="DZ41"/>
  <c r="EA41"/>
  <c r="EB41"/>
  <c r="DT42"/>
  <c r="DU42"/>
  <c r="DY42"/>
  <c r="DZ42"/>
  <c r="EA42"/>
  <c r="EB42"/>
  <c r="DT43"/>
  <c r="DU43"/>
  <c r="DY43"/>
  <c r="DZ43"/>
  <c r="EA43"/>
  <c r="EB43"/>
  <c r="DT44"/>
  <c r="DU44"/>
  <c r="DY44"/>
  <c r="DZ44"/>
  <c r="EA44"/>
  <c r="EB44"/>
  <c r="DT45"/>
  <c r="DU45"/>
  <c r="DY45"/>
  <c r="DZ45"/>
  <c r="EA45"/>
  <c r="EB45"/>
  <c r="DT46"/>
  <c r="DU46"/>
  <c r="DY46"/>
  <c r="DZ46"/>
  <c r="EA46"/>
  <c r="EB46"/>
  <c r="DT47"/>
  <c r="DU47"/>
  <c r="DY47"/>
  <c r="DZ47"/>
  <c r="EA47"/>
  <c r="EB47"/>
  <c r="DT48"/>
  <c r="DU48"/>
  <c r="DY48"/>
  <c r="DZ48"/>
  <c r="EA48"/>
  <c r="EB48"/>
  <c r="DT49"/>
  <c r="DU49"/>
  <c r="DY49"/>
  <c r="DZ49"/>
  <c r="EA49"/>
  <c r="EB49"/>
  <c r="DT50"/>
  <c r="DU50"/>
  <c r="DY50"/>
  <c r="DZ50"/>
  <c r="EA50"/>
  <c r="EB50"/>
  <c r="DT51"/>
  <c r="DU51"/>
  <c r="DY51"/>
  <c r="DZ51"/>
  <c r="EA51"/>
  <c r="EB51"/>
  <c r="DT52"/>
  <c r="DU52"/>
  <c r="DY52"/>
  <c r="DZ52"/>
  <c r="EA52"/>
  <c r="EB52"/>
  <c r="DT53"/>
  <c r="DU53"/>
  <c r="DV53"/>
  <c r="DW53"/>
  <c r="DX53"/>
  <c r="DY53"/>
  <c r="DZ53"/>
  <c r="EA53"/>
  <c r="EB53"/>
  <c r="DT54"/>
  <c r="DU54"/>
  <c r="DV54"/>
  <c r="DW54"/>
  <c r="DX54"/>
  <c r="DY54"/>
  <c r="DZ54"/>
  <c r="EA54"/>
  <c r="EB54"/>
  <c r="DT55"/>
  <c r="DU55"/>
  <c r="DV55"/>
  <c r="DW55"/>
  <c r="DX55"/>
  <c r="DY55"/>
  <c r="DZ55"/>
  <c r="EA55"/>
  <c r="EB55"/>
  <c r="DT56"/>
  <c r="DU56"/>
  <c r="DV56"/>
  <c r="DW56"/>
  <c r="DX56"/>
  <c r="DY56"/>
  <c r="DZ56"/>
  <c r="EA56"/>
  <c r="EB56"/>
  <c r="DT57"/>
  <c r="DU57"/>
  <c r="DV57"/>
  <c r="DW57"/>
  <c r="DX57"/>
  <c r="DY57"/>
  <c r="DZ57"/>
  <c r="EA57"/>
  <c r="EB57"/>
  <c r="DT58"/>
  <c r="DU58"/>
  <c r="DV58"/>
  <c r="DW58"/>
  <c r="DX58"/>
  <c r="DY58"/>
  <c r="DZ58"/>
  <c r="EA58"/>
  <c r="EB58"/>
  <c r="DT59"/>
  <c r="DU59"/>
  <c r="DV59"/>
  <c r="DW59"/>
  <c r="DX59"/>
  <c r="DY59"/>
  <c r="DZ59"/>
  <c r="EA59"/>
  <c r="EB59"/>
  <c r="DT60"/>
  <c r="DU60"/>
  <c r="DV60"/>
  <c r="DW60"/>
  <c r="DX60"/>
  <c r="DY60"/>
  <c r="DZ60"/>
  <c r="EA60"/>
  <c r="EB60"/>
  <c r="DT61"/>
  <c r="DU61"/>
  <c r="DV61"/>
  <c r="DW61"/>
  <c r="DX61"/>
  <c r="DY61"/>
  <c r="DZ61"/>
  <c r="EA61"/>
  <c r="EB61"/>
  <c r="DT62"/>
  <c r="DU62"/>
  <c r="DV62"/>
  <c r="DW62"/>
  <c r="DX62"/>
  <c r="DY62"/>
  <c r="DZ62"/>
  <c r="EA62"/>
  <c r="EB62"/>
  <c r="DT63"/>
  <c r="DU63"/>
  <c r="DV63"/>
  <c r="DW63"/>
  <c r="DX63"/>
  <c r="DY63"/>
  <c r="DZ63"/>
  <c r="EA63"/>
  <c r="EB63"/>
  <c r="DT64"/>
  <c r="DU64"/>
  <c r="DV64"/>
  <c r="DW64"/>
  <c r="DX64"/>
  <c r="DY64"/>
  <c r="DZ64"/>
  <c r="EA64"/>
  <c r="EB64"/>
  <c r="DT65"/>
  <c r="DU65"/>
  <c r="DV65"/>
  <c r="DW65"/>
  <c r="DX65"/>
  <c r="DY65"/>
  <c r="DZ65"/>
  <c r="EA65"/>
  <c r="EB65"/>
  <c r="DT66"/>
  <c r="DU66"/>
  <c r="DV66"/>
  <c r="DW66"/>
  <c r="DX66"/>
  <c r="DY66"/>
  <c r="DZ66"/>
  <c r="EA66"/>
  <c r="EB66"/>
  <c r="DT67"/>
  <c r="DU67"/>
  <c r="DV67"/>
  <c r="DW67"/>
  <c r="DX67"/>
  <c r="DY67"/>
  <c r="DZ67"/>
  <c r="EA67"/>
  <c r="EB67"/>
  <c r="DT68"/>
  <c r="DU68"/>
  <c r="DV68"/>
  <c r="DW68"/>
  <c r="DX68"/>
  <c r="DY68"/>
  <c r="DZ68"/>
  <c r="EA68"/>
  <c r="EB68"/>
  <c r="DT69"/>
  <c r="DU69"/>
  <c r="DV69"/>
  <c r="DW69"/>
  <c r="DX69"/>
  <c r="DY69"/>
  <c r="DZ69"/>
  <c r="EA69"/>
  <c r="EB69"/>
  <c r="DT70"/>
  <c r="DU70"/>
  <c r="DV70"/>
  <c r="DW70"/>
  <c r="DX70"/>
  <c r="DY70"/>
  <c r="DZ70"/>
  <c r="EA70"/>
  <c r="EB70"/>
  <c r="DT71"/>
  <c r="DU71"/>
  <c r="DV71"/>
  <c r="DW71"/>
  <c r="DX71"/>
  <c r="DY71"/>
  <c r="DZ71"/>
  <c r="EA71"/>
  <c r="EB71"/>
  <c r="DT72"/>
  <c r="DU72"/>
  <c r="DV72"/>
  <c r="DW72"/>
  <c r="DX72"/>
  <c r="DY72"/>
  <c r="DZ72"/>
  <c r="EA72"/>
  <c r="EB72"/>
  <c r="DT73"/>
  <c r="DU73"/>
  <c r="DV73"/>
  <c r="DW73"/>
  <c r="DX73"/>
  <c r="DY73"/>
  <c r="DZ73"/>
  <c r="EA73"/>
  <c r="EB73"/>
  <c r="DT74"/>
  <c r="DU74"/>
  <c r="DV74"/>
  <c r="DW74"/>
  <c r="DX74"/>
  <c r="DY74"/>
  <c r="DZ74"/>
  <c r="EA74"/>
  <c r="EB74"/>
  <c r="DT75"/>
  <c r="DU75"/>
  <c r="DV75"/>
  <c r="DW75"/>
  <c r="DX75"/>
  <c r="DY75"/>
  <c r="DZ75"/>
  <c r="EA75"/>
  <c r="EB75"/>
  <c r="DT76"/>
  <c r="DU76"/>
  <c r="DV76"/>
  <c r="DW76"/>
  <c r="DX76"/>
  <c r="DY76"/>
  <c r="DZ76"/>
  <c r="EA76"/>
  <c r="EB76"/>
  <c r="DT77"/>
  <c r="DU77"/>
  <c r="DV77"/>
  <c r="DW77"/>
  <c r="DX77"/>
  <c r="DY77"/>
  <c r="DZ77"/>
  <c r="EA77"/>
  <c r="EB77"/>
  <c r="DT78"/>
  <c r="DU78"/>
  <c r="DV78"/>
  <c r="DW78"/>
  <c r="DX78"/>
  <c r="DY78"/>
  <c r="DZ78"/>
  <c r="EA78"/>
  <c r="EB78"/>
  <c r="DT79"/>
  <c r="DU79"/>
  <c r="DV79"/>
  <c r="DW79"/>
  <c r="DX79"/>
  <c r="DY79"/>
  <c r="DZ79"/>
  <c r="EA79"/>
  <c r="EB79"/>
  <c r="DT80"/>
  <c r="DU80"/>
  <c r="DV80"/>
  <c r="DW80"/>
  <c r="DX80"/>
  <c r="DY80"/>
  <c r="DZ80"/>
  <c r="EA80"/>
  <c r="EB80"/>
  <c r="DT81"/>
  <c r="DU81"/>
  <c r="DV81"/>
  <c r="DW81"/>
  <c r="DX81"/>
  <c r="DY81"/>
  <c r="DZ81"/>
  <c r="EA81"/>
  <c r="EB81"/>
  <c r="DT82"/>
  <c r="DU82"/>
  <c r="DV82"/>
  <c r="DW82"/>
  <c r="DX82"/>
  <c r="DY82"/>
  <c r="DZ82"/>
  <c r="EA82"/>
  <c r="EB82"/>
  <c r="DT83"/>
  <c r="DU83"/>
  <c r="DV83"/>
  <c r="DW83"/>
  <c r="DX83"/>
  <c r="DY83"/>
  <c r="DZ83"/>
  <c r="EA83"/>
  <c r="EB83"/>
  <c r="DT84"/>
  <c r="DU84"/>
  <c r="DV84"/>
  <c r="DW84"/>
  <c r="DX84"/>
  <c r="DY84"/>
  <c r="DZ84"/>
  <c r="EA84"/>
  <c r="EB84"/>
  <c r="DT85"/>
  <c r="DU85"/>
  <c r="DV85"/>
  <c r="DW85"/>
  <c r="DX85"/>
  <c r="DY85"/>
  <c r="DZ85"/>
  <c r="EA85"/>
  <c r="EB85"/>
  <c r="DT86"/>
  <c r="DU86"/>
  <c r="DV86"/>
  <c r="DW86"/>
  <c r="DX86"/>
  <c r="DY86"/>
  <c r="DZ86"/>
  <c r="EA86"/>
  <c r="EB86"/>
  <c r="DT87"/>
  <c r="DU87"/>
  <c r="DV87"/>
  <c r="DW87"/>
  <c r="DX87"/>
  <c r="DY87"/>
  <c r="DZ87"/>
  <c r="EA87"/>
  <c r="EB87"/>
  <c r="DT88"/>
  <c r="DU88"/>
  <c r="DV88"/>
  <c r="DW88"/>
  <c r="DX88"/>
  <c r="DY88"/>
  <c r="DZ88"/>
  <c r="EA88"/>
  <c r="EB88"/>
  <c r="DT89"/>
  <c r="DU89"/>
  <c r="DV89"/>
  <c r="DW89"/>
  <c r="DX89"/>
  <c r="DY89"/>
  <c r="DZ89"/>
  <c r="EA89"/>
  <c r="EB89"/>
  <c r="DT90"/>
  <c r="DU90"/>
  <c r="DV90"/>
  <c r="DW90"/>
  <c r="DX90"/>
  <c r="DY90"/>
  <c r="DZ90"/>
  <c r="EA90"/>
  <c r="EB90"/>
  <c r="DT91"/>
  <c r="DU91"/>
  <c r="DV91"/>
  <c r="DW91"/>
  <c r="DX91"/>
  <c r="DY91"/>
  <c r="DZ91"/>
  <c r="EA91"/>
  <c r="EB91"/>
  <c r="DT92"/>
  <c r="DU92"/>
  <c r="DV92"/>
  <c r="DW92"/>
  <c r="DX92"/>
  <c r="DY92"/>
  <c r="DZ92"/>
  <c r="EA92"/>
  <c r="EB92"/>
  <c r="DT93"/>
  <c r="DU93"/>
  <c r="DV93"/>
  <c r="DW93"/>
  <c r="DX93"/>
  <c r="DY93"/>
  <c r="DZ93"/>
  <c r="EA93"/>
  <c r="EB93"/>
  <c r="DT94"/>
  <c r="DU94"/>
  <c r="DV94"/>
  <c r="DW94"/>
  <c r="DX94"/>
  <c r="DY94"/>
  <c r="DZ94"/>
  <c r="EA94"/>
  <c r="EB94"/>
  <c r="DT95"/>
  <c r="DU95"/>
  <c r="DV95"/>
  <c r="DW95"/>
  <c r="DX95"/>
  <c r="DY95"/>
  <c r="DZ95"/>
  <c r="EA95"/>
  <c r="EB95"/>
  <c r="DT96"/>
  <c r="DU96"/>
  <c r="DV96"/>
  <c r="DW96"/>
  <c r="DX96"/>
  <c r="DY96"/>
  <c r="DZ96"/>
  <c r="EA96"/>
  <c r="EB96"/>
  <c r="DT97"/>
  <c r="DU97"/>
  <c r="DV97"/>
  <c r="DW97"/>
  <c r="DX97"/>
  <c r="DY97"/>
  <c r="DZ97"/>
  <c r="EA97"/>
  <c r="EB97"/>
  <c r="DT98"/>
  <c r="DU98"/>
  <c r="DV98"/>
  <c r="DW98"/>
  <c r="DX98"/>
  <c r="DY98"/>
  <c r="DZ98"/>
  <c r="EA98"/>
  <c r="EB98"/>
  <c r="DT99"/>
  <c r="DU99"/>
  <c r="DV99"/>
  <c r="DW99"/>
  <c r="DX99"/>
  <c r="DY99"/>
  <c r="DZ99"/>
  <c r="EA99"/>
  <c r="EB99"/>
  <c r="DT100"/>
  <c r="DU100"/>
  <c r="DV100"/>
  <c r="DW100"/>
  <c r="DX100"/>
  <c r="DY100"/>
  <c r="DZ100"/>
  <c r="EA100"/>
  <c r="EB100"/>
  <c r="DT101"/>
  <c r="DU101"/>
  <c r="DV101"/>
  <c r="DW101"/>
  <c r="DX101"/>
  <c r="DY101"/>
  <c r="DZ101"/>
  <c r="EA101"/>
  <c r="EB101"/>
  <c r="EB9"/>
  <c r="EA9"/>
  <c r="DZ9"/>
  <c r="DY9"/>
  <c r="DX9"/>
  <c r="DU9"/>
  <c r="DT9"/>
  <c r="K6" i="73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AR10" i="2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9"/>
  <c r="L7" i="73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AQ41" i="1"/>
  <c r="AQ42"/>
  <c r="AQ43"/>
  <c r="AQ44"/>
  <c r="AQ45"/>
  <c r="C5" i="7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4"/>
  <c r="A47"/>
  <c r="B47"/>
  <c r="D47"/>
  <c r="F47"/>
  <c r="G47"/>
  <c r="H47"/>
  <c r="E47"/>
  <c r="I47"/>
  <c r="J47"/>
  <c r="K47"/>
  <c r="L47"/>
  <c r="M47"/>
  <c r="A48"/>
  <c r="B48"/>
  <c r="D48"/>
  <c r="F48"/>
  <c r="G48"/>
  <c r="H48"/>
  <c r="E48"/>
  <c r="I48"/>
  <c r="J48"/>
  <c r="K48"/>
  <c r="L48"/>
  <c r="M48"/>
  <c r="A49"/>
  <c r="B49"/>
  <c r="D49"/>
  <c r="F49"/>
  <c r="G49"/>
  <c r="H49"/>
  <c r="E49"/>
  <c r="I49"/>
  <c r="J49"/>
  <c r="K49"/>
  <c r="L49"/>
  <c r="M49"/>
  <c r="A50"/>
  <c r="B50"/>
  <c r="D50"/>
  <c r="F50"/>
  <c r="G50"/>
  <c r="H50"/>
  <c r="E50"/>
  <c r="I50"/>
  <c r="J50"/>
  <c r="K50"/>
  <c r="L50"/>
  <c r="M50"/>
  <c r="A51"/>
  <c r="B51"/>
  <c r="D51"/>
  <c r="F51"/>
  <c r="G51"/>
  <c r="H51"/>
  <c r="E51"/>
  <c r="I51"/>
  <c r="J51"/>
  <c r="K51"/>
  <c r="L51"/>
  <c r="M51"/>
  <c r="A52"/>
  <c r="B52"/>
  <c r="D52"/>
  <c r="F52"/>
  <c r="G52"/>
  <c r="H52"/>
  <c r="E52"/>
  <c r="I52"/>
  <c r="J52"/>
  <c r="K52"/>
  <c r="L52"/>
  <c r="M52"/>
  <c r="A53"/>
  <c r="B53"/>
  <c r="D53"/>
  <c r="F53"/>
  <c r="G53"/>
  <c r="H53"/>
  <c r="E53"/>
  <c r="I53"/>
  <c r="J53"/>
  <c r="K53"/>
  <c r="L53"/>
  <c r="M53"/>
  <c r="A54"/>
  <c r="B54"/>
  <c r="D54"/>
  <c r="F54"/>
  <c r="G54"/>
  <c r="H54"/>
  <c r="E54"/>
  <c r="I54"/>
  <c r="J54"/>
  <c r="K54"/>
  <c r="L54"/>
  <c r="M54"/>
  <c r="A55"/>
  <c r="B55"/>
  <c r="D55"/>
  <c r="F55"/>
  <c r="G55"/>
  <c r="H55"/>
  <c r="E55"/>
  <c r="I55"/>
  <c r="J55"/>
  <c r="K55"/>
  <c r="L55"/>
  <c r="M55"/>
  <c r="A56"/>
  <c r="B56"/>
  <c r="D56"/>
  <c r="F56"/>
  <c r="G56"/>
  <c r="H56"/>
  <c r="E56"/>
  <c r="I56"/>
  <c r="J56"/>
  <c r="K56"/>
  <c r="L56"/>
  <c r="M56"/>
  <c r="A57"/>
  <c r="B57"/>
  <c r="D57"/>
  <c r="F57"/>
  <c r="G57"/>
  <c r="H57"/>
  <c r="E57"/>
  <c r="I57"/>
  <c r="J57"/>
  <c r="K57"/>
  <c r="L57"/>
  <c r="M57"/>
  <c r="A58"/>
  <c r="B58"/>
  <c r="D58"/>
  <c r="F58"/>
  <c r="G58"/>
  <c r="H58"/>
  <c r="E58"/>
  <c r="I58"/>
  <c r="J58"/>
  <c r="K58"/>
  <c r="L58"/>
  <c r="M58"/>
  <c r="A59"/>
  <c r="B59"/>
  <c r="D59"/>
  <c r="F59"/>
  <c r="G59"/>
  <c r="H59"/>
  <c r="E59"/>
  <c r="I59"/>
  <c r="J59"/>
  <c r="K59"/>
  <c r="L59"/>
  <c r="M59"/>
  <c r="A60"/>
  <c r="B60"/>
  <c r="D60"/>
  <c r="F60"/>
  <c r="G60"/>
  <c r="H60"/>
  <c r="E60"/>
  <c r="I60"/>
  <c r="J60"/>
  <c r="K60"/>
  <c r="L60"/>
  <c r="M60"/>
  <c r="A61"/>
  <c r="B61"/>
  <c r="D61"/>
  <c r="F61"/>
  <c r="G61"/>
  <c r="H61"/>
  <c r="E61"/>
  <c r="I61"/>
  <c r="J61"/>
  <c r="K61"/>
  <c r="L61"/>
  <c r="M61"/>
  <c r="A62"/>
  <c r="B62"/>
  <c r="D62"/>
  <c r="F62"/>
  <c r="G62"/>
  <c r="H62"/>
  <c r="E62"/>
  <c r="I62"/>
  <c r="J62"/>
  <c r="K62"/>
  <c r="L62"/>
  <c r="M62"/>
  <c r="A63"/>
  <c r="B63"/>
  <c r="D63"/>
  <c r="F63"/>
  <c r="G63"/>
  <c r="H63"/>
  <c r="E63"/>
  <c r="I63"/>
  <c r="J63"/>
  <c r="K63"/>
  <c r="L63"/>
  <c r="M63"/>
  <c r="A64"/>
  <c r="B64"/>
  <c r="D64"/>
  <c r="F64"/>
  <c r="G64"/>
  <c r="H64"/>
  <c r="E64"/>
  <c r="I64"/>
  <c r="J64"/>
  <c r="K64"/>
  <c r="L64"/>
  <c r="M64"/>
  <c r="A65"/>
  <c r="B65"/>
  <c r="D65"/>
  <c r="F65"/>
  <c r="G65"/>
  <c r="H65"/>
  <c r="E65"/>
  <c r="I65"/>
  <c r="J65"/>
  <c r="K65"/>
  <c r="L65"/>
  <c r="M65"/>
  <c r="A66"/>
  <c r="B66"/>
  <c r="D66"/>
  <c r="F66"/>
  <c r="G66"/>
  <c r="H66"/>
  <c r="E66"/>
  <c r="I66"/>
  <c r="J66"/>
  <c r="K66"/>
  <c r="L66"/>
  <c r="M66"/>
  <c r="A67"/>
  <c r="B67"/>
  <c r="D67"/>
  <c r="F67"/>
  <c r="G67"/>
  <c r="H67"/>
  <c r="E67"/>
  <c r="I67"/>
  <c r="J67"/>
  <c r="K67"/>
  <c r="L67"/>
  <c r="M67"/>
  <c r="A68"/>
  <c r="B68"/>
  <c r="D68"/>
  <c r="F68"/>
  <c r="G68"/>
  <c r="H68"/>
  <c r="E68"/>
  <c r="I68"/>
  <c r="J68"/>
  <c r="K68"/>
  <c r="L68"/>
  <c r="M68"/>
  <c r="A69"/>
  <c r="B69"/>
  <c r="D69"/>
  <c r="F69"/>
  <c r="G69"/>
  <c r="H69"/>
  <c r="E69"/>
  <c r="I69"/>
  <c r="J69"/>
  <c r="K69"/>
  <c r="L69"/>
  <c r="M69"/>
  <c r="A70"/>
  <c r="B70"/>
  <c r="D70"/>
  <c r="F70"/>
  <c r="G70"/>
  <c r="H70"/>
  <c r="E70"/>
  <c r="I70"/>
  <c r="J70"/>
  <c r="K70"/>
  <c r="L70"/>
  <c r="M70"/>
  <c r="A71"/>
  <c r="B71"/>
  <c r="D71"/>
  <c r="F71"/>
  <c r="G71"/>
  <c r="H71"/>
  <c r="E71"/>
  <c r="I71"/>
  <c r="J71"/>
  <c r="K71"/>
  <c r="L71"/>
  <c r="M71"/>
  <c r="A72"/>
  <c r="B72"/>
  <c r="D72"/>
  <c r="F72"/>
  <c r="G72"/>
  <c r="H72"/>
  <c r="E72"/>
  <c r="I72"/>
  <c r="J72"/>
  <c r="K72"/>
  <c r="L72"/>
  <c r="M72"/>
  <c r="A73"/>
  <c r="B73"/>
  <c r="D73"/>
  <c r="F73"/>
  <c r="G73"/>
  <c r="H73"/>
  <c r="E73"/>
  <c r="I73"/>
  <c r="J73"/>
  <c r="K73"/>
  <c r="L73"/>
  <c r="M73"/>
  <c r="A74"/>
  <c r="B74"/>
  <c r="D74"/>
  <c r="F74"/>
  <c r="G74"/>
  <c r="H74"/>
  <c r="E74"/>
  <c r="I74"/>
  <c r="J74"/>
  <c r="K74"/>
  <c r="L74"/>
  <c r="M74"/>
  <c r="A75"/>
  <c r="B75"/>
  <c r="D75"/>
  <c r="F75"/>
  <c r="G75"/>
  <c r="H75"/>
  <c r="E75"/>
  <c r="I75"/>
  <c r="J75"/>
  <c r="K75"/>
  <c r="L75"/>
  <c r="M75"/>
  <c r="A76"/>
  <c r="B76"/>
  <c r="D76"/>
  <c r="F76"/>
  <c r="G76"/>
  <c r="H76"/>
  <c r="E76"/>
  <c r="I76"/>
  <c r="J76"/>
  <c r="K76"/>
  <c r="L76"/>
  <c r="M76"/>
  <c r="A77"/>
  <c r="B77"/>
  <c r="D77"/>
  <c r="F77"/>
  <c r="G77"/>
  <c r="H77"/>
  <c r="E77"/>
  <c r="I77"/>
  <c r="J77"/>
  <c r="K77"/>
  <c r="L77"/>
  <c r="M77"/>
  <c r="A78"/>
  <c r="B78"/>
  <c r="D78"/>
  <c r="F78"/>
  <c r="G78"/>
  <c r="H78"/>
  <c r="E78"/>
  <c r="I78"/>
  <c r="J78"/>
  <c r="K78"/>
  <c r="L78"/>
  <c r="M78"/>
  <c r="A79"/>
  <c r="B79"/>
  <c r="D79"/>
  <c r="F79"/>
  <c r="G79"/>
  <c r="H79"/>
  <c r="E79"/>
  <c r="I79"/>
  <c r="J79"/>
  <c r="K79"/>
  <c r="L79"/>
  <c r="M79"/>
  <c r="A80"/>
  <c r="B80"/>
  <c r="D80"/>
  <c r="F80"/>
  <c r="G80"/>
  <c r="H80"/>
  <c r="E80"/>
  <c r="I80"/>
  <c r="J80"/>
  <c r="K80"/>
  <c r="L80"/>
  <c r="M80"/>
  <c r="A81"/>
  <c r="B81"/>
  <c r="D81"/>
  <c r="F81"/>
  <c r="G81"/>
  <c r="H81"/>
  <c r="E81"/>
  <c r="I81"/>
  <c r="J81"/>
  <c r="K81"/>
  <c r="L81"/>
  <c r="M81"/>
  <c r="A82"/>
  <c r="B82"/>
  <c r="D82"/>
  <c r="F82"/>
  <c r="G82"/>
  <c r="H82"/>
  <c r="E82"/>
  <c r="I82"/>
  <c r="J82"/>
  <c r="K82"/>
  <c r="L82"/>
  <c r="M82"/>
  <c r="A83"/>
  <c r="B83"/>
  <c r="D83"/>
  <c r="F83"/>
  <c r="G83"/>
  <c r="H83"/>
  <c r="E83"/>
  <c r="I83"/>
  <c r="J83"/>
  <c r="K83"/>
  <c r="L83"/>
  <c r="M83"/>
  <c r="A84"/>
  <c r="B84"/>
  <c r="D84"/>
  <c r="F84"/>
  <c r="G84"/>
  <c r="H84"/>
  <c r="E84"/>
  <c r="I84"/>
  <c r="J84"/>
  <c r="K84"/>
  <c r="L84"/>
  <c r="M84"/>
  <c r="A85"/>
  <c r="B85"/>
  <c r="D85"/>
  <c r="F85"/>
  <c r="G85"/>
  <c r="H85"/>
  <c r="E85"/>
  <c r="I85"/>
  <c r="J85"/>
  <c r="K85"/>
  <c r="L85"/>
  <c r="M85"/>
  <c r="A86"/>
  <c r="B86"/>
  <c r="D86"/>
  <c r="F86"/>
  <c r="G86"/>
  <c r="H86"/>
  <c r="E86"/>
  <c r="I86"/>
  <c r="J86"/>
  <c r="K86"/>
  <c r="L86"/>
  <c r="M86"/>
  <c r="A87"/>
  <c r="B87"/>
  <c r="D87"/>
  <c r="F87"/>
  <c r="G87"/>
  <c r="H87"/>
  <c r="E87"/>
  <c r="I87"/>
  <c r="J87"/>
  <c r="K87"/>
  <c r="L87"/>
  <c r="M87"/>
  <c r="A88"/>
  <c r="B88"/>
  <c r="D88"/>
  <c r="F88"/>
  <c r="G88"/>
  <c r="H88"/>
  <c r="E88"/>
  <c r="I88"/>
  <c r="J88"/>
  <c r="K88"/>
  <c r="L88"/>
  <c r="M88"/>
  <c r="A89"/>
  <c r="B89"/>
  <c r="D89"/>
  <c r="F89"/>
  <c r="G89"/>
  <c r="H89"/>
  <c r="E89"/>
  <c r="I89"/>
  <c r="J89"/>
  <c r="K89"/>
  <c r="L89"/>
  <c r="M89"/>
  <c r="A90"/>
  <c r="B90"/>
  <c r="D90"/>
  <c r="F90"/>
  <c r="G90"/>
  <c r="H90"/>
  <c r="E90"/>
  <c r="I90"/>
  <c r="J90"/>
  <c r="K90"/>
  <c r="L90"/>
  <c r="M90"/>
  <c r="A91"/>
  <c r="B91"/>
  <c r="D91"/>
  <c r="F91"/>
  <c r="G91"/>
  <c r="H91"/>
  <c r="E91"/>
  <c r="I91"/>
  <c r="J91"/>
  <c r="K91"/>
  <c r="L91"/>
  <c r="M91"/>
  <c r="A92"/>
  <c r="B92"/>
  <c r="D92"/>
  <c r="F92"/>
  <c r="G92"/>
  <c r="H92"/>
  <c r="E92"/>
  <c r="I92"/>
  <c r="J92"/>
  <c r="K92"/>
  <c r="L92"/>
  <c r="M92"/>
  <c r="A93"/>
  <c r="B93"/>
  <c r="D93"/>
  <c r="F93"/>
  <c r="G93"/>
  <c r="H93"/>
  <c r="E93"/>
  <c r="I93"/>
  <c r="J93"/>
  <c r="K93"/>
  <c r="L93"/>
  <c r="M93"/>
  <c r="A94"/>
  <c r="B94"/>
  <c r="D94"/>
  <c r="F94"/>
  <c r="G94"/>
  <c r="H94"/>
  <c r="E94"/>
  <c r="I94"/>
  <c r="J94"/>
  <c r="K94"/>
  <c r="L94"/>
  <c r="M94"/>
  <c r="A95"/>
  <c r="B95"/>
  <c r="D95"/>
  <c r="F95"/>
  <c r="G95"/>
  <c r="H95"/>
  <c r="E95"/>
  <c r="I95"/>
  <c r="J95"/>
  <c r="K95"/>
  <c r="L95"/>
  <c r="M95"/>
  <c r="A96"/>
  <c r="B96"/>
  <c r="D96"/>
  <c r="F96"/>
  <c r="G96"/>
  <c r="H96"/>
  <c r="E96"/>
  <c r="I96"/>
  <c r="J96"/>
  <c r="K96"/>
  <c r="L96"/>
  <c r="M96"/>
  <c r="A97"/>
  <c r="B97"/>
  <c r="D97"/>
  <c r="F97"/>
  <c r="G97"/>
  <c r="H97"/>
  <c r="E97"/>
  <c r="I97"/>
  <c r="J97"/>
  <c r="K97"/>
  <c r="L97"/>
  <c r="M97"/>
  <c r="A98"/>
  <c r="B98"/>
  <c r="D98"/>
  <c r="F98"/>
  <c r="G98"/>
  <c r="H98"/>
  <c r="E98"/>
  <c r="I98"/>
  <c r="J98"/>
  <c r="K98"/>
  <c r="L98"/>
  <c r="M98"/>
  <c r="A99"/>
  <c r="B99"/>
  <c r="D99"/>
  <c r="F99"/>
  <c r="G99"/>
  <c r="H99"/>
  <c r="E99"/>
  <c r="I99"/>
  <c r="J99"/>
  <c r="K99"/>
  <c r="L99"/>
  <c r="M99"/>
  <c r="A100"/>
  <c r="B100"/>
  <c r="D100"/>
  <c r="F100"/>
  <c r="G100"/>
  <c r="H100"/>
  <c r="E100"/>
  <c r="I100"/>
  <c r="J100"/>
  <c r="K100"/>
  <c r="L100"/>
  <c r="M100"/>
  <c r="A101"/>
  <c r="B101"/>
  <c r="D101"/>
  <c r="F101"/>
  <c r="G101"/>
  <c r="H101"/>
  <c r="E101"/>
  <c r="I101"/>
  <c r="J101"/>
  <c r="K101"/>
  <c r="L101"/>
  <c r="M101"/>
  <c r="A102"/>
  <c r="B102"/>
  <c r="D102"/>
  <c r="F102"/>
  <c r="G102"/>
  <c r="H102"/>
  <c r="E102"/>
  <c r="I102"/>
  <c r="J102"/>
  <c r="K102"/>
  <c r="L102"/>
  <c r="M102"/>
  <c r="A103"/>
  <c r="B103"/>
  <c r="D103"/>
  <c r="F103"/>
  <c r="G103"/>
  <c r="H103"/>
  <c r="E103"/>
  <c r="I103"/>
  <c r="J103"/>
  <c r="K103"/>
  <c r="L103"/>
  <c r="M103"/>
  <c r="A104"/>
  <c r="B104"/>
  <c r="D104"/>
  <c r="F104"/>
  <c r="G104"/>
  <c r="H104"/>
  <c r="E104"/>
  <c r="I104"/>
  <c r="J104"/>
  <c r="K104"/>
  <c r="L104"/>
  <c r="M104"/>
  <c r="A105"/>
  <c r="B105"/>
  <c r="D105"/>
  <c r="F105"/>
  <c r="G105"/>
  <c r="H105"/>
  <c r="E105"/>
  <c r="I105"/>
  <c r="J105"/>
  <c r="K105"/>
  <c r="L105"/>
  <c r="M105"/>
  <c r="A106"/>
  <c r="B106"/>
  <c r="D106"/>
  <c r="F106"/>
  <c r="G106"/>
  <c r="H106"/>
  <c r="E106"/>
  <c r="I106"/>
  <c r="J106"/>
  <c r="K106"/>
  <c r="L106"/>
  <c r="M106"/>
  <c r="A107"/>
  <c r="B107"/>
  <c r="D107"/>
  <c r="F107"/>
  <c r="G107"/>
  <c r="H107"/>
  <c r="E107"/>
  <c r="I107"/>
  <c r="J107"/>
  <c r="K107"/>
  <c r="L107"/>
  <c r="M107"/>
  <c r="A108"/>
  <c r="B108"/>
  <c r="D108"/>
  <c r="F108"/>
  <c r="G108"/>
  <c r="H108"/>
  <c r="E108"/>
  <c r="I108"/>
  <c r="J108"/>
  <c r="K108"/>
  <c r="L108"/>
  <c r="M108"/>
  <c r="A109"/>
  <c r="B109"/>
  <c r="D109"/>
  <c r="F109"/>
  <c r="G109"/>
  <c r="H109"/>
  <c r="E109"/>
  <c r="I109"/>
  <c r="J109"/>
  <c r="K109"/>
  <c r="L109"/>
  <c r="M109"/>
  <c r="A110"/>
  <c r="B110"/>
  <c r="D110"/>
  <c r="F110"/>
  <c r="G110"/>
  <c r="H110"/>
  <c r="E110"/>
  <c r="I110"/>
  <c r="J110"/>
  <c r="K110"/>
  <c r="L110"/>
  <c r="M110"/>
  <c r="A111"/>
  <c r="B111"/>
  <c r="D111"/>
  <c r="F111"/>
  <c r="G111"/>
  <c r="H111"/>
  <c r="E111"/>
  <c r="I111"/>
  <c r="J111"/>
  <c r="K111"/>
  <c r="L111"/>
  <c r="M111"/>
  <c r="A112"/>
  <c r="B112"/>
  <c r="D112"/>
  <c r="F112"/>
  <c r="G112"/>
  <c r="H112"/>
  <c r="E112"/>
  <c r="I112"/>
  <c r="J112"/>
  <c r="K112"/>
  <c r="L112"/>
  <c r="M112"/>
  <c r="A113"/>
  <c r="B113"/>
  <c r="D113"/>
  <c r="F113"/>
  <c r="G113"/>
  <c r="H113"/>
  <c r="E113"/>
  <c r="I113"/>
  <c r="J113"/>
  <c r="K113"/>
  <c r="L113"/>
  <c r="M113"/>
  <c r="A114"/>
  <c r="B114"/>
  <c r="D114"/>
  <c r="F114"/>
  <c r="G114"/>
  <c r="H114"/>
  <c r="E114"/>
  <c r="I114"/>
  <c r="J114"/>
  <c r="K114"/>
  <c r="L114"/>
  <c r="M114"/>
  <c r="A115"/>
  <c r="B115"/>
  <c r="D115"/>
  <c r="F115"/>
  <c r="G115"/>
  <c r="H115"/>
  <c r="E115"/>
  <c r="I115"/>
  <c r="J115"/>
  <c r="K115"/>
  <c r="L115"/>
  <c r="M115"/>
  <c r="A116"/>
  <c r="B116"/>
  <c r="D116"/>
  <c r="F116"/>
  <c r="G116"/>
  <c r="H116"/>
  <c r="E116"/>
  <c r="I116"/>
  <c r="J116"/>
  <c r="K116"/>
  <c r="L116"/>
  <c r="M116"/>
  <c r="A117"/>
  <c r="B117"/>
  <c r="D117"/>
  <c r="F117"/>
  <c r="G117"/>
  <c r="H117"/>
  <c r="E117"/>
  <c r="I117"/>
  <c r="J117"/>
  <c r="K117"/>
  <c r="L117"/>
  <c r="M117"/>
  <c r="A118"/>
  <c r="B118"/>
  <c r="D118"/>
  <c r="F118"/>
  <c r="G118"/>
  <c r="H118"/>
  <c r="E118"/>
  <c r="I118"/>
  <c r="J118"/>
  <c r="K118"/>
  <c r="L118"/>
  <c r="M118"/>
  <c r="A119"/>
  <c r="B119"/>
  <c r="D119"/>
  <c r="F119"/>
  <c r="G119"/>
  <c r="H119"/>
  <c r="E119"/>
  <c r="I119"/>
  <c r="J119"/>
  <c r="K119"/>
  <c r="L119"/>
  <c r="M119"/>
  <c r="A120"/>
  <c r="B120"/>
  <c r="D120"/>
  <c r="F120"/>
  <c r="G120"/>
  <c r="H120"/>
  <c r="E120"/>
  <c r="I120"/>
  <c r="J120"/>
  <c r="K120"/>
  <c r="L120"/>
  <c r="M120"/>
  <c r="A121"/>
  <c r="B121"/>
  <c r="D121"/>
  <c r="F121"/>
  <c r="G121"/>
  <c r="H121"/>
  <c r="E121"/>
  <c r="I121"/>
  <c r="J121"/>
  <c r="K121"/>
  <c r="L121"/>
  <c r="M121"/>
  <c r="A122"/>
  <c r="B122"/>
  <c r="D122"/>
  <c r="F122"/>
  <c r="G122"/>
  <c r="H122"/>
  <c r="E122"/>
  <c r="I122"/>
  <c r="J122"/>
  <c r="K122"/>
  <c r="L122"/>
  <c r="M122"/>
  <c r="A123"/>
  <c r="B123"/>
  <c r="D123"/>
  <c r="F123"/>
  <c r="G123"/>
  <c r="H123"/>
  <c r="E123"/>
  <c r="I123"/>
  <c r="J123"/>
  <c r="K123"/>
  <c r="L123"/>
  <c r="M123"/>
  <c r="A124"/>
  <c r="B124"/>
  <c r="D124"/>
  <c r="F124"/>
  <c r="G124"/>
  <c r="H124"/>
  <c r="E124"/>
  <c r="I124"/>
  <c r="J124"/>
  <c r="K124"/>
  <c r="L124"/>
  <c r="M124"/>
  <c r="A125"/>
  <c r="B125"/>
  <c r="D125"/>
  <c r="F125"/>
  <c r="G125"/>
  <c r="H125"/>
  <c r="E125"/>
  <c r="I125"/>
  <c r="J125"/>
  <c r="K125"/>
  <c r="L125"/>
  <c r="M125"/>
  <c r="A126"/>
  <c r="B126"/>
  <c r="D126"/>
  <c r="F126"/>
  <c r="G126"/>
  <c r="H126"/>
  <c r="E126"/>
  <c r="I126"/>
  <c r="J126"/>
  <c r="K126"/>
  <c r="L126"/>
  <c r="M126"/>
  <c r="A127"/>
  <c r="B127"/>
  <c r="D127"/>
  <c r="F127"/>
  <c r="G127"/>
  <c r="H127"/>
  <c r="E127"/>
  <c r="I127"/>
  <c r="J127"/>
  <c r="K127"/>
  <c r="L127"/>
  <c r="M127"/>
  <c r="A128"/>
  <c r="B128"/>
  <c r="D128"/>
  <c r="F128"/>
  <c r="G128"/>
  <c r="H128"/>
  <c r="E128"/>
  <c r="I128"/>
  <c r="J128"/>
  <c r="K128"/>
  <c r="L128"/>
  <c r="M128"/>
  <c r="A129"/>
  <c r="B129"/>
  <c r="D129"/>
  <c r="F129"/>
  <c r="G129"/>
  <c r="H129"/>
  <c r="E129"/>
  <c r="I129"/>
  <c r="J129"/>
  <c r="K129"/>
  <c r="L129"/>
  <c r="M129"/>
  <c r="A130"/>
  <c r="B130"/>
  <c r="D130"/>
  <c r="F130"/>
  <c r="G130"/>
  <c r="H130"/>
  <c r="E130"/>
  <c r="I130"/>
  <c r="J130"/>
  <c r="K130"/>
  <c r="L130"/>
  <c r="M130"/>
  <c r="A131"/>
  <c r="B131"/>
  <c r="D131"/>
  <c r="F131"/>
  <c r="G131"/>
  <c r="H131"/>
  <c r="E131"/>
  <c r="I131"/>
  <c r="J131"/>
  <c r="K131"/>
  <c r="L131"/>
  <c r="M131"/>
  <c r="A132"/>
  <c r="B132"/>
  <c r="D132"/>
  <c r="F132"/>
  <c r="G132"/>
  <c r="H132"/>
  <c r="E132"/>
  <c r="I132"/>
  <c r="J132"/>
  <c r="K132"/>
  <c r="L132"/>
  <c r="M132"/>
  <c r="A133"/>
  <c r="B133"/>
  <c r="D133"/>
  <c r="F133"/>
  <c r="G133"/>
  <c r="H133"/>
  <c r="E133"/>
  <c r="I133"/>
  <c r="J133"/>
  <c r="K133"/>
  <c r="L133"/>
  <c r="M133"/>
  <c r="A134"/>
  <c r="B134"/>
  <c r="D134"/>
  <c r="F134"/>
  <c r="G134"/>
  <c r="H134"/>
  <c r="E134"/>
  <c r="I134"/>
  <c r="J134"/>
  <c r="K134"/>
  <c r="L134"/>
  <c r="M134"/>
  <c r="A135"/>
  <c r="B135"/>
  <c r="D135"/>
  <c r="F135"/>
  <c r="G135"/>
  <c r="H135"/>
  <c r="E135"/>
  <c r="I135"/>
  <c r="J135"/>
  <c r="K135"/>
  <c r="L135"/>
  <c r="M135"/>
  <c r="A136"/>
  <c r="B136"/>
  <c r="D136"/>
  <c r="F136"/>
  <c r="G136"/>
  <c r="H136"/>
  <c r="E136"/>
  <c r="I136"/>
  <c r="J136"/>
  <c r="K136"/>
  <c r="L136"/>
  <c r="M136"/>
  <c r="A137"/>
  <c r="B137"/>
  <c r="D137"/>
  <c r="F137"/>
  <c r="G137"/>
  <c r="H137"/>
  <c r="E137"/>
  <c r="I137"/>
  <c r="J137"/>
  <c r="K137"/>
  <c r="L137"/>
  <c r="M137"/>
  <c r="A138"/>
  <c r="B138"/>
  <c r="D138"/>
  <c r="F138"/>
  <c r="G138"/>
  <c r="H138"/>
  <c r="E138"/>
  <c r="I138"/>
  <c r="J138"/>
  <c r="K138"/>
  <c r="L138"/>
  <c r="M138"/>
  <c r="A139"/>
  <c r="B139"/>
  <c r="D139"/>
  <c r="F139"/>
  <c r="G139"/>
  <c r="H139"/>
  <c r="E139"/>
  <c r="I139"/>
  <c r="J139"/>
  <c r="K139"/>
  <c r="L139"/>
  <c r="M139"/>
  <c r="A140"/>
  <c r="B140"/>
  <c r="D140"/>
  <c r="F140"/>
  <c r="G140"/>
  <c r="H140"/>
  <c r="E140"/>
  <c r="I140"/>
  <c r="J140"/>
  <c r="K140"/>
  <c r="L140"/>
  <c r="M140"/>
  <c r="A141"/>
  <c r="B141"/>
  <c r="D141"/>
  <c r="F141"/>
  <c r="G141"/>
  <c r="H141"/>
  <c r="E141"/>
  <c r="I141"/>
  <c r="J141"/>
  <c r="K141"/>
  <c r="L141"/>
  <c r="M141"/>
  <c r="A142"/>
  <c r="B142"/>
  <c r="D142"/>
  <c r="F142"/>
  <c r="G142"/>
  <c r="H142"/>
  <c r="E142"/>
  <c r="I142"/>
  <c r="J142"/>
  <c r="K142"/>
  <c r="L142"/>
  <c r="M142"/>
  <c r="A143"/>
  <c r="B143"/>
  <c r="D143"/>
  <c r="F143"/>
  <c r="G143"/>
  <c r="H143"/>
  <c r="E143"/>
  <c r="I143"/>
  <c r="J143"/>
  <c r="K143"/>
  <c r="L143"/>
  <c r="M143"/>
  <c r="A144"/>
  <c r="B144"/>
  <c r="D144"/>
  <c r="F144"/>
  <c r="G144"/>
  <c r="H144"/>
  <c r="E144"/>
  <c r="I144"/>
  <c r="J144"/>
  <c r="K144"/>
  <c r="L144"/>
  <c r="M144"/>
  <c r="A145"/>
  <c r="B145"/>
  <c r="D145"/>
  <c r="F145"/>
  <c r="G145"/>
  <c r="H145"/>
  <c r="E145"/>
  <c r="I145"/>
  <c r="J145"/>
  <c r="K145"/>
  <c r="L145"/>
  <c r="M145"/>
  <c r="A146"/>
  <c r="B146"/>
  <c r="D146"/>
  <c r="F146"/>
  <c r="G146"/>
  <c r="H146"/>
  <c r="E146"/>
  <c r="I146"/>
  <c r="J146"/>
  <c r="K146"/>
  <c r="L146"/>
  <c r="M146"/>
  <c r="A147"/>
  <c r="B147"/>
  <c r="D147"/>
  <c r="F147"/>
  <c r="G147"/>
  <c r="H147"/>
  <c r="E147"/>
  <c r="I147"/>
  <c r="J147"/>
  <c r="K147"/>
  <c r="L147"/>
  <c r="M147"/>
  <c r="A148"/>
  <c r="B148"/>
  <c r="D148"/>
  <c r="F148"/>
  <c r="G148"/>
  <c r="H148"/>
  <c r="E148"/>
  <c r="I148"/>
  <c r="J148"/>
  <c r="K148"/>
  <c r="L148"/>
  <c r="M148"/>
  <c r="A149"/>
  <c r="B149"/>
  <c r="D149"/>
  <c r="F149"/>
  <c r="G149"/>
  <c r="H149"/>
  <c r="E149"/>
  <c r="I149"/>
  <c r="J149"/>
  <c r="K149"/>
  <c r="L149"/>
  <c r="M149"/>
  <c r="A150"/>
  <c r="B150"/>
  <c r="D150"/>
  <c r="F150"/>
  <c r="G150"/>
  <c r="H150"/>
  <c r="E150"/>
  <c r="I150"/>
  <c r="J150"/>
  <c r="K150"/>
  <c r="L150"/>
  <c r="M150"/>
  <c r="A151"/>
  <c r="B151"/>
  <c r="D151"/>
  <c r="F151"/>
  <c r="G151"/>
  <c r="H151"/>
  <c r="E151"/>
  <c r="I151"/>
  <c r="J151"/>
  <c r="K151"/>
  <c r="L151"/>
  <c r="M151"/>
  <c r="A152"/>
  <c r="B152"/>
  <c r="D152"/>
  <c r="F152"/>
  <c r="G152"/>
  <c r="H152"/>
  <c r="E152"/>
  <c r="I152"/>
  <c r="J152"/>
  <c r="K152"/>
  <c r="L152"/>
  <c r="M152"/>
  <c r="A153"/>
  <c r="B153"/>
  <c r="D153"/>
  <c r="F153"/>
  <c r="G153"/>
  <c r="H153"/>
  <c r="E153"/>
  <c r="I153"/>
  <c r="J153"/>
  <c r="K153"/>
  <c r="L153"/>
  <c r="M153"/>
  <c r="A154"/>
  <c r="B154"/>
  <c r="D154"/>
  <c r="F154"/>
  <c r="G154"/>
  <c r="H154"/>
  <c r="E154"/>
  <c r="I154"/>
  <c r="J154"/>
  <c r="K154"/>
  <c r="L154"/>
  <c r="M154"/>
  <c r="A155"/>
  <c r="B155"/>
  <c r="D155"/>
  <c r="F155"/>
  <c r="G155"/>
  <c r="H155"/>
  <c r="E155"/>
  <c r="I155"/>
  <c r="J155"/>
  <c r="K155"/>
  <c r="L155"/>
  <c r="M155"/>
  <c r="A156"/>
  <c r="B156"/>
  <c r="D156"/>
  <c r="F156"/>
  <c r="G156"/>
  <c r="H156"/>
  <c r="E156"/>
  <c r="I156"/>
  <c r="J156"/>
  <c r="K156"/>
  <c r="L156"/>
  <c r="M156"/>
  <c r="A157"/>
  <c r="B157"/>
  <c r="D157"/>
  <c r="F157"/>
  <c r="G157"/>
  <c r="H157"/>
  <c r="E157"/>
  <c r="I157"/>
  <c r="J157"/>
  <c r="K157"/>
  <c r="L157"/>
  <c r="M157"/>
  <c r="A158"/>
  <c r="B158"/>
  <c r="D158"/>
  <c r="F158"/>
  <c r="G158"/>
  <c r="H158"/>
  <c r="E158"/>
  <c r="I158"/>
  <c r="J158"/>
  <c r="K158"/>
  <c r="L158"/>
  <c r="M158"/>
  <c r="A159"/>
  <c r="B159"/>
  <c r="D159"/>
  <c r="F159"/>
  <c r="G159"/>
  <c r="H159"/>
  <c r="E159"/>
  <c r="I159"/>
  <c r="J159"/>
  <c r="K159"/>
  <c r="L159"/>
  <c r="M159"/>
  <c r="A160"/>
  <c r="B160"/>
  <c r="D160"/>
  <c r="F160"/>
  <c r="G160"/>
  <c r="H160"/>
  <c r="E160"/>
  <c r="I160"/>
  <c r="J160"/>
  <c r="K160"/>
  <c r="L160"/>
  <c r="M160"/>
  <c r="A161"/>
  <c r="B161"/>
  <c r="D161"/>
  <c r="F161"/>
  <c r="G161"/>
  <c r="H161"/>
  <c r="E161"/>
  <c r="I161"/>
  <c r="J161"/>
  <c r="K161"/>
  <c r="L161"/>
  <c r="M161"/>
  <c r="A162"/>
  <c r="B162"/>
  <c r="D162"/>
  <c r="F162"/>
  <c r="G162"/>
  <c r="H162"/>
  <c r="E162"/>
  <c r="I162"/>
  <c r="J162"/>
  <c r="K162"/>
  <c r="L162"/>
  <c r="M162"/>
  <c r="A163"/>
  <c r="B163"/>
  <c r="D163"/>
  <c r="F163"/>
  <c r="G163"/>
  <c r="H163"/>
  <c r="E163"/>
  <c r="I163"/>
  <c r="J163"/>
  <c r="K163"/>
  <c r="L163"/>
  <c r="M163"/>
  <c r="A164"/>
  <c r="B164"/>
  <c r="D164"/>
  <c r="F164"/>
  <c r="G164"/>
  <c r="H164"/>
  <c r="E164"/>
  <c r="I164"/>
  <c r="J164"/>
  <c r="K164"/>
  <c r="L164"/>
  <c r="M164"/>
  <c r="A165"/>
  <c r="B165"/>
  <c r="D165"/>
  <c r="F165"/>
  <c r="G165"/>
  <c r="H165"/>
  <c r="E165"/>
  <c r="I165"/>
  <c r="J165"/>
  <c r="K165"/>
  <c r="L165"/>
  <c r="M165"/>
  <c r="A166"/>
  <c r="B166"/>
  <c r="D166"/>
  <c r="F166"/>
  <c r="G166"/>
  <c r="H166"/>
  <c r="E166"/>
  <c r="I166"/>
  <c r="J166"/>
  <c r="K166"/>
  <c r="L166"/>
  <c r="M166"/>
  <c r="A167"/>
  <c r="B167"/>
  <c r="D167"/>
  <c r="F167"/>
  <c r="G167"/>
  <c r="H167"/>
  <c r="E167"/>
  <c r="I167"/>
  <c r="J167"/>
  <c r="K167"/>
  <c r="L167"/>
  <c r="M167"/>
  <c r="A168"/>
  <c r="B168"/>
  <c r="D168"/>
  <c r="F168"/>
  <c r="G168"/>
  <c r="H168"/>
  <c r="E168"/>
  <c r="I168"/>
  <c r="J168"/>
  <c r="K168"/>
  <c r="L168"/>
  <c r="M168"/>
  <c r="A169"/>
  <c r="B169"/>
  <c r="D169"/>
  <c r="F169"/>
  <c r="G169"/>
  <c r="H169"/>
  <c r="E169"/>
  <c r="I169"/>
  <c r="J169"/>
  <c r="K169"/>
  <c r="L169"/>
  <c r="M169"/>
  <c r="A170"/>
  <c r="B170"/>
  <c r="D170"/>
  <c r="F170"/>
  <c r="G170"/>
  <c r="H170"/>
  <c r="E170"/>
  <c r="I170"/>
  <c r="J170"/>
  <c r="K170"/>
  <c r="L170"/>
  <c r="M170"/>
  <c r="A171"/>
  <c r="B171"/>
  <c r="D171"/>
  <c r="F171"/>
  <c r="G171"/>
  <c r="H171"/>
  <c r="E171"/>
  <c r="I171"/>
  <c r="J171"/>
  <c r="K171"/>
  <c r="L171"/>
  <c r="M171"/>
  <c r="A172"/>
  <c r="B172"/>
  <c r="D172"/>
  <c r="F172"/>
  <c r="G172"/>
  <c r="H172"/>
  <c r="E172"/>
  <c r="I172"/>
  <c r="J172"/>
  <c r="K172"/>
  <c r="L172"/>
  <c r="M172"/>
  <c r="A173"/>
  <c r="B173"/>
  <c r="D173"/>
  <c r="F173"/>
  <c r="G173"/>
  <c r="H173"/>
  <c r="E173"/>
  <c r="I173"/>
  <c r="J173"/>
  <c r="K173"/>
  <c r="L173"/>
  <c r="M173"/>
  <c r="A174"/>
  <c r="B174"/>
  <c r="D174"/>
  <c r="F174"/>
  <c r="G174"/>
  <c r="H174"/>
  <c r="E174"/>
  <c r="I174"/>
  <c r="J174"/>
  <c r="K174"/>
  <c r="L174"/>
  <c r="M174"/>
  <c r="A175"/>
  <c r="B175"/>
  <c r="D175"/>
  <c r="F175"/>
  <c r="G175"/>
  <c r="H175"/>
  <c r="E175"/>
  <c r="I175"/>
  <c r="J175"/>
  <c r="K175"/>
  <c r="L175"/>
  <c r="M175"/>
  <c r="A176"/>
  <c r="B176"/>
  <c r="D176"/>
  <c r="F176"/>
  <c r="G176"/>
  <c r="H176"/>
  <c r="E176"/>
  <c r="I176"/>
  <c r="J176"/>
  <c r="K176"/>
  <c r="L176"/>
  <c r="M176"/>
  <c r="A177"/>
  <c r="B177"/>
  <c r="D177"/>
  <c r="F177"/>
  <c r="G177"/>
  <c r="H177"/>
  <c r="E177"/>
  <c r="I177"/>
  <c r="J177"/>
  <c r="K177"/>
  <c r="L177"/>
  <c r="M177"/>
  <c r="A178"/>
  <c r="B178"/>
  <c r="D178"/>
  <c r="F178"/>
  <c r="G178"/>
  <c r="H178"/>
  <c r="E178"/>
  <c r="I178"/>
  <c r="J178"/>
  <c r="K178"/>
  <c r="L178"/>
  <c r="M178"/>
  <c r="A179"/>
  <c r="B179"/>
  <c r="D179"/>
  <c r="F179"/>
  <c r="G179"/>
  <c r="H179"/>
  <c r="E179"/>
  <c r="I179"/>
  <c r="J179"/>
  <c r="K179"/>
  <c r="L179"/>
  <c r="M179"/>
  <c r="A180"/>
  <c r="B180"/>
  <c r="D180"/>
  <c r="F180"/>
  <c r="G180"/>
  <c r="H180"/>
  <c r="E180"/>
  <c r="I180"/>
  <c r="J180"/>
  <c r="K180"/>
  <c r="L180"/>
  <c r="M180"/>
  <c r="A181"/>
  <c r="B181"/>
  <c r="D181"/>
  <c r="F181"/>
  <c r="G181"/>
  <c r="H181"/>
  <c r="E181"/>
  <c r="I181"/>
  <c r="J181"/>
  <c r="K181"/>
  <c r="L181"/>
  <c r="M181"/>
  <c r="A182"/>
  <c r="B182"/>
  <c r="D182"/>
  <c r="F182"/>
  <c r="G182"/>
  <c r="H182"/>
  <c r="E182"/>
  <c r="I182"/>
  <c r="J182"/>
  <c r="K182"/>
  <c r="L182"/>
  <c r="M182"/>
  <c r="A183"/>
  <c r="B183"/>
  <c r="D183"/>
  <c r="F183"/>
  <c r="G183"/>
  <c r="H183"/>
  <c r="E183"/>
  <c r="I183"/>
  <c r="J183"/>
  <c r="K183"/>
  <c r="L183"/>
  <c r="M183"/>
  <c r="A184"/>
  <c r="B184"/>
  <c r="D184"/>
  <c r="F184"/>
  <c r="G184"/>
  <c r="H184"/>
  <c r="E184"/>
  <c r="I184"/>
  <c r="J184"/>
  <c r="K184"/>
  <c r="L184"/>
  <c r="M184"/>
  <c r="A185"/>
  <c r="B185"/>
  <c r="D185"/>
  <c r="F185"/>
  <c r="G185"/>
  <c r="H185"/>
  <c r="E185"/>
  <c r="I185"/>
  <c r="J185"/>
  <c r="K185"/>
  <c r="L185"/>
  <c r="M185"/>
  <c r="A186"/>
  <c r="B186"/>
  <c r="D186"/>
  <c r="F186"/>
  <c r="G186"/>
  <c r="H186"/>
  <c r="E186"/>
  <c r="I186"/>
  <c r="J186"/>
  <c r="K186"/>
  <c r="L186"/>
  <c r="M186"/>
  <c r="A187"/>
  <c r="B187"/>
  <c r="D187"/>
  <c r="F187"/>
  <c r="G187"/>
  <c r="H187"/>
  <c r="E187"/>
  <c r="I187"/>
  <c r="J187"/>
  <c r="K187"/>
  <c r="L187"/>
  <c r="M187"/>
  <c r="A188"/>
  <c r="B188"/>
  <c r="D188"/>
  <c r="F188"/>
  <c r="G188"/>
  <c r="H188"/>
  <c r="E188"/>
  <c r="I188"/>
  <c r="J188"/>
  <c r="K188"/>
  <c r="L188"/>
  <c r="M188"/>
  <c r="A189"/>
  <c r="B189"/>
  <c r="D189"/>
  <c r="F189"/>
  <c r="G189"/>
  <c r="H189"/>
  <c r="E189"/>
  <c r="I189"/>
  <c r="J189"/>
  <c r="K189"/>
  <c r="L189"/>
  <c r="M189"/>
  <c r="A190"/>
  <c r="B190"/>
  <c r="D190"/>
  <c r="F190"/>
  <c r="G190"/>
  <c r="H190"/>
  <c r="E190"/>
  <c r="I190"/>
  <c r="J190"/>
  <c r="K190"/>
  <c r="L190"/>
  <c r="M190"/>
  <c r="A191"/>
  <c r="B191"/>
  <c r="D191"/>
  <c r="F191"/>
  <c r="G191"/>
  <c r="H191"/>
  <c r="E191"/>
  <c r="I191"/>
  <c r="J191"/>
  <c r="K191"/>
  <c r="L191"/>
  <c r="M191"/>
  <c r="A192"/>
  <c r="B192"/>
  <c r="D192"/>
  <c r="F192"/>
  <c r="G192"/>
  <c r="H192"/>
  <c r="E192"/>
  <c r="I192"/>
  <c r="J192"/>
  <c r="K192"/>
  <c r="L192"/>
  <c r="M192"/>
  <c r="A193"/>
  <c r="B193"/>
  <c r="D193"/>
  <c r="F193"/>
  <c r="G193"/>
  <c r="H193"/>
  <c r="E193"/>
  <c r="I193"/>
  <c r="J193"/>
  <c r="K193"/>
  <c r="L193"/>
  <c r="M193"/>
  <c r="A194"/>
  <c r="B194"/>
  <c r="D194"/>
  <c r="F194"/>
  <c r="G194"/>
  <c r="H194"/>
  <c r="E194"/>
  <c r="I194"/>
  <c r="J194"/>
  <c r="K194"/>
  <c r="L194"/>
  <c r="M194"/>
  <c r="A195"/>
  <c r="B195"/>
  <c r="D195"/>
  <c r="F195"/>
  <c r="G195"/>
  <c r="H195"/>
  <c r="E195"/>
  <c r="I195"/>
  <c r="J195"/>
  <c r="K195"/>
  <c r="L195"/>
  <c r="M195"/>
  <c r="A196"/>
  <c r="B196"/>
  <c r="D196"/>
  <c r="F196"/>
  <c r="G196"/>
  <c r="H196"/>
  <c r="E196"/>
  <c r="I196"/>
  <c r="J196"/>
  <c r="K196"/>
  <c r="L196"/>
  <c r="M196"/>
  <c r="A197"/>
  <c r="B197"/>
  <c r="D197"/>
  <c r="F197"/>
  <c r="G197"/>
  <c r="H197"/>
  <c r="E197"/>
  <c r="I197"/>
  <c r="J197"/>
  <c r="K197"/>
  <c r="L197"/>
  <c r="M197"/>
  <c r="A198"/>
  <c r="B198"/>
  <c r="D198"/>
  <c r="F198"/>
  <c r="G198"/>
  <c r="H198"/>
  <c r="E198"/>
  <c r="I198"/>
  <c r="J198"/>
  <c r="K198"/>
  <c r="L198"/>
  <c r="M198"/>
  <c r="A199"/>
  <c r="B199"/>
  <c r="D199"/>
  <c r="F199"/>
  <c r="G199"/>
  <c r="H199"/>
  <c r="E199"/>
  <c r="I199"/>
  <c r="J199"/>
  <c r="K199"/>
  <c r="L199"/>
  <c r="M199"/>
  <c r="A200"/>
  <c r="B200"/>
  <c r="D200"/>
  <c r="F200"/>
  <c r="G200"/>
  <c r="H200"/>
  <c r="E200"/>
  <c r="I200"/>
  <c r="J200"/>
  <c r="K200"/>
  <c r="L200"/>
  <c r="M200"/>
  <c r="A201"/>
  <c r="B201"/>
  <c r="D201"/>
  <c r="F201"/>
  <c r="G201"/>
  <c r="H201"/>
  <c r="E201"/>
  <c r="I201"/>
  <c r="J201"/>
  <c r="K201"/>
  <c r="L201"/>
  <c r="M201"/>
  <c r="A202"/>
  <c r="B202"/>
  <c r="D202"/>
  <c r="F202"/>
  <c r="G202"/>
  <c r="H202"/>
  <c r="E202"/>
  <c r="I202"/>
  <c r="J202"/>
  <c r="K202"/>
  <c r="L202"/>
  <c r="M202"/>
  <c r="A203"/>
  <c r="B203"/>
  <c r="D203"/>
  <c r="F203"/>
  <c r="G203"/>
  <c r="H203"/>
  <c r="E203"/>
  <c r="I203"/>
  <c r="J203"/>
  <c r="K203"/>
  <c r="L203"/>
  <c r="M203"/>
  <c r="A204"/>
  <c r="B204"/>
  <c r="D204"/>
  <c r="F204"/>
  <c r="G204"/>
  <c r="H204"/>
  <c r="E204"/>
  <c r="I204"/>
  <c r="J204"/>
  <c r="K204"/>
  <c r="L204"/>
  <c r="M204"/>
  <c r="A205"/>
  <c r="B205"/>
  <c r="D205"/>
  <c r="F205"/>
  <c r="G205"/>
  <c r="H205"/>
  <c r="E205"/>
  <c r="I205"/>
  <c r="J205"/>
  <c r="K205"/>
  <c r="L205"/>
  <c r="M205"/>
  <c r="A206"/>
  <c r="B206"/>
  <c r="D206"/>
  <c r="F206"/>
  <c r="G206"/>
  <c r="H206"/>
  <c r="E206"/>
  <c r="I206"/>
  <c r="J206"/>
  <c r="K206"/>
  <c r="L206"/>
  <c r="M206"/>
  <c r="A207"/>
  <c r="B207"/>
  <c r="D207"/>
  <c r="F207"/>
  <c r="G207"/>
  <c r="H207"/>
  <c r="E207"/>
  <c r="I207"/>
  <c r="J207"/>
  <c r="K207"/>
  <c r="L207"/>
  <c r="M207"/>
  <c r="A208"/>
  <c r="B208"/>
  <c r="D208"/>
  <c r="F208"/>
  <c r="G208"/>
  <c r="H208"/>
  <c r="E208"/>
  <c r="I208"/>
  <c r="J208"/>
  <c r="K208"/>
  <c r="L208"/>
  <c r="M208"/>
  <c r="A209"/>
  <c r="B209"/>
  <c r="D209"/>
  <c r="F209"/>
  <c r="G209"/>
  <c r="H209"/>
  <c r="E209"/>
  <c r="I209"/>
  <c r="J209"/>
  <c r="K209"/>
  <c r="L209"/>
  <c r="M209"/>
  <c r="A210"/>
  <c r="B210"/>
  <c r="D210"/>
  <c r="F210"/>
  <c r="G210"/>
  <c r="H210"/>
  <c r="E210"/>
  <c r="I210"/>
  <c r="J210"/>
  <c r="K210"/>
  <c r="L210"/>
  <c r="M210"/>
  <c r="A211"/>
  <c r="B211"/>
  <c r="D211"/>
  <c r="F211"/>
  <c r="G211"/>
  <c r="H211"/>
  <c r="E211"/>
  <c r="I211"/>
  <c r="J211"/>
  <c r="K211"/>
  <c r="L211"/>
  <c r="M211"/>
  <c r="A212"/>
  <c r="B212"/>
  <c r="D212"/>
  <c r="F212"/>
  <c r="G212"/>
  <c r="H212"/>
  <c r="E212"/>
  <c r="I212"/>
  <c r="J212"/>
  <c r="K212"/>
  <c r="L212"/>
  <c r="M212"/>
  <c r="A213"/>
  <c r="B213"/>
  <c r="D213"/>
  <c r="F213"/>
  <c r="G213"/>
  <c r="H213"/>
  <c r="E213"/>
  <c r="I213"/>
  <c r="J213"/>
  <c r="K213"/>
  <c r="L213"/>
  <c r="M213"/>
  <c r="A214"/>
  <c r="B214"/>
  <c r="D214"/>
  <c r="F214"/>
  <c r="G214"/>
  <c r="H214"/>
  <c r="E214"/>
  <c r="I214"/>
  <c r="J214"/>
  <c r="K214"/>
  <c r="L214"/>
  <c r="M214"/>
  <c r="A215"/>
  <c r="B215"/>
  <c r="D215"/>
  <c r="F215"/>
  <c r="G215"/>
  <c r="H215"/>
  <c r="E215"/>
  <c r="I215"/>
  <c r="J215"/>
  <c r="K215"/>
  <c r="L215"/>
  <c r="M215"/>
  <c r="A216"/>
  <c r="B216"/>
  <c r="D216"/>
  <c r="F216"/>
  <c r="G216"/>
  <c r="H216"/>
  <c r="E216"/>
  <c r="I216"/>
  <c r="J216"/>
  <c r="K216"/>
  <c r="L216"/>
  <c r="M216"/>
  <c r="A217"/>
  <c r="B217"/>
  <c r="D217"/>
  <c r="F217"/>
  <c r="G217"/>
  <c r="H217"/>
  <c r="E217"/>
  <c r="I217"/>
  <c r="J217"/>
  <c r="K217"/>
  <c r="L217"/>
  <c r="M217"/>
  <c r="A218"/>
  <c r="B218"/>
  <c r="D218"/>
  <c r="F218"/>
  <c r="G218"/>
  <c r="H218"/>
  <c r="E218"/>
  <c r="I218"/>
  <c r="J218"/>
  <c r="K218"/>
  <c r="L218"/>
  <c r="M218"/>
  <c r="A219"/>
  <c r="B219"/>
  <c r="D219"/>
  <c r="F219"/>
  <c r="G219"/>
  <c r="H219"/>
  <c r="E219"/>
  <c r="I219"/>
  <c r="J219"/>
  <c r="K219"/>
  <c r="L219"/>
  <c r="M219"/>
  <c r="A220"/>
  <c r="B220"/>
  <c r="D220"/>
  <c r="F220"/>
  <c r="G220"/>
  <c r="H220"/>
  <c r="E220"/>
  <c r="I220"/>
  <c r="J220"/>
  <c r="K220"/>
  <c r="L220"/>
  <c r="M220"/>
  <c r="A221"/>
  <c r="B221"/>
  <c r="D221"/>
  <c r="F221"/>
  <c r="G221"/>
  <c r="H221"/>
  <c r="E221"/>
  <c r="I221"/>
  <c r="J221"/>
  <c r="K221"/>
  <c r="L221"/>
  <c r="M221"/>
  <c r="A222"/>
  <c r="B222"/>
  <c r="D222"/>
  <c r="F222"/>
  <c r="G222"/>
  <c r="H222"/>
  <c r="E222"/>
  <c r="I222"/>
  <c r="J222"/>
  <c r="K222"/>
  <c r="L222"/>
  <c r="M222"/>
  <c r="A223"/>
  <c r="B223"/>
  <c r="D223"/>
  <c r="F223"/>
  <c r="G223"/>
  <c r="H223"/>
  <c r="E223"/>
  <c r="I223"/>
  <c r="J223"/>
  <c r="K223"/>
  <c r="L223"/>
  <c r="M223"/>
  <c r="A224"/>
  <c r="B224"/>
  <c r="D224"/>
  <c r="F224"/>
  <c r="G224"/>
  <c r="H224"/>
  <c r="E224"/>
  <c r="I224"/>
  <c r="J224"/>
  <c r="K224"/>
  <c r="L224"/>
  <c r="M224"/>
  <c r="A225"/>
  <c r="B225"/>
  <c r="D225"/>
  <c r="F225"/>
  <c r="G225"/>
  <c r="H225"/>
  <c r="E225"/>
  <c r="I225"/>
  <c r="J225"/>
  <c r="K225"/>
  <c r="L225"/>
  <c r="M225"/>
  <c r="A226"/>
  <c r="B226"/>
  <c r="D226"/>
  <c r="F226"/>
  <c r="G226"/>
  <c r="H226"/>
  <c r="E226"/>
  <c r="I226"/>
  <c r="J226"/>
  <c r="K226"/>
  <c r="L226"/>
  <c r="M226"/>
  <c r="A227"/>
  <c r="B227"/>
  <c r="D227"/>
  <c r="F227"/>
  <c r="G227"/>
  <c r="H227"/>
  <c r="E227"/>
  <c r="I227"/>
  <c r="J227"/>
  <c r="K227"/>
  <c r="L227"/>
  <c r="M227"/>
  <c r="A228"/>
  <c r="B228"/>
  <c r="D228"/>
  <c r="F228"/>
  <c r="G228"/>
  <c r="H228"/>
  <c r="E228"/>
  <c r="I228"/>
  <c r="J228"/>
  <c r="K228"/>
  <c r="L228"/>
  <c r="M228"/>
  <c r="A229"/>
  <c r="B229"/>
  <c r="D229"/>
  <c r="F229"/>
  <c r="G229"/>
  <c r="H229"/>
  <c r="E229"/>
  <c r="I229"/>
  <c r="J229"/>
  <c r="K229"/>
  <c r="L229"/>
  <c r="M229"/>
  <c r="A230"/>
  <c r="B230"/>
  <c r="D230"/>
  <c r="F230"/>
  <c r="G230"/>
  <c r="H230"/>
  <c r="E230"/>
  <c r="I230"/>
  <c r="J230"/>
  <c r="K230"/>
  <c r="L230"/>
  <c r="M230"/>
  <c r="A231"/>
  <c r="B231"/>
  <c r="D231"/>
  <c r="F231"/>
  <c r="G231"/>
  <c r="H231"/>
  <c r="E231"/>
  <c r="I231"/>
  <c r="J231"/>
  <c r="K231"/>
  <c r="L231"/>
  <c r="M231"/>
  <c r="A232"/>
  <c r="B232"/>
  <c r="D232"/>
  <c r="F232"/>
  <c r="G232"/>
  <c r="H232"/>
  <c r="E232"/>
  <c r="I232"/>
  <c r="J232"/>
  <c r="K232"/>
  <c r="L232"/>
  <c r="M232"/>
  <c r="A233"/>
  <c r="B233"/>
  <c r="D233"/>
  <c r="F233"/>
  <c r="G233"/>
  <c r="H233"/>
  <c r="E233"/>
  <c r="I233"/>
  <c r="J233"/>
  <c r="K233"/>
  <c r="L233"/>
  <c r="M233"/>
  <c r="A234"/>
  <c r="B234"/>
  <c r="D234"/>
  <c r="F234"/>
  <c r="G234"/>
  <c r="H234"/>
  <c r="E234"/>
  <c r="I234"/>
  <c r="J234"/>
  <c r="K234"/>
  <c r="L234"/>
  <c r="M234"/>
  <c r="A235"/>
  <c r="B235"/>
  <c r="D235"/>
  <c r="F235"/>
  <c r="G235"/>
  <c r="H235"/>
  <c r="E235"/>
  <c r="I235"/>
  <c r="J235"/>
  <c r="K235"/>
  <c r="L235"/>
  <c r="M235"/>
  <c r="A236"/>
  <c r="B236"/>
  <c r="D236"/>
  <c r="F236"/>
  <c r="G236"/>
  <c r="H236"/>
  <c r="E236"/>
  <c r="I236"/>
  <c r="J236"/>
  <c r="K236"/>
  <c r="L236"/>
  <c r="M236"/>
  <c r="A237"/>
  <c r="B237"/>
  <c r="D237"/>
  <c r="F237"/>
  <c r="G237"/>
  <c r="H237"/>
  <c r="E237"/>
  <c r="I237"/>
  <c r="J237"/>
  <c r="K237"/>
  <c r="L237"/>
  <c r="M237"/>
  <c r="A238"/>
  <c r="B238"/>
  <c r="D238"/>
  <c r="F238"/>
  <c r="G238"/>
  <c r="H238"/>
  <c r="E238"/>
  <c r="I238"/>
  <c r="J238"/>
  <c r="K238"/>
  <c r="L238"/>
  <c r="M238"/>
  <c r="A239"/>
  <c r="B239"/>
  <c r="D239"/>
  <c r="F239"/>
  <c r="G239"/>
  <c r="H239"/>
  <c r="E239"/>
  <c r="I239"/>
  <c r="J239"/>
  <c r="K239"/>
  <c r="L239"/>
  <c r="M239"/>
  <c r="A240"/>
  <c r="B240"/>
  <c r="D240"/>
  <c r="F240"/>
  <c r="G240"/>
  <c r="H240"/>
  <c r="E240"/>
  <c r="I240"/>
  <c r="J240"/>
  <c r="K240"/>
  <c r="L240"/>
  <c r="M240"/>
  <c r="A241"/>
  <c r="B241"/>
  <c r="D241"/>
  <c r="F241"/>
  <c r="G241"/>
  <c r="H241"/>
  <c r="E241"/>
  <c r="I241"/>
  <c r="J241"/>
  <c r="K241"/>
  <c r="L241"/>
  <c r="M241"/>
  <c r="A242"/>
  <c r="B242"/>
  <c r="D242"/>
  <c r="F242"/>
  <c r="G242"/>
  <c r="H242"/>
  <c r="E242"/>
  <c r="I242"/>
  <c r="J242"/>
  <c r="K242"/>
  <c r="L242"/>
  <c r="M242"/>
  <c r="A243"/>
  <c r="B243"/>
  <c r="D243"/>
  <c r="F243"/>
  <c r="G243"/>
  <c r="H243"/>
  <c r="E243"/>
  <c r="I243"/>
  <c r="J243"/>
  <c r="K243"/>
  <c r="L243"/>
  <c r="M243"/>
  <c r="A244"/>
  <c r="B244"/>
  <c r="D244"/>
  <c r="F244"/>
  <c r="G244"/>
  <c r="H244"/>
  <c r="E244"/>
  <c r="I244"/>
  <c r="J244"/>
  <c r="K244"/>
  <c r="L244"/>
  <c r="M244"/>
  <c r="A245"/>
  <c r="B245"/>
  <c r="D245"/>
  <c r="F245"/>
  <c r="G245"/>
  <c r="H245"/>
  <c r="E245"/>
  <c r="I245"/>
  <c r="J245"/>
  <c r="K245"/>
  <c r="L245"/>
  <c r="M245"/>
  <c r="A246"/>
  <c r="B246"/>
  <c r="D246"/>
  <c r="F246"/>
  <c r="G246"/>
  <c r="H246"/>
  <c r="E246"/>
  <c r="I246"/>
  <c r="J246"/>
  <c r="K246"/>
  <c r="L246"/>
  <c r="M246"/>
  <c r="A247"/>
  <c r="B247"/>
  <c r="D247"/>
  <c r="F247"/>
  <c r="G247"/>
  <c r="H247"/>
  <c r="E247"/>
  <c r="I247"/>
  <c r="J247"/>
  <c r="K247"/>
  <c r="L247"/>
  <c r="M247"/>
  <c r="A248"/>
  <c r="B248"/>
  <c r="D248"/>
  <c r="F248"/>
  <c r="G248"/>
  <c r="H248"/>
  <c r="E248"/>
  <c r="I248"/>
  <c r="J248"/>
  <c r="K248"/>
  <c r="L248"/>
  <c r="M248"/>
  <c r="A249"/>
  <c r="B249"/>
  <c r="D249"/>
  <c r="F249"/>
  <c r="G249"/>
  <c r="H249"/>
  <c r="E249"/>
  <c r="I249"/>
  <c r="J249"/>
  <c r="K249"/>
  <c r="L249"/>
  <c r="M249"/>
  <c r="A250"/>
  <c r="B250"/>
  <c r="D250"/>
  <c r="F250"/>
  <c r="G250"/>
  <c r="H250"/>
  <c r="E250"/>
  <c r="I250"/>
  <c r="J250"/>
  <c r="K250"/>
  <c r="L250"/>
  <c r="M250"/>
  <c r="A251"/>
  <c r="B251"/>
  <c r="D251"/>
  <c r="F251"/>
  <c r="G251"/>
  <c r="H251"/>
  <c r="E251"/>
  <c r="I251"/>
  <c r="J251"/>
  <c r="K251"/>
  <c r="L251"/>
  <c r="M251"/>
  <c r="A252"/>
  <c r="B252"/>
  <c r="D252"/>
  <c r="F252"/>
  <c r="G252"/>
  <c r="H252"/>
  <c r="E252"/>
  <c r="I252"/>
  <c r="J252"/>
  <c r="K252"/>
  <c r="L252"/>
  <c r="M252"/>
  <c r="A253"/>
  <c r="B253"/>
  <c r="D253"/>
  <c r="F253"/>
  <c r="G253"/>
  <c r="H253"/>
  <c r="E253"/>
  <c r="I253"/>
  <c r="J253"/>
  <c r="K253"/>
  <c r="L253"/>
  <c r="M253"/>
  <c r="A254"/>
  <c r="B254"/>
  <c r="D254"/>
  <c r="F254"/>
  <c r="G254"/>
  <c r="H254"/>
  <c r="E254"/>
  <c r="I254"/>
  <c r="J254"/>
  <c r="K254"/>
  <c r="L254"/>
  <c r="M254"/>
  <c r="A255"/>
  <c r="B255"/>
  <c r="D255"/>
  <c r="F255"/>
  <c r="G255"/>
  <c r="H255"/>
  <c r="E255"/>
  <c r="I255"/>
  <c r="J255"/>
  <c r="K255"/>
  <c r="L255"/>
  <c r="M255"/>
  <c r="A256"/>
  <c r="B256"/>
  <c r="D256"/>
  <c r="F256"/>
  <c r="G256"/>
  <c r="H256"/>
  <c r="E256"/>
  <c r="I256"/>
  <c r="J256"/>
  <c r="K256"/>
  <c r="L256"/>
  <c r="M256"/>
  <c r="A257"/>
  <c r="B257"/>
  <c r="D257"/>
  <c r="F257"/>
  <c r="G257"/>
  <c r="H257"/>
  <c r="E257"/>
  <c r="I257"/>
  <c r="J257"/>
  <c r="K257"/>
  <c r="L257"/>
  <c r="M257"/>
  <c r="A258"/>
  <c r="B258"/>
  <c r="D258"/>
  <c r="F258"/>
  <c r="G258"/>
  <c r="H258"/>
  <c r="E258"/>
  <c r="I258"/>
  <c r="J258"/>
  <c r="K258"/>
  <c r="L258"/>
  <c r="M258"/>
  <c r="A259"/>
  <c r="B259"/>
  <c r="D259"/>
  <c r="F259"/>
  <c r="G259"/>
  <c r="H259"/>
  <c r="E259"/>
  <c r="I259"/>
  <c r="J259"/>
  <c r="K259"/>
  <c r="L259"/>
  <c r="M259"/>
  <c r="A260"/>
  <c r="B260"/>
  <c r="D260"/>
  <c r="F260"/>
  <c r="G260"/>
  <c r="H260"/>
  <c r="E260"/>
  <c r="I260"/>
  <c r="J260"/>
  <c r="K260"/>
  <c r="L260"/>
  <c r="M260"/>
  <c r="A261"/>
  <c r="B261"/>
  <c r="D261"/>
  <c r="F261"/>
  <c r="G261"/>
  <c r="H261"/>
  <c r="E261"/>
  <c r="I261"/>
  <c r="J261"/>
  <c r="K261"/>
  <c r="L261"/>
  <c r="M261"/>
  <c r="A262"/>
  <c r="B262"/>
  <c r="D262"/>
  <c r="F262"/>
  <c r="G262"/>
  <c r="H262"/>
  <c r="E262"/>
  <c r="I262"/>
  <c r="J262"/>
  <c r="K262"/>
  <c r="L262"/>
  <c r="M262"/>
  <c r="A263"/>
  <c r="B263"/>
  <c r="D263"/>
  <c r="F263"/>
  <c r="G263"/>
  <c r="H263"/>
  <c r="E263"/>
  <c r="I263"/>
  <c r="J263"/>
  <c r="K263"/>
  <c r="L263"/>
  <c r="M263"/>
  <c r="A264"/>
  <c r="B264"/>
  <c r="D264"/>
  <c r="F264"/>
  <c r="G264"/>
  <c r="H264"/>
  <c r="E264"/>
  <c r="I264"/>
  <c r="J264"/>
  <c r="K264"/>
  <c r="L264"/>
  <c r="M264"/>
  <c r="A265"/>
  <c r="B265"/>
  <c r="D265"/>
  <c r="F265"/>
  <c r="G265"/>
  <c r="H265"/>
  <c r="E265"/>
  <c r="I265"/>
  <c r="J265"/>
  <c r="K265"/>
  <c r="L265"/>
  <c r="M265"/>
  <c r="A266"/>
  <c r="B266"/>
  <c r="D266"/>
  <c r="F266"/>
  <c r="G266"/>
  <c r="H266"/>
  <c r="E266"/>
  <c r="I266"/>
  <c r="J266"/>
  <c r="K266"/>
  <c r="L266"/>
  <c r="M266"/>
  <c r="A267"/>
  <c r="B267"/>
  <c r="D267"/>
  <c r="F267"/>
  <c r="G267"/>
  <c r="H267"/>
  <c r="E267"/>
  <c r="I267"/>
  <c r="J267"/>
  <c r="K267"/>
  <c r="L267"/>
  <c r="M267"/>
  <c r="A268"/>
  <c r="B268"/>
  <c r="D268"/>
  <c r="F268"/>
  <c r="G268"/>
  <c r="H268"/>
  <c r="E268"/>
  <c r="I268"/>
  <c r="J268"/>
  <c r="K268"/>
  <c r="L268"/>
  <c r="M268"/>
  <c r="A269"/>
  <c r="B269"/>
  <c r="D269"/>
  <c r="F269"/>
  <c r="G269"/>
  <c r="H269"/>
  <c r="E269"/>
  <c r="I269"/>
  <c r="J269"/>
  <c r="K269"/>
  <c r="L269"/>
  <c r="M269"/>
  <c r="A270"/>
  <c r="B270"/>
  <c r="D270"/>
  <c r="F270"/>
  <c r="G270"/>
  <c r="H270"/>
  <c r="E270"/>
  <c r="I270"/>
  <c r="J270"/>
  <c r="K270"/>
  <c r="L270"/>
  <c r="M270"/>
  <c r="A271"/>
  <c r="B271"/>
  <c r="D271"/>
  <c r="F271"/>
  <c r="G271"/>
  <c r="H271"/>
  <c r="E271"/>
  <c r="I271"/>
  <c r="J271"/>
  <c r="K271"/>
  <c r="L271"/>
  <c r="M271"/>
  <c r="A272"/>
  <c r="B272"/>
  <c r="D272"/>
  <c r="F272"/>
  <c r="G272"/>
  <c r="H272"/>
  <c r="E272"/>
  <c r="I272"/>
  <c r="J272"/>
  <c r="K272"/>
  <c r="L272"/>
  <c r="M272"/>
  <c r="A273"/>
  <c r="B273"/>
  <c r="D273"/>
  <c r="F273"/>
  <c r="G273"/>
  <c r="H273"/>
  <c r="E273"/>
  <c r="I273"/>
  <c r="J273"/>
  <c r="K273"/>
  <c r="L273"/>
  <c r="M273"/>
  <c r="A274"/>
  <c r="B274"/>
  <c r="D274"/>
  <c r="F274"/>
  <c r="G274"/>
  <c r="H274"/>
  <c r="E274"/>
  <c r="I274"/>
  <c r="J274"/>
  <c r="K274"/>
  <c r="L274"/>
  <c r="M274"/>
  <c r="A275"/>
  <c r="B275"/>
  <c r="D275"/>
  <c r="F275"/>
  <c r="G275"/>
  <c r="H275"/>
  <c r="E275"/>
  <c r="I275"/>
  <c r="J275"/>
  <c r="K275"/>
  <c r="L275"/>
  <c r="M275"/>
  <c r="A5"/>
  <c r="B5"/>
  <c r="D5"/>
  <c r="F5"/>
  <c r="G5"/>
  <c r="H5"/>
  <c r="E5"/>
  <c r="I5"/>
  <c r="J5"/>
  <c r="K5"/>
  <c r="L5"/>
  <c r="M5"/>
  <c r="A6"/>
  <c r="B6"/>
  <c r="D6"/>
  <c r="F6"/>
  <c r="G6"/>
  <c r="H6"/>
  <c r="E6"/>
  <c r="I6"/>
  <c r="J6"/>
  <c r="K6"/>
  <c r="L6"/>
  <c r="M6"/>
  <c r="A7"/>
  <c r="B7"/>
  <c r="D7"/>
  <c r="F7"/>
  <c r="G7"/>
  <c r="H7"/>
  <c r="E7"/>
  <c r="I7"/>
  <c r="J7"/>
  <c r="K7"/>
  <c r="L7"/>
  <c r="M7"/>
  <c r="A8"/>
  <c r="B8"/>
  <c r="D8"/>
  <c r="F8"/>
  <c r="G8"/>
  <c r="H8"/>
  <c r="E8"/>
  <c r="I8"/>
  <c r="J8"/>
  <c r="K8"/>
  <c r="L8"/>
  <c r="M8"/>
  <c r="A9"/>
  <c r="B9"/>
  <c r="D9"/>
  <c r="F9"/>
  <c r="G9"/>
  <c r="H9"/>
  <c r="E9"/>
  <c r="I9"/>
  <c r="J9"/>
  <c r="K9"/>
  <c r="L9"/>
  <c r="M9"/>
  <c r="A10"/>
  <c r="B10"/>
  <c r="D10"/>
  <c r="F10"/>
  <c r="G10"/>
  <c r="H10"/>
  <c r="E10"/>
  <c r="I10"/>
  <c r="J10"/>
  <c r="K10"/>
  <c r="L10"/>
  <c r="M10"/>
  <c r="A11"/>
  <c r="B11"/>
  <c r="D11"/>
  <c r="F11"/>
  <c r="G11"/>
  <c r="H11"/>
  <c r="E11"/>
  <c r="I11"/>
  <c r="J11"/>
  <c r="K11"/>
  <c r="L11"/>
  <c r="M11"/>
  <c r="A12"/>
  <c r="B12"/>
  <c r="D12"/>
  <c r="F12"/>
  <c r="G12"/>
  <c r="H12"/>
  <c r="E12"/>
  <c r="I12"/>
  <c r="J12"/>
  <c r="K12"/>
  <c r="L12"/>
  <c r="M12"/>
  <c r="A13"/>
  <c r="B13"/>
  <c r="D13"/>
  <c r="F13"/>
  <c r="G13"/>
  <c r="H13"/>
  <c r="E13"/>
  <c r="I13"/>
  <c r="J13"/>
  <c r="K13"/>
  <c r="L13"/>
  <c r="M13"/>
  <c r="A14"/>
  <c r="B14"/>
  <c r="D14"/>
  <c r="F14"/>
  <c r="G14"/>
  <c r="H14"/>
  <c r="E14"/>
  <c r="I14"/>
  <c r="J14"/>
  <c r="K14"/>
  <c r="L14"/>
  <c r="M14"/>
  <c r="A15"/>
  <c r="B15"/>
  <c r="D15"/>
  <c r="F15"/>
  <c r="G15"/>
  <c r="H15"/>
  <c r="E15"/>
  <c r="I15"/>
  <c r="J15"/>
  <c r="K15"/>
  <c r="L15"/>
  <c r="M15"/>
  <c r="A16"/>
  <c r="B16"/>
  <c r="D16"/>
  <c r="F16"/>
  <c r="G16"/>
  <c r="H16"/>
  <c r="E16"/>
  <c r="I16"/>
  <c r="J16"/>
  <c r="K16"/>
  <c r="L16"/>
  <c r="M16"/>
  <c r="A17"/>
  <c r="B17"/>
  <c r="D17"/>
  <c r="F17"/>
  <c r="G17"/>
  <c r="H17"/>
  <c r="E17"/>
  <c r="I17"/>
  <c r="J17"/>
  <c r="K17"/>
  <c r="L17"/>
  <c r="M17"/>
  <c r="A18"/>
  <c r="B18"/>
  <c r="D18"/>
  <c r="F18"/>
  <c r="G18"/>
  <c r="H18"/>
  <c r="E18"/>
  <c r="I18"/>
  <c r="J18"/>
  <c r="K18"/>
  <c r="L18"/>
  <c r="M18"/>
  <c r="A19"/>
  <c r="B19"/>
  <c r="D19"/>
  <c r="F19"/>
  <c r="G19"/>
  <c r="H19"/>
  <c r="E19"/>
  <c r="I19"/>
  <c r="J19"/>
  <c r="K19"/>
  <c r="L19"/>
  <c r="M19"/>
  <c r="A20"/>
  <c r="B20"/>
  <c r="D20"/>
  <c r="F20"/>
  <c r="G20"/>
  <c r="H20"/>
  <c r="E20"/>
  <c r="I20"/>
  <c r="J20"/>
  <c r="K20"/>
  <c r="L20"/>
  <c r="M20"/>
  <c r="A21"/>
  <c r="B21"/>
  <c r="D21"/>
  <c r="F21"/>
  <c r="G21"/>
  <c r="H21"/>
  <c r="E21"/>
  <c r="I21"/>
  <c r="J21"/>
  <c r="K21"/>
  <c r="L21"/>
  <c r="M21"/>
  <c r="A22"/>
  <c r="B22"/>
  <c r="D22"/>
  <c r="F22"/>
  <c r="G22"/>
  <c r="H22"/>
  <c r="E22"/>
  <c r="I22"/>
  <c r="J22"/>
  <c r="K22"/>
  <c r="L22"/>
  <c r="M22"/>
  <c r="A23"/>
  <c r="B23"/>
  <c r="D23"/>
  <c r="F23"/>
  <c r="G23"/>
  <c r="H23"/>
  <c r="E23"/>
  <c r="I23"/>
  <c r="J23"/>
  <c r="K23"/>
  <c r="L23"/>
  <c r="M23"/>
  <c r="A24"/>
  <c r="B24"/>
  <c r="D24"/>
  <c r="F24"/>
  <c r="G24"/>
  <c r="H24"/>
  <c r="E24"/>
  <c r="I24"/>
  <c r="J24"/>
  <c r="K24"/>
  <c r="L24"/>
  <c r="M24"/>
  <c r="A25"/>
  <c r="B25"/>
  <c r="D25"/>
  <c r="F25"/>
  <c r="G25"/>
  <c r="H25"/>
  <c r="E25"/>
  <c r="I25"/>
  <c r="J25"/>
  <c r="K25"/>
  <c r="L25"/>
  <c r="M25"/>
  <c r="A26"/>
  <c r="B26"/>
  <c r="D26"/>
  <c r="F26"/>
  <c r="G26"/>
  <c r="H26"/>
  <c r="E26"/>
  <c r="I26"/>
  <c r="J26"/>
  <c r="K26"/>
  <c r="L26"/>
  <c r="M26"/>
  <c r="A27"/>
  <c r="B27"/>
  <c r="D27"/>
  <c r="F27"/>
  <c r="G27"/>
  <c r="H27"/>
  <c r="E27"/>
  <c r="I27"/>
  <c r="J27"/>
  <c r="K27"/>
  <c r="L27"/>
  <c r="M27"/>
  <c r="A28"/>
  <c r="B28"/>
  <c r="D28"/>
  <c r="F28"/>
  <c r="G28"/>
  <c r="H28"/>
  <c r="E28"/>
  <c r="I28"/>
  <c r="J28"/>
  <c r="K28"/>
  <c r="L28"/>
  <c r="M28"/>
  <c r="A29"/>
  <c r="B29"/>
  <c r="D29"/>
  <c r="F29"/>
  <c r="G29"/>
  <c r="H29"/>
  <c r="E29"/>
  <c r="I29"/>
  <c r="J29"/>
  <c r="K29"/>
  <c r="L29"/>
  <c r="M29"/>
  <c r="A30"/>
  <c r="B30"/>
  <c r="D30"/>
  <c r="F30"/>
  <c r="G30"/>
  <c r="H30"/>
  <c r="E30"/>
  <c r="I30"/>
  <c r="J30"/>
  <c r="K30"/>
  <c r="L30"/>
  <c r="M30"/>
  <c r="A31"/>
  <c r="B31"/>
  <c r="D31"/>
  <c r="F31"/>
  <c r="G31"/>
  <c r="H31"/>
  <c r="E31"/>
  <c r="I31"/>
  <c r="J31"/>
  <c r="K31"/>
  <c r="L31"/>
  <c r="M31"/>
  <c r="A32"/>
  <c r="B32"/>
  <c r="D32"/>
  <c r="F32"/>
  <c r="G32"/>
  <c r="H32"/>
  <c r="E32"/>
  <c r="I32"/>
  <c r="J32"/>
  <c r="K32"/>
  <c r="L32"/>
  <c r="M32"/>
  <c r="A33"/>
  <c r="B33"/>
  <c r="D33"/>
  <c r="F33"/>
  <c r="G33"/>
  <c r="H33"/>
  <c r="E33"/>
  <c r="I33"/>
  <c r="J33"/>
  <c r="K33"/>
  <c r="L33"/>
  <c r="M33"/>
  <c r="A34"/>
  <c r="B34"/>
  <c r="D34"/>
  <c r="F34"/>
  <c r="G34"/>
  <c r="H34"/>
  <c r="E34"/>
  <c r="I34"/>
  <c r="J34"/>
  <c r="K34"/>
  <c r="L34"/>
  <c r="M34"/>
  <c r="A35"/>
  <c r="B35"/>
  <c r="D35"/>
  <c r="F35"/>
  <c r="G35"/>
  <c r="H35"/>
  <c r="E35"/>
  <c r="I35"/>
  <c r="J35"/>
  <c r="K35"/>
  <c r="L35"/>
  <c r="M35"/>
  <c r="A36"/>
  <c r="B36"/>
  <c r="D36"/>
  <c r="F36"/>
  <c r="G36"/>
  <c r="H36"/>
  <c r="E36"/>
  <c r="I36"/>
  <c r="J36"/>
  <c r="K36"/>
  <c r="L36"/>
  <c r="M36"/>
  <c r="A37"/>
  <c r="B37"/>
  <c r="D37"/>
  <c r="F37"/>
  <c r="G37"/>
  <c r="H37"/>
  <c r="E37"/>
  <c r="I37"/>
  <c r="J37"/>
  <c r="K37"/>
  <c r="L37"/>
  <c r="M37"/>
  <c r="A38"/>
  <c r="B38"/>
  <c r="D38"/>
  <c r="F38"/>
  <c r="G38"/>
  <c r="H38"/>
  <c r="E38"/>
  <c r="I38"/>
  <c r="J38"/>
  <c r="K38"/>
  <c r="L38"/>
  <c r="M38"/>
  <c r="A39"/>
  <c r="B39"/>
  <c r="D39"/>
  <c r="F39"/>
  <c r="G39"/>
  <c r="H39"/>
  <c r="E39"/>
  <c r="I39"/>
  <c r="J39"/>
  <c r="K39"/>
  <c r="L39"/>
  <c r="M39"/>
  <c r="A40"/>
  <c r="B40"/>
  <c r="D40"/>
  <c r="F40"/>
  <c r="G40"/>
  <c r="H40"/>
  <c r="E40"/>
  <c r="I40"/>
  <c r="J40"/>
  <c r="K40"/>
  <c r="L40"/>
  <c r="M40"/>
  <c r="A41"/>
  <c r="B41"/>
  <c r="D41"/>
  <c r="F41"/>
  <c r="G41"/>
  <c r="H41"/>
  <c r="E41"/>
  <c r="I41"/>
  <c r="J41"/>
  <c r="K41"/>
  <c r="L41"/>
  <c r="M41"/>
  <c r="A42"/>
  <c r="B42"/>
  <c r="D42"/>
  <c r="F42"/>
  <c r="G42"/>
  <c r="H42"/>
  <c r="E42"/>
  <c r="I42"/>
  <c r="J42"/>
  <c r="K42"/>
  <c r="L42"/>
  <c r="M42"/>
  <c r="A43"/>
  <c r="B43"/>
  <c r="D43"/>
  <c r="F43"/>
  <c r="G43"/>
  <c r="H43"/>
  <c r="E43"/>
  <c r="I43"/>
  <c r="J43"/>
  <c r="K43"/>
  <c r="L43"/>
  <c r="M43"/>
  <c r="A44"/>
  <c r="B44"/>
  <c r="D44"/>
  <c r="F44"/>
  <c r="G44"/>
  <c r="H44"/>
  <c r="E44"/>
  <c r="I44"/>
  <c r="J44"/>
  <c r="K44"/>
  <c r="L44"/>
  <c r="M44"/>
  <c r="A45"/>
  <c r="B45"/>
  <c r="D45"/>
  <c r="F45"/>
  <c r="G45"/>
  <c r="H45"/>
  <c r="E45"/>
  <c r="I45"/>
  <c r="J45"/>
  <c r="K45"/>
  <c r="L45"/>
  <c r="M45"/>
  <c r="A46"/>
  <c r="B46"/>
  <c r="D46"/>
  <c r="F46"/>
  <c r="G46"/>
  <c r="H46"/>
  <c r="E46"/>
  <c r="I46"/>
  <c r="J46"/>
  <c r="K46"/>
  <c r="L46"/>
  <c r="M46"/>
  <c r="M4"/>
  <c r="L4"/>
  <c r="K4"/>
  <c r="I4"/>
  <c r="J4"/>
  <c r="E4"/>
  <c r="H4"/>
  <c r="G4"/>
  <c r="F4"/>
  <c r="D4"/>
  <c r="B4"/>
  <c r="A4"/>
  <c r="B1" i="73"/>
  <c r="L6"/>
  <c r="L50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E52" i="20"/>
  <c r="D49" i="74"/>
  <c r="E51" i="20"/>
  <c r="D48" i="74"/>
  <c r="E50" i="20"/>
  <c r="D47" i="74"/>
  <c r="E49" i="20"/>
  <c r="D46" i="74"/>
  <c r="E48" i="20"/>
  <c r="D45" i="74"/>
  <c r="E47" i="20"/>
  <c r="D44" i="74"/>
  <c r="E46" i="20"/>
  <c r="D43" i="74"/>
  <c r="E45" i="20"/>
  <c r="D42" i="74"/>
  <c r="E44" i="20"/>
  <c r="D41" i="74"/>
  <c r="E43" i="20"/>
  <c r="D40" i="74"/>
  <c r="E42" i="20"/>
  <c r="D39" i="74"/>
  <c r="E41" i="20"/>
  <c r="D38" i="74"/>
  <c r="E40" i="20"/>
  <c r="D37" i="74"/>
  <c r="E39" i="20"/>
  <c r="D36" i="74"/>
  <c r="E38" i="20"/>
  <c r="D35" i="74"/>
  <c r="E37" i="20"/>
  <c r="D34" i="74"/>
  <c r="E36" i="20"/>
  <c r="D33" i="74"/>
  <c r="E35" i="20"/>
  <c r="D32" i="74"/>
  <c r="E34" i="20"/>
  <c r="D31" i="74"/>
  <c r="E33" i="20"/>
  <c r="D30" i="74"/>
  <c r="E32" i="20"/>
  <c r="D29" i="74"/>
  <c r="E31" i="20"/>
  <c r="D28" i="74"/>
  <c r="E30" i="20"/>
  <c r="D27" i="74"/>
  <c r="E29" i="20"/>
  <c r="D26" i="74"/>
  <c r="E28" i="20"/>
  <c r="D25" i="74"/>
  <c r="E27" i="20"/>
  <c r="D24" i="74"/>
  <c r="E26" i="20"/>
  <c r="D23" i="74"/>
  <c r="E25" i="20"/>
  <c r="D22" i="74"/>
  <c r="E24" i="20"/>
  <c r="D21" i="74"/>
  <c r="E23" i="20"/>
  <c r="D20" i="74"/>
  <c r="E22" i="20"/>
  <c r="D19" i="74"/>
  <c r="E21" i="20"/>
  <c r="D18" i="74"/>
  <c r="E20" i="20"/>
  <c r="D17" i="74"/>
  <c r="E19" i="20"/>
  <c r="D16" i="74"/>
  <c r="E18" i="20"/>
  <c r="D15" i="74"/>
  <c r="E17" i="20"/>
  <c r="D14" i="74"/>
  <c r="E16" i="20"/>
  <c r="D13" i="74"/>
  <c r="E15" i="20"/>
  <c r="D12" i="74"/>
  <c r="E14" i="20"/>
  <c r="D11" i="74"/>
  <c r="E13" i="20"/>
  <c r="D10" i="74"/>
  <c r="E12" i="20"/>
  <c r="D9" i="74"/>
  <c r="E11" i="20"/>
  <c r="D8" i="74"/>
  <c r="E10" i="20"/>
  <c r="D7" i="74"/>
  <c r="E9" i="20"/>
  <c r="D6" i="74"/>
  <c r="CT9" i="20"/>
  <c r="J6" i="74"/>
  <c r="I6"/>
  <c r="H6"/>
  <c r="CY10" i="20"/>
  <c r="CZ10"/>
  <c r="CY11"/>
  <c r="CZ11"/>
  <c r="CY12"/>
  <c r="CZ12"/>
  <c r="CY13"/>
  <c r="CZ13"/>
  <c r="CY14"/>
  <c r="CZ14"/>
  <c r="CY15"/>
  <c r="CZ15"/>
  <c r="CY16"/>
  <c r="CZ16"/>
  <c r="CY17"/>
  <c r="CZ17"/>
  <c r="CY18"/>
  <c r="CZ18"/>
  <c r="CY19"/>
  <c r="CZ19"/>
  <c r="CY20"/>
  <c r="CZ20"/>
  <c r="CY21"/>
  <c r="CZ21"/>
  <c r="CY22"/>
  <c r="CZ22"/>
  <c r="CY23"/>
  <c r="CZ23"/>
  <c r="CY24"/>
  <c r="CZ24"/>
  <c r="CY25"/>
  <c r="CZ25"/>
  <c r="CY26"/>
  <c r="CZ26"/>
  <c r="CY27"/>
  <c r="CZ27"/>
  <c r="CY28"/>
  <c r="CZ28"/>
  <c r="CY29"/>
  <c r="CZ29"/>
  <c r="CY30"/>
  <c r="CZ30"/>
  <c r="CY31"/>
  <c r="CZ31"/>
  <c r="CY32"/>
  <c r="CZ32"/>
  <c r="CY33"/>
  <c r="CZ33"/>
  <c r="CY34"/>
  <c r="CZ34"/>
  <c r="CY35"/>
  <c r="CZ35"/>
  <c r="CY36"/>
  <c r="CZ36"/>
  <c r="CY37"/>
  <c r="CZ37"/>
  <c r="CY38"/>
  <c r="CZ38"/>
  <c r="CY39"/>
  <c r="CZ39"/>
  <c r="CY40"/>
  <c r="CZ40"/>
  <c r="CY41"/>
  <c r="CZ41"/>
  <c r="CY42"/>
  <c r="CZ42"/>
  <c r="CY43"/>
  <c r="CZ43"/>
  <c r="CY44"/>
  <c r="CZ44"/>
  <c r="CY45"/>
  <c r="CZ45"/>
  <c r="CY46"/>
  <c r="CZ46"/>
  <c r="CY47"/>
  <c r="CZ47"/>
  <c r="CY48"/>
  <c r="CZ48"/>
  <c r="CY49"/>
  <c r="CZ49"/>
  <c r="CY50"/>
  <c r="CZ50"/>
  <c r="CY51"/>
  <c r="CZ51"/>
  <c r="CY52"/>
  <c r="CZ52"/>
  <c r="CR53"/>
  <c r="CS53"/>
  <c r="CT53"/>
  <c r="CU53"/>
  <c r="CV53"/>
  <c r="CW53"/>
  <c r="CX53"/>
  <c r="CY53"/>
  <c r="CZ53"/>
  <c r="DA53"/>
  <c r="CR54"/>
  <c r="CS54"/>
  <c r="CT54"/>
  <c r="CU54"/>
  <c r="CV54"/>
  <c r="CW54"/>
  <c r="CX54"/>
  <c r="CY54"/>
  <c r="CZ54"/>
  <c r="DA54"/>
  <c r="CR55"/>
  <c r="CS55"/>
  <c r="CT55"/>
  <c r="CU55"/>
  <c r="CV55"/>
  <c r="CW55"/>
  <c r="CX55"/>
  <c r="CY55"/>
  <c r="CZ55"/>
  <c r="DA55"/>
  <c r="CR56"/>
  <c r="CS56"/>
  <c r="CT56"/>
  <c r="CU56"/>
  <c r="CV56"/>
  <c r="CW56"/>
  <c r="CX56"/>
  <c r="CY56"/>
  <c r="CZ56"/>
  <c r="DA56"/>
  <c r="CR57"/>
  <c r="CS57"/>
  <c r="CT57"/>
  <c r="CU57"/>
  <c r="CV57"/>
  <c r="CW57"/>
  <c r="CX57"/>
  <c r="CY57"/>
  <c r="CZ57"/>
  <c r="DA57"/>
  <c r="CR58"/>
  <c r="CS58"/>
  <c r="CT58"/>
  <c r="CU58"/>
  <c r="CV58"/>
  <c r="CW58"/>
  <c r="CX58"/>
  <c r="CY58"/>
  <c r="CZ58"/>
  <c r="DA58"/>
  <c r="CR59"/>
  <c r="CS59"/>
  <c r="CT59"/>
  <c r="CU59"/>
  <c r="CV59"/>
  <c r="CW59"/>
  <c r="CX59"/>
  <c r="CY59"/>
  <c r="CZ59"/>
  <c r="DA59"/>
  <c r="CR60"/>
  <c r="CS60"/>
  <c r="CT60"/>
  <c r="CU60"/>
  <c r="CV60"/>
  <c r="CW60"/>
  <c r="CX60"/>
  <c r="CY60"/>
  <c r="CZ60"/>
  <c r="DA60"/>
  <c r="CR61"/>
  <c r="CS61"/>
  <c r="CT61"/>
  <c r="CU61"/>
  <c r="CV61"/>
  <c r="CW61"/>
  <c r="CX61"/>
  <c r="CY61"/>
  <c r="CZ61"/>
  <c r="DA61"/>
  <c r="CR62"/>
  <c r="CS62"/>
  <c r="CT62"/>
  <c r="CU62"/>
  <c r="CV62"/>
  <c r="CW62"/>
  <c r="CX62"/>
  <c r="CY62"/>
  <c r="CZ62"/>
  <c r="DA62"/>
  <c r="CR63"/>
  <c r="CS63"/>
  <c r="CT63"/>
  <c r="CU63"/>
  <c r="CV63"/>
  <c r="CW63"/>
  <c r="CX63"/>
  <c r="CY63"/>
  <c r="CZ63"/>
  <c r="DA63"/>
  <c r="CR64"/>
  <c r="CS64"/>
  <c r="CT64"/>
  <c r="CU64"/>
  <c r="CV64"/>
  <c r="CW64"/>
  <c r="CX64"/>
  <c r="CY64"/>
  <c r="CZ64"/>
  <c r="DA64"/>
  <c r="CR65"/>
  <c r="CS65"/>
  <c r="CT65"/>
  <c r="CU65"/>
  <c r="CV65"/>
  <c r="CW65"/>
  <c r="CX65"/>
  <c r="CY65"/>
  <c r="CZ65"/>
  <c r="DA65"/>
  <c r="CR66"/>
  <c r="CS66"/>
  <c r="CT66"/>
  <c r="CU66"/>
  <c r="CV66"/>
  <c r="CW66"/>
  <c r="CX66"/>
  <c r="CY66"/>
  <c r="CZ66"/>
  <c r="DA66"/>
  <c r="CR67"/>
  <c r="CS67"/>
  <c r="CT67"/>
  <c r="CU67"/>
  <c r="CV67"/>
  <c r="CW67"/>
  <c r="CX67"/>
  <c r="CY67"/>
  <c r="CZ67"/>
  <c r="DA67"/>
  <c r="CR68"/>
  <c r="CS68"/>
  <c r="CT68"/>
  <c r="CU68"/>
  <c r="CV68"/>
  <c r="CW68"/>
  <c r="CX68"/>
  <c r="CY68"/>
  <c r="CZ68"/>
  <c r="DA68"/>
  <c r="CR69"/>
  <c r="CS69"/>
  <c r="CT69"/>
  <c r="CU69"/>
  <c r="CV69"/>
  <c r="CW69"/>
  <c r="CX69"/>
  <c r="CY69"/>
  <c r="CZ69"/>
  <c r="DA69"/>
  <c r="CR70"/>
  <c r="CS70"/>
  <c r="CT70"/>
  <c r="CU70"/>
  <c r="CV70"/>
  <c r="CW70"/>
  <c r="CX70"/>
  <c r="CY70"/>
  <c r="CZ70"/>
  <c r="DA70"/>
  <c r="CR71"/>
  <c r="CS71"/>
  <c r="CT71"/>
  <c r="CU71"/>
  <c r="CV71"/>
  <c r="CW71"/>
  <c r="CX71"/>
  <c r="CY71"/>
  <c r="CZ71"/>
  <c r="DA71"/>
  <c r="CR72"/>
  <c r="CS72"/>
  <c r="CT72"/>
  <c r="CU72"/>
  <c r="CV72"/>
  <c r="CW72"/>
  <c r="CX72"/>
  <c r="CY72"/>
  <c r="CZ72"/>
  <c r="DA72"/>
  <c r="CR73"/>
  <c r="CS73"/>
  <c r="CT73"/>
  <c r="CU73"/>
  <c r="CV73"/>
  <c r="CW73"/>
  <c r="CX73"/>
  <c r="CY73"/>
  <c r="CZ73"/>
  <c r="DA73"/>
  <c r="CR74"/>
  <c r="CS74"/>
  <c r="CT74"/>
  <c r="CU74"/>
  <c r="CV74"/>
  <c r="CW74"/>
  <c r="CX74"/>
  <c r="CY74"/>
  <c r="CZ74"/>
  <c r="DA74"/>
  <c r="CR75"/>
  <c r="CS75"/>
  <c r="CT75"/>
  <c r="CU75"/>
  <c r="CV75"/>
  <c r="CW75"/>
  <c r="CX75"/>
  <c r="CY75"/>
  <c r="CZ75"/>
  <c r="DA75"/>
  <c r="CR76"/>
  <c r="CS76"/>
  <c r="CT76"/>
  <c r="CU76"/>
  <c r="CV76"/>
  <c r="CW76"/>
  <c r="CX76"/>
  <c r="CY76"/>
  <c r="CZ76"/>
  <c r="DA76"/>
  <c r="CR77"/>
  <c r="CS77"/>
  <c r="CT77"/>
  <c r="CU77"/>
  <c r="CV77"/>
  <c r="CW77"/>
  <c r="CX77"/>
  <c r="CY77"/>
  <c r="CZ77"/>
  <c r="DA77"/>
  <c r="CR78"/>
  <c r="CS78"/>
  <c r="CT78"/>
  <c r="CU78"/>
  <c r="CV78"/>
  <c r="CW78"/>
  <c r="CX78"/>
  <c r="CY78"/>
  <c r="CZ78"/>
  <c r="DA78"/>
  <c r="CR79"/>
  <c r="CS79"/>
  <c r="CT79"/>
  <c r="CU79"/>
  <c r="CV79"/>
  <c r="CW79"/>
  <c r="CX79"/>
  <c r="CY79"/>
  <c r="CZ79"/>
  <c r="DA79"/>
  <c r="CR80"/>
  <c r="CS80"/>
  <c r="CT80"/>
  <c r="CU80"/>
  <c r="CV80"/>
  <c r="CW80"/>
  <c r="CX80"/>
  <c r="CY80"/>
  <c r="CZ80"/>
  <c r="DA80"/>
  <c r="CR81"/>
  <c r="CS81"/>
  <c r="CT81"/>
  <c r="CU81"/>
  <c r="CV81"/>
  <c r="CW81"/>
  <c r="CX81"/>
  <c r="CY81"/>
  <c r="CZ81"/>
  <c r="DA81"/>
  <c r="CR82"/>
  <c r="CS82"/>
  <c r="CT82"/>
  <c r="CU82"/>
  <c r="CV82"/>
  <c r="CW82"/>
  <c r="CX82"/>
  <c r="CY82"/>
  <c r="CZ82"/>
  <c r="DA82"/>
  <c r="CR83"/>
  <c r="CS83"/>
  <c r="CT83"/>
  <c r="CU83"/>
  <c r="CV83"/>
  <c r="CW83"/>
  <c r="CX83"/>
  <c r="CY83"/>
  <c r="CZ83"/>
  <c r="DA83"/>
  <c r="CR84"/>
  <c r="CS84"/>
  <c r="CT84"/>
  <c r="CU84"/>
  <c r="CV84"/>
  <c r="CW84"/>
  <c r="CX84"/>
  <c r="CY84"/>
  <c r="CZ84"/>
  <c r="DA84"/>
  <c r="CR85"/>
  <c r="CS85"/>
  <c r="CT85"/>
  <c r="CU85"/>
  <c r="CV85"/>
  <c r="CW85"/>
  <c r="CX85"/>
  <c r="CY85"/>
  <c r="CZ85"/>
  <c r="DA85"/>
  <c r="CR86"/>
  <c r="CS86"/>
  <c r="CT86"/>
  <c r="CU86"/>
  <c r="CV86"/>
  <c r="CW86"/>
  <c r="CX86"/>
  <c r="CY86"/>
  <c r="CZ86"/>
  <c r="DA86"/>
  <c r="CR87"/>
  <c r="CS87"/>
  <c r="CT87"/>
  <c r="CU87"/>
  <c r="CV87"/>
  <c r="CW87"/>
  <c r="CX87"/>
  <c r="CY87"/>
  <c r="CZ87"/>
  <c r="DA87"/>
  <c r="CR88"/>
  <c r="CS88"/>
  <c r="CT88"/>
  <c r="CU88"/>
  <c r="CV88"/>
  <c r="CW88"/>
  <c r="CX88"/>
  <c r="CY88"/>
  <c r="CZ88"/>
  <c r="DA88"/>
  <c r="CR89"/>
  <c r="CS89"/>
  <c r="CT89"/>
  <c r="CU89"/>
  <c r="CV89"/>
  <c r="CW89"/>
  <c r="CX89"/>
  <c r="CY89"/>
  <c r="CZ89"/>
  <c r="DA89"/>
  <c r="CR90"/>
  <c r="CS90"/>
  <c r="CT90"/>
  <c r="CU90"/>
  <c r="CV90"/>
  <c r="CW90"/>
  <c r="CX90"/>
  <c r="CY90"/>
  <c r="CZ90"/>
  <c r="DA90"/>
  <c r="CR91"/>
  <c r="CS91"/>
  <c r="CT91"/>
  <c r="CU91"/>
  <c r="CV91"/>
  <c r="CW91"/>
  <c r="CX91"/>
  <c r="CY91"/>
  <c r="CZ91"/>
  <c r="DA91"/>
  <c r="CR92"/>
  <c r="CS92"/>
  <c r="CT92"/>
  <c r="CU92"/>
  <c r="CV92"/>
  <c r="CW92"/>
  <c r="CX92"/>
  <c r="CY92"/>
  <c r="CZ92"/>
  <c r="DA92"/>
  <c r="CR93"/>
  <c r="CS93"/>
  <c r="CT93"/>
  <c r="CU93"/>
  <c r="CV93"/>
  <c r="CW93"/>
  <c r="CX93"/>
  <c r="CY93"/>
  <c r="CZ93"/>
  <c r="DA93"/>
  <c r="CR94"/>
  <c r="CS94"/>
  <c r="CT94"/>
  <c r="CU94"/>
  <c r="CV94"/>
  <c r="CW94"/>
  <c r="CX94"/>
  <c r="CY94"/>
  <c r="CZ94"/>
  <c r="DA94"/>
  <c r="CR95"/>
  <c r="CS95"/>
  <c r="CT95"/>
  <c r="CU95"/>
  <c r="CV95"/>
  <c r="CW95"/>
  <c r="CX95"/>
  <c r="CY95"/>
  <c r="CZ95"/>
  <c r="DA95"/>
  <c r="CR96"/>
  <c r="CS96"/>
  <c r="CT96"/>
  <c r="CU96"/>
  <c r="CV96"/>
  <c r="CW96"/>
  <c r="CX96"/>
  <c r="CY96"/>
  <c r="CZ96"/>
  <c r="DA96"/>
  <c r="CR97"/>
  <c r="CS97"/>
  <c r="CT97"/>
  <c r="CU97"/>
  <c r="CV97"/>
  <c r="CW97"/>
  <c r="CX97"/>
  <c r="CY97"/>
  <c r="CZ97"/>
  <c r="DA97"/>
  <c r="CR98"/>
  <c r="CS98"/>
  <c r="CT98"/>
  <c r="CU98"/>
  <c r="CV98"/>
  <c r="CW98"/>
  <c r="CX98"/>
  <c r="CY98"/>
  <c r="CZ98"/>
  <c r="DA98"/>
  <c r="CR99"/>
  <c r="CS99"/>
  <c r="CT99"/>
  <c r="CU99"/>
  <c r="CV99"/>
  <c r="CW99"/>
  <c r="CX99"/>
  <c r="CY99"/>
  <c r="CZ99"/>
  <c r="DA99"/>
  <c r="CR100"/>
  <c r="CS100"/>
  <c r="CT100"/>
  <c r="CU100"/>
  <c r="CV100"/>
  <c r="CW100"/>
  <c r="CX100"/>
  <c r="CY100"/>
  <c r="CZ100"/>
  <c r="DA100"/>
  <c r="CR101"/>
  <c r="CS101"/>
  <c r="CT101"/>
  <c r="CU101"/>
  <c r="CV101"/>
  <c r="CW101"/>
  <c r="CX101"/>
  <c r="CY101"/>
  <c r="CZ101"/>
  <c r="DA101"/>
  <c r="CZ9"/>
  <c r="CY9"/>
  <c r="E6" i="74"/>
  <c r="G6"/>
  <c r="F6"/>
  <c r="EC53" i="20"/>
  <c r="EC54"/>
  <c r="EC55"/>
  <c r="EC56"/>
  <c r="EC57"/>
  <c r="EC58"/>
  <c r="EC59"/>
  <c r="EC60"/>
  <c r="EC61"/>
  <c r="EC62"/>
  <c r="EC63"/>
  <c r="EC64"/>
  <c r="EC65"/>
  <c r="EC66"/>
  <c r="EC67"/>
  <c r="EC68"/>
  <c r="EC69"/>
  <c r="EC70"/>
  <c r="EC71"/>
  <c r="EC72"/>
  <c r="EC73"/>
  <c r="EC74"/>
  <c r="EC75"/>
  <c r="EC76"/>
  <c r="EC77"/>
  <c r="EC78"/>
  <c r="EC79"/>
  <c r="EC80"/>
  <c r="EC81"/>
  <c r="EC82"/>
  <c r="EC83"/>
  <c r="EC84"/>
  <c r="EC85"/>
  <c r="EC86"/>
  <c r="EC87"/>
  <c r="EC88"/>
  <c r="EC89"/>
  <c r="EC90"/>
  <c r="EC91"/>
  <c r="EC92"/>
  <c r="EC93"/>
  <c r="EC94"/>
  <c r="EC95"/>
  <c r="EC96"/>
  <c r="EC97"/>
  <c r="EC98"/>
  <c r="EC99"/>
  <c r="EC100"/>
  <c r="EC101"/>
  <c r="DF9"/>
  <c r="O50" i="74"/>
  <c r="I50"/>
  <c r="J50"/>
  <c r="H50"/>
  <c r="G50"/>
  <c r="E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A7" i="73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6"/>
  <c r="C53" i="20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E7" i="7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6"/>
  <c r="G10" i="20"/>
  <c r="D7" i="73"/>
  <c r="G11" i="20"/>
  <c r="D8" i="73"/>
  <c r="G12" i="20"/>
  <c r="D9" i="73"/>
  <c r="G13" i="20"/>
  <c r="D10" i="73"/>
  <c r="G14" i="20"/>
  <c r="D11" i="73"/>
  <c r="G15" i="20"/>
  <c r="D12" i="73"/>
  <c r="G16" i="20"/>
  <c r="D13" i="73"/>
  <c r="G17" i="20"/>
  <c r="D14" i="73"/>
  <c r="G18" i="20"/>
  <c r="D15" i="73"/>
  <c r="G19" i="20"/>
  <c r="D16" i="73"/>
  <c r="G20" i="20"/>
  <c r="D17" i="73"/>
  <c r="G21" i="20"/>
  <c r="D18" i="73"/>
  <c r="G22" i="20"/>
  <c r="D19" i="73"/>
  <c r="G23" i="20"/>
  <c r="D20" i="73"/>
  <c r="G24" i="20"/>
  <c r="D21" i="73"/>
  <c r="G25" i="20"/>
  <c r="D22" i="73"/>
  <c r="G26" i="20"/>
  <c r="D23" i="73"/>
  <c r="G27" i="20"/>
  <c r="D24" i="73"/>
  <c r="G28" i="20"/>
  <c r="D25" i="73"/>
  <c r="G29" i="20"/>
  <c r="D26" i="73"/>
  <c r="G30" i="20"/>
  <c r="D27" i="73"/>
  <c r="G31" i="20"/>
  <c r="D28" i="73"/>
  <c r="G32" i="20"/>
  <c r="D29" i="73"/>
  <c r="G33" i="20"/>
  <c r="D30" i="73"/>
  <c r="G34" i="20"/>
  <c r="D31" i="73"/>
  <c r="G35" i="20"/>
  <c r="D32" i="73"/>
  <c r="G36" i="20"/>
  <c r="D33" i="73"/>
  <c r="G37" i="20"/>
  <c r="D34" i="73"/>
  <c r="G38" i="20"/>
  <c r="D35" i="73"/>
  <c r="G39" i="20"/>
  <c r="D36" i="73"/>
  <c r="G40" i="20"/>
  <c r="D37" i="73"/>
  <c r="G41" i="20"/>
  <c r="D38" i="73"/>
  <c r="G42" i="20"/>
  <c r="D39" i="73"/>
  <c r="G43" i="20"/>
  <c r="D40" i="73"/>
  <c r="G44" i="20"/>
  <c r="D41" i="73"/>
  <c r="G45" i="20"/>
  <c r="D42" i="73"/>
  <c r="G46" i="20"/>
  <c r="D43" i="73"/>
  <c r="G47" i="20"/>
  <c r="D44" i="73"/>
  <c r="G48" i="20"/>
  <c r="D45" i="73"/>
  <c r="G49" i="20"/>
  <c r="D46" i="73"/>
  <c r="G50" i="20"/>
  <c r="D47" i="73"/>
  <c r="G51" i="20"/>
  <c r="D48" i="73"/>
  <c r="G52" i="20"/>
  <c r="D49" i="73"/>
  <c r="G9" i="20"/>
  <c r="D6" i="73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6"/>
  <c r="F10" i="2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9"/>
  <c r="D10"/>
  <c r="B7" i="73"/>
  <c r="C7"/>
  <c r="H10" i="20"/>
  <c r="R10"/>
  <c r="F7" i="73"/>
  <c r="D11" i="20"/>
  <c r="B8" i="73"/>
  <c r="C8"/>
  <c r="H11" i="20"/>
  <c r="R11"/>
  <c r="F8" i="73"/>
  <c r="D12" i="20"/>
  <c r="B9" i="73"/>
  <c r="C9"/>
  <c r="H12" i="20"/>
  <c r="R12"/>
  <c r="F9" i="73"/>
  <c r="D13" i="20"/>
  <c r="B10" i="73"/>
  <c r="C10"/>
  <c r="H13" i="20"/>
  <c r="R13"/>
  <c r="F10" i="73"/>
  <c r="D14" i="20"/>
  <c r="B11" i="73"/>
  <c r="C11"/>
  <c r="H14" i="20"/>
  <c r="R14"/>
  <c r="F11" i="73"/>
  <c r="D15" i="20"/>
  <c r="B12" i="73"/>
  <c r="C12"/>
  <c r="H15" i="20"/>
  <c r="R15"/>
  <c r="F12" i="73"/>
  <c r="D16" i="20"/>
  <c r="B13" i="73"/>
  <c r="C13"/>
  <c r="H16" i="20"/>
  <c r="R16"/>
  <c r="F13" i="73"/>
  <c r="D17" i="20"/>
  <c r="B14" i="73"/>
  <c r="C14"/>
  <c r="H17" i="20"/>
  <c r="R17"/>
  <c r="F14" i="73"/>
  <c r="C15"/>
  <c r="H18" i="20"/>
  <c r="R18"/>
  <c r="F15" i="73"/>
  <c r="D19" i="20"/>
  <c r="B16" i="73"/>
  <c r="C16"/>
  <c r="H19" i="20"/>
  <c r="R19"/>
  <c r="F16" i="73"/>
  <c r="D20" i="20"/>
  <c r="B17" i="73"/>
  <c r="C17"/>
  <c r="H20" i="20"/>
  <c r="R20"/>
  <c r="F17" i="73"/>
  <c r="D21" i="20"/>
  <c r="B18" i="73"/>
  <c r="C18"/>
  <c r="H21" i="20"/>
  <c r="R21"/>
  <c r="F18" i="73"/>
  <c r="D22" i="20"/>
  <c r="B19" i="73"/>
  <c r="C19"/>
  <c r="H22" i="20"/>
  <c r="R22"/>
  <c r="F19" i="73"/>
  <c r="D23" i="20"/>
  <c r="B20" i="73"/>
  <c r="C20"/>
  <c r="H23" i="20"/>
  <c r="R23"/>
  <c r="F20" i="73"/>
  <c r="D24" i="20"/>
  <c r="B21" i="73"/>
  <c r="C21"/>
  <c r="H24" i="20"/>
  <c r="R24"/>
  <c r="F21" i="73"/>
  <c r="D25" i="20"/>
  <c r="B22" i="73"/>
  <c r="C22"/>
  <c r="H25" i="20"/>
  <c r="R25"/>
  <c r="F22" i="73"/>
  <c r="D26" i="20"/>
  <c r="B23" i="73"/>
  <c r="C23"/>
  <c r="H26" i="20"/>
  <c r="R26"/>
  <c r="F23" i="73"/>
  <c r="D27" i="20"/>
  <c r="B24" i="73"/>
  <c r="C24"/>
  <c r="H27" i="20"/>
  <c r="R27"/>
  <c r="F24" i="73"/>
  <c r="D28" i="20"/>
  <c r="B25" i="73"/>
  <c r="C25"/>
  <c r="H28" i="20"/>
  <c r="R28"/>
  <c r="F25" i="73"/>
  <c r="D29" i="20"/>
  <c r="B26" i="73"/>
  <c r="C26"/>
  <c r="H29" i="20"/>
  <c r="R29"/>
  <c r="F26" i="73"/>
  <c r="D30" i="20"/>
  <c r="B27" i="73"/>
  <c r="C27"/>
  <c r="H30" i="20"/>
  <c r="R30"/>
  <c r="F27" i="73"/>
  <c r="D31" i="20"/>
  <c r="B28" i="73"/>
  <c r="C28"/>
  <c r="H31" i="20"/>
  <c r="R31"/>
  <c r="F28" i="73"/>
  <c r="D32" i="20"/>
  <c r="B29" i="73"/>
  <c r="C29"/>
  <c r="H32" i="20"/>
  <c r="R32"/>
  <c r="F29" i="73"/>
  <c r="D33" i="20"/>
  <c r="B30" i="73"/>
  <c r="C30"/>
  <c r="H33" i="20"/>
  <c r="R33"/>
  <c r="F30" i="73"/>
  <c r="D34" i="20"/>
  <c r="B31" i="73"/>
  <c r="C31"/>
  <c r="H34" i="20"/>
  <c r="R34"/>
  <c r="F31" i="73"/>
  <c r="D35" i="20"/>
  <c r="B32" i="73"/>
  <c r="C32"/>
  <c r="H35" i="20"/>
  <c r="R35"/>
  <c r="F32" i="73"/>
  <c r="D36" i="20"/>
  <c r="B33" i="73"/>
  <c r="C33"/>
  <c r="H36" i="20"/>
  <c r="R36"/>
  <c r="F33" i="73"/>
  <c r="D37" i="20"/>
  <c r="B34" i="73"/>
  <c r="C34"/>
  <c r="H37" i="20"/>
  <c r="R37"/>
  <c r="F34" i="73"/>
  <c r="D38" i="20"/>
  <c r="B35" i="73"/>
  <c r="C35"/>
  <c r="H38" i="20"/>
  <c r="R38"/>
  <c r="F35" i="73"/>
  <c r="D39" i="20"/>
  <c r="B36" i="73"/>
  <c r="C36"/>
  <c r="H39" i="20"/>
  <c r="R39"/>
  <c r="F36" i="73"/>
  <c r="D40" i="20"/>
  <c r="B37" i="73"/>
  <c r="C37"/>
  <c r="H40" i="20"/>
  <c r="R40"/>
  <c r="F37" i="73"/>
  <c r="D41" i="20"/>
  <c r="B38" i="73"/>
  <c r="C38"/>
  <c r="H41" i="20"/>
  <c r="R41"/>
  <c r="F38" i="73"/>
  <c r="D42" i="20"/>
  <c r="B39" i="73"/>
  <c r="C39"/>
  <c r="H42" i="20"/>
  <c r="R42"/>
  <c r="F39" i="73"/>
  <c r="D43" i="20"/>
  <c r="B40" i="73"/>
  <c r="C40"/>
  <c r="H43" i="20"/>
  <c r="R43"/>
  <c r="F40" i="73"/>
  <c r="D44" i="20"/>
  <c r="B41" i="73"/>
  <c r="C41"/>
  <c r="H44" i="20"/>
  <c r="R44"/>
  <c r="F41" i="73"/>
  <c r="D45" i="20"/>
  <c r="B42" i="73"/>
  <c r="C42"/>
  <c r="H45" i="20"/>
  <c r="R45"/>
  <c r="F42" i="73"/>
  <c r="D46" i="20"/>
  <c r="B43" i="73"/>
  <c r="C43"/>
  <c r="H46" i="20"/>
  <c r="R46"/>
  <c r="F43" i="73"/>
  <c r="D47" i="20"/>
  <c r="B44" i="73"/>
  <c r="C44"/>
  <c r="H47" i="20"/>
  <c r="R47"/>
  <c r="F44" i="73"/>
  <c r="D48" i="20"/>
  <c r="B45" i="73"/>
  <c r="C45"/>
  <c r="H48" i="20"/>
  <c r="R48"/>
  <c r="F45" i="73"/>
  <c r="D49" i="20"/>
  <c r="B46" i="73"/>
  <c r="C46"/>
  <c r="H49" i="20"/>
  <c r="R49"/>
  <c r="F46" i="73"/>
  <c r="D50" i="20"/>
  <c r="B47" i="73"/>
  <c r="C47"/>
  <c r="H50" i="20"/>
  <c r="R50"/>
  <c r="F47" i="73"/>
  <c r="D51" i="20"/>
  <c r="B48" i="73"/>
  <c r="C48"/>
  <c r="H51" i="20"/>
  <c r="R51"/>
  <c r="F48" i="73"/>
  <c r="D52" i="20"/>
  <c r="B49" i="73"/>
  <c r="C49"/>
  <c r="H52" i="20"/>
  <c r="R52"/>
  <c r="F49" i="73"/>
  <c r="R9" i="20"/>
  <c r="F6" i="73"/>
  <c r="H9" i="20"/>
  <c r="C6" i="73"/>
  <c r="D9" i="20"/>
  <c r="B6" i="73"/>
  <c r="I50"/>
  <c r="O53" i="20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K53"/>
  <c r="J53"/>
  <c r="K54"/>
  <c r="J54"/>
  <c r="K55"/>
  <c r="J55"/>
  <c r="K56"/>
  <c r="J56"/>
  <c r="K57"/>
  <c r="J57"/>
  <c r="K58"/>
  <c r="J58"/>
  <c r="K59"/>
  <c r="J59"/>
  <c r="K60"/>
  <c r="J60"/>
  <c r="K61"/>
  <c r="J61"/>
  <c r="K62"/>
  <c r="J62"/>
  <c r="K63"/>
  <c r="J63"/>
  <c r="K64"/>
  <c r="J64"/>
  <c r="K65"/>
  <c r="J65"/>
  <c r="K66"/>
  <c r="J66"/>
  <c r="K67"/>
  <c r="J67"/>
  <c r="K68"/>
  <c r="J68"/>
  <c r="K69"/>
  <c r="J69"/>
  <c r="K70"/>
  <c r="J70"/>
  <c r="K71"/>
  <c r="J71"/>
  <c r="K72"/>
  <c r="J72"/>
  <c r="K73"/>
  <c r="J73"/>
  <c r="K74"/>
  <c r="J74"/>
  <c r="K75"/>
  <c r="J75"/>
  <c r="K76"/>
  <c r="J76"/>
  <c r="K77"/>
  <c r="J77"/>
  <c r="K78"/>
  <c r="J78"/>
  <c r="K79"/>
  <c r="J79"/>
  <c r="K80"/>
  <c r="J80"/>
  <c r="K81"/>
  <c r="J81"/>
  <c r="K82"/>
  <c r="J82"/>
  <c r="K83"/>
  <c r="J83"/>
  <c r="K84"/>
  <c r="J84"/>
  <c r="K85"/>
  <c r="J85"/>
  <c r="K86"/>
  <c r="J86"/>
  <c r="K87"/>
  <c r="J87"/>
  <c r="K88"/>
  <c r="J88"/>
  <c r="K89"/>
  <c r="J89"/>
  <c r="K90"/>
  <c r="J90"/>
  <c r="K91"/>
  <c r="J91"/>
  <c r="K92"/>
  <c r="J92"/>
  <c r="K93"/>
  <c r="J93"/>
  <c r="K94"/>
  <c r="J94"/>
  <c r="K95"/>
  <c r="J95"/>
  <c r="K96"/>
  <c r="J96"/>
  <c r="K97"/>
  <c r="J97"/>
  <c r="K98"/>
  <c r="J98"/>
  <c r="K99"/>
  <c r="J99"/>
  <c r="K100"/>
  <c r="J100"/>
  <c r="K101"/>
  <c r="J101"/>
  <c r="K102"/>
  <c r="J102"/>
  <c r="J9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A7" i="68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6"/>
  <c r="S7" i="71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T6"/>
  <c r="S6"/>
  <c r="S7" i="70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T6"/>
  <c r="S6"/>
  <c r="AF53" i="20"/>
  <c r="AG53"/>
  <c r="AH53"/>
  <c r="AI53"/>
  <c r="AJ53"/>
  <c r="AF54"/>
  <c r="AG54"/>
  <c r="AH54"/>
  <c r="AI54"/>
  <c r="AJ54"/>
  <c r="AF55"/>
  <c r="AG55"/>
  <c r="AH55"/>
  <c r="AI55"/>
  <c r="AJ55"/>
  <c r="AF56"/>
  <c r="AG56"/>
  <c r="AH56"/>
  <c r="AI56"/>
  <c r="AJ56"/>
  <c r="AF57"/>
  <c r="AG57"/>
  <c r="AH57"/>
  <c r="AI57"/>
  <c r="AJ57"/>
  <c r="AF58"/>
  <c r="AG58"/>
  <c r="AH58"/>
  <c r="AI58"/>
  <c r="AJ58"/>
  <c r="AF59"/>
  <c r="AG59"/>
  <c r="AH59"/>
  <c r="AI59"/>
  <c r="AJ59"/>
  <c r="AF60"/>
  <c r="AG60"/>
  <c r="AH60"/>
  <c r="AI60"/>
  <c r="AJ60"/>
  <c r="AF61"/>
  <c r="AG61"/>
  <c r="AH61"/>
  <c r="AI61"/>
  <c r="AJ61"/>
  <c r="AF62"/>
  <c r="AG62"/>
  <c r="AH62"/>
  <c r="AI62"/>
  <c r="AJ62"/>
  <c r="AF63"/>
  <c r="AG63"/>
  <c r="AH63"/>
  <c r="AI63"/>
  <c r="AJ63"/>
  <c r="AF64"/>
  <c r="AG64"/>
  <c r="AH64"/>
  <c r="AI64"/>
  <c r="AJ64"/>
  <c r="AF65"/>
  <c r="AG65"/>
  <c r="AH65"/>
  <c r="AI65"/>
  <c r="AJ65"/>
  <c r="AF66"/>
  <c r="AG66"/>
  <c r="AH66"/>
  <c r="AI66"/>
  <c r="AJ66"/>
  <c r="AF67"/>
  <c r="AG67"/>
  <c r="AH67"/>
  <c r="AI67"/>
  <c r="AJ67"/>
  <c r="AF68"/>
  <c r="AG68"/>
  <c r="AH68"/>
  <c r="AI68"/>
  <c r="AJ68"/>
  <c r="AF69"/>
  <c r="AG69"/>
  <c r="AH69"/>
  <c r="AI69"/>
  <c r="AJ69"/>
  <c r="AF70"/>
  <c r="AG70"/>
  <c r="AH70"/>
  <c r="AI70"/>
  <c r="AJ70"/>
  <c r="AF71"/>
  <c r="AG71"/>
  <c r="AH71"/>
  <c r="AI71"/>
  <c r="AJ71"/>
  <c r="AF72"/>
  <c r="AG72"/>
  <c r="AH72"/>
  <c r="AI72"/>
  <c r="AJ72"/>
  <c r="AF73"/>
  <c r="AG73"/>
  <c r="AH73"/>
  <c r="AI73"/>
  <c r="AJ73"/>
  <c r="AF74"/>
  <c r="AG74"/>
  <c r="AH74"/>
  <c r="AI74"/>
  <c r="AJ74"/>
  <c r="AF75"/>
  <c r="AG75"/>
  <c r="AH75"/>
  <c r="AI75"/>
  <c r="AJ75"/>
  <c r="AF76"/>
  <c r="AG76"/>
  <c r="AH76"/>
  <c r="AI76"/>
  <c r="AJ76"/>
  <c r="AF77"/>
  <c r="AG77"/>
  <c r="AH77"/>
  <c r="AI77"/>
  <c r="AJ77"/>
  <c r="AF78"/>
  <c r="AG78"/>
  <c r="AH78"/>
  <c r="AI78"/>
  <c r="AJ78"/>
  <c r="AF79"/>
  <c r="AG79"/>
  <c r="AH79"/>
  <c r="AI79"/>
  <c r="AJ79"/>
  <c r="AF80"/>
  <c r="AG80"/>
  <c r="AH80"/>
  <c r="AI80"/>
  <c r="AJ80"/>
  <c r="AF81"/>
  <c r="AG81"/>
  <c r="AH81"/>
  <c r="AI81"/>
  <c r="AJ81"/>
  <c r="AF82"/>
  <c r="AG82"/>
  <c r="AH82"/>
  <c r="AI82"/>
  <c r="AJ82"/>
  <c r="AF83"/>
  <c r="AG83"/>
  <c r="AH83"/>
  <c r="AI83"/>
  <c r="AJ83"/>
  <c r="AF84"/>
  <c r="AG84"/>
  <c r="AH84"/>
  <c r="AI84"/>
  <c r="AJ84"/>
  <c r="AF85"/>
  <c r="AG85"/>
  <c r="AH85"/>
  <c r="AI85"/>
  <c r="AJ85"/>
  <c r="AF86"/>
  <c r="AG86"/>
  <c r="AH86"/>
  <c r="AI86"/>
  <c r="AJ86"/>
  <c r="AF87"/>
  <c r="AG87"/>
  <c r="AH87"/>
  <c r="AI87"/>
  <c r="AJ87"/>
  <c r="AF88"/>
  <c r="AG88"/>
  <c r="AH88"/>
  <c r="AI88"/>
  <c r="AJ88"/>
  <c r="AF89"/>
  <c r="AG89"/>
  <c r="AH89"/>
  <c r="AI89"/>
  <c r="AJ89"/>
  <c r="AF90"/>
  <c r="AG90"/>
  <c r="AH90"/>
  <c r="AI90"/>
  <c r="AJ90"/>
  <c r="AF91"/>
  <c r="AG91"/>
  <c r="AH91"/>
  <c r="AI91"/>
  <c r="AJ91"/>
  <c r="AF92"/>
  <c r="AG92"/>
  <c r="AH92"/>
  <c r="AI92"/>
  <c r="AJ92"/>
  <c r="AF93"/>
  <c r="AG93"/>
  <c r="AH93"/>
  <c r="AI93"/>
  <c r="AJ93"/>
  <c r="AF94"/>
  <c r="AG94"/>
  <c r="AH94"/>
  <c r="AI94"/>
  <c r="AJ94"/>
  <c r="AF95"/>
  <c r="AG95"/>
  <c r="AH95"/>
  <c r="AI95"/>
  <c r="AJ95"/>
  <c r="AF96"/>
  <c r="AG96"/>
  <c r="AH96"/>
  <c r="AI96"/>
  <c r="AJ96"/>
  <c r="AF97"/>
  <c r="AG97"/>
  <c r="AH97"/>
  <c r="AI97"/>
  <c r="AJ97"/>
  <c r="AF98"/>
  <c r="AG98"/>
  <c r="AH98"/>
  <c r="AI98"/>
  <c r="AJ98"/>
  <c r="AF99"/>
  <c r="AG99"/>
  <c r="AH99"/>
  <c r="AI99"/>
  <c r="AJ99"/>
  <c r="AF100"/>
  <c r="AG100"/>
  <c r="AH100"/>
  <c r="AI100"/>
  <c r="AJ100"/>
  <c r="AF101"/>
  <c r="AG101"/>
  <c r="AH101"/>
  <c r="AI101"/>
  <c r="AJ101"/>
  <c r="AF102"/>
  <c r="AG102"/>
  <c r="AH102"/>
  <c r="AI102"/>
  <c r="AJ102"/>
  <c r="DB50"/>
  <c r="DC50"/>
  <c r="DD50"/>
  <c r="DE50"/>
  <c r="DF50"/>
  <c r="DG50"/>
  <c r="DH50"/>
  <c r="DI50"/>
  <c r="DJ50"/>
  <c r="DK50"/>
  <c r="DL50"/>
  <c r="AS50"/>
  <c r="AQ50"/>
  <c r="AP50"/>
  <c r="AN50"/>
  <c r="AB50"/>
  <c r="Z50"/>
  <c r="X50"/>
  <c r="W50"/>
  <c r="V50"/>
  <c r="P50"/>
  <c r="I50"/>
  <c r="DB49"/>
  <c r="DC49"/>
  <c r="DD49"/>
  <c r="DE49"/>
  <c r="DF49"/>
  <c r="DG49"/>
  <c r="DH49"/>
  <c r="DI49"/>
  <c r="DJ49"/>
  <c r="DK49"/>
  <c r="DL49"/>
  <c r="AS49"/>
  <c r="AQ49"/>
  <c r="AP49"/>
  <c r="AN49"/>
  <c r="AB49"/>
  <c r="Z49"/>
  <c r="X49"/>
  <c r="W49"/>
  <c r="V49"/>
  <c r="P49"/>
  <c r="I49"/>
  <c r="DB48"/>
  <c r="DC48"/>
  <c r="DD48"/>
  <c r="DE48"/>
  <c r="DF48"/>
  <c r="DG48"/>
  <c r="DH48"/>
  <c r="DI48"/>
  <c r="DJ48"/>
  <c r="DK48"/>
  <c r="DL48"/>
  <c r="AS48"/>
  <c r="AQ48"/>
  <c r="AP48"/>
  <c r="AN48"/>
  <c r="AB48"/>
  <c r="Z48"/>
  <c r="X48"/>
  <c r="W48"/>
  <c r="V48"/>
  <c r="P48"/>
  <c r="I48"/>
  <c r="DB47"/>
  <c r="DC47"/>
  <c r="DD47"/>
  <c r="DE47"/>
  <c r="DF47"/>
  <c r="DG47"/>
  <c r="DH47"/>
  <c r="DI47"/>
  <c r="DJ47"/>
  <c r="DK47"/>
  <c r="DL47"/>
  <c r="AS47"/>
  <c r="AQ47"/>
  <c r="AP47"/>
  <c r="AN47"/>
  <c r="AB47"/>
  <c r="Z47"/>
  <c r="X47"/>
  <c r="W47"/>
  <c r="V47"/>
  <c r="P47"/>
  <c r="I47"/>
  <c r="DB46"/>
  <c r="DC46"/>
  <c r="DD46"/>
  <c r="DE46"/>
  <c r="DF46"/>
  <c r="DG46"/>
  <c r="DH46"/>
  <c r="DI46"/>
  <c r="DJ46"/>
  <c r="DK46"/>
  <c r="DL46"/>
  <c r="AS46"/>
  <c r="AQ46"/>
  <c r="AP46"/>
  <c r="AN46"/>
  <c r="AB46"/>
  <c r="Z46"/>
  <c r="X46"/>
  <c r="W46"/>
  <c r="V46"/>
  <c r="P46"/>
  <c r="I46"/>
  <c r="DB45"/>
  <c r="DC45"/>
  <c r="DD45"/>
  <c r="DE45"/>
  <c r="DF45"/>
  <c r="DG45"/>
  <c r="DH45"/>
  <c r="DI45"/>
  <c r="DJ45"/>
  <c r="DK45"/>
  <c r="DL45"/>
  <c r="AS45"/>
  <c r="AQ45"/>
  <c r="AP45"/>
  <c r="AN45"/>
  <c r="AB45"/>
  <c r="Z45"/>
  <c r="X45"/>
  <c r="W45"/>
  <c r="V45"/>
  <c r="P45"/>
  <c r="I45"/>
  <c r="DB44"/>
  <c r="DC44"/>
  <c r="DD44"/>
  <c r="DE44"/>
  <c r="DF44"/>
  <c r="DG44"/>
  <c r="DH44"/>
  <c r="DI44"/>
  <c r="DJ44"/>
  <c r="DK44"/>
  <c r="DL44"/>
  <c r="AS44"/>
  <c r="AQ44"/>
  <c r="AP44"/>
  <c r="AN44"/>
  <c r="AB44"/>
  <c r="Z44"/>
  <c r="X44"/>
  <c r="W44"/>
  <c r="V44"/>
  <c r="P44"/>
  <c r="I44"/>
  <c r="DB43"/>
  <c r="DC43"/>
  <c r="DD43"/>
  <c r="DE43"/>
  <c r="DF43"/>
  <c r="DG43"/>
  <c r="DH43"/>
  <c r="DI43"/>
  <c r="DJ43"/>
  <c r="DK43"/>
  <c r="DL43"/>
  <c r="AS43"/>
  <c r="AQ43"/>
  <c r="AP43"/>
  <c r="AN43"/>
  <c r="AB43"/>
  <c r="Z43"/>
  <c r="X43"/>
  <c r="W43"/>
  <c r="V43"/>
  <c r="P43"/>
  <c r="I43"/>
  <c r="DB42"/>
  <c r="DC42"/>
  <c r="DD42"/>
  <c r="DE42"/>
  <c r="DF42"/>
  <c r="DG42"/>
  <c r="DH42"/>
  <c r="DI42"/>
  <c r="DJ42"/>
  <c r="DK42"/>
  <c r="DL42"/>
  <c r="AS42"/>
  <c r="AQ42"/>
  <c r="AP42"/>
  <c r="AN42"/>
  <c r="AB42"/>
  <c r="Z42"/>
  <c r="X42"/>
  <c r="W42"/>
  <c r="V42"/>
  <c r="P42"/>
  <c r="I42"/>
  <c r="DB41"/>
  <c r="DC41"/>
  <c r="DD41"/>
  <c r="DE41"/>
  <c r="DF41"/>
  <c r="DG41"/>
  <c r="DH41"/>
  <c r="DI41"/>
  <c r="DJ41"/>
  <c r="DK41"/>
  <c r="DL41"/>
  <c r="AS41"/>
  <c r="AQ41"/>
  <c r="AP41"/>
  <c r="AN41"/>
  <c r="AB41"/>
  <c r="Z41"/>
  <c r="X41"/>
  <c r="W41"/>
  <c r="V41"/>
  <c r="P41"/>
  <c r="I41"/>
  <c r="DB40"/>
  <c r="DC40"/>
  <c r="DD40"/>
  <c r="DE40"/>
  <c r="DF40"/>
  <c r="DG40"/>
  <c r="DH40"/>
  <c r="DI40"/>
  <c r="DJ40"/>
  <c r="DK40"/>
  <c r="DL40"/>
  <c r="AS40"/>
  <c r="AQ40"/>
  <c r="AP40"/>
  <c r="AN40"/>
  <c r="AB40"/>
  <c r="Z40"/>
  <c r="X40"/>
  <c r="W40"/>
  <c r="V40"/>
  <c r="P40"/>
  <c r="I40"/>
  <c r="DB39"/>
  <c r="DC39"/>
  <c r="DD39"/>
  <c r="DE39"/>
  <c r="DF39"/>
  <c r="DG39"/>
  <c r="DH39"/>
  <c r="DI39"/>
  <c r="DJ39"/>
  <c r="DK39"/>
  <c r="DL39"/>
  <c r="AS39"/>
  <c r="AQ39"/>
  <c r="AP39"/>
  <c r="AN39"/>
  <c r="AB39"/>
  <c r="Z39"/>
  <c r="X39"/>
  <c r="W39"/>
  <c r="V39"/>
  <c r="P39"/>
  <c r="I39"/>
  <c r="DB38"/>
  <c r="DC38"/>
  <c r="DD38"/>
  <c r="DE38"/>
  <c r="DF38"/>
  <c r="DG38"/>
  <c r="DH38"/>
  <c r="DI38"/>
  <c r="DJ38"/>
  <c r="DK38"/>
  <c r="DL38"/>
  <c r="AS38"/>
  <c r="AQ38"/>
  <c r="AP38"/>
  <c r="AN38"/>
  <c r="AB38"/>
  <c r="Z38"/>
  <c r="X38"/>
  <c r="W38"/>
  <c r="V38"/>
  <c r="P38"/>
  <c r="I38"/>
  <c r="DB37"/>
  <c r="DC37"/>
  <c r="DD37"/>
  <c r="DE37"/>
  <c r="DF37"/>
  <c r="DG37"/>
  <c r="DH37"/>
  <c r="DI37"/>
  <c r="DJ37"/>
  <c r="DK37"/>
  <c r="DL37"/>
  <c r="AS37"/>
  <c r="AQ37"/>
  <c r="AP37"/>
  <c r="AN37"/>
  <c r="AB37"/>
  <c r="Z37"/>
  <c r="X37"/>
  <c r="W37"/>
  <c r="V37"/>
  <c r="P37"/>
  <c r="I37"/>
  <c r="DB36"/>
  <c r="DC36"/>
  <c r="DD36"/>
  <c r="DE36"/>
  <c r="DF36"/>
  <c r="DG36"/>
  <c r="DH36"/>
  <c r="DI36"/>
  <c r="DJ36"/>
  <c r="DK36"/>
  <c r="DL36"/>
  <c r="AS36"/>
  <c r="AQ36"/>
  <c r="AP36"/>
  <c r="AN36"/>
  <c r="AB36"/>
  <c r="Z36"/>
  <c r="X36"/>
  <c r="W36"/>
  <c r="V36"/>
  <c r="P36"/>
  <c r="I36"/>
  <c r="DB35"/>
  <c r="DC35"/>
  <c r="DD35"/>
  <c r="DE35"/>
  <c r="DF35"/>
  <c r="DG35"/>
  <c r="DH35"/>
  <c r="DI35"/>
  <c r="DJ35"/>
  <c r="DK35"/>
  <c r="DL35"/>
  <c r="AS35"/>
  <c r="AQ35"/>
  <c r="AP35"/>
  <c r="AN35"/>
  <c r="AB35"/>
  <c r="Z35"/>
  <c r="X35"/>
  <c r="W35"/>
  <c r="V35"/>
  <c r="P35"/>
  <c r="I35"/>
  <c r="DB34"/>
  <c r="DC34"/>
  <c r="DD34"/>
  <c r="DE34"/>
  <c r="DF34"/>
  <c r="DG34"/>
  <c r="DH34"/>
  <c r="DI34"/>
  <c r="DJ34"/>
  <c r="DK34"/>
  <c r="DL34"/>
  <c r="AS34"/>
  <c r="AQ34"/>
  <c r="AP34"/>
  <c r="AN34"/>
  <c r="AB34"/>
  <c r="Z34"/>
  <c r="X34"/>
  <c r="W34"/>
  <c r="V34"/>
  <c r="P34"/>
  <c r="I34"/>
  <c r="DB33"/>
  <c r="DC33"/>
  <c r="DD33"/>
  <c r="DE33"/>
  <c r="DF33"/>
  <c r="DG33"/>
  <c r="DH33"/>
  <c r="DI33"/>
  <c r="DJ33"/>
  <c r="DK33"/>
  <c r="DL33"/>
  <c r="AS33"/>
  <c r="AQ33"/>
  <c r="AP33"/>
  <c r="AN33"/>
  <c r="AB33"/>
  <c r="Z33"/>
  <c r="X33"/>
  <c r="W33"/>
  <c r="V33"/>
  <c r="P33"/>
  <c r="I33"/>
  <c r="DB32"/>
  <c r="DC32"/>
  <c r="DD32"/>
  <c r="DE32"/>
  <c r="DF32"/>
  <c r="DG32"/>
  <c r="DH32"/>
  <c r="DI32"/>
  <c r="DJ32"/>
  <c r="DK32"/>
  <c r="DL32"/>
  <c r="AS32"/>
  <c r="AQ32"/>
  <c r="AP32"/>
  <c r="AN32"/>
  <c r="AB32"/>
  <c r="Z32"/>
  <c r="X32"/>
  <c r="W32"/>
  <c r="V32"/>
  <c r="P32"/>
  <c r="I32"/>
  <c r="DB31"/>
  <c r="DC31"/>
  <c r="DD31"/>
  <c r="DE31"/>
  <c r="DF31"/>
  <c r="DG31"/>
  <c r="DH31"/>
  <c r="DI31"/>
  <c r="DJ31"/>
  <c r="DK31"/>
  <c r="DL31"/>
  <c r="AS31"/>
  <c r="AQ31"/>
  <c r="AP31"/>
  <c r="AN31"/>
  <c r="AB31"/>
  <c r="Z31"/>
  <c r="X31"/>
  <c r="W31"/>
  <c r="V31"/>
  <c r="P31"/>
  <c r="I31"/>
  <c r="DB30"/>
  <c r="DC30"/>
  <c r="DD30"/>
  <c r="DE30"/>
  <c r="DF30"/>
  <c r="DG30"/>
  <c r="DH30"/>
  <c r="DI30"/>
  <c r="DJ30"/>
  <c r="DK30"/>
  <c r="DL30"/>
  <c r="AS30"/>
  <c r="AQ30"/>
  <c r="AP30"/>
  <c r="AN30"/>
  <c r="AB30"/>
  <c r="Z30"/>
  <c r="X30"/>
  <c r="W30"/>
  <c r="V30"/>
  <c r="P30"/>
  <c r="I30"/>
  <c r="DB29"/>
  <c r="DC29"/>
  <c r="DD29"/>
  <c r="DE29"/>
  <c r="DF29"/>
  <c r="DG29"/>
  <c r="DH29"/>
  <c r="DI29"/>
  <c r="DJ29"/>
  <c r="DK29"/>
  <c r="DL29"/>
  <c r="AS29"/>
  <c r="AQ29"/>
  <c r="AP29"/>
  <c r="AN29"/>
  <c r="AB29"/>
  <c r="Z29"/>
  <c r="X29"/>
  <c r="W29"/>
  <c r="V29"/>
  <c r="P29"/>
  <c r="I29"/>
  <c r="DB28"/>
  <c r="DC28"/>
  <c r="DD28"/>
  <c r="DE28"/>
  <c r="DF28"/>
  <c r="DG28"/>
  <c r="DH28"/>
  <c r="DI28"/>
  <c r="DJ28"/>
  <c r="DK28"/>
  <c r="DL28"/>
  <c r="AS28"/>
  <c r="AQ28"/>
  <c r="AP28"/>
  <c r="AN28"/>
  <c r="AB28"/>
  <c r="Z28"/>
  <c r="X28"/>
  <c r="W28"/>
  <c r="V28"/>
  <c r="P28"/>
  <c r="I28"/>
  <c r="DB27"/>
  <c r="DC27"/>
  <c r="DD27"/>
  <c r="DE27"/>
  <c r="DF27"/>
  <c r="DG27"/>
  <c r="DH27"/>
  <c r="DI27"/>
  <c r="DJ27"/>
  <c r="DK27"/>
  <c r="DL27"/>
  <c r="AS27"/>
  <c r="AQ27"/>
  <c r="AP27"/>
  <c r="AN27"/>
  <c r="AB27"/>
  <c r="Z27"/>
  <c r="X27"/>
  <c r="W27"/>
  <c r="V27"/>
  <c r="P27"/>
  <c r="I27"/>
  <c r="DB26"/>
  <c r="DC26"/>
  <c r="DD26"/>
  <c r="DE26"/>
  <c r="DF26"/>
  <c r="DG26"/>
  <c r="DH26"/>
  <c r="DI26"/>
  <c r="DJ26"/>
  <c r="DK26"/>
  <c r="DL26"/>
  <c r="AS26"/>
  <c r="AQ26"/>
  <c r="AP26"/>
  <c r="AN26"/>
  <c r="AB26"/>
  <c r="Z26"/>
  <c r="X26"/>
  <c r="W26"/>
  <c r="V26"/>
  <c r="P26"/>
  <c r="I26"/>
  <c r="DB25"/>
  <c r="DC25"/>
  <c r="DD25"/>
  <c r="DE25"/>
  <c r="DF25"/>
  <c r="DG25"/>
  <c r="DH25"/>
  <c r="DI25"/>
  <c r="DJ25"/>
  <c r="DK25"/>
  <c r="DL25"/>
  <c r="AS25"/>
  <c r="AQ25"/>
  <c r="AP25"/>
  <c r="AN25"/>
  <c r="AB25"/>
  <c r="Z25"/>
  <c r="X25"/>
  <c r="W25"/>
  <c r="V25"/>
  <c r="P25"/>
  <c r="I25"/>
  <c r="DB24"/>
  <c r="DC24"/>
  <c r="DD24"/>
  <c r="DE24"/>
  <c r="DF24"/>
  <c r="DG24"/>
  <c r="DH24"/>
  <c r="DI24"/>
  <c r="DJ24"/>
  <c r="DK24"/>
  <c r="DL24"/>
  <c r="AS24"/>
  <c r="AQ24"/>
  <c r="AP24"/>
  <c r="AN24"/>
  <c r="AB24"/>
  <c r="Z24"/>
  <c r="X24"/>
  <c r="W24"/>
  <c r="V24"/>
  <c r="P24"/>
  <c r="I24"/>
  <c r="DB23"/>
  <c r="DC23"/>
  <c r="DD23"/>
  <c r="DE23"/>
  <c r="DF23"/>
  <c r="DG23"/>
  <c r="DH23"/>
  <c r="DI23"/>
  <c r="DJ23"/>
  <c r="DK23"/>
  <c r="DL23"/>
  <c r="AS23"/>
  <c r="AQ23"/>
  <c r="AP23"/>
  <c r="AN23"/>
  <c r="AB23"/>
  <c r="Z23"/>
  <c r="X23"/>
  <c r="W23"/>
  <c r="V23"/>
  <c r="P23"/>
  <c r="I23"/>
  <c r="DB22"/>
  <c r="DC22"/>
  <c r="DD22"/>
  <c r="DE22"/>
  <c r="DF22"/>
  <c r="DG22"/>
  <c r="DH22"/>
  <c r="DI22"/>
  <c r="DJ22"/>
  <c r="DK22"/>
  <c r="DL22"/>
  <c r="AS22"/>
  <c r="AQ22"/>
  <c r="AP22"/>
  <c r="AN22"/>
  <c r="AB22"/>
  <c r="Z22"/>
  <c r="X22"/>
  <c r="W22"/>
  <c r="V22"/>
  <c r="P22"/>
  <c r="I22"/>
  <c r="DB21"/>
  <c r="DC21"/>
  <c r="DD21"/>
  <c r="DE21"/>
  <c r="DF21"/>
  <c r="DG21"/>
  <c r="DH21"/>
  <c r="DI21"/>
  <c r="DJ21"/>
  <c r="DK21"/>
  <c r="DL21"/>
  <c r="AS21"/>
  <c r="AQ21"/>
  <c r="AP21"/>
  <c r="AN21"/>
  <c r="AB21"/>
  <c r="Z21"/>
  <c r="X21"/>
  <c r="W21"/>
  <c r="V21"/>
  <c r="P21"/>
  <c r="I21"/>
  <c r="DB20"/>
  <c r="DC20"/>
  <c r="DD20"/>
  <c r="DE20"/>
  <c r="DF20"/>
  <c r="DG20"/>
  <c r="DH20"/>
  <c r="DI20"/>
  <c r="DJ20"/>
  <c r="DK20"/>
  <c r="DL20"/>
  <c r="AS20"/>
  <c r="AQ20"/>
  <c r="AP20"/>
  <c r="AN20"/>
  <c r="AB20"/>
  <c r="Z20"/>
  <c r="X20"/>
  <c r="W20"/>
  <c r="V20"/>
  <c r="P20"/>
  <c r="I20"/>
  <c r="DB19"/>
  <c r="DC19"/>
  <c r="DD19"/>
  <c r="DE19"/>
  <c r="DF19"/>
  <c r="DG19"/>
  <c r="DH19"/>
  <c r="DI19"/>
  <c r="DJ19"/>
  <c r="DK19"/>
  <c r="DL19"/>
  <c r="AS19"/>
  <c r="AQ19"/>
  <c r="AP19"/>
  <c r="AN19"/>
  <c r="AB19"/>
  <c r="Z19"/>
  <c r="X19"/>
  <c r="W19"/>
  <c r="V19"/>
  <c r="P19"/>
  <c r="I19"/>
  <c r="DB18"/>
  <c r="DC18"/>
  <c r="DD18"/>
  <c r="DE18"/>
  <c r="DF18"/>
  <c r="DG18"/>
  <c r="DH18"/>
  <c r="DI18"/>
  <c r="DJ18"/>
  <c r="DK18"/>
  <c r="DL18"/>
  <c r="AS18"/>
  <c r="AQ18"/>
  <c r="AP18"/>
  <c r="AN18"/>
  <c r="AB18"/>
  <c r="Z18"/>
  <c r="X18"/>
  <c r="W18"/>
  <c r="V18"/>
  <c r="P18"/>
  <c r="I18"/>
  <c r="DB17"/>
  <c r="DC17"/>
  <c r="DD17"/>
  <c r="DE17"/>
  <c r="DF17"/>
  <c r="DG17"/>
  <c r="DH17"/>
  <c r="DI17"/>
  <c r="DJ17"/>
  <c r="DK17"/>
  <c r="DL17"/>
  <c r="AS17"/>
  <c r="AQ17"/>
  <c r="AP17"/>
  <c r="AN17"/>
  <c r="AB17"/>
  <c r="Z17"/>
  <c r="X17"/>
  <c r="W17"/>
  <c r="V17"/>
  <c r="P17"/>
  <c r="I17"/>
  <c r="DB16"/>
  <c r="DC16"/>
  <c r="DD16"/>
  <c r="DE16"/>
  <c r="DF16"/>
  <c r="DG16"/>
  <c r="DH16"/>
  <c r="DI16"/>
  <c r="DJ16"/>
  <c r="DK16"/>
  <c r="DL16"/>
  <c r="AS16"/>
  <c r="AQ16"/>
  <c r="AP16"/>
  <c r="AN16"/>
  <c r="AB16"/>
  <c r="Z16"/>
  <c r="X16"/>
  <c r="W16"/>
  <c r="V16"/>
  <c r="P16"/>
  <c r="I16"/>
  <c r="DB15"/>
  <c r="DC15"/>
  <c r="DD15"/>
  <c r="DE15"/>
  <c r="DF15"/>
  <c r="DG15"/>
  <c r="DH15"/>
  <c r="DI15"/>
  <c r="DJ15"/>
  <c r="DK15"/>
  <c r="DL15"/>
  <c r="AS15"/>
  <c r="AQ15"/>
  <c r="AP15"/>
  <c r="AN15"/>
  <c r="AB15"/>
  <c r="Z15"/>
  <c r="X15"/>
  <c r="W15"/>
  <c r="V15"/>
  <c r="P15"/>
  <c r="I15"/>
  <c r="DB14"/>
  <c r="DC14"/>
  <c r="DD14"/>
  <c r="DE14"/>
  <c r="DF14"/>
  <c r="DG14"/>
  <c r="DH14"/>
  <c r="DI14"/>
  <c r="DJ14"/>
  <c r="DK14"/>
  <c r="DL14"/>
  <c r="AS14"/>
  <c r="AQ14"/>
  <c r="AP14"/>
  <c r="AN14"/>
  <c r="AB14"/>
  <c r="Z14"/>
  <c r="X14"/>
  <c r="W14"/>
  <c r="V14"/>
  <c r="P14"/>
  <c r="I14"/>
  <c r="DB13"/>
  <c r="DC13"/>
  <c r="DD13"/>
  <c r="DE13"/>
  <c r="DF13"/>
  <c r="DG13"/>
  <c r="DH13"/>
  <c r="DI13"/>
  <c r="DJ13"/>
  <c r="DK13"/>
  <c r="DL13"/>
  <c r="AS13"/>
  <c r="AQ13"/>
  <c r="AP13"/>
  <c r="AN13"/>
  <c r="AB13"/>
  <c r="Z13"/>
  <c r="X13"/>
  <c r="W13"/>
  <c r="V13"/>
  <c r="P13"/>
  <c r="I13"/>
  <c r="DB12"/>
  <c r="DC12"/>
  <c r="DD12"/>
  <c r="DE12"/>
  <c r="DF12"/>
  <c r="DG12"/>
  <c r="DH12"/>
  <c r="DI12"/>
  <c r="DJ12"/>
  <c r="DK12"/>
  <c r="DL12"/>
  <c r="AS12"/>
  <c r="AQ12"/>
  <c r="AP12"/>
  <c r="AN12"/>
  <c r="AB12"/>
  <c r="Z12"/>
  <c r="X12"/>
  <c r="W12"/>
  <c r="V12"/>
  <c r="P12"/>
  <c r="I12"/>
  <c r="DB11"/>
  <c r="DC11"/>
  <c r="DD11"/>
  <c r="DE11"/>
  <c r="DF11"/>
  <c r="DG11"/>
  <c r="DH11"/>
  <c r="DI11"/>
  <c r="DJ11"/>
  <c r="DK11"/>
  <c r="DL11"/>
  <c r="AS11"/>
  <c r="AQ11"/>
  <c r="AP11"/>
  <c r="AN11"/>
  <c r="AB11"/>
  <c r="Z11"/>
  <c r="X11"/>
  <c r="W11"/>
  <c r="V11"/>
  <c r="P11"/>
  <c r="I11"/>
  <c r="DB10"/>
  <c r="DC10"/>
  <c r="DD10"/>
  <c r="DE10"/>
  <c r="DF10"/>
  <c r="DG10"/>
  <c r="DH10"/>
  <c r="DI10"/>
  <c r="DJ10"/>
  <c r="DK10"/>
  <c r="DL10"/>
  <c r="AS10"/>
  <c r="AQ10"/>
  <c r="AP10"/>
  <c r="AN10"/>
  <c r="AB10"/>
  <c r="Z10"/>
  <c r="X10"/>
  <c r="W10"/>
  <c r="V10"/>
  <c r="P10"/>
  <c r="I10"/>
  <c r="DB9"/>
  <c r="DC9"/>
  <c r="DD9"/>
  <c r="DE9"/>
  <c r="DG9"/>
  <c r="DH9"/>
  <c r="DI9"/>
  <c r="DJ9"/>
  <c r="DK9"/>
  <c r="DL9"/>
  <c r="AS9"/>
  <c r="AQ9"/>
  <c r="AP9"/>
  <c r="AN9"/>
  <c r="AB9"/>
  <c r="Z9"/>
  <c r="X9"/>
  <c r="W9"/>
  <c r="V9"/>
  <c r="P9"/>
  <c r="I9"/>
  <c r="T7" i="18"/>
  <c r="S7"/>
  <c r="T8"/>
  <c r="S8"/>
  <c r="T9"/>
  <c r="S9"/>
  <c r="T10"/>
  <c r="S10"/>
  <c r="T11"/>
  <c r="S11"/>
  <c r="T12"/>
  <c r="S12"/>
  <c r="T13"/>
  <c r="S13"/>
  <c r="T14"/>
  <c r="S14"/>
  <c r="T15"/>
  <c r="S15"/>
  <c r="T16"/>
  <c r="S16"/>
  <c r="T17"/>
  <c r="S17"/>
  <c r="T18"/>
  <c r="S18"/>
  <c r="T19"/>
  <c r="S19"/>
  <c r="T20"/>
  <c r="S20"/>
  <c r="T21"/>
  <c r="S21"/>
  <c r="T22"/>
  <c r="S22"/>
  <c r="T23"/>
  <c r="S23"/>
  <c r="T24"/>
  <c r="S24"/>
  <c r="T25"/>
  <c r="S25"/>
  <c r="T26"/>
  <c r="S26"/>
  <c r="T27"/>
  <c r="S27"/>
  <c r="T28"/>
  <c r="S28"/>
  <c r="T29"/>
  <c r="S29"/>
  <c r="T30"/>
  <c r="S30"/>
  <c r="T31"/>
  <c r="S31"/>
  <c r="T32"/>
  <c r="S32"/>
  <c r="T33"/>
  <c r="S33"/>
  <c r="T34"/>
  <c r="S34"/>
  <c r="T35"/>
  <c r="S35"/>
  <c r="T36"/>
  <c r="S36"/>
  <c r="T37"/>
  <c r="S37"/>
  <c r="T38"/>
  <c r="S38"/>
  <c r="T39"/>
  <c r="S39"/>
  <c r="T40"/>
  <c r="S40"/>
  <c r="T41"/>
  <c r="S41"/>
  <c r="T42"/>
  <c r="S42"/>
  <c r="T43"/>
  <c r="S43"/>
  <c r="T44"/>
  <c r="S44"/>
  <c r="T45"/>
  <c r="S45"/>
  <c r="T46"/>
  <c r="S46"/>
  <c r="T47"/>
  <c r="S47"/>
  <c r="T48"/>
  <c r="S48"/>
  <c r="T49"/>
  <c r="S49"/>
  <c r="T50"/>
  <c r="S50"/>
  <c r="T51"/>
  <c r="S51"/>
  <c r="T52"/>
  <c r="S52"/>
  <c r="T53"/>
  <c r="S53"/>
  <c r="T54"/>
  <c r="S54"/>
  <c r="T55"/>
  <c r="S55"/>
  <c r="T56"/>
  <c r="S56"/>
  <c r="T57"/>
  <c r="S57"/>
  <c r="T58"/>
  <c r="S58"/>
  <c r="T59"/>
  <c r="S59"/>
  <c r="T60"/>
  <c r="S60"/>
  <c r="T61"/>
  <c r="S61"/>
  <c r="T62"/>
  <c r="S62"/>
  <c r="T63"/>
  <c r="S63"/>
  <c r="T64"/>
  <c r="S64"/>
  <c r="T65"/>
  <c r="S65"/>
  <c r="T66"/>
  <c r="S66"/>
  <c r="T67"/>
  <c r="S67"/>
  <c r="T68"/>
  <c r="S68"/>
  <c r="T69"/>
  <c r="S69"/>
  <c r="T70"/>
  <c r="S70"/>
  <c r="T71"/>
  <c r="S71"/>
  <c r="T72"/>
  <c r="S72"/>
  <c r="T73"/>
  <c r="S73"/>
  <c r="T74"/>
  <c r="S74"/>
  <c r="T75"/>
  <c r="S75"/>
  <c r="T76"/>
  <c r="S76"/>
  <c r="T77"/>
  <c r="S77"/>
  <c r="T78"/>
  <c r="S78"/>
  <c r="T79"/>
  <c r="S79"/>
  <c r="T80"/>
  <c r="S80"/>
  <c r="T81"/>
  <c r="S81"/>
  <c r="T82"/>
  <c r="S82"/>
  <c r="T83"/>
  <c r="S83"/>
  <c r="T84"/>
  <c r="S84"/>
  <c r="T85"/>
  <c r="S85"/>
  <c r="T86"/>
  <c r="S86"/>
  <c r="T87"/>
  <c r="S87"/>
  <c r="T88"/>
  <c r="S88"/>
  <c r="T89"/>
  <c r="S89"/>
  <c r="T90"/>
  <c r="S90"/>
  <c r="T91"/>
  <c r="S91"/>
  <c r="T92"/>
  <c r="S92"/>
  <c r="T93"/>
  <c r="S93"/>
  <c r="T94"/>
  <c r="S94"/>
  <c r="T95"/>
  <c r="S95"/>
  <c r="T96"/>
  <c r="S96"/>
  <c r="T97"/>
  <c r="S97"/>
  <c r="T98"/>
  <c r="S98"/>
  <c r="T99"/>
  <c r="S99"/>
  <c r="T100"/>
  <c r="S100"/>
  <c r="T101"/>
  <c r="S101"/>
  <c r="T102"/>
  <c r="S102"/>
  <c r="T103"/>
  <c r="S103"/>
  <c r="T104"/>
  <c r="S104"/>
  <c r="S6"/>
  <c r="T6"/>
  <c r="T7" i="19"/>
  <c r="S7"/>
  <c r="T8"/>
  <c r="S8"/>
  <c r="T9"/>
  <c r="S9"/>
  <c r="T10"/>
  <c r="S10"/>
  <c r="T11"/>
  <c r="S11"/>
  <c r="T12"/>
  <c r="S12"/>
  <c r="T13"/>
  <c r="S13"/>
  <c r="T14"/>
  <c r="S14"/>
  <c r="T15"/>
  <c r="S15"/>
  <c r="T16"/>
  <c r="S16"/>
  <c r="T17"/>
  <c r="S17"/>
  <c r="T18"/>
  <c r="S18"/>
  <c r="T19"/>
  <c r="S19"/>
  <c r="T20"/>
  <c r="S20"/>
  <c r="T21"/>
  <c r="S21"/>
  <c r="T22"/>
  <c r="S22"/>
  <c r="T23"/>
  <c r="S23"/>
  <c r="T24"/>
  <c r="S24"/>
  <c r="T25"/>
  <c r="S25"/>
  <c r="T26"/>
  <c r="S26"/>
  <c r="T27"/>
  <c r="S27"/>
  <c r="T28"/>
  <c r="S28"/>
  <c r="T29"/>
  <c r="S29"/>
  <c r="T30"/>
  <c r="S30"/>
  <c r="T31"/>
  <c r="S31"/>
  <c r="T32"/>
  <c r="S32"/>
  <c r="T33"/>
  <c r="S33"/>
  <c r="T34"/>
  <c r="S34"/>
  <c r="T35"/>
  <c r="S35"/>
  <c r="T36"/>
  <c r="S36"/>
  <c r="T37"/>
  <c r="S37"/>
  <c r="T38"/>
  <c r="S38"/>
  <c r="T39"/>
  <c r="S39"/>
  <c r="T40"/>
  <c r="S40"/>
  <c r="T41"/>
  <c r="S41"/>
  <c r="T42"/>
  <c r="S42"/>
  <c r="T43"/>
  <c r="S43"/>
  <c r="T44"/>
  <c r="S44"/>
  <c r="T45"/>
  <c r="S45"/>
  <c r="T46"/>
  <c r="S46"/>
  <c r="T47"/>
  <c r="S47"/>
  <c r="T48"/>
  <c r="S48"/>
  <c r="T49"/>
  <c r="S49"/>
  <c r="T50"/>
  <c r="S50"/>
  <c r="T51"/>
  <c r="S51"/>
  <c r="T52"/>
  <c r="S52"/>
  <c r="T53"/>
  <c r="S53"/>
  <c r="T54"/>
  <c r="S54"/>
  <c r="T55"/>
  <c r="S55"/>
  <c r="T56"/>
  <c r="S56"/>
  <c r="T57"/>
  <c r="S57"/>
  <c r="T58"/>
  <c r="S58"/>
  <c r="T59"/>
  <c r="S59"/>
  <c r="T60"/>
  <c r="S60"/>
  <c r="T61"/>
  <c r="S61"/>
  <c r="T62"/>
  <c r="S62"/>
  <c r="T63"/>
  <c r="S63"/>
  <c r="T64"/>
  <c r="S64"/>
  <c r="T65"/>
  <c r="S65"/>
  <c r="T66"/>
  <c r="S66"/>
  <c r="T67"/>
  <c r="S67"/>
  <c r="T68"/>
  <c r="S68"/>
  <c r="T69"/>
  <c r="S69"/>
  <c r="T70"/>
  <c r="S70"/>
  <c r="T71"/>
  <c r="S71"/>
  <c r="T72"/>
  <c r="S72"/>
  <c r="T73"/>
  <c r="S73"/>
  <c r="T74"/>
  <c r="S74"/>
  <c r="T75"/>
  <c r="S75"/>
  <c r="T76"/>
  <c r="S76"/>
  <c r="T77"/>
  <c r="S77"/>
  <c r="T78"/>
  <c r="S78"/>
  <c r="T79"/>
  <c r="S79"/>
  <c r="T80"/>
  <c r="S80"/>
  <c r="T81"/>
  <c r="S81"/>
  <c r="T82"/>
  <c r="S82"/>
  <c r="T83"/>
  <c r="S83"/>
  <c r="T84"/>
  <c r="S84"/>
  <c r="T85"/>
  <c r="S85"/>
  <c r="T86"/>
  <c r="S86"/>
  <c r="T87"/>
  <c r="S87"/>
  <c r="T88"/>
  <c r="S88"/>
  <c r="T89"/>
  <c r="S89"/>
  <c r="T90"/>
  <c r="S90"/>
  <c r="T91"/>
  <c r="S91"/>
  <c r="T92"/>
  <c r="S92"/>
  <c r="T93"/>
  <c r="S93"/>
  <c r="T94"/>
  <c r="S94"/>
  <c r="T95"/>
  <c r="S95"/>
  <c r="T96"/>
  <c r="S96"/>
  <c r="T97"/>
  <c r="S97"/>
  <c r="T98"/>
  <c r="S98"/>
  <c r="T99"/>
  <c r="S99"/>
  <c r="T100"/>
  <c r="S100"/>
  <c r="T101"/>
  <c r="S101"/>
  <c r="T102"/>
  <c r="S102"/>
  <c r="T103"/>
  <c r="S103"/>
  <c r="T104"/>
  <c r="S104"/>
  <c r="S6"/>
  <c r="T6"/>
  <c r="A12" i="29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1"/>
  <c r="DB51" i="20"/>
  <c r="DC51"/>
  <c r="DD51"/>
  <c r="DE51"/>
  <c r="DF51"/>
  <c r="DG51"/>
  <c r="DH51"/>
  <c r="DI51"/>
  <c r="DJ51"/>
  <c r="DK51"/>
  <c r="DL51"/>
  <c r="DB52"/>
  <c r="DC52"/>
  <c r="DD52"/>
  <c r="DE52"/>
  <c r="DF52"/>
  <c r="DG52"/>
  <c r="DH52"/>
  <c r="DI52"/>
  <c r="DJ52"/>
  <c r="DK52"/>
  <c r="DL52"/>
  <c r="Q50" i="68"/>
  <c r="AQ51" i="20"/>
  <c r="AQ52"/>
  <c r="AP51"/>
  <c r="AP52"/>
  <c r="N50" i="68"/>
  <c r="M50"/>
  <c r="L50"/>
  <c r="K50"/>
  <c r="AN51" i="20"/>
  <c r="AN52"/>
  <c r="J50" i="68"/>
  <c r="AS52" i="20"/>
  <c r="I49" i="68"/>
  <c r="E49"/>
  <c r="D49"/>
  <c r="B49"/>
  <c r="AS51" i="20"/>
  <c r="I48" i="68"/>
  <c r="E48"/>
  <c r="D48"/>
  <c r="B48"/>
  <c r="I47"/>
  <c r="E47"/>
  <c r="D47"/>
  <c r="B47"/>
  <c r="I46"/>
  <c r="E46"/>
  <c r="D46"/>
  <c r="B46"/>
  <c r="I45"/>
  <c r="E45"/>
  <c r="D45"/>
  <c r="B45"/>
  <c r="I44"/>
  <c r="E44"/>
  <c r="D44"/>
  <c r="B44"/>
  <c r="I43"/>
  <c r="E43"/>
  <c r="D43"/>
  <c r="B43"/>
  <c r="I42"/>
  <c r="E42"/>
  <c r="D42"/>
  <c r="B42"/>
  <c r="I41"/>
  <c r="E41"/>
  <c r="D41"/>
  <c r="B41"/>
  <c r="I40"/>
  <c r="E40"/>
  <c r="D40"/>
  <c r="B40"/>
  <c r="I39"/>
  <c r="E39"/>
  <c r="D39"/>
  <c r="B39"/>
  <c r="I38"/>
  <c r="E38"/>
  <c r="D38"/>
  <c r="B38"/>
  <c r="I37"/>
  <c r="E37"/>
  <c r="D37"/>
  <c r="B37"/>
  <c r="I36"/>
  <c r="E36"/>
  <c r="D36"/>
  <c r="B36"/>
  <c r="I35"/>
  <c r="E35"/>
  <c r="D35"/>
  <c r="B35"/>
  <c r="I34"/>
  <c r="E34"/>
  <c r="D34"/>
  <c r="B34"/>
  <c r="I33"/>
  <c r="E33"/>
  <c r="D33"/>
  <c r="B33"/>
  <c r="I32"/>
  <c r="E32"/>
  <c r="D32"/>
  <c r="B32"/>
  <c r="I31"/>
  <c r="E31"/>
  <c r="D31"/>
  <c r="B31"/>
  <c r="I30"/>
  <c r="E30"/>
  <c r="D30"/>
  <c r="B30"/>
  <c r="I29"/>
  <c r="E29"/>
  <c r="D29"/>
  <c r="B29"/>
  <c r="I28"/>
  <c r="E28"/>
  <c r="D28"/>
  <c r="B28"/>
  <c r="I27"/>
  <c r="E27"/>
  <c r="D27"/>
  <c r="B27"/>
  <c r="I26"/>
  <c r="E26"/>
  <c r="D26"/>
  <c r="B26"/>
  <c r="I25"/>
  <c r="E25"/>
  <c r="D25"/>
  <c r="B25"/>
  <c r="I24"/>
  <c r="E24"/>
  <c r="D24"/>
  <c r="B24"/>
  <c r="I23"/>
  <c r="E23"/>
  <c r="D23"/>
  <c r="B23"/>
  <c r="I22"/>
  <c r="E22"/>
  <c r="D22"/>
  <c r="B22"/>
  <c r="I21"/>
  <c r="E21"/>
  <c r="D21"/>
  <c r="B21"/>
  <c r="I20"/>
  <c r="E20"/>
  <c r="D20"/>
  <c r="B20"/>
  <c r="I19"/>
  <c r="E19"/>
  <c r="D19"/>
  <c r="B19"/>
  <c r="I18"/>
  <c r="E18"/>
  <c r="D18"/>
  <c r="B18"/>
  <c r="I17"/>
  <c r="E17"/>
  <c r="D17"/>
  <c r="B17"/>
  <c r="I16"/>
  <c r="E16"/>
  <c r="D16"/>
  <c r="B16"/>
  <c r="I15"/>
  <c r="E15"/>
  <c r="D15"/>
  <c r="B15"/>
  <c r="I14"/>
  <c r="E14"/>
  <c r="D14"/>
  <c r="B14"/>
  <c r="I13"/>
  <c r="E13"/>
  <c r="D13"/>
  <c r="B13"/>
  <c r="I12"/>
  <c r="E12"/>
  <c r="D12"/>
  <c r="B12"/>
  <c r="I11"/>
  <c r="E11"/>
  <c r="D11"/>
  <c r="B11"/>
  <c r="I10"/>
  <c r="E10"/>
  <c r="D10"/>
  <c r="B10"/>
  <c r="I9"/>
  <c r="E9"/>
  <c r="D9"/>
  <c r="B9"/>
  <c r="I8"/>
  <c r="E8"/>
  <c r="D8"/>
  <c r="B8"/>
  <c r="I7"/>
  <c r="E7"/>
  <c r="D7"/>
  <c r="B7"/>
  <c r="I6"/>
  <c r="E6"/>
  <c r="D6"/>
  <c r="B6"/>
  <c r="D1"/>
  <c r="D49" i="33"/>
  <c r="E10" i="58" s="1"/>
  <c r="B2" i="64"/>
  <c r="B3"/>
  <c r="B4"/>
  <c r="B5"/>
  <c r="B6"/>
  <c r="B7"/>
  <c r="B8"/>
  <c r="E16"/>
  <c r="D19"/>
  <c r="C19" s="1"/>
  <c r="E19"/>
  <c r="D20"/>
  <c r="E20"/>
  <c r="D21"/>
  <c r="E21"/>
  <c r="D22"/>
  <c r="D23"/>
  <c r="E23"/>
  <c r="E24"/>
  <c r="E8" i="58"/>
  <c r="H46" s="1"/>
  <c r="H59" s="1"/>
  <c r="K1" i="49"/>
  <c r="K2"/>
  <c r="K3"/>
  <c r="K4"/>
  <c r="D10" s="1"/>
  <c r="H11" s="1"/>
  <c r="K5"/>
  <c r="D11"/>
  <c r="D20" s="1"/>
  <c r="H13"/>
  <c r="R13" s="1"/>
  <c r="Q13" s="1"/>
  <c r="I13"/>
  <c r="I50" s="1"/>
  <c r="H14"/>
  <c r="H51" s="1"/>
  <c r="R51" s="1"/>
  <c r="I14"/>
  <c r="I51" s="1"/>
  <c r="H15"/>
  <c r="H52" s="1"/>
  <c r="R52" s="1"/>
  <c r="I15"/>
  <c r="I52"/>
  <c r="H16"/>
  <c r="H53" s="1"/>
  <c r="R53" s="1"/>
  <c r="I16"/>
  <c r="I53"/>
  <c r="H17"/>
  <c r="H54" s="1"/>
  <c r="R54" s="1"/>
  <c r="I17"/>
  <c r="I54"/>
  <c r="I18"/>
  <c r="L1" i="67"/>
  <c r="L2"/>
  <c r="L3"/>
  <c r="L4"/>
  <c r="L5"/>
  <c r="L6"/>
  <c r="I41"/>
  <c r="H13"/>
  <c r="H44" s="1"/>
  <c r="I13"/>
  <c r="I44" s="1"/>
  <c r="H14"/>
  <c r="H45" s="1"/>
  <c r="R45" s="1"/>
  <c r="I14"/>
  <c r="I45" s="1"/>
  <c r="H15"/>
  <c r="H46" s="1"/>
  <c r="R46" s="1"/>
  <c r="I15"/>
  <c r="S15" s="1"/>
  <c r="H16"/>
  <c r="H47" s="1"/>
  <c r="R47" s="1"/>
  <c r="I16"/>
  <c r="I47" s="1"/>
  <c r="H17"/>
  <c r="H48" s="1"/>
  <c r="R48" s="1"/>
  <c r="I17"/>
  <c r="I48"/>
  <c r="I18"/>
  <c r="I49"/>
  <c r="K1" i="66"/>
  <c r="K2"/>
  <c r="K3"/>
  <c r="K4"/>
  <c r="K5"/>
  <c r="J34"/>
  <c r="H14"/>
  <c r="I37"/>
  <c r="H37" s="1"/>
  <c r="I14"/>
  <c r="J37"/>
  <c r="H15"/>
  <c r="I38"/>
  <c r="I15"/>
  <c r="J38"/>
  <c r="H16"/>
  <c r="I39"/>
  <c r="I16"/>
  <c r="J39"/>
  <c r="H17"/>
  <c r="I40"/>
  <c r="I17"/>
  <c r="J40"/>
  <c r="H18"/>
  <c r="I41"/>
  <c r="I18"/>
  <c r="J41"/>
  <c r="I19"/>
  <c r="D52" i="33"/>
  <c r="C10" i="58" s="1"/>
  <c r="B51" i="33"/>
  <c r="C9" i="58" s="1"/>
  <c r="C8"/>
  <c r="C7"/>
  <c r="C6"/>
  <c r="C5"/>
  <c r="D32" i="33"/>
  <c r="D37"/>
  <c r="B38"/>
  <c r="B39" s="1"/>
  <c r="B56" s="1"/>
  <c r="B8" i="58"/>
  <c r="D12" i="49"/>
  <c r="D30" s="1"/>
  <c r="D33" s="1"/>
  <c r="H2"/>
  <c r="D22" s="1"/>
  <c r="D6"/>
  <c r="H6" s="1"/>
  <c r="D15" s="1"/>
  <c r="D16" s="1"/>
  <c r="D23" s="1"/>
  <c r="D5"/>
  <c r="S13"/>
  <c r="S14"/>
  <c r="S15"/>
  <c r="S16"/>
  <c r="S17"/>
  <c r="S50"/>
  <c r="S51"/>
  <c r="S52"/>
  <c r="S53"/>
  <c r="S54"/>
  <c r="D12" i="67"/>
  <c r="D30" s="1"/>
  <c r="D13"/>
  <c r="H2"/>
  <c r="I11"/>
  <c r="D6"/>
  <c r="D5"/>
  <c r="H6" s="1"/>
  <c r="D16" s="1"/>
  <c r="D17" s="1"/>
  <c r="D23" s="1"/>
  <c r="R14"/>
  <c r="R15"/>
  <c r="R16"/>
  <c r="R17"/>
  <c r="S17"/>
  <c r="S18"/>
  <c r="S48"/>
  <c r="S49"/>
  <c r="D12" i="66"/>
  <c r="D31" s="1"/>
  <c r="I11"/>
  <c r="D6"/>
  <c r="H6" s="1"/>
  <c r="D15" s="1"/>
  <c r="D16" s="1"/>
  <c r="D24" s="1"/>
  <c r="D5"/>
  <c r="R14"/>
  <c r="Q14" s="1"/>
  <c r="S14"/>
  <c r="R15"/>
  <c r="S15"/>
  <c r="R16"/>
  <c r="S16"/>
  <c r="R17"/>
  <c r="S17"/>
  <c r="R18"/>
  <c r="S18"/>
  <c r="S34"/>
  <c r="R37"/>
  <c r="Q37" s="1"/>
  <c r="S37"/>
  <c r="R38"/>
  <c r="S38"/>
  <c r="R39"/>
  <c r="S39"/>
  <c r="R40"/>
  <c r="S40"/>
  <c r="R41"/>
  <c r="S41"/>
  <c r="G1" i="58"/>
  <c r="E1"/>
  <c r="B1"/>
  <c r="B1" i="25"/>
  <c r="C98" i="57"/>
  <c r="E63"/>
  <c r="E59"/>
  <c r="C63"/>
  <c r="F39" i="33"/>
  <c r="C60" i="57" s="1"/>
  <c r="D60" s="1"/>
  <c r="B63"/>
  <c r="B62"/>
  <c r="B61"/>
  <c r="B60"/>
  <c r="B59"/>
  <c r="C45"/>
  <c r="E10"/>
  <c r="E6"/>
  <c r="C10"/>
  <c r="B10"/>
  <c r="B9"/>
  <c r="B8"/>
  <c r="B7"/>
  <c r="B5"/>
  <c r="B1"/>
  <c r="B2" i="25"/>
  <c r="Q14" i="31"/>
  <c r="Q11"/>
  <c r="Q12"/>
  <c r="D5"/>
  <c r="D6"/>
  <c r="D7"/>
  <c r="D8"/>
  <c r="D9"/>
  <c r="D10"/>
  <c r="D11"/>
  <c r="D12"/>
  <c r="I33" i="34"/>
  <c r="E5" i="31"/>
  <c r="E6"/>
  <c r="E7"/>
  <c r="E8"/>
  <c r="E9"/>
  <c r="E10"/>
  <c r="E11"/>
  <c r="E12"/>
  <c r="I42" i="56"/>
  <c r="C20" i="67"/>
  <c r="B20"/>
  <c r="D15"/>
  <c r="D49" i="66"/>
  <c r="D48"/>
  <c r="D47"/>
  <c r="D46"/>
  <c r="D45"/>
  <c r="G14"/>
  <c r="G15" s="1"/>
  <c r="G16" s="1"/>
  <c r="G17" s="1"/>
  <c r="G18" s="1"/>
  <c r="C21"/>
  <c r="B21"/>
  <c r="N6"/>
  <c r="B62" i="65"/>
  <c r="C62"/>
  <c r="B63"/>
  <c r="C63"/>
  <c r="D63" s="1"/>
  <c r="F63" s="1"/>
  <c r="B7"/>
  <c r="B8" s="1"/>
  <c r="K37"/>
  <c r="B2"/>
  <c r="B3"/>
  <c r="B4"/>
  <c r="E16" s="1"/>
  <c r="B5"/>
  <c r="D40"/>
  <c r="N40"/>
  <c r="D19"/>
  <c r="E19"/>
  <c r="O43"/>
  <c r="D20"/>
  <c r="D44"/>
  <c r="N44" s="1"/>
  <c r="E20"/>
  <c r="O44" s="1"/>
  <c r="D21"/>
  <c r="E21"/>
  <c r="O21" s="1"/>
  <c r="O45"/>
  <c r="D22"/>
  <c r="D46"/>
  <c r="N46" s="1"/>
  <c r="E22"/>
  <c r="O46" s="1"/>
  <c r="D23"/>
  <c r="E23"/>
  <c r="O47"/>
  <c r="E24"/>
  <c r="O24" s="1"/>
  <c r="E43"/>
  <c r="E44"/>
  <c r="E45"/>
  <c r="E46"/>
  <c r="E47"/>
  <c r="B28"/>
  <c r="J4" s="1"/>
  <c r="O19"/>
  <c r="N20"/>
  <c r="O20"/>
  <c r="N22"/>
  <c r="O23"/>
  <c r="B11" i="64"/>
  <c r="B12"/>
  <c r="K37"/>
  <c r="E40"/>
  <c r="O40" s="1"/>
  <c r="D43"/>
  <c r="N43" s="1"/>
  <c r="M43" s="1"/>
  <c r="O43"/>
  <c r="D44"/>
  <c r="N44"/>
  <c r="O44"/>
  <c r="D45"/>
  <c r="N45" s="1"/>
  <c r="O45"/>
  <c r="D46"/>
  <c r="N46" s="1"/>
  <c r="O46"/>
  <c r="D47"/>
  <c r="N47" s="1"/>
  <c r="O47"/>
  <c r="O48"/>
  <c r="E43"/>
  <c r="E44"/>
  <c r="E45"/>
  <c r="E47"/>
  <c r="E48"/>
  <c r="E46"/>
  <c r="B28"/>
  <c r="E22"/>
  <c r="J4"/>
  <c r="K5" i="63"/>
  <c r="I41" s="1"/>
  <c r="D20"/>
  <c r="K1"/>
  <c r="K2"/>
  <c r="K3"/>
  <c r="K4"/>
  <c r="K6"/>
  <c r="H13"/>
  <c r="H44" s="1"/>
  <c r="R44" s="1"/>
  <c r="Q44" s="1"/>
  <c r="I13"/>
  <c r="I44" s="1"/>
  <c r="H14"/>
  <c r="I14"/>
  <c r="S45" s="1"/>
  <c r="H15"/>
  <c r="H46" s="1"/>
  <c r="R46" s="1"/>
  <c r="I15"/>
  <c r="S46" s="1"/>
  <c r="H16"/>
  <c r="H47" s="1"/>
  <c r="R47" s="1"/>
  <c r="I16"/>
  <c r="I47" s="1"/>
  <c r="S47"/>
  <c r="H17"/>
  <c r="H48" s="1"/>
  <c r="R48" s="1"/>
  <c r="I17"/>
  <c r="I48" s="1"/>
  <c r="I18"/>
  <c r="S49" s="1"/>
  <c r="I46"/>
  <c r="D31"/>
  <c r="D12"/>
  <c r="D30" s="1"/>
  <c r="D14"/>
  <c r="D32"/>
  <c r="H2"/>
  <c r="D6"/>
  <c r="H6" s="1"/>
  <c r="D15" s="1"/>
  <c r="D16" s="1"/>
  <c r="D5"/>
  <c r="R15"/>
  <c r="R16"/>
  <c r="S16"/>
  <c r="R17"/>
  <c r="H31"/>
  <c r="G31"/>
  <c r="H30"/>
  <c r="G30"/>
  <c r="C20"/>
  <c r="B20"/>
  <c r="E14"/>
  <c r="H33" i="61"/>
  <c r="E33"/>
  <c r="D33"/>
  <c r="H25"/>
  <c r="D25"/>
  <c r="I17"/>
  <c r="F11"/>
  <c r="W7"/>
  <c r="V7"/>
  <c r="U7"/>
  <c r="T7"/>
  <c r="K7"/>
  <c r="K5"/>
  <c r="K347" i="60"/>
  <c r="E347"/>
  <c r="K346"/>
  <c r="E346"/>
  <c r="K345"/>
  <c r="E345"/>
  <c r="K344"/>
  <c r="E344"/>
  <c r="K343"/>
  <c r="E343"/>
  <c r="K342"/>
  <c r="E342"/>
  <c r="K341"/>
  <c r="E341"/>
  <c r="K340"/>
  <c r="E340"/>
  <c r="K339"/>
  <c r="E339"/>
  <c r="K338"/>
  <c r="E338"/>
  <c r="K337"/>
  <c r="E337"/>
  <c r="K336"/>
  <c r="E336"/>
  <c r="K335"/>
  <c r="E335"/>
  <c r="K334"/>
  <c r="E334"/>
  <c r="K333"/>
  <c r="E333"/>
  <c r="K332"/>
  <c r="E332"/>
  <c r="K331"/>
  <c r="E331"/>
  <c r="K330"/>
  <c r="E330"/>
  <c r="K329"/>
  <c r="E329"/>
  <c r="K328"/>
  <c r="E328"/>
  <c r="K327"/>
  <c r="E327"/>
  <c r="K326"/>
  <c r="E326"/>
  <c r="K325"/>
  <c r="E325"/>
  <c r="K324"/>
  <c r="E324"/>
  <c r="K323"/>
  <c r="E323"/>
  <c r="K322"/>
  <c r="E322"/>
  <c r="K321"/>
  <c r="E321"/>
  <c r="K320"/>
  <c r="E320"/>
  <c r="K319"/>
  <c r="E319"/>
  <c r="K318"/>
  <c r="E318"/>
  <c r="K317"/>
  <c r="E317"/>
  <c r="K316"/>
  <c r="E316"/>
  <c r="K313"/>
  <c r="E313"/>
  <c r="K303"/>
  <c r="E303"/>
  <c r="K302"/>
  <c r="E302"/>
  <c r="K301"/>
  <c r="E301"/>
  <c r="K300"/>
  <c r="E300"/>
  <c r="K299"/>
  <c r="E299"/>
  <c r="K298"/>
  <c r="E298"/>
  <c r="K297"/>
  <c r="E297"/>
  <c r="K296"/>
  <c r="E296"/>
  <c r="K295"/>
  <c r="E295"/>
  <c r="K294"/>
  <c r="E294"/>
  <c r="K293"/>
  <c r="E293"/>
  <c r="K292"/>
  <c r="E292"/>
  <c r="K291"/>
  <c r="E291"/>
  <c r="K290"/>
  <c r="E290"/>
  <c r="K289"/>
  <c r="E289"/>
  <c r="K288"/>
  <c r="E288"/>
  <c r="K287"/>
  <c r="E287"/>
  <c r="K286"/>
  <c r="E286"/>
  <c r="K285"/>
  <c r="E285"/>
  <c r="K284"/>
  <c r="E284"/>
  <c r="K283"/>
  <c r="E283"/>
  <c r="K282"/>
  <c r="E282"/>
  <c r="K281"/>
  <c r="E281"/>
  <c r="K280"/>
  <c r="E280"/>
  <c r="K279"/>
  <c r="E279"/>
  <c r="K278"/>
  <c r="E278"/>
  <c r="K277"/>
  <c r="E277"/>
  <c r="K276"/>
  <c r="E276"/>
  <c r="K275"/>
  <c r="E275"/>
  <c r="K274"/>
  <c r="E274"/>
  <c r="K273"/>
  <c r="E273"/>
  <c r="K272"/>
  <c r="E272"/>
  <c r="K271"/>
  <c r="E271"/>
  <c r="K270"/>
  <c r="E270"/>
  <c r="K269"/>
  <c r="E269"/>
  <c r="K268"/>
  <c r="E268"/>
  <c r="K267"/>
  <c r="E267"/>
  <c r="K266"/>
  <c r="E266"/>
  <c r="K265"/>
  <c r="E265"/>
  <c r="K264"/>
  <c r="E264"/>
  <c r="K263"/>
  <c r="E263"/>
  <c r="O262"/>
  <c r="Q262"/>
  <c r="K262"/>
  <c r="E262"/>
  <c r="O261"/>
  <c r="Q261"/>
  <c r="O176"/>
  <c r="O177"/>
  <c r="O178"/>
  <c r="O195"/>
  <c r="O200"/>
  <c r="B216"/>
  <c r="B217"/>
  <c r="O179"/>
  <c r="O188"/>
  <c r="O189"/>
  <c r="O190"/>
  <c r="O191"/>
  <c r="O193"/>
  <c r="O194"/>
  <c r="O196"/>
  <c r="O197"/>
  <c r="O198"/>
  <c r="O201"/>
  <c r="O183"/>
  <c r="O185"/>
  <c r="B211"/>
  <c r="B212"/>
  <c r="O180"/>
  <c r="O181"/>
  <c r="O182"/>
  <c r="O184"/>
  <c r="O186"/>
  <c r="O187"/>
  <c r="O192"/>
  <c r="O199"/>
  <c r="O202"/>
  <c r="O203"/>
  <c r="O204"/>
  <c r="O205"/>
  <c r="O206"/>
  <c r="O208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8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8"/>
  <c r="L176"/>
  <c r="L177"/>
  <c r="L178"/>
  <c r="L179"/>
  <c r="L180"/>
  <c r="L181"/>
  <c r="L182"/>
  <c r="J183"/>
  <c r="L183"/>
  <c r="L184"/>
  <c r="J185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8"/>
  <c r="F201"/>
  <c r="F200"/>
  <c r="F198"/>
  <c r="F197"/>
  <c r="F196"/>
  <c r="F195"/>
  <c r="F194"/>
  <c r="F193"/>
  <c r="F191"/>
  <c r="F190"/>
  <c r="F189"/>
  <c r="F188"/>
  <c r="F185"/>
  <c r="F183"/>
  <c r="F179"/>
  <c r="F178"/>
  <c r="F177"/>
  <c r="D173"/>
  <c r="I86"/>
  <c r="I93"/>
  <c r="I84"/>
  <c r="I95"/>
  <c r="I88"/>
  <c r="I90"/>
  <c r="I74"/>
  <c r="I78"/>
  <c r="I72"/>
  <c r="I80"/>
  <c r="I76"/>
  <c r="O4"/>
  <c r="O5"/>
  <c r="O6"/>
  <c r="O21"/>
  <c r="O26"/>
  <c r="B42"/>
  <c r="D64"/>
  <c r="B64"/>
  <c r="B65"/>
  <c r="O7"/>
  <c r="O14"/>
  <c r="O15"/>
  <c r="O16"/>
  <c r="O17"/>
  <c r="O19"/>
  <c r="O20"/>
  <c r="O22"/>
  <c r="O23"/>
  <c r="O24"/>
  <c r="O27"/>
  <c r="B37"/>
  <c r="D58"/>
  <c r="B58"/>
  <c r="B59"/>
  <c r="O12"/>
  <c r="K53"/>
  <c r="H54"/>
  <c r="E54"/>
  <c r="J53"/>
  <c r="H53"/>
  <c r="E53"/>
  <c r="O11"/>
  <c r="K49"/>
  <c r="H50"/>
  <c r="E50"/>
  <c r="J49"/>
  <c r="H49"/>
  <c r="E49"/>
  <c r="E42"/>
  <c r="E41"/>
  <c r="E43"/>
  <c r="B43"/>
  <c r="F5"/>
  <c r="F6"/>
  <c r="F7"/>
  <c r="F11"/>
  <c r="F12"/>
  <c r="F14"/>
  <c r="F15"/>
  <c r="F16"/>
  <c r="F17"/>
  <c r="F18"/>
  <c r="F19"/>
  <c r="F20"/>
  <c r="F21"/>
  <c r="F22"/>
  <c r="F23"/>
  <c r="F24"/>
  <c r="F26"/>
  <c r="F27"/>
  <c r="F33"/>
  <c r="I42"/>
  <c r="O13"/>
  <c r="O10"/>
  <c r="O9"/>
  <c r="O8"/>
  <c r="O38"/>
  <c r="L13"/>
  <c r="L12"/>
  <c r="L11"/>
  <c r="L10"/>
  <c r="L9"/>
  <c r="L8"/>
  <c r="L38"/>
  <c r="E37"/>
  <c r="E36"/>
  <c r="E38"/>
  <c r="B38"/>
  <c r="O25"/>
  <c r="O37"/>
  <c r="N26"/>
  <c r="N25"/>
  <c r="N23"/>
  <c r="N21"/>
  <c r="N6"/>
  <c r="N5"/>
  <c r="N4"/>
  <c r="N37"/>
  <c r="L26"/>
  <c r="L25"/>
  <c r="L23"/>
  <c r="L21"/>
  <c r="L6"/>
  <c r="L5"/>
  <c r="L4"/>
  <c r="L37"/>
  <c r="O36"/>
  <c r="M27"/>
  <c r="M24"/>
  <c r="M22"/>
  <c r="M20"/>
  <c r="M19"/>
  <c r="M18"/>
  <c r="M17"/>
  <c r="M16"/>
  <c r="M15"/>
  <c r="M14"/>
  <c r="M7"/>
  <c r="M36"/>
  <c r="L27"/>
  <c r="L24"/>
  <c r="L22"/>
  <c r="L20"/>
  <c r="L19"/>
  <c r="L18"/>
  <c r="L17"/>
  <c r="L16"/>
  <c r="L15"/>
  <c r="L14"/>
  <c r="L7"/>
  <c r="L36"/>
  <c r="O18"/>
  <c r="O28"/>
  <c r="O29"/>
  <c r="O30"/>
  <c r="O31"/>
  <c r="O32"/>
  <c r="O34"/>
  <c r="N7"/>
  <c r="N8"/>
  <c r="N9"/>
  <c r="N10"/>
  <c r="N11"/>
  <c r="N12"/>
  <c r="N13"/>
  <c r="N14"/>
  <c r="N15"/>
  <c r="N16"/>
  <c r="N17"/>
  <c r="N18"/>
  <c r="N19"/>
  <c r="N20"/>
  <c r="N22"/>
  <c r="N24"/>
  <c r="N27"/>
  <c r="N28"/>
  <c r="N29"/>
  <c r="N30"/>
  <c r="N31"/>
  <c r="N32"/>
  <c r="N34"/>
  <c r="M4"/>
  <c r="M5"/>
  <c r="M6"/>
  <c r="M8"/>
  <c r="M9"/>
  <c r="M10"/>
  <c r="M11"/>
  <c r="M12"/>
  <c r="M13"/>
  <c r="M21"/>
  <c r="M23"/>
  <c r="M25"/>
  <c r="M26"/>
  <c r="M28"/>
  <c r="M29"/>
  <c r="M30"/>
  <c r="M31"/>
  <c r="M32"/>
  <c r="M34"/>
  <c r="L28"/>
  <c r="L29"/>
  <c r="L30"/>
  <c r="L31"/>
  <c r="L32"/>
  <c r="L34"/>
  <c r="J12"/>
  <c r="J11"/>
  <c r="C96" i="59"/>
  <c r="E12"/>
  <c r="F50" s="1"/>
  <c r="B11"/>
  <c r="D11" s="1"/>
  <c r="E11"/>
  <c r="G49" s="1"/>
  <c r="H49"/>
  <c r="F49"/>
  <c r="D49"/>
  <c r="B49"/>
  <c r="E10"/>
  <c r="G48" s="1"/>
  <c r="C10"/>
  <c r="D10" s="1"/>
  <c r="B10"/>
  <c r="F48"/>
  <c r="E9"/>
  <c r="G47" s="1"/>
  <c r="C9"/>
  <c r="B9"/>
  <c r="D47"/>
  <c r="E8"/>
  <c r="F46" s="1"/>
  <c r="B8"/>
  <c r="D8"/>
  <c r="E7"/>
  <c r="F45" s="1"/>
  <c r="H45"/>
  <c r="B7"/>
  <c r="D7" s="1"/>
  <c r="G45"/>
  <c r="G59" s="1"/>
  <c r="E45"/>
  <c r="C45"/>
  <c r="C59" s="1"/>
  <c r="A45"/>
  <c r="A59" s="1"/>
  <c r="E6"/>
  <c r="D44" s="1"/>
  <c r="B6"/>
  <c r="L6" s="1"/>
  <c r="O6" s="1"/>
  <c r="E5"/>
  <c r="H43" s="1"/>
  <c r="B5"/>
  <c r="L5" s="1"/>
  <c r="O5" s="1"/>
  <c r="D5"/>
  <c r="B43"/>
  <c r="B54"/>
  <c r="B12"/>
  <c r="D12" s="1"/>
  <c r="C12"/>
  <c r="L11"/>
  <c r="O11" s="1"/>
  <c r="F11"/>
  <c r="N11" s="1"/>
  <c r="C11"/>
  <c r="M11" s="1"/>
  <c r="F9"/>
  <c r="L8"/>
  <c r="O8" s="1"/>
  <c r="F8"/>
  <c r="N8" s="1"/>
  <c r="C8"/>
  <c r="M8" s="1"/>
  <c r="F7"/>
  <c r="N7" s="1"/>
  <c r="C7"/>
  <c r="M7" s="1"/>
  <c r="C6"/>
  <c r="M6" s="1"/>
  <c r="C5"/>
  <c r="M5" s="1"/>
  <c r="O4"/>
  <c r="N4"/>
  <c r="M4"/>
  <c r="L4"/>
  <c r="C95" i="58"/>
  <c r="H48"/>
  <c r="G48"/>
  <c r="F48"/>
  <c r="E48"/>
  <c r="D48"/>
  <c r="C48"/>
  <c r="B48"/>
  <c r="A48"/>
  <c r="D8"/>
  <c r="G46"/>
  <c r="D46"/>
  <c r="D59" s="1"/>
  <c r="B53"/>
  <c r="F10"/>
  <c r="L8"/>
  <c r="O8"/>
  <c r="F8"/>
  <c r="N8" s="1"/>
  <c r="M8"/>
  <c r="M7"/>
  <c r="M6"/>
  <c r="M5"/>
  <c r="O4"/>
  <c r="N4"/>
  <c r="M4"/>
  <c r="L4"/>
  <c r="F63" i="57"/>
  <c r="G63" s="1"/>
  <c r="D63"/>
  <c r="F59"/>
  <c r="G1"/>
  <c r="F10" s="1"/>
  <c r="G10" s="1"/>
  <c r="E1"/>
  <c r="D10"/>
  <c r="B6"/>
  <c r="A53" i="56"/>
  <c r="J52"/>
  <c r="E52"/>
  <c r="D52"/>
  <c r="A52"/>
  <c r="J51"/>
  <c r="F51"/>
  <c r="E51"/>
  <c r="D51"/>
  <c r="A51"/>
  <c r="J50"/>
  <c r="F50"/>
  <c r="E50"/>
  <c r="D50"/>
  <c r="A50"/>
  <c r="J49"/>
  <c r="F49"/>
  <c r="E49"/>
  <c r="D49"/>
  <c r="A49"/>
  <c r="J48"/>
  <c r="F48"/>
  <c r="E48"/>
  <c r="D48"/>
  <c r="A48"/>
  <c r="J47"/>
  <c r="F47"/>
  <c r="E47"/>
  <c r="D47"/>
  <c r="A47"/>
  <c r="J45"/>
  <c r="F45"/>
  <c r="E45"/>
  <c r="D45"/>
  <c r="B45"/>
  <c r="A45"/>
  <c r="J44"/>
  <c r="F44"/>
  <c r="E44"/>
  <c r="D44"/>
  <c r="B44"/>
  <c r="A44"/>
  <c r="J43"/>
  <c r="F43"/>
  <c r="E43"/>
  <c r="D43"/>
  <c r="B43"/>
  <c r="A43"/>
  <c r="A42"/>
  <c r="A41"/>
  <c r="F6" i="55"/>
  <c r="E7"/>
  <c r="F7"/>
  <c r="E8"/>
  <c r="F8"/>
  <c r="F9"/>
  <c r="E10"/>
  <c r="F10"/>
  <c r="E11"/>
  <c r="F11"/>
  <c r="E12"/>
  <c r="F12"/>
  <c r="F13"/>
  <c r="F14"/>
  <c r="E20"/>
  <c r="F20"/>
  <c r="E22"/>
  <c r="F22"/>
  <c r="F26"/>
  <c r="F30"/>
  <c r="F4"/>
  <c r="F32" s="1"/>
  <c r="G6"/>
  <c r="G7"/>
  <c r="G8"/>
  <c r="G9"/>
  <c r="G10"/>
  <c r="G11"/>
  <c r="G14"/>
  <c r="G20"/>
  <c r="G22"/>
  <c r="G26"/>
  <c r="G30"/>
  <c r="G32"/>
  <c r="G34"/>
  <c r="G35"/>
  <c r="G38"/>
  <c r="H6"/>
  <c r="H7"/>
  <c r="H8"/>
  <c r="H10"/>
  <c r="H11"/>
  <c r="H14"/>
  <c r="H20"/>
  <c r="H22"/>
  <c r="H26"/>
  <c r="H30"/>
  <c r="H32"/>
  <c r="H34"/>
  <c r="H35"/>
  <c r="H38"/>
  <c r="I6"/>
  <c r="I7"/>
  <c r="I8"/>
  <c r="I10"/>
  <c r="I14"/>
  <c r="I20"/>
  <c r="I22"/>
  <c r="I26"/>
  <c r="I30"/>
  <c r="I32"/>
  <c r="I34"/>
  <c r="I35"/>
  <c r="I38"/>
  <c r="J6"/>
  <c r="J7"/>
  <c r="J8"/>
  <c r="J10"/>
  <c r="J14"/>
  <c r="J20"/>
  <c r="J22"/>
  <c r="J26"/>
  <c r="J30"/>
  <c r="J32"/>
  <c r="J34"/>
  <c r="J35"/>
  <c r="J38"/>
  <c r="K6"/>
  <c r="K7"/>
  <c r="K8"/>
  <c r="K10"/>
  <c r="K20"/>
  <c r="K22"/>
  <c r="K26"/>
  <c r="K30"/>
  <c r="K32"/>
  <c r="K34"/>
  <c r="K35"/>
  <c r="K38"/>
  <c r="L6"/>
  <c r="L7"/>
  <c r="L8"/>
  <c r="L10"/>
  <c r="L20"/>
  <c r="L26"/>
  <c r="L30"/>
  <c r="L5"/>
  <c r="L32" s="1"/>
  <c r="L34" s="1"/>
  <c r="L35" s="1"/>
  <c r="L38" s="1"/>
  <c r="D26"/>
  <c r="D30"/>
  <c r="M40"/>
  <c r="E6"/>
  <c r="E21"/>
  <c r="E26"/>
  <c r="E30"/>
  <c r="M41"/>
  <c r="S28"/>
  <c r="S31" s="1"/>
  <c r="R33" s="1"/>
  <c r="R35" s="1"/>
  <c r="R37" s="1"/>
  <c r="R34"/>
  <c r="M33"/>
  <c r="S52" i="54"/>
  <c r="R52"/>
  <c r="Q52"/>
  <c r="P52"/>
  <c r="O52"/>
  <c r="N52"/>
  <c r="M52"/>
  <c r="L52"/>
  <c r="K52"/>
  <c r="J52"/>
  <c r="I52"/>
  <c r="H52"/>
  <c r="G52"/>
  <c r="F52"/>
  <c r="E52"/>
  <c r="D52"/>
  <c r="S51"/>
  <c r="R51"/>
  <c r="Q51"/>
  <c r="P51"/>
  <c r="O51"/>
  <c r="N51"/>
  <c r="M51"/>
  <c r="L51"/>
  <c r="K51"/>
  <c r="J51"/>
  <c r="I51"/>
  <c r="H51"/>
  <c r="G51"/>
  <c r="F51"/>
  <c r="E51"/>
  <c r="D51"/>
  <c r="S50"/>
  <c r="R50"/>
  <c r="Q50"/>
  <c r="P50"/>
  <c r="O50"/>
  <c r="N50"/>
  <c r="M50"/>
  <c r="L50"/>
  <c r="K50"/>
  <c r="J50"/>
  <c r="I50"/>
  <c r="H50"/>
  <c r="G50"/>
  <c r="F50"/>
  <c r="E50"/>
  <c r="D50"/>
  <c r="S49"/>
  <c r="R49"/>
  <c r="Q49"/>
  <c r="P49"/>
  <c r="O49"/>
  <c r="N49"/>
  <c r="M49"/>
  <c r="L49"/>
  <c r="K49"/>
  <c r="J49"/>
  <c r="I49"/>
  <c r="H49"/>
  <c r="G49"/>
  <c r="F49"/>
  <c r="E49"/>
  <c r="D49"/>
  <c r="S48"/>
  <c r="R48"/>
  <c r="Q48"/>
  <c r="P48"/>
  <c r="O48"/>
  <c r="N48"/>
  <c r="M48"/>
  <c r="L48"/>
  <c r="K48"/>
  <c r="J48"/>
  <c r="I48"/>
  <c r="H48"/>
  <c r="G48"/>
  <c r="F48"/>
  <c r="E48"/>
  <c r="D48"/>
  <c r="S47"/>
  <c r="R47"/>
  <c r="Q47"/>
  <c r="P47"/>
  <c r="O47"/>
  <c r="N47"/>
  <c r="M47"/>
  <c r="L47"/>
  <c r="K47"/>
  <c r="J47"/>
  <c r="I47"/>
  <c r="H47"/>
  <c r="G47"/>
  <c r="F47"/>
  <c r="E47"/>
  <c r="D47"/>
  <c r="S46"/>
  <c r="R46"/>
  <c r="Q46"/>
  <c r="P46"/>
  <c r="O46"/>
  <c r="N46"/>
  <c r="M46"/>
  <c r="L46"/>
  <c r="K46"/>
  <c r="J46"/>
  <c r="I46"/>
  <c r="H46"/>
  <c r="G46"/>
  <c r="F46"/>
  <c r="E46"/>
  <c r="D46"/>
  <c r="S45"/>
  <c r="R45"/>
  <c r="Q45"/>
  <c r="P45"/>
  <c r="O45"/>
  <c r="N45"/>
  <c r="M45"/>
  <c r="L45"/>
  <c r="K45"/>
  <c r="J45"/>
  <c r="I45"/>
  <c r="H45"/>
  <c r="G45"/>
  <c r="F45"/>
  <c r="E45"/>
  <c r="D45"/>
  <c r="S44"/>
  <c r="R44"/>
  <c r="Q44"/>
  <c r="P44"/>
  <c r="O44"/>
  <c r="N44"/>
  <c r="M44"/>
  <c r="L44"/>
  <c r="K44"/>
  <c r="J44"/>
  <c r="I44"/>
  <c r="H44"/>
  <c r="G44"/>
  <c r="F44"/>
  <c r="E44"/>
  <c r="D44"/>
  <c r="S43"/>
  <c r="R43"/>
  <c r="Q43"/>
  <c r="P43"/>
  <c r="O43"/>
  <c r="N43"/>
  <c r="M43"/>
  <c r="L43"/>
  <c r="K43"/>
  <c r="J43"/>
  <c r="I43"/>
  <c r="H43"/>
  <c r="G43"/>
  <c r="F43"/>
  <c r="E43"/>
  <c r="D43"/>
  <c r="S42"/>
  <c r="R42"/>
  <c r="Q42"/>
  <c r="P42"/>
  <c r="O42"/>
  <c r="N42"/>
  <c r="M42"/>
  <c r="L42"/>
  <c r="K42"/>
  <c r="J42"/>
  <c r="I42"/>
  <c r="H42"/>
  <c r="G42"/>
  <c r="F42"/>
  <c r="E42"/>
  <c r="D42"/>
  <c r="S41"/>
  <c r="R41"/>
  <c r="Q41"/>
  <c r="P41"/>
  <c r="O41"/>
  <c r="N41"/>
  <c r="M41"/>
  <c r="L41"/>
  <c r="K41"/>
  <c r="J41"/>
  <c r="I41"/>
  <c r="H41"/>
  <c r="G41"/>
  <c r="F41"/>
  <c r="E41"/>
  <c r="D41"/>
  <c r="S40"/>
  <c r="R40"/>
  <c r="Q40"/>
  <c r="P40"/>
  <c r="O40"/>
  <c r="N40"/>
  <c r="M40"/>
  <c r="L40"/>
  <c r="K40"/>
  <c r="J40"/>
  <c r="I40"/>
  <c r="H40"/>
  <c r="G40"/>
  <c r="F40"/>
  <c r="E40"/>
  <c r="D40"/>
  <c r="S39"/>
  <c r="R39"/>
  <c r="Q39"/>
  <c r="P39"/>
  <c r="O39"/>
  <c r="N39"/>
  <c r="M39"/>
  <c r="L39"/>
  <c r="K39"/>
  <c r="J39"/>
  <c r="I39"/>
  <c r="H39"/>
  <c r="G39"/>
  <c r="F39"/>
  <c r="E39"/>
  <c r="D39"/>
  <c r="S38"/>
  <c r="R38"/>
  <c r="Q38"/>
  <c r="P38"/>
  <c r="O38"/>
  <c r="N38"/>
  <c r="M38"/>
  <c r="L38"/>
  <c r="K38"/>
  <c r="J38"/>
  <c r="I38"/>
  <c r="H38"/>
  <c r="G38"/>
  <c r="F38"/>
  <c r="E38"/>
  <c r="D38"/>
  <c r="S37"/>
  <c r="R37"/>
  <c r="Q37"/>
  <c r="P37"/>
  <c r="O37"/>
  <c r="N37"/>
  <c r="M37"/>
  <c r="L37"/>
  <c r="K37"/>
  <c r="J37"/>
  <c r="I37"/>
  <c r="H37"/>
  <c r="G37"/>
  <c r="F37"/>
  <c r="E37"/>
  <c r="D37"/>
  <c r="H33"/>
  <c r="B4"/>
  <c r="I7"/>
  <c r="E3"/>
  <c r="B3"/>
  <c r="O8" i="53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P48"/>
  <c r="P49"/>
  <c r="M47"/>
  <c r="M48"/>
  <c r="M49"/>
  <c r="F40"/>
  <c r="G40"/>
  <c r="G47"/>
  <c r="H40"/>
  <c r="I40"/>
  <c r="G48"/>
  <c r="G49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M45"/>
  <c r="I45"/>
  <c r="F45"/>
  <c r="C45"/>
  <c r="E40"/>
  <c r="J42"/>
  <c r="M40"/>
  <c r="J8"/>
  <c r="L8"/>
  <c r="J9"/>
  <c r="L9"/>
  <c r="J10"/>
  <c r="L10"/>
  <c r="J11"/>
  <c r="L11"/>
  <c r="J12"/>
  <c r="L12"/>
  <c r="J13"/>
  <c r="L13"/>
  <c r="J14"/>
  <c r="L14"/>
  <c r="J15"/>
  <c r="L15"/>
  <c r="J16"/>
  <c r="L16"/>
  <c r="J17"/>
  <c r="L17"/>
  <c r="J18"/>
  <c r="L18"/>
  <c r="J19"/>
  <c r="L19"/>
  <c r="J20"/>
  <c r="L20"/>
  <c r="J21"/>
  <c r="L21"/>
  <c r="J22"/>
  <c r="L22"/>
  <c r="J23"/>
  <c r="L23"/>
  <c r="J24"/>
  <c r="L24"/>
  <c r="J25"/>
  <c r="L25"/>
  <c r="J26"/>
  <c r="L26"/>
  <c r="J27"/>
  <c r="L27"/>
  <c r="J28"/>
  <c r="L28"/>
  <c r="J29"/>
  <c r="L29"/>
  <c r="J30"/>
  <c r="L30"/>
  <c r="J31"/>
  <c r="L31"/>
  <c r="J32"/>
  <c r="L32"/>
  <c r="J33"/>
  <c r="L33"/>
  <c r="J34"/>
  <c r="L34"/>
  <c r="J35"/>
  <c r="L35"/>
  <c r="J36"/>
  <c r="L36"/>
  <c r="J37"/>
  <c r="L37"/>
  <c r="J38"/>
  <c r="L38"/>
  <c r="J39"/>
  <c r="L39"/>
  <c r="L40"/>
  <c r="J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C5"/>
  <c r="C4"/>
  <c r="C3"/>
  <c r="E4" i="52"/>
  <c r="C30"/>
  <c r="C31"/>
  <c r="C32"/>
  <c r="C33"/>
  <c r="C34"/>
  <c r="D35"/>
  <c r="D34"/>
  <c r="D33"/>
  <c r="D32"/>
  <c r="D31"/>
  <c r="D30"/>
  <c r="S17"/>
  <c r="Q17"/>
  <c r="N17"/>
  <c r="N4"/>
  <c r="N21"/>
  <c r="D21"/>
  <c r="M4"/>
  <c r="O4"/>
  <c r="C7"/>
  <c r="M7" s="1"/>
  <c r="L7" s="1"/>
  <c r="D7"/>
  <c r="N7"/>
  <c r="C8"/>
  <c r="M8" s="1"/>
  <c r="D8"/>
  <c r="N8"/>
  <c r="C9"/>
  <c r="M9" s="1"/>
  <c r="D9"/>
  <c r="N9"/>
  <c r="C10"/>
  <c r="M10" s="1"/>
  <c r="D10"/>
  <c r="N10"/>
  <c r="C11"/>
  <c r="M11" s="1"/>
  <c r="D11"/>
  <c r="N11"/>
  <c r="D12"/>
  <c r="N12" s="1"/>
  <c r="H4"/>
  <c r="E4" i="51"/>
  <c r="C24"/>
  <c r="B24"/>
  <c r="E24" s="1"/>
  <c r="F24" s="1"/>
  <c r="C25"/>
  <c r="C26"/>
  <c r="C27"/>
  <c r="C28"/>
  <c r="D29"/>
  <c r="D28"/>
  <c r="D27"/>
  <c r="D26"/>
  <c r="D25"/>
  <c r="D24"/>
  <c r="D21"/>
  <c r="C7"/>
  <c r="B7" s="1"/>
  <c r="E7" s="1"/>
  <c r="F7" s="1"/>
  <c r="G7" s="1"/>
  <c r="D7"/>
  <c r="C8"/>
  <c r="D8"/>
  <c r="C9"/>
  <c r="D9"/>
  <c r="C10"/>
  <c r="D10"/>
  <c r="C11"/>
  <c r="D11"/>
  <c r="D12"/>
  <c r="H4"/>
  <c r="L5" i="50"/>
  <c r="I40" s="1"/>
  <c r="I57" s="1"/>
  <c r="L1"/>
  <c r="L2"/>
  <c r="L3"/>
  <c r="D10" s="1"/>
  <c r="D12"/>
  <c r="D30" s="1"/>
  <c r="D14"/>
  <c r="T3"/>
  <c r="T4" s="1"/>
  <c r="L6"/>
  <c r="H13"/>
  <c r="H43" s="1"/>
  <c r="I13"/>
  <c r="H14"/>
  <c r="H44" s="1"/>
  <c r="R44" s="1"/>
  <c r="I14"/>
  <c r="S44" s="1"/>
  <c r="H15"/>
  <c r="R15" s="1"/>
  <c r="I15"/>
  <c r="H16"/>
  <c r="H46" s="1"/>
  <c r="R46" s="1"/>
  <c r="I16"/>
  <c r="S46" s="1"/>
  <c r="H17"/>
  <c r="H47"/>
  <c r="R47" s="1"/>
  <c r="I17"/>
  <c r="S17" s="1"/>
  <c r="I18"/>
  <c r="S48" s="1"/>
  <c r="I46"/>
  <c r="I48"/>
  <c r="AB47"/>
  <c r="AC47"/>
  <c r="AC50" s="1"/>
  <c r="AB50"/>
  <c r="AA47"/>
  <c r="AB42"/>
  <c r="AB37"/>
  <c r="AB39"/>
  <c r="AC39" s="1"/>
  <c r="AB40"/>
  <c r="AB38"/>
  <c r="AC38" s="1"/>
  <c r="AB32"/>
  <c r="AB34"/>
  <c r="AB35"/>
  <c r="H2"/>
  <c r="D6"/>
  <c r="D5"/>
  <c r="R13"/>
  <c r="Q13" s="1"/>
  <c r="S14"/>
  <c r="S15"/>
  <c r="S16"/>
  <c r="R17"/>
  <c r="S18"/>
  <c r="AC32"/>
  <c r="AC31"/>
  <c r="AA31"/>
  <c r="AB28"/>
  <c r="AB27"/>
  <c r="AB26"/>
  <c r="AB25"/>
  <c r="G13"/>
  <c r="G14"/>
  <c r="G15" s="1"/>
  <c r="AB23"/>
  <c r="AB22"/>
  <c r="AB21"/>
  <c r="AB20"/>
  <c r="C20"/>
  <c r="B20"/>
  <c r="AB18"/>
  <c r="AB17"/>
  <c r="AB16"/>
  <c r="AB15"/>
  <c r="AB13"/>
  <c r="AB12"/>
  <c r="AB11"/>
  <c r="AB10"/>
  <c r="AB8"/>
  <c r="AB7"/>
  <c r="AB6"/>
  <c r="AB5"/>
  <c r="AA3"/>
  <c r="G35" i="49"/>
  <c r="D31"/>
  <c r="G13"/>
  <c r="G14" s="1"/>
  <c r="G15" s="1"/>
  <c r="G16" s="1"/>
  <c r="G17" s="1"/>
  <c r="C20"/>
  <c r="B20"/>
  <c r="E14"/>
  <c r="D14"/>
  <c r="D12" i="48"/>
  <c r="D30" s="1"/>
  <c r="H2"/>
  <c r="K1"/>
  <c r="K3"/>
  <c r="K4"/>
  <c r="I11" s="1"/>
  <c r="S11" s="1"/>
  <c r="S27" s="1"/>
  <c r="K5"/>
  <c r="D6"/>
  <c r="D5"/>
  <c r="H13"/>
  <c r="G13" s="1"/>
  <c r="I13"/>
  <c r="S13" s="1"/>
  <c r="H14"/>
  <c r="K36" s="1"/>
  <c r="I14"/>
  <c r="L36" s="1"/>
  <c r="H15"/>
  <c r="R15" s="1"/>
  <c r="I15"/>
  <c r="S15" s="1"/>
  <c r="H16"/>
  <c r="K38" s="1"/>
  <c r="I16"/>
  <c r="L38" s="1"/>
  <c r="H17"/>
  <c r="R17" s="1"/>
  <c r="I17"/>
  <c r="S17" s="1"/>
  <c r="I18"/>
  <c r="S18" s="1"/>
  <c r="L33"/>
  <c r="L37"/>
  <c r="H57"/>
  <c r="B37"/>
  <c r="B39" s="1"/>
  <c r="H58" s="1"/>
  <c r="C20"/>
  <c r="B20"/>
  <c r="D10"/>
  <c r="K2"/>
  <c r="B3" i="25"/>
  <c r="B14"/>
  <c r="B5"/>
  <c r="A44" i="34"/>
  <c r="J43"/>
  <c r="E43"/>
  <c r="D43"/>
  <c r="A43"/>
  <c r="J42"/>
  <c r="F42"/>
  <c r="E42"/>
  <c r="D42"/>
  <c r="A42"/>
  <c r="J41"/>
  <c r="F41"/>
  <c r="E41"/>
  <c r="D41"/>
  <c r="A41"/>
  <c r="J40"/>
  <c r="F40"/>
  <c r="E40"/>
  <c r="D40"/>
  <c r="A40"/>
  <c r="J39"/>
  <c r="F39"/>
  <c r="E39"/>
  <c r="D39"/>
  <c r="A39"/>
  <c r="J38"/>
  <c r="F38"/>
  <c r="E38"/>
  <c r="D38"/>
  <c r="A38"/>
  <c r="J36"/>
  <c r="F36"/>
  <c r="E36"/>
  <c r="D36"/>
  <c r="B36"/>
  <c r="A36"/>
  <c r="J35"/>
  <c r="F35"/>
  <c r="E35"/>
  <c r="D35"/>
  <c r="B35"/>
  <c r="A35"/>
  <c r="J34"/>
  <c r="F34"/>
  <c r="E34"/>
  <c r="D34"/>
  <c r="B34"/>
  <c r="A34"/>
  <c r="A33"/>
  <c r="A32"/>
  <c r="B6" i="33"/>
  <c r="D6"/>
  <c r="L6"/>
  <c r="B7"/>
  <c r="D7"/>
  <c r="L7"/>
  <c r="B8"/>
  <c r="D8"/>
  <c r="L8"/>
  <c r="BQ6" i="20"/>
  <c r="B11" i="33" s="1"/>
  <c r="D11" s="1"/>
  <c r="BP6" i="20"/>
  <c r="B12" i="33" s="1"/>
  <c r="D12" s="1"/>
  <c r="B5"/>
  <c r="D5"/>
  <c r="L5"/>
  <c r="J6"/>
  <c r="J7"/>
  <c r="J8"/>
  <c r="J5"/>
  <c r="F6"/>
  <c r="F7"/>
  <c r="F8"/>
  <c r="F5"/>
  <c r="BW6" i="20"/>
  <c r="B21" i="33" s="1"/>
  <c r="G61"/>
  <c r="E61"/>
  <c r="C61"/>
  <c r="L53"/>
  <c r="L39"/>
  <c r="J53"/>
  <c r="J39"/>
  <c r="H53"/>
  <c r="H32"/>
  <c r="H37"/>
  <c r="H34"/>
  <c r="F53"/>
  <c r="D56"/>
  <c r="A53"/>
  <c r="L49"/>
  <c r="J49"/>
  <c r="H49"/>
  <c r="F49"/>
  <c r="B49"/>
  <c r="L41"/>
  <c r="L42"/>
  <c r="L44"/>
  <c r="L45"/>
  <c r="L46"/>
  <c r="L47"/>
  <c r="J41"/>
  <c r="J42"/>
  <c r="J44"/>
  <c r="J45"/>
  <c r="J46"/>
  <c r="H41"/>
  <c r="H42"/>
  <c r="H44"/>
  <c r="H46"/>
  <c r="H47"/>
  <c r="F41"/>
  <c r="F42"/>
  <c r="F44"/>
  <c r="F45"/>
  <c r="F46"/>
  <c r="D48"/>
  <c r="B41"/>
  <c r="B42"/>
  <c r="B43"/>
  <c r="B44"/>
  <c r="B45"/>
  <c r="B46"/>
  <c r="B47"/>
  <c r="D46"/>
  <c r="H45"/>
  <c r="D45"/>
  <c r="D44"/>
  <c r="D41"/>
  <c r="L38"/>
  <c r="J38"/>
  <c r="H38"/>
  <c r="F38"/>
  <c r="D35"/>
  <c r="L37"/>
  <c r="J37"/>
  <c r="F37"/>
  <c r="B37"/>
  <c r="L32"/>
  <c r="L34"/>
  <c r="J32"/>
  <c r="J36" s="1"/>
  <c r="H35"/>
  <c r="F36"/>
  <c r="B33"/>
  <c r="B36"/>
  <c r="F35"/>
  <c r="B34"/>
  <c r="L33"/>
  <c r="J33"/>
  <c r="F32"/>
  <c r="B32"/>
  <c r="A31"/>
  <c r="L28"/>
  <c r="J28"/>
  <c r="H28"/>
  <c r="F28"/>
  <c r="D28"/>
  <c r="B28"/>
  <c r="L27"/>
  <c r="J27"/>
  <c r="H27"/>
  <c r="F27"/>
  <c r="D27"/>
  <c r="B27"/>
  <c r="L26"/>
  <c r="J26"/>
  <c r="H26"/>
  <c r="F26"/>
  <c r="D26"/>
  <c r="B26"/>
  <c r="L25"/>
  <c r="J25"/>
  <c r="H25"/>
  <c r="F25"/>
  <c r="D25"/>
  <c r="B25"/>
  <c r="L23"/>
  <c r="J23"/>
  <c r="H23"/>
  <c r="F23"/>
  <c r="D23"/>
  <c r="L22"/>
  <c r="J22"/>
  <c r="H22"/>
  <c r="F22"/>
  <c r="D22"/>
  <c r="L21"/>
  <c r="J21"/>
  <c r="H21"/>
  <c r="F21"/>
  <c r="D21"/>
  <c r="L20"/>
  <c r="J20"/>
  <c r="H20"/>
  <c r="F20"/>
  <c r="D20"/>
  <c r="L18"/>
  <c r="J18"/>
  <c r="H18"/>
  <c r="F18"/>
  <c r="D18"/>
  <c r="B18"/>
  <c r="L17"/>
  <c r="J17"/>
  <c r="H17"/>
  <c r="F17"/>
  <c r="D17"/>
  <c r="B17"/>
  <c r="L16"/>
  <c r="J16"/>
  <c r="H16"/>
  <c r="F16"/>
  <c r="D16"/>
  <c r="B16"/>
  <c r="L15"/>
  <c r="J15"/>
  <c r="H15"/>
  <c r="F15"/>
  <c r="D15"/>
  <c r="B15"/>
  <c r="H13"/>
  <c r="H12"/>
  <c r="H11"/>
  <c r="H10"/>
  <c r="H8"/>
  <c r="H7"/>
  <c r="H6"/>
  <c r="H5"/>
  <c r="A3"/>
  <c r="CK6" i="20"/>
  <c r="CJ6"/>
  <c r="CD6"/>
  <c r="CC6"/>
  <c r="BL6"/>
  <c r="BJ6"/>
  <c r="BI6"/>
  <c r="BH6"/>
  <c r="BE6"/>
  <c r="BC6"/>
  <c r="BB6"/>
  <c r="BA6"/>
  <c r="AY6"/>
  <c r="AX6"/>
  <c r="AV6"/>
  <c r="AU6"/>
  <c r="AT6"/>
  <c r="AH6"/>
  <c r="AG6"/>
  <c r="AF6"/>
  <c r="AE6"/>
  <c r="AD6"/>
  <c r="AC6"/>
  <c r="AB51"/>
  <c r="AB52"/>
  <c r="AB53"/>
  <c r="AB54"/>
  <c r="AB55"/>
  <c r="AB6"/>
  <c r="Z51"/>
  <c r="Z52"/>
  <c r="Z53"/>
  <c r="Z54"/>
  <c r="Z55"/>
  <c r="Z6"/>
  <c r="X51"/>
  <c r="X52"/>
  <c r="X53"/>
  <c r="X54"/>
  <c r="X55"/>
  <c r="X6"/>
  <c r="CG1"/>
  <c r="BY3"/>
  <c r="BX3"/>
  <c r="BV3"/>
  <c r="BU3"/>
  <c r="BX2"/>
  <c r="BU2"/>
  <c r="BB1"/>
  <c r="E4" i="25"/>
  <c r="B16" s="1"/>
  <c r="AE2" i="20" s="1"/>
  <c r="BB2" s="1"/>
  <c r="AH1"/>
  <c r="AC1"/>
  <c r="Q6" i="31"/>
  <c r="B10"/>
  <c r="B9"/>
  <c r="B8"/>
  <c r="Q7"/>
  <c r="B7"/>
  <c r="B6"/>
  <c r="B5"/>
  <c r="K4"/>
  <c r="A1"/>
  <c r="G4" i="28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3"/>
  <c r="H3"/>
  <c r="I3"/>
  <c r="J3"/>
  <c r="K3"/>
  <c r="N40"/>
  <c r="M40"/>
  <c r="K40"/>
  <c r="I52" i="20"/>
  <c r="I51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DO53"/>
  <c r="DP53"/>
  <c r="DO54"/>
  <c r="DP54"/>
  <c r="DO55"/>
  <c r="DP55"/>
  <c r="DO56"/>
  <c r="DP56"/>
  <c r="DO57"/>
  <c r="DP57"/>
  <c r="DO58"/>
  <c r="DP58"/>
  <c r="DO59"/>
  <c r="DP59"/>
  <c r="DO60"/>
  <c r="DP60"/>
  <c r="DO61"/>
  <c r="DP61"/>
  <c r="DO62"/>
  <c r="DP62"/>
  <c r="DO63"/>
  <c r="DP63"/>
  <c r="DO64"/>
  <c r="DP64"/>
  <c r="DO65"/>
  <c r="DP65"/>
  <c r="DO66"/>
  <c r="DP66"/>
  <c r="DO67"/>
  <c r="DP67"/>
  <c r="DO68"/>
  <c r="DP68"/>
  <c r="DO69"/>
  <c r="DP69"/>
  <c r="DO70"/>
  <c r="DP70"/>
  <c r="DO71"/>
  <c r="DP71"/>
  <c r="DO72"/>
  <c r="DP72"/>
  <c r="DO73"/>
  <c r="DP73"/>
  <c r="DO74"/>
  <c r="DP74"/>
  <c r="DO75"/>
  <c r="DP75"/>
  <c r="DO76"/>
  <c r="DP76"/>
  <c r="DO77"/>
  <c r="DP77"/>
  <c r="DO78"/>
  <c r="DP78"/>
  <c r="DO79"/>
  <c r="DP79"/>
  <c r="DO80"/>
  <c r="DP80"/>
  <c r="DO81"/>
  <c r="DP81"/>
  <c r="DO82"/>
  <c r="DP82"/>
  <c r="DO83"/>
  <c r="DP83"/>
  <c r="DO84"/>
  <c r="DP84"/>
  <c r="DO85"/>
  <c r="DP85"/>
  <c r="DO86"/>
  <c r="DP86"/>
  <c r="DO87"/>
  <c r="DP87"/>
  <c r="DO88"/>
  <c r="DP88"/>
  <c r="DO89"/>
  <c r="DP89"/>
  <c r="DO90"/>
  <c r="DP90"/>
  <c r="DO91"/>
  <c r="DP91"/>
  <c r="DO92"/>
  <c r="DP92"/>
  <c r="DO93"/>
  <c r="DP93"/>
  <c r="DO94"/>
  <c r="DP94"/>
  <c r="DO95"/>
  <c r="DP95"/>
  <c r="DO96"/>
  <c r="DP96"/>
  <c r="DO97"/>
  <c r="DP97"/>
  <c r="DO98"/>
  <c r="DP98"/>
  <c r="DO99"/>
  <c r="DP99"/>
  <c r="DO100"/>
  <c r="DP100"/>
  <c r="DO101"/>
  <c r="DP101"/>
  <c r="DB53"/>
  <c r="DC53"/>
  <c r="DD53"/>
  <c r="DE53"/>
  <c r="DF53"/>
  <c r="DG53"/>
  <c r="DH53"/>
  <c r="DI53"/>
  <c r="DJ53"/>
  <c r="DK53"/>
  <c r="DL53"/>
  <c r="DB54"/>
  <c r="DC54"/>
  <c r="DD54"/>
  <c r="DE54"/>
  <c r="DF54"/>
  <c r="DG54"/>
  <c r="DH54"/>
  <c r="DI54"/>
  <c r="DJ54"/>
  <c r="DK54"/>
  <c r="DL54"/>
  <c r="DB55"/>
  <c r="DC55"/>
  <c r="DD55"/>
  <c r="DE55"/>
  <c r="DF55"/>
  <c r="DG55"/>
  <c r="DH55"/>
  <c r="DI55"/>
  <c r="DJ55"/>
  <c r="DK55"/>
  <c r="DL55"/>
  <c r="DB56"/>
  <c r="DC56"/>
  <c r="DD56"/>
  <c r="DE56"/>
  <c r="DF56"/>
  <c r="DG56"/>
  <c r="DH56"/>
  <c r="DI56"/>
  <c r="DJ56"/>
  <c r="DK56"/>
  <c r="DL56"/>
  <c r="DB57"/>
  <c r="DC57"/>
  <c r="DD57"/>
  <c r="DE57"/>
  <c r="DF57"/>
  <c r="DG57"/>
  <c r="DH57"/>
  <c r="DI57"/>
  <c r="DJ57"/>
  <c r="DK57"/>
  <c r="DL57"/>
  <c r="DB58"/>
  <c r="DC58"/>
  <c r="DD58"/>
  <c r="DE58"/>
  <c r="DF58"/>
  <c r="DG58"/>
  <c r="DH58"/>
  <c r="DI58"/>
  <c r="DJ58"/>
  <c r="DK58"/>
  <c r="DL58"/>
  <c r="DB59"/>
  <c r="DC59"/>
  <c r="DD59"/>
  <c r="DE59"/>
  <c r="DF59"/>
  <c r="DG59"/>
  <c r="DH59"/>
  <c r="DI59"/>
  <c r="DJ59"/>
  <c r="DK59"/>
  <c r="DL59"/>
  <c r="DB60"/>
  <c r="DC60"/>
  <c r="DD60"/>
  <c r="DE60"/>
  <c r="DF60"/>
  <c r="DG60"/>
  <c r="DH60"/>
  <c r="DI60"/>
  <c r="DJ60"/>
  <c r="DK60"/>
  <c r="DL60"/>
  <c r="DB61"/>
  <c r="DC61"/>
  <c r="DD61"/>
  <c r="DE61"/>
  <c r="DF61"/>
  <c r="DG61"/>
  <c r="DH61"/>
  <c r="DI61"/>
  <c r="DJ61"/>
  <c r="DK61"/>
  <c r="DL61"/>
  <c r="DB62"/>
  <c r="DC62"/>
  <c r="DD62"/>
  <c r="DE62"/>
  <c r="DF62"/>
  <c r="DG62"/>
  <c r="DH62"/>
  <c r="DI62"/>
  <c r="DJ62"/>
  <c r="DK62"/>
  <c r="DL62"/>
  <c r="DB63"/>
  <c r="DC63"/>
  <c r="DD63"/>
  <c r="DE63"/>
  <c r="DF63"/>
  <c r="DG63"/>
  <c r="DH63"/>
  <c r="DI63"/>
  <c r="DJ63"/>
  <c r="DK63"/>
  <c r="DL63"/>
  <c r="DB64"/>
  <c r="DC64"/>
  <c r="DD64"/>
  <c r="DE64"/>
  <c r="DF64"/>
  <c r="DG64"/>
  <c r="DH64"/>
  <c r="DI64"/>
  <c r="DJ64"/>
  <c r="DK64"/>
  <c r="DL64"/>
  <c r="DB65"/>
  <c r="DC65"/>
  <c r="DD65"/>
  <c r="DE65"/>
  <c r="DF65"/>
  <c r="DG65"/>
  <c r="DH65"/>
  <c r="DI65"/>
  <c r="DJ65"/>
  <c r="DK65"/>
  <c r="DL65"/>
  <c r="DB66"/>
  <c r="DC66"/>
  <c r="DD66"/>
  <c r="DE66"/>
  <c r="DF66"/>
  <c r="DG66"/>
  <c r="DH66"/>
  <c r="DI66"/>
  <c r="DJ66"/>
  <c r="DK66"/>
  <c r="DL66"/>
  <c r="DB67"/>
  <c r="DC67"/>
  <c r="DD67"/>
  <c r="DE67"/>
  <c r="DF67"/>
  <c r="DG67"/>
  <c r="DH67"/>
  <c r="DI67"/>
  <c r="DJ67"/>
  <c r="DK67"/>
  <c r="DL67"/>
  <c r="DB68"/>
  <c r="DC68"/>
  <c r="DD68"/>
  <c r="DE68"/>
  <c r="DF68"/>
  <c r="DG68"/>
  <c r="DH68"/>
  <c r="DI68"/>
  <c r="DJ68"/>
  <c r="DK68"/>
  <c r="DL68"/>
  <c r="DB69"/>
  <c r="DC69"/>
  <c r="DD69"/>
  <c r="DE69"/>
  <c r="DF69"/>
  <c r="DG69"/>
  <c r="DH69"/>
  <c r="DI69"/>
  <c r="DJ69"/>
  <c r="DK69"/>
  <c r="DL69"/>
  <c r="DB70"/>
  <c r="DC70"/>
  <c r="DD70"/>
  <c r="DE70"/>
  <c r="DF70"/>
  <c r="DG70"/>
  <c r="DH70"/>
  <c r="DI70"/>
  <c r="DJ70"/>
  <c r="DK70"/>
  <c r="DL70"/>
  <c r="DB71"/>
  <c r="DC71"/>
  <c r="DD71"/>
  <c r="DE71"/>
  <c r="DF71"/>
  <c r="DG71"/>
  <c r="DH71"/>
  <c r="DI71"/>
  <c r="DJ71"/>
  <c r="DK71"/>
  <c r="DL71"/>
  <c r="DB72"/>
  <c r="DC72"/>
  <c r="DD72"/>
  <c r="DE72"/>
  <c r="DF72"/>
  <c r="DG72"/>
  <c r="DH72"/>
  <c r="DI72"/>
  <c r="DJ72"/>
  <c r="DK72"/>
  <c r="DL72"/>
  <c r="DB73"/>
  <c r="DC73"/>
  <c r="DD73"/>
  <c r="DE73"/>
  <c r="DF73"/>
  <c r="DG73"/>
  <c r="DH73"/>
  <c r="DI73"/>
  <c r="DJ73"/>
  <c r="DK73"/>
  <c r="DL73"/>
  <c r="DB74"/>
  <c r="DC74"/>
  <c r="DD74"/>
  <c r="DE74"/>
  <c r="DF74"/>
  <c r="DG74"/>
  <c r="DH74"/>
  <c r="DI74"/>
  <c r="DJ74"/>
  <c r="DK74"/>
  <c r="DL74"/>
  <c r="DB75"/>
  <c r="DC75"/>
  <c r="DD75"/>
  <c r="DE75"/>
  <c r="DF75"/>
  <c r="DG75"/>
  <c r="DH75"/>
  <c r="DI75"/>
  <c r="DJ75"/>
  <c r="DK75"/>
  <c r="DL75"/>
  <c r="DB76"/>
  <c r="DC76"/>
  <c r="DD76"/>
  <c r="DE76"/>
  <c r="DF76"/>
  <c r="DG76"/>
  <c r="DH76"/>
  <c r="DI76"/>
  <c r="DJ76"/>
  <c r="DK76"/>
  <c r="DL76"/>
  <c r="DB77"/>
  <c r="DC77"/>
  <c r="DD77"/>
  <c r="DE77"/>
  <c r="DF77"/>
  <c r="DG77"/>
  <c r="DH77"/>
  <c r="DI77"/>
  <c r="DJ77"/>
  <c r="DK77"/>
  <c r="DL77"/>
  <c r="DB78"/>
  <c r="DC78"/>
  <c r="DD78"/>
  <c r="DE78"/>
  <c r="DF78"/>
  <c r="DG78"/>
  <c r="DH78"/>
  <c r="DI78"/>
  <c r="DJ78"/>
  <c r="DK78"/>
  <c r="DL78"/>
  <c r="DB79"/>
  <c r="DC79"/>
  <c r="DD79"/>
  <c r="DE79"/>
  <c r="DF79"/>
  <c r="DG79"/>
  <c r="DH79"/>
  <c r="DI79"/>
  <c r="DJ79"/>
  <c r="DK79"/>
  <c r="DL79"/>
  <c r="DB80"/>
  <c r="DC80"/>
  <c r="DD80"/>
  <c r="DE80"/>
  <c r="DF80"/>
  <c r="DG80"/>
  <c r="DH80"/>
  <c r="DI80"/>
  <c r="DJ80"/>
  <c r="DK80"/>
  <c r="DL80"/>
  <c r="DB81"/>
  <c r="DC81"/>
  <c r="DD81"/>
  <c r="DE81"/>
  <c r="DF81"/>
  <c r="DG81"/>
  <c r="DH81"/>
  <c r="DI81"/>
  <c r="DJ81"/>
  <c r="DK81"/>
  <c r="DL81"/>
  <c r="DB82"/>
  <c r="DC82"/>
  <c r="DD82"/>
  <c r="DE82"/>
  <c r="DF82"/>
  <c r="DG82"/>
  <c r="DH82"/>
  <c r="DI82"/>
  <c r="DJ82"/>
  <c r="DK82"/>
  <c r="DL82"/>
  <c r="DB83"/>
  <c r="DC83"/>
  <c r="DD83"/>
  <c r="DE83"/>
  <c r="DF83"/>
  <c r="DG83"/>
  <c r="DH83"/>
  <c r="DI83"/>
  <c r="DJ83"/>
  <c r="DK83"/>
  <c r="DL83"/>
  <c r="DB84"/>
  <c r="DC84"/>
  <c r="DD84"/>
  <c r="DE84"/>
  <c r="DF84"/>
  <c r="DG84"/>
  <c r="DH84"/>
  <c r="DI84"/>
  <c r="DJ84"/>
  <c r="DK84"/>
  <c r="DL84"/>
  <c r="DB85"/>
  <c r="DC85"/>
  <c r="DD85"/>
  <c r="DE85"/>
  <c r="DF85"/>
  <c r="DG85"/>
  <c r="DH85"/>
  <c r="DI85"/>
  <c r="DJ85"/>
  <c r="DK85"/>
  <c r="DL85"/>
  <c r="DB86"/>
  <c r="DC86"/>
  <c r="DD86"/>
  <c r="DE86"/>
  <c r="DF86"/>
  <c r="DG86"/>
  <c r="DH86"/>
  <c r="DI86"/>
  <c r="DJ86"/>
  <c r="DK86"/>
  <c r="DL86"/>
  <c r="DB87"/>
  <c r="DC87"/>
  <c r="DD87"/>
  <c r="DE87"/>
  <c r="DF87"/>
  <c r="DG87"/>
  <c r="DH87"/>
  <c r="DI87"/>
  <c r="DJ87"/>
  <c r="DK87"/>
  <c r="DL87"/>
  <c r="DB88"/>
  <c r="DC88"/>
  <c r="DD88"/>
  <c r="DE88"/>
  <c r="DF88"/>
  <c r="DG88"/>
  <c r="DH88"/>
  <c r="DI88"/>
  <c r="DJ88"/>
  <c r="DK88"/>
  <c r="DL88"/>
  <c r="DB89"/>
  <c r="DC89"/>
  <c r="DD89"/>
  <c r="DE89"/>
  <c r="DF89"/>
  <c r="DG89"/>
  <c r="DH89"/>
  <c r="DI89"/>
  <c r="DJ89"/>
  <c r="DK89"/>
  <c r="DL89"/>
  <c r="DB90"/>
  <c r="DC90"/>
  <c r="DD90"/>
  <c r="DE90"/>
  <c r="DF90"/>
  <c r="DG90"/>
  <c r="DH90"/>
  <c r="DI90"/>
  <c r="DJ90"/>
  <c r="DK90"/>
  <c r="DL90"/>
  <c r="DB91"/>
  <c r="DC91"/>
  <c r="DD91"/>
  <c r="DE91"/>
  <c r="DF91"/>
  <c r="DG91"/>
  <c r="DH91"/>
  <c r="DI91"/>
  <c r="DJ91"/>
  <c r="DK91"/>
  <c r="DL91"/>
  <c r="DB92"/>
  <c r="DC92"/>
  <c r="DD92"/>
  <c r="DE92"/>
  <c r="DF92"/>
  <c r="DG92"/>
  <c r="DH92"/>
  <c r="DI92"/>
  <c r="DJ92"/>
  <c r="DK92"/>
  <c r="DL92"/>
  <c r="DB93"/>
  <c r="DC93"/>
  <c r="DD93"/>
  <c r="DE93"/>
  <c r="DF93"/>
  <c r="DG93"/>
  <c r="DH93"/>
  <c r="DI93"/>
  <c r="DJ93"/>
  <c r="DK93"/>
  <c r="DL93"/>
  <c r="DB94"/>
  <c r="DC94"/>
  <c r="DD94"/>
  <c r="DE94"/>
  <c r="DF94"/>
  <c r="DG94"/>
  <c r="DH94"/>
  <c r="DI94"/>
  <c r="DJ94"/>
  <c r="DK94"/>
  <c r="DL94"/>
  <c r="DB95"/>
  <c r="DC95"/>
  <c r="DD95"/>
  <c r="DE95"/>
  <c r="DF95"/>
  <c r="DG95"/>
  <c r="DH95"/>
  <c r="DI95"/>
  <c r="DJ95"/>
  <c r="DK95"/>
  <c r="DL95"/>
  <c r="DB96"/>
  <c r="DC96"/>
  <c r="DD96"/>
  <c r="DE96"/>
  <c r="DF96"/>
  <c r="DG96"/>
  <c r="DH96"/>
  <c r="DI96"/>
  <c r="DJ96"/>
  <c r="DK96"/>
  <c r="DL96"/>
  <c r="DB97"/>
  <c r="DC97"/>
  <c r="DD97"/>
  <c r="DE97"/>
  <c r="DF97"/>
  <c r="DG97"/>
  <c r="DH97"/>
  <c r="DI97"/>
  <c r="DJ97"/>
  <c r="DK97"/>
  <c r="DL97"/>
  <c r="DB98"/>
  <c r="DC98"/>
  <c r="DD98"/>
  <c r="DE98"/>
  <c r="DF98"/>
  <c r="DG98"/>
  <c r="DH98"/>
  <c r="DI98"/>
  <c r="DJ98"/>
  <c r="DK98"/>
  <c r="DL98"/>
  <c r="DB99"/>
  <c r="DC99"/>
  <c r="DD99"/>
  <c r="DE99"/>
  <c r="DF99"/>
  <c r="DG99"/>
  <c r="DH99"/>
  <c r="DI99"/>
  <c r="DJ99"/>
  <c r="DK99"/>
  <c r="DL99"/>
  <c r="DB100"/>
  <c r="DC100"/>
  <c r="DD100"/>
  <c r="DE100"/>
  <c r="DF100"/>
  <c r="DG100"/>
  <c r="DH100"/>
  <c r="DI100"/>
  <c r="DJ100"/>
  <c r="DK100"/>
  <c r="DL100"/>
  <c r="DB101"/>
  <c r="DC101"/>
  <c r="DD101"/>
  <c r="DE101"/>
  <c r="DF101"/>
  <c r="DG101"/>
  <c r="DH101"/>
  <c r="DI101"/>
  <c r="DJ101"/>
  <c r="DK101"/>
  <c r="DL101"/>
  <c r="F62" i="25"/>
  <c r="F61"/>
  <c r="F60"/>
  <c r="F59"/>
  <c r="F58"/>
  <c r="F57"/>
  <c r="F56"/>
  <c r="F55"/>
  <c r="F54"/>
  <c r="F53"/>
  <c r="F52"/>
  <c r="F51"/>
  <c r="F50"/>
  <c r="F49"/>
  <c r="F48"/>
  <c r="F47"/>
  <c r="F46"/>
  <c r="B6"/>
  <c r="B45"/>
  <c r="B46"/>
  <c r="F45"/>
  <c r="F44"/>
  <c r="B43"/>
  <c r="F43"/>
  <c r="F42"/>
  <c r="B33"/>
  <c r="K30"/>
  <c r="B7"/>
  <c r="J25"/>
  <c r="J26"/>
  <c r="J28"/>
  <c r="J29"/>
  <c r="G21"/>
  <c r="B26"/>
  <c r="E25"/>
  <c r="B25"/>
  <c r="G17"/>
  <c r="B17"/>
  <c r="N13"/>
  <c r="H13"/>
  <c r="N12"/>
  <c r="L12"/>
  <c r="H12"/>
  <c r="E3"/>
  <c r="E11"/>
  <c r="D11"/>
  <c r="B11"/>
  <c r="E10"/>
  <c r="E9"/>
  <c r="F8"/>
  <c r="B8"/>
  <c r="M6"/>
  <c r="L2"/>
  <c r="L1"/>
  <c r="F1"/>
  <c r="P51" i="20"/>
  <c r="P52"/>
  <c r="D53"/>
  <c r="E53"/>
  <c r="P53"/>
  <c r="R53"/>
  <c r="D54"/>
  <c r="E54"/>
  <c r="P54"/>
  <c r="R54"/>
  <c r="D55"/>
  <c r="E55"/>
  <c r="P55"/>
  <c r="R55"/>
  <c r="D56"/>
  <c r="E56"/>
  <c r="P56"/>
  <c r="R56"/>
  <c r="D57"/>
  <c r="E57"/>
  <c r="P57"/>
  <c r="R57"/>
  <c r="D58"/>
  <c r="E58"/>
  <c r="P58"/>
  <c r="R58"/>
  <c r="D59"/>
  <c r="E59"/>
  <c r="P59"/>
  <c r="R59"/>
  <c r="D60"/>
  <c r="E60"/>
  <c r="P60"/>
  <c r="R60"/>
  <c r="D61"/>
  <c r="E61"/>
  <c r="P61"/>
  <c r="R61"/>
  <c r="D62"/>
  <c r="E62"/>
  <c r="P62"/>
  <c r="R62"/>
  <c r="D63"/>
  <c r="E63"/>
  <c r="P63"/>
  <c r="R63"/>
  <c r="D64"/>
  <c r="E64"/>
  <c r="P64"/>
  <c r="R64"/>
  <c r="D65"/>
  <c r="E65"/>
  <c r="P65"/>
  <c r="R65"/>
  <c r="D66"/>
  <c r="E66"/>
  <c r="P66"/>
  <c r="R66"/>
  <c r="D67"/>
  <c r="E67"/>
  <c r="P67"/>
  <c r="R67"/>
  <c r="D68"/>
  <c r="E68"/>
  <c r="P68"/>
  <c r="R68"/>
  <c r="D69"/>
  <c r="E69"/>
  <c r="P69"/>
  <c r="R69"/>
  <c r="D70"/>
  <c r="E70"/>
  <c r="P70"/>
  <c r="R70"/>
  <c r="D71"/>
  <c r="E71"/>
  <c r="P71"/>
  <c r="R71"/>
  <c r="D72"/>
  <c r="E72"/>
  <c r="P72"/>
  <c r="R72"/>
  <c r="D73"/>
  <c r="E73"/>
  <c r="P73"/>
  <c r="R73"/>
  <c r="D74"/>
  <c r="E74"/>
  <c r="P74"/>
  <c r="R74"/>
  <c r="D75"/>
  <c r="E75"/>
  <c r="P75"/>
  <c r="R75"/>
  <c r="D76"/>
  <c r="E76"/>
  <c r="P76"/>
  <c r="R76"/>
  <c r="D77"/>
  <c r="E77"/>
  <c r="P77"/>
  <c r="R77"/>
  <c r="D78"/>
  <c r="E78"/>
  <c r="P78"/>
  <c r="R78"/>
  <c r="D79"/>
  <c r="E79"/>
  <c r="P79"/>
  <c r="R79"/>
  <c r="D80"/>
  <c r="E80"/>
  <c r="P80"/>
  <c r="R80"/>
  <c r="D81"/>
  <c r="E81"/>
  <c r="P81"/>
  <c r="R81"/>
  <c r="D82"/>
  <c r="E82"/>
  <c r="P82"/>
  <c r="R82"/>
  <c r="D83"/>
  <c r="E83"/>
  <c r="P83"/>
  <c r="R83"/>
  <c r="D84"/>
  <c r="E84"/>
  <c r="P84"/>
  <c r="R84"/>
  <c r="D85"/>
  <c r="E85"/>
  <c r="P85"/>
  <c r="R85"/>
  <c r="D86"/>
  <c r="E86"/>
  <c r="P86"/>
  <c r="R86"/>
  <c r="D87"/>
  <c r="E87"/>
  <c r="P87"/>
  <c r="R87"/>
  <c r="D88"/>
  <c r="E88"/>
  <c r="P88"/>
  <c r="R88"/>
  <c r="D89"/>
  <c r="E89"/>
  <c r="P89"/>
  <c r="R89"/>
  <c r="D90"/>
  <c r="E90"/>
  <c r="P90"/>
  <c r="R90"/>
  <c r="D91"/>
  <c r="E91"/>
  <c r="P91"/>
  <c r="R91"/>
  <c r="D92"/>
  <c r="E92"/>
  <c r="P92"/>
  <c r="R92"/>
  <c r="D93"/>
  <c r="E93"/>
  <c r="P93"/>
  <c r="R93"/>
  <c r="D94"/>
  <c r="E94"/>
  <c r="P94"/>
  <c r="R94"/>
  <c r="D95"/>
  <c r="E95"/>
  <c r="P95"/>
  <c r="R95"/>
  <c r="D96"/>
  <c r="E96"/>
  <c r="P96"/>
  <c r="R96"/>
  <c r="D97"/>
  <c r="E97"/>
  <c r="P97"/>
  <c r="R97"/>
  <c r="D98"/>
  <c r="E98"/>
  <c r="P98"/>
  <c r="R98"/>
  <c r="D99"/>
  <c r="E99"/>
  <c r="P99"/>
  <c r="R99"/>
  <c r="D100"/>
  <c r="E100"/>
  <c r="P100"/>
  <c r="R100"/>
  <c r="D101"/>
  <c r="E101"/>
  <c r="P101"/>
  <c r="R101"/>
  <c r="D102"/>
  <c r="E102"/>
  <c r="P102"/>
  <c r="R102"/>
  <c r="CQ53"/>
  <c r="CQ54"/>
  <c r="CQ55"/>
  <c r="CQ56"/>
  <c r="CQ57"/>
  <c r="CQ58"/>
  <c r="CQ59"/>
  <c r="CQ60"/>
  <c r="CQ61"/>
  <c r="CQ62"/>
  <c r="CQ63"/>
  <c r="CQ64"/>
  <c r="CQ65"/>
  <c r="CQ66"/>
  <c r="CQ67"/>
  <c r="CQ68"/>
  <c r="CQ69"/>
  <c r="CQ70"/>
  <c r="CQ71"/>
  <c r="CQ72"/>
  <c r="CQ73"/>
  <c r="CQ74"/>
  <c r="CQ75"/>
  <c r="CQ76"/>
  <c r="CQ77"/>
  <c r="CQ78"/>
  <c r="CQ79"/>
  <c r="CQ80"/>
  <c r="CQ81"/>
  <c r="CQ82"/>
  <c r="CQ83"/>
  <c r="CQ84"/>
  <c r="CQ85"/>
  <c r="CQ86"/>
  <c r="CQ87"/>
  <c r="CQ88"/>
  <c r="CQ89"/>
  <c r="CQ90"/>
  <c r="CQ91"/>
  <c r="CQ92"/>
  <c r="CQ93"/>
  <c r="CQ94"/>
  <c r="CQ95"/>
  <c r="CQ96"/>
  <c r="CQ97"/>
  <c r="CQ98"/>
  <c r="CQ99"/>
  <c r="CQ100"/>
  <c r="CQ101"/>
  <c r="AP53"/>
  <c r="AQ53"/>
  <c r="AR53"/>
  <c r="AS53"/>
  <c r="AP54"/>
  <c r="AQ54"/>
  <c r="AR54"/>
  <c r="AS54"/>
  <c r="AP55"/>
  <c r="AQ55"/>
  <c r="AR55"/>
  <c r="AS55"/>
  <c r="AP56"/>
  <c r="AQ56"/>
  <c r="AR56"/>
  <c r="AS56"/>
  <c r="AP57"/>
  <c r="AQ57"/>
  <c r="AR57"/>
  <c r="AS57"/>
  <c r="AP58"/>
  <c r="AQ58"/>
  <c r="AR58"/>
  <c r="AS58"/>
  <c r="AP59"/>
  <c r="AQ59"/>
  <c r="AR59"/>
  <c r="AS59"/>
  <c r="AP60"/>
  <c r="AQ60"/>
  <c r="AR60"/>
  <c r="AS60"/>
  <c r="AP61"/>
  <c r="AQ61"/>
  <c r="AR61"/>
  <c r="AS61"/>
  <c r="AP62"/>
  <c r="AQ62"/>
  <c r="AR62"/>
  <c r="AS62"/>
  <c r="AP63"/>
  <c r="AQ63"/>
  <c r="AR63"/>
  <c r="AS63"/>
  <c r="AP64"/>
  <c r="AQ64"/>
  <c r="AR64"/>
  <c r="AS64"/>
  <c r="AP65"/>
  <c r="AQ65"/>
  <c r="AR65"/>
  <c r="AS65"/>
  <c r="AP66"/>
  <c r="AQ66"/>
  <c r="AR66"/>
  <c r="AS66"/>
  <c r="AP67"/>
  <c r="AQ67"/>
  <c r="AR67"/>
  <c r="AS67"/>
  <c r="AP68"/>
  <c r="AQ68"/>
  <c r="AR68"/>
  <c r="AS68"/>
  <c r="AP69"/>
  <c r="AQ69"/>
  <c r="AR69"/>
  <c r="AS69"/>
  <c r="AP70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AP76"/>
  <c r="AQ76"/>
  <c r="AR76"/>
  <c r="AS76"/>
  <c r="AP77"/>
  <c r="AQ77"/>
  <c r="AR77"/>
  <c r="AS77"/>
  <c r="AP78"/>
  <c r="AQ78"/>
  <c r="AR78"/>
  <c r="AS78"/>
  <c r="AP79"/>
  <c r="AQ79"/>
  <c r="AR79"/>
  <c r="AS79"/>
  <c r="AP80"/>
  <c r="AQ80"/>
  <c r="AR80"/>
  <c r="AS80"/>
  <c r="AP81"/>
  <c r="AQ81"/>
  <c r="AR81"/>
  <c r="AS81"/>
  <c r="AP82"/>
  <c r="AQ82"/>
  <c r="AR82"/>
  <c r="AS82"/>
  <c r="AP83"/>
  <c r="AQ83"/>
  <c r="AR83"/>
  <c r="AS83"/>
  <c r="AP84"/>
  <c r="AQ84"/>
  <c r="AR84"/>
  <c r="AS84"/>
  <c r="AP85"/>
  <c r="AQ85"/>
  <c r="AR85"/>
  <c r="AS85"/>
  <c r="AP86"/>
  <c r="AQ86"/>
  <c r="AR86"/>
  <c r="AS86"/>
  <c r="AP87"/>
  <c r="AQ87"/>
  <c r="AR87"/>
  <c r="AS87"/>
  <c r="AP88"/>
  <c r="AQ88"/>
  <c r="AR88"/>
  <c r="AS88"/>
  <c r="AP89"/>
  <c r="AQ89"/>
  <c r="AR89"/>
  <c r="AS89"/>
  <c r="AP90"/>
  <c r="AQ90"/>
  <c r="AR90"/>
  <c r="AS90"/>
  <c r="AP91"/>
  <c r="AQ91"/>
  <c r="AR91"/>
  <c r="AS91"/>
  <c r="AP92"/>
  <c r="AQ92"/>
  <c r="AR92"/>
  <c r="AS92"/>
  <c r="AP93"/>
  <c r="AQ93"/>
  <c r="AR93"/>
  <c r="AS93"/>
  <c r="AP94"/>
  <c r="AQ94"/>
  <c r="AR94"/>
  <c r="AS94"/>
  <c r="AP95"/>
  <c r="AQ95"/>
  <c r="AR95"/>
  <c r="AS95"/>
  <c r="AP96"/>
  <c r="AQ96"/>
  <c r="AR96"/>
  <c r="AS96"/>
  <c r="AP97"/>
  <c r="AQ97"/>
  <c r="AR97"/>
  <c r="AS97"/>
  <c r="AP98"/>
  <c r="AQ98"/>
  <c r="AR98"/>
  <c r="AS98"/>
  <c r="AP99"/>
  <c r="AQ99"/>
  <c r="AR99"/>
  <c r="AS99"/>
  <c r="AP100"/>
  <c r="AQ100"/>
  <c r="AR100"/>
  <c r="AS100"/>
  <c r="AP101"/>
  <c r="AQ101"/>
  <c r="AR101"/>
  <c r="AS101"/>
  <c r="AP102"/>
  <c r="AQ102"/>
  <c r="AR102"/>
  <c r="AS10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V51"/>
  <c r="W51"/>
  <c r="V52"/>
  <c r="W52"/>
  <c r="V53"/>
  <c r="W53"/>
  <c r="V54"/>
  <c r="W54"/>
  <c r="V55"/>
  <c r="W55"/>
  <c r="V56"/>
  <c r="W56"/>
  <c r="X56"/>
  <c r="Z56"/>
  <c r="AB56"/>
  <c r="V57"/>
  <c r="W57"/>
  <c r="X57"/>
  <c r="Z57"/>
  <c r="AB57"/>
  <c r="V58"/>
  <c r="W58"/>
  <c r="X58"/>
  <c r="Z58"/>
  <c r="AB58"/>
  <c r="V59"/>
  <c r="W59"/>
  <c r="X59"/>
  <c r="Z59"/>
  <c r="AB59"/>
  <c r="V60"/>
  <c r="W60"/>
  <c r="X60"/>
  <c r="Z60"/>
  <c r="AB60"/>
  <c r="V61"/>
  <c r="W61"/>
  <c r="X61"/>
  <c r="Z61"/>
  <c r="AB61"/>
  <c r="V62"/>
  <c r="W62"/>
  <c r="X62"/>
  <c r="Z62"/>
  <c r="AB62"/>
  <c r="V63"/>
  <c r="W63"/>
  <c r="X63"/>
  <c r="Z63"/>
  <c r="AB63"/>
  <c r="V64"/>
  <c r="W64"/>
  <c r="X64"/>
  <c r="Z64"/>
  <c r="AB64"/>
  <c r="V65"/>
  <c r="W65"/>
  <c r="X65"/>
  <c r="Z65"/>
  <c r="AB65"/>
  <c r="V66"/>
  <c r="W66"/>
  <c r="X66"/>
  <c r="Z66"/>
  <c r="AB66"/>
  <c r="V67"/>
  <c r="W67"/>
  <c r="X67"/>
  <c r="Z67"/>
  <c r="AB67"/>
  <c r="V68"/>
  <c r="W68"/>
  <c r="X68"/>
  <c r="Z68"/>
  <c r="AB68"/>
  <c r="V69"/>
  <c r="W69"/>
  <c r="X69"/>
  <c r="Z69"/>
  <c r="AB69"/>
  <c r="V70"/>
  <c r="W70"/>
  <c r="X70"/>
  <c r="Z70"/>
  <c r="AB70"/>
  <c r="V71"/>
  <c r="W71"/>
  <c r="X71"/>
  <c r="Z71"/>
  <c r="AB71"/>
  <c r="V72"/>
  <c r="W72"/>
  <c r="X72"/>
  <c r="Z72"/>
  <c r="AB72"/>
  <c r="V73"/>
  <c r="W73"/>
  <c r="X73"/>
  <c r="Z73"/>
  <c r="AB73"/>
  <c r="V74"/>
  <c r="W74"/>
  <c r="X74"/>
  <c r="Z74"/>
  <c r="AB74"/>
  <c r="V75"/>
  <c r="W75"/>
  <c r="X75"/>
  <c r="Z75"/>
  <c r="AB75"/>
  <c r="V76"/>
  <c r="W76"/>
  <c r="X76"/>
  <c r="Z76"/>
  <c r="AB76"/>
  <c r="V77"/>
  <c r="W77"/>
  <c r="X77"/>
  <c r="Z77"/>
  <c r="AB77"/>
  <c r="V78"/>
  <c r="W78"/>
  <c r="X78"/>
  <c r="Z78"/>
  <c r="AB78"/>
  <c r="V79"/>
  <c r="W79"/>
  <c r="X79"/>
  <c r="Z79"/>
  <c r="AB79"/>
  <c r="V80"/>
  <c r="W80"/>
  <c r="X80"/>
  <c r="Z80"/>
  <c r="AB80"/>
  <c r="V81"/>
  <c r="W81"/>
  <c r="X81"/>
  <c r="Z81"/>
  <c r="AB81"/>
  <c r="V82"/>
  <c r="W82"/>
  <c r="X82"/>
  <c r="Z82"/>
  <c r="AB82"/>
  <c r="V83"/>
  <c r="W83"/>
  <c r="X83"/>
  <c r="Z83"/>
  <c r="AB83"/>
  <c r="V84"/>
  <c r="W84"/>
  <c r="X84"/>
  <c r="Z84"/>
  <c r="AB84"/>
  <c r="V85"/>
  <c r="W85"/>
  <c r="X85"/>
  <c r="Z85"/>
  <c r="AB85"/>
  <c r="V86"/>
  <c r="W86"/>
  <c r="X86"/>
  <c r="Z86"/>
  <c r="AB86"/>
  <c r="V87"/>
  <c r="W87"/>
  <c r="X87"/>
  <c r="Z87"/>
  <c r="AB87"/>
  <c r="V88"/>
  <c r="W88"/>
  <c r="X88"/>
  <c r="Z88"/>
  <c r="AB88"/>
  <c r="V89"/>
  <c r="W89"/>
  <c r="X89"/>
  <c r="Z89"/>
  <c r="AB89"/>
  <c r="V90"/>
  <c r="W90"/>
  <c r="X90"/>
  <c r="Z90"/>
  <c r="AB90"/>
  <c r="V91"/>
  <c r="W91"/>
  <c r="X91"/>
  <c r="Z91"/>
  <c r="AB91"/>
  <c r="V92"/>
  <c r="W92"/>
  <c r="X92"/>
  <c r="Z92"/>
  <c r="AB92"/>
  <c r="V93"/>
  <c r="W93"/>
  <c r="X93"/>
  <c r="Z93"/>
  <c r="AB93"/>
  <c r="V94"/>
  <c r="W94"/>
  <c r="X94"/>
  <c r="Z94"/>
  <c r="AB94"/>
  <c r="V95"/>
  <c r="W95"/>
  <c r="X95"/>
  <c r="Z95"/>
  <c r="AB95"/>
  <c r="V96"/>
  <c r="W96"/>
  <c r="X96"/>
  <c r="Z96"/>
  <c r="AB96"/>
  <c r="V97"/>
  <c r="W97"/>
  <c r="X97"/>
  <c r="Z97"/>
  <c r="AB97"/>
  <c r="V98"/>
  <c r="W98"/>
  <c r="X98"/>
  <c r="Z98"/>
  <c r="AB98"/>
  <c r="V99"/>
  <c r="W99"/>
  <c r="X99"/>
  <c r="Z99"/>
  <c r="AB99"/>
  <c r="V100"/>
  <c r="W100"/>
  <c r="X100"/>
  <c r="Z100"/>
  <c r="AB100"/>
  <c r="V101"/>
  <c r="W101"/>
  <c r="X101"/>
  <c r="Z101"/>
  <c r="AB101"/>
  <c r="V102"/>
  <c r="W102"/>
  <c r="X102"/>
  <c r="Z102"/>
  <c r="AB102"/>
  <c r="BR6" l="1"/>
  <c r="BV2" s="1"/>
  <c r="BW1" s="1"/>
  <c r="H11" i="25"/>
  <c r="I13"/>
  <c r="E13" s="1"/>
  <c r="B44"/>
  <c r="E5"/>
  <c r="E14"/>
  <c r="AE1" i="20"/>
  <c r="G44" i="67"/>
  <c r="G45" s="1"/>
  <c r="R44"/>
  <c r="Q44" s="1"/>
  <c r="Q45" s="1"/>
  <c r="Q46" s="1"/>
  <c r="Q47" s="1"/>
  <c r="Q48" s="1"/>
  <c r="F56" i="33"/>
  <c r="H6" i="48"/>
  <c r="D15" s="1"/>
  <c r="D16" s="1"/>
  <c r="D13" i="49"/>
  <c r="H6" i="50"/>
  <c r="D16" s="1"/>
  <c r="D17" s="1"/>
  <c r="AB36"/>
  <c r="I44"/>
  <c r="A46" i="58"/>
  <c r="E46"/>
  <c r="F5" i="59"/>
  <c r="N5" s="1"/>
  <c r="D43"/>
  <c r="B44"/>
  <c r="F47"/>
  <c r="F62"/>
  <c r="G62"/>
  <c r="H63"/>
  <c r="F64"/>
  <c r="S15" i="63"/>
  <c r="I11"/>
  <c r="G13" i="67"/>
  <c r="G14" s="1"/>
  <c r="G15" s="1"/>
  <c r="G16" s="1"/>
  <c r="G17" s="1"/>
  <c r="Q15" i="66"/>
  <c r="R13" i="67"/>
  <c r="Q13" s="1"/>
  <c r="Q14" s="1"/>
  <c r="Q15" s="1"/>
  <c r="Q16" s="1"/>
  <c r="Q17" s="1"/>
  <c r="R17" i="49"/>
  <c r="R15"/>
  <c r="F63" i="59"/>
  <c r="Q11" i="49"/>
  <c r="G11" s="1"/>
  <c r="D36" i="33"/>
  <c r="D38" s="1"/>
  <c r="H36"/>
  <c r="J56"/>
  <c r="B7" i="52"/>
  <c r="F6" i="57"/>
  <c r="C46" i="58"/>
  <c r="C59" s="1"/>
  <c r="F46"/>
  <c r="F59" s="1"/>
  <c r="B47" i="59"/>
  <c r="D9"/>
  <c r="D63"/>
  <c r="M44" i="64"/>
  <c r="E4" i="65"/>
  <c r="C16" s="1"/>
  <c r="D62"/>
  <c r="F62" s="1"/>
  <c r="F64" s="1"/>
  <c r="J6" s="1"/>
  <c r="D19" i="66"/>
  <c r="D32" s="1"/>
  <c r="R16" i="49"/>
  <c r="R14"/>
  <c r="D39" i="33"/>
  <c r="C6" i="57" s="1"/>
  <c r="H50" i="49"/>
  <c r="L56" i="33"/>
  <c r="J31" i="34"/>
  <c r="R14" i="50"/>
  <c r="D6" i="57"/>
  <c r="B46" i="58"/>
  <c r="B59" s="1"/>
  <c r="F44" i="59"/>
  <c r="B63"/>
  <c r="G63"/>
  <c r="C7" i="57"/>
  <c r="D7" s="1"/>
  <c r="S14" i="67"/>
  <c r="E40" i="65"/>
  <c r="O40" s="1"/>
  <c r="O16"/>
  <c r="G46" i="67"/>
  <c r="G47" s="1"/>
  <c r="G48" s="1"/>
  <c r="F16" i="65"/>
  <c r="C40"/>
  <c r="M40" s="1"/>
  <c r="L36" i="33"/>
  <c r="L48"/>
  <c r="H39"/>
  <c r="H56" s="1"/>
  <c r="L35" i="48"/>
  <c r="G14"/>
  <c r="G15" s="1"/>
  <c r="G16" s="1"/>
  <c r="G17" s="1"/>
  <c r="D11"/>
  <c r="G6" i="57"/>
  <c r="A59" i="58"/>
  <c r="G9" i="59"/>
  <c r="B57"/>
  <c r="C44"/>
  <c r="G44"/>
  <c r="G7"/>
  <c r="F61"/>
  <c r="G61"/>
  <c r="G13" i="63"/>
  <c r="G14" s="1"/>
  <c r="G15" s="1"/>
  <c r="G16" s="1"/>
  <c r="G17" s="1"/>
  <c r="R13"/>
  <c r="Q13" s="1"/>
  <c r="I49"/>
  <c r="D11"/>
  <c r="H11" s="1"/>
  <c r="M45" i="64"/>
  <c r="B13"/>
  <c r="B29" s="1"/>
  <c r="S46" i="67"/>
  <c r="S44"/>
  <c r="F48" i="33"/>
  <c r="G5" i="59"/>
  <c r="D61"/>
  <c r="H48" i="33"/>
  <c r="L39" i="48"/>
  <c r="D18"/>
  <c r="D13" s="1"/>
  <c r="D22" s="1"/>
  <c r="H45" i="50"/>
  <c r="R45" s="1"/>
  <c r="M32" i="55"/>
  <c r="E59" i="58"/>
  <c r="F43" i="59"/>
  <c r="F57" s="1"/>
  <c r="A44"/>
  <c r="E44"/>
  <c r="H44"/>
  <c r="B61"/>
  <c r="D48"/>
  <c r="D62" s="1"/>
  <c r="S14" i="63"/>
  <c r="D23"/>
  <c r="I45"/>
  <c r="D10" i="66"/>
  <c r="B58" i="57"/>
  <c r="Q16" i="66"/>
  <c r="Q17" s="1"/>
  <c r="D13"/>
  <c r="D23" s="1"/>
  <c r="S47" i="67"/>
  <c r="S45"/>
  <c r="S16"/>
  <c r="S13"/>
  <c r="D11" i="66"/>
  <c r="I34" s="1"/>
  <c r="I46" i="67"/>
  <c r="B48" i="33"/>
  <c r="J48"/>
  <c r="L40" i="48"/>
  <c r="L8" i="52"/>
  <c r="L9" s="1"/>
  <c r="L10" s="1"/>
  <c r="F34" i="55"/>
  <c r="G59" i="58"/>
  <c r="F6" i="59"/>
  <c r="N6" s="1"/>
  <c r="D57"/>
  <c r="H57"/>
  <c r="F60"/>
  <c r="B48"/>
  <c r="B62" s="1"/>
  <c r="Q14" i="49"/>
  <c r="Q15" s="1"/>
  <c r="Q16" s="1"/>
  <c r="Q17" s="1"/>
  <c r="C20" i="64"/>
  <c r="E4"/>
  <c r="D16" s="1"/>
  <c r="D40" s="1"/>
  <c r="N40" s="1"/>
  <c r="CL6" i="20"/>
  <c r="CG3" s="1"/>
  <c r="CE6"/>
  <c r="BY2" s="1"/>
  <c r="BN48"/>
  <c r="BO48" s="1"/>
  <c r="CH47"/>
  <c r="CI47" s="1"/>
  <c r="BS6"/>
  <c r="CF6"/>
  <c r="A48" i="68"/>
  <c r="BU101" i="20"/>
  <c r="BV101" s="1"/>
  <c r="BO101"/>
  <c r="BU99"/>
  <c r="BV99" s="1"/>
  <c r="BO99"/>
  <c r="BU97"/>
  <c r="BV97" s="1"/>
  <c r="BO97"/>
  <c r="BU95"/>
  <c r="BV95" s="1"/>
  <c r="BO95"/>
  <c r="BU93"/>
  <c r="BV93" s="1"/>
  <c r="BO93"/>
  <c r="BU91"/>
  <c r="BV91" s="1"/>
  <c r="CA63"/>
  <c r="CB63" s="1"/>
  <c r="CH62"/>
  <c r="CI62" s="1"/>
  <c r="BU62"/>
  <c r="BV62" s="1"/>
  <c r="CH60"/>
  <c r="CI60" s="1"/>
  <c r="CH58"/>
  <c r="CI58" s="1"/>
  <c r="CH57"/>
  <c r="CI57" s="1"/>
  <c r="BU55"/>
  <c r="BV55" s="1"/>
  <c r="CH54"/>
  <c r="CI54" s="1"/>
  <c r="CH53"/>
  <c r="CI53" s="1"/>
  <c r="CO51"/>
  <c r="CP51" s="1"/>
  <c r="CP12"/>
  <c r="CP31"/>
  <c r="BU100"/>
  <c r="BV100" s="1"/>
  <c r="BO100"/>
  <c r="BU98"/>
  <c r="BV98" s="1"/>
  <c r="BU96"/>
  <c r="BV96" s="1"/>
  <c r="BO96"/>
  <c r="BU94"/>
  <c r="BV94" s="1"/>
  <c r="BU92"/>
  <c r="BV92" s="1"/>
  <c r="BO92"/>
  <c r="CH90"/>
  <c r="CI90" s="1"/>
  <c r="CH89"/>
  <c r="CI89" s="1"/>
  <c r="CH88"/>
  <c r="CI88" s="1"/>
  <c r="CH87"/>
  <c r="CI87" s="1"/>
  <c r="CH86"/>
  <c r="CI86" s="1"/>
  <c r="CH85"/>
  <c r="CI85" s="1"/>
  <c r="CH84"/>
  <c r="CI84" s="1"/>
  <c r="CH83"/>
  <c r="CI83" s="1"/>
  <c r="CH82"/>
  <c r="CI82" s="1"/>
  <c r="CH81"/>
  <c r="CI81" s="1"/>
  <c r="CH80"/>
  <c r="CI80" s="1"/>
  <c r="CH79"/>
  <c r="CI79" s="1"/>
  <c r="CH78"/>
  <c r="CI78" s="1"/>
  <c r="CH77"/>
  <c r="CI77" s="1"/>
  <c r="CH76"/>
  <c r="CI76" s="1"/>
  <c r="CH75"/>
  <c r="CI75" s="1"/>
  <c r="CH74"/>
  <c r="CI74" s="1"/>
  <c r="CH73"/>
  <c r="CI73" s="1"/>
  <c r="CH72"/>
  <c r="CI72" s="1"/>
  <c r="CH71"/>
  <c r="CI71" s="1"/>
  <c r="CH70"/>
  <c r="CI70" s="1"/>
  <c r="CH69"/>
  <c r="CI69" s="1"/>
  <c r="CH68"/>
  <c r="CI68" s="1"/>
  <c r="CH67"/>
  <c r="CI67" s="1"/>
  <c r="CH66"/>
  <c r="CI66" s="1"/>
  <c r="CH65"/>
  <c r="CI65" s="1"/>
  <c r="CH64"/>
  <c r="CI64" s="1"/>
  <c r="BU63"/>
  <c r="BV63" s="1"/>
  <c r="CA62"/>
  <c r="CB62" s="1"/>
  <c r="CA60"/>
  <c r="CB60" s="1"/>
  <c r="CA55"/>
  <c r="CB55" s="1"/>
  <c r="BU51"/>
  <c r="BV51" s="1"/>
  <c r="CA48"/>
  <c r="CB48" s="1"/>
  <c r="CP58"/>
  <c r="CP54"/>
  <c r="CP50"/>
  <c r="CP38"/>
  <c r="CP26"/>
  <c r="CP22"/>
  <c r="CP18"/>
  <c r="CP14"/>
  <c r="CP10"/>
  <c r="BY6"/>
  <c r="A44" i="68"/>
  <c r="BN100" i="20"/>
  <c r="BN98"/>
  <c r="BO98" s="1"/>
  <c r="BN96"/>
  <c r="BN94"/>
  <c r="BO94" s="1"/>
  <c r="BN92"/>
  <c r="CH63"/>
  <c r="CI63" s="1"/>
  <c r="CA61"/>
  <c r="CB61" s="1"/>
  <c r="CH59"/>
  <c r="CI59" s="1"/>
  <c r="CO55"/>
  <c r="CP55" s="1"/>
  <c r="CH50"/>
  <c r="CI50" s="1"/>
  <c r="CP33"/>
  <c r="CP17"/>
  <c r="CP13"/>
  <c r="CO43"/>
  <c r="CA43"/>
  <c r="CB43" s="1"/>
  <c r="CO37"/>
  <c r="CP37" s="1"/>
  <c r="BN37"/>
  <c r="BN35"/>
  <c r="BN33"/>
  <c r="BN31"/>
  <c r="BO31" s="1"/>
  <c r="CO29"/>
  <c r="CP29" s="1"/>
  <c r="CH29"/>
  <c r="CI29" s="1"/>
  <c r="BN29"/>
  <c r="BO28"/>
  <c r="CO25"/>
  <c r="CP25" s="1"/>
  <c r="CH25"/>
  <c r="CI25" s="1"/>
  <c r="BN25"/>
  <c r="BO24"/>
  <c r="CO21"/>
  <c r="CP21" s="1"/>
  <c r="CH21"/>
  <c r="CI21" s="1"/>
  <c r="BN21"/>
  <c r="BO20"/>
  <c r="CO17"/>
  <c r="CH17"/>
  <c r="CI17" s="1"/>
  <c r="BN17"/>
  <c r="BO16"/>
  <c r="BO39"/>
  <c r="BO36"/>
  <c r="BO34"/>
  <c r="BO32"/>
  <c r="BO27"/>
  <c r="BO23"/>
  <c r="BO19"/>
  <c r="BO38"/>
  <c r="BO18"/>
  <c r="CA13"/>
  <c r="CB13" s="1"/>
  <c r="BN13"/>
  <c r="BO13" s="1"/>
  <c r="CA12"/>
  <c r="CB12" s="1"/>
  <c r="BN12"/>
  <c r="BO12" s="1"/>
  <c r="CA11"/>
  <c r="CB11" s="1"/>
  <c r="CA57"/>
  <c r="CB57" s="1"/>
  <c r="CH55"/>
  <c r="CI55" s="1"/>
  <c r="CA53"/>
  <c r="CB53" s="1"/>
  <c r="CH51"/>
  <c r="CI51" s="1"/>
  <c r="CA49"/>
  <c r="CB49" s="1"/>
  <c r="CA47"/>
  <c r="CB47" s="1"/>
  <c r="CH46"/>
  <c r="CI46" s="1"/>
  <c r="CA46"/>
  <c r="CO45"/>
  <c r="BN45"/>
  <c r="CH42"/>
  <c r="CI42" s="1"/>
  <c r="CA42"/>
  <c r="CO41"/>
  <c r="BN41"/>
  <c r="BO41" s="1"/>
  <c r="CH40"/>
  <c r="CI40" s="1"/>
  <c r="CH38"/>
  <c r="CI38" s="1"/>
  <c r="BN38"/>
  <c r="BU37"/>
  <c r="BV37" s="1"/>
  <c r="BO37"/>
  <c r="BU35"/>
  <c r="BV35" s="1"/>
  <c r="BO35"/>
  <c r="BU33"/>
  <c r="BV33" s="1"/>
  <c r="BO33"/>
  <c r="BU31"/>
  <c r="BV31" s="1"/>
  <c r="BN30"/>
  <c r="BO30" s="1"/>
  <c r="BO29"/>
  <c r="BU28"/>
  <c r="BV28" s="1"/>
  <c r="BN26"/>
  <c r="BO26" s="1"/>
  <c r="BO25"/>
  <c r="BU24"/>
  <c r="BV24" s="1"/>
  <c r="BN22"/>
  <c r="BO22" s="1"/>
  <c r="BO21"/>
  <c r="BU20"/>
  <c r="BV20" s="1"/>
  <c r="BN18"/>
  <c r="BO17"/>
  <c r="BU16"/>
  <c r="BV16" s="1"/>
  <c r="BU15"/>
  <c r="BV15" s="1"/>
  <c r="BU14"/>
  <c r="BV14" s="1"/>
  <c r="BN10"/>
  <c r="BO10" s="1"/>
  <c r="CO9"/>
  <c r="CM6"/>
  <c r="CP9"/>
  <c r="CI9"/>
  <c r="L11" i="33"/>
  <c r="J11"/>
  <c r="F11"/>
  <c r="CB46" i="20"/>
  <c r="CI45"/>
  <c r="CI44"/>
  <c r="L12" i="33"/>
  <c r="J12"/>
  <c r="F12"/>
  <c r="CB42" i="20"/>
  <c r="CA39"/>
  <c r="CB39" s="1"/>
  <c r="CA38"/>
  <c r="CB38" s="1"/>
  <c r="CA37"/>
  <c r="CB37" s="1"/>
  <c r="BN47"/>
  <c r="BO47" s="1"/>
  <c r="BU44"/>
  <c r="BV44" s="1"/>
  <c r="BO44"/>
  <c r="CP44"/>
  <c r="BN43"/>
  <c r="BO43" s="1"/>
  <c r="BN40"/>
  <c r="BO40" s="1"/>
  <c r="BO45"/>
  <c r="CP45"/>
  <c r="CP41"/>
  <c r="BU46"/>
  <c r="BV46" s="1"/>
  <c r="CP46"/>
  <c r="BU42"/>
  <c r="CP42"/>
  <c r="BU47"/>
  <c r="BV47" s="1"/>
  <c r="CP47"/>
  <c r="BN46"/>
  <c r="BO46" s="1"/>
  <c r="BU43"/>
  <c r="BV43" s="1"/>
  <c r="CP43"/>
  <c r="BN42"/>
  <c r="BO42" s="1"/>
  <c r="CA40"/>
  <c r="CB40" s="1"/>
  <c r="CP40"/>
  <c r="CA36"/>
  <c r="CB36" s="1"/>
  <c r="CA35"/>
  <c r="CB35" s="1"/>
  <c r="CA34"/>
  <c r="CB34" s="1"/>
  <c r="CA33"/>
  <c r="CB33" s="1"/>
  <c r="CA32"/>
  <c r="CB32" s="1"/>
  <c r="CA31"/>
  <c r="CB31" s="1"/>
  <c r="CA30"/>
  <c r="CB30" s="1"/>
  <c r="CA29"/>
  <c r="CB29" s="1"/>
  <c r="CA28"/>
  <c r="CB28" s="1"/>
  <c r="CA27"/>
  <c r="CB27" s="1"/>
  <c r="CA26"/>
  <c r="CB26" s="1"/>
  <c r="CA25"/>
  <c r="CB25" s="1"/>
  <c r="CA24"/>
  <c r="CB24" s="1"/>
  <c r="CA23"/>
  <c r="CB23" s="1"/>
  <c r="CA22"/>
  <c r="CB22" s="1"/>
  <c r="CA21"/>
  <c r="CB21" s="1"/>
  <c r="CA20"/>
  <c r="CB20" s="1"/>
  <c r="CA19"/>
  <c r="CB19" s="1"/>
  <c r="CA18"/>
  <c r="CB18" s="1"/>
  <c r="CA17"/>
  <c r="CB17" s="1"/>
  <c r="CA16"/>
  <c r="CB16" s="1"/>
  <c r="CA10"/>
  <c r="CB10" s="1"/>
  <c r="CB6" s="1"/>
  <c r="A46" i="68"/>
  <c r="A49"/>
  <c r="A45"/>
  <c r="A47"/>
  <c r="H11" i="48"/>
  <c r="K33"/>
  <c r="M34" i="55"/>
  <c r="F35"/>
  <c r="D23" i="50"/>
  <c r="AB41"/>
  <c r="AC37"/>
  <c r="S47"/>
  <c r="I47"/>
  <c r="R43"/>
  <c r="Q43" s="1"/>
  <c r="Q44" s="1"/>
  <c r="Q45" s="1"/>
  <c r="Q46" s="1"/>
  <c r="Q47" s="1"/>
  <c r="G43"/>
  <c r="G44" s="1"/>
  <c r="G45" s="1"/>
  <c r="G46" s="1"/>
  <c r="G47" s="1"/>
  <c r="D33" i="63"/>
  <c r="I58"/>
  <c r="S41"/>
  <c r="S58" s="1"/>
  <c r="K51"/>
  <c r="K34" i="66"/>
  <c r="I27" i="48"/>
  <c r="K39"/>
  <c r="K37"/>
  <c r="K35"/>
  <c r="J35" s="1"/>
  <c r="J36" s="1"/>
  <c r="J37" s="1"/>
  <c r="J38" s="1"/>
  <c r="S16"/>
  <c r="R16"/>
  <c r="S14"/>
  <c r="R14"/>
  <c r="R13"/>
  <c r="Q13" s="1"/>
  <c r="Q14" s="1"/>
  <c r="Q15" s="1"/>
  <c r="Q16" s="1"/>
  <c r="Q17" s="1"/>
  <c r="D23"/>
  <c r="D31"/>
  <c r="R16" i="50"/>
  <c r="Q14"/>
  <c r="Q15" s="1"/>
  <c r="Q16" s="1"/>
  <c r="Q17" s="1"/>
  <c r="S40"/>
  <c r="S57" s="1"/>
  <c r="O9" i="52"/>
  <c r="P9" s="1"/>
  <c r="O7"/>
  <c r="P7" s="1"/>
  <c r="Q7" s="1"/>
  <c r="E59" i="59"/>
  <c r="F59"/>
  <c r="I45" i="50"/>
  <c r="S45"/>
  <c r="D18"/>
  <c r="D15"/>
  <c r="AC33" s="1"/>
  <c r="B30" i="52"/>
  <c r="S11" i="63"/>
  <c r="S27" s="1"/>
  <c r="I27"/>
  <c r="B8" i="51"/>
  <c r="L11" i="52"/>
  <c r="G16" i="50"/>
  <c r="G17" s="1"/>
  <c r="I11"/>
  <c r="B25" i="51"/>
  <c r="H59" i="59"/>
  <c r="S43" i="50"/>
  <c r="I43"/>
  <c r="S13"/>
  <c r="H41" i="63"/>
  <c r="R11"/>
  <c r="L40" i="64"/>
  <c r="O10" i="52"/>
  <c r="P10" s="1"/>
  <c r="O8"/>
  <c r="P8" s="1"/>
  <c r="P5" i="59"/>
  <c r="M46" i="64"/>
  <c r="M47" s="1"/>
  <c r="O48" i="65"/>
  <c r="E48"/>
  <c r="D43"/>
  <c r="C19"/>
  <c r="C20" s="1"/>
  <c r="C21" s="1"/>
  <c r="C22" s="1"/>
  <c r="C23" s="1"/>
  <c r="D24" s="1"/>
  <c r="N19"/>
  <c r="M19" s="1"/>
  <c r="M20" s="1"/>
  <c r="S19" i="66"/>
  <c r="J42"/>
  <c r="S42"/>
  <c r="I58" i="67"/>
  <c r="S41"/>
  <c r="S58" s="1"/>
  <c r="S55" i="49"/>
  <c r="I55"/>
  <c r="S18"/>
  <c r="G8" i="58"/>
  <c r="P8" s="1"/>
  <c r="G8" i="59"/>
  <c r="P8" s="1"/>
  <c r="G11"/>
  <c r="P11" s="1"/>
  <c r="D6"/>
  <c r="H58" s="1"/>
  <c r="A46"/>
  <c r="A60" s="1"/>
  <c r="C46"/>
  <c r="C60" s="1"/>
  <c r="E46"/>
  <c r="E60" s="1"/>
  <c r="G46"/>
  <c r="G60" s="1"/>
  <c r="H46"/>
  <c r="H60" s="1"/>
  <c r="H47"/>
  <c r="H61" s="1"/>
  <c r="H48"/>
  <c r="H62" s="1"/>
  <c r="A50"/>
  <c r="A64" s="1"/>
  <c r="C50"/>
  <c r="C64" s="1"/>
  <c r="E50"/>
  <c r="E64" s="1"/>
  <c r="G50"/>
  <c r="G64" s="1"/>
  <c r="H50"/>
  <c r="H64" s="1"/>
  <c r="R14" i="63"/>
  <c r="Q14" s="1"/>
  <c r="Q15" s="1"/>
  <c r="Q16" s="1"/>
  <c r="Q17" s="1"/>
  <c r="D13"/>
  <c r="D22" s="1"/>
  <c r="Q11" s="1"/>
  <c r="G11" s="1"/>
  <c r="G44"/>
  <c r="G45" s="1"/>
  <c r="G46" s="1"/>
  <c r="G47" s="1"/>
  <c r="G48" s="1"/>
  <c r="S48"/>
  <c r="H45"/>
  <c r="R45" s="1"/>
  <c r="Q45" s="1"/>
  <c r="Q46" s="1"/>
  <c r="Q47" s="1"/>
  <c r="Q48" s="1"/>
  <c r="S44"/>
  <c r="C43" i="64"/>
  <c r="C44" s="1"/>
  <c r="C45" s="1"/>
  <c r="C46" s="1"/>
  <c r="C47" s="1"/>
  <c r="P16" i="65"/>
  <c r="F19"/>
  <c r="G19" s="1"/>
  <c r="H19" s="1"/>
  <c r="B9"/>
  <c r="Q18" i="66"/>
  <c r="Q11"/>
  <c r="G11" s="1"/>
  <c r="I27" i="67"/>
  <c r="S11"/>
  <c r="S27" s="1"/>
  <c r="C58" i="57"/>
  <c r="B9" i="58"/>
  <c r="D9" s="1"/>
  <c r="C5" i="57"/>
  <c r="H47" i="49"/>
  <c r="R11"/>
  <c r="L7" i="59"/>
  <c r="O7" s="1"/>
  <c r="P7" s="1"/>
  <c r="F10"/>
  <c r="G10" s="1"/>
  <c r="A43"/>
  <c r="A57" s="1"/>
  <c r="C43"/>
  <c r="C57" s="1"/>
  <c r="E43"/>
  <c r="E57" s="1"/>
  <c r="G43"/>
  <c r="G57" s="1"/>
  <c r="B45"/>
  <c r="B59" s="1"/>
  <c r="D45"/>
  <c r="D59" s="1"/>
  <c r="A47"/>
  <c r="A61" s="1"/>
  <c r="C47"/>
  <c r="C61" s="1"/>
  <c r="E47"/>
  <c r="E61" s="1"/>
  <c r="A48"/>
  <c r="A62" s="1"/>
  <c r="C48"/>
  <c r="C62" s="1"/>
  <c r="E48"/>
  <c r="E62" s="1"/>
  <c r="A49"/>
  <c r="A63" s="1"/>
  <c r="C49"/>
  <c r="C63" s="1"/>
  <c r="E49"/>
  <c r="E63" s="1"/>
  <c r="D10" i="63"/>
  <c r="S18"/>
  <c r="S17"/>
  <c r="S13"/>
  <c r="O22" i="65"/>
  <c r="Q38" i="66"/>
  <c r="Q39" s="1"/>
  <c r="Q40" s="1"/>
  <c r="Q41" s="1"/>
  <c r="H38"/>
  <c r="H39" s="1"/>
  <c r="H40" s="1"/>
  <c r="H41" s="1"/>
  <c r="D47" i="65"/>
  <c r="N47" s="1"/>
  <c r="N23"/>
  <c r="M16"/>
  <c r="D33" i="66"/>
  <c r="F12" i="59"/>
  <c r="G12" s="1"/>
  <c r="B46"/>
  <c r="B60" s="1"/>
  <c r="D46"/>
  <c r="D60" s="1"/>
  <c r="B50"/>
  <c r="B64" s="1"/>
  <c r="D50"/>
  <c r="D64" s="1"/>
  <c r="F22" i="65"/>
  <c r="G22" s="1"/>
  <c r="C16" i="64"/>
  <c r="D45" i="65"/>
  <c r="N45" s="1"/>
  <c r="N21"/>
  <c r="S11" i="66"/>
  <c r="S28" s="1"/>
  <c r="I28"/>
  <c r="D14" i="67"/>
  <c r="D32"/>
  <c r="B10" i="58"/>
  <c r="C59" i="57"/>
  <c r="R34" i="66"/>
  <c r="H11"/>
  <c r="D10" i="67"/>
  <c r="D11"/>
  <c r="H11" s="1"/>
  <c r="I11" i="49"/>
  <c r="I47"/>
  <c r="C21" i="64"/>
  <c r="C22" s="1"/>
  <c r="B10" i="33" l="1"/>
  <c r="D10" s="1"/>
  <c r="E15" i="25"/>
  <c r="G32" i="34"/>
  <c r="E7" i="52"/>
  <c r="F7" s="1"/>
  <c r="G7" s="1"/>
  <c r="B8"/>
  <c r="G50" i="49"/>
  <c r="G51" s="1"/>
  <c r="G52" s="1"/>
  <c r="G53" s="1"/>
  <c r="G54" s="1"/>
  <c r="R50"/>
  <c r="Q50" s="1"/>
  <c r="Q51" s="1"/>
  <c r="Q52" s="1"/>
  <c r="Q53" s="1"/>
  <c r="Q54" s="1"/>
  <c r="J39" i="48"/>
  <c r="Q11"/>
  <c r="G11" s="1"/>
  <c r="D58" i="59"/>
  <c r="CI6" i="20"/>
  <c r="BO6"/>
  <c r="BV42"/>
  <c r="BV6" s="1"/>
  <c r="B22" i="33" s="1"/>
  <c r="BU6" i="20"/>
  <c r="J11" i="63"/>
  <c r="H41" i="67"/>
  <c r="R11"/>
  <c r="R11" i="48"/>
  <c r="J11"/>
  <c r="S11" i="49"/>
  <c r="S27" s="1"/>
  <c r="I27"/>
  <c r="J11"/>
  <c r="T34" i="66"/>
  <c r="D18" i="67"/>
  <c r="D31" s="1"/>
  <c r="G31" i="34"/>
  <c r="I31"/>
  <c r="J47" i="49"/>
  <c r="R47"/>
  <c r="B29" i="65"/>
  <c r="B11"/>
  <c r="P19"/>
  <c r="Q19" s="1"/>
  <c r="R19" s="1"/>
  <c r="P24"/>
  <c r="Q24" s="1"/>
  <c r="P20"/>
  <c r="Q20" s="1"/>
  <c r="G58" i="59"/>
  <c r="E58"/>
  <c r="C58"/>
  <c r="A58"/>
  <c r="G6"/>
  <c r="P6" s="1"/>
  <c r="S11" i="50"/>
  <c r="S27" s="1"/>
  <c r="I27"/>
  <c r="M35" i="55"/>
  <c r="F38"/>
  <c r="M38" s="1"/>
  <c r="M43" s="1"/>
  <c r="M33" i="48"/>
  <c r="M21" i="65"/>
  <c r="M22" s="1"/>
  <c r="M23" s="1"/>
  <c r="P23" s="1"/>
  <c r="Q23" s="1"/>
  <c r="F20"/>
  <c r="G20" s="1"/>
  <c r="B58" i="59"/>
  <c r="F58"/>
  <c r="C23" i="64"/>
  <c r="F22"/>
  <c r="G22" s="1"/>
  <c r="D5" i="57"/>
  <c r="D31" i="50"/>
  <c r="AC35"/>
  <c r="D13"/>
  <c r="T5"/>
  <c r="S47" i="49"/>
  <c r="S64" s="1"/>
  <c r="I64"/>
  <c r="J57"/>
  <c r="R11" i="66"/>
  <c r="J11"/>
  <c r="F16" i="64"/>
  <c r="C40"/>
  <c r="M40" s="1"/>
  <c r="P40" s="1"/>
  <c r="T11" i="49"/>
  <c r="D58" i="57"/>
  <c r="B40" i="64"/>
  <c r="J41" i="63"/>
  <c r="R41"/>
  <c r="E25" i="51"/>
  <c r="F25" s="1"/>
  <c r="B26"/>
  <c r="E8"/>
  <c r="F8" s="1"/>
  <c r="G8" s="1"/>
  <c r="B9"/>
  <c r="B31" i="52"/>
  <c r="E30"/>
  <c r="F30" s="1"/>
  <c r="F23" i="65"/>
  <c r="G23" s="1"/>
  <c r="D32" i="48"/>
  <c r="D59" i="57"/>
  <c r="G59"/>
  <c r="G41" i="56"/>
  <c r="I41"/>
  <c r="T11" i="63"/>
  <c r="D10" i="58"/>
  <c r="G10"/>
  <c r="G40" i="56"/>
  <c r="I40"/>
  <c r="J40"/>
  <c r="C43" i="65"/>
  <c r="C44" s="1"/>
  <c r="C45" s="1"/>
  <c r="C46" s="1"/>
  <c r="C47" s="1"/>
  <c r="N43"/>
  <c r="M43" s="1"/>
  <c r="M44" s="1"/>
  <c r="M45" s="1"/>
  <c r="M46" s="1"/>
  <c r="M47" s="1"/>
  <c r="O12" i="52"/>
  <c r="P12" s="1"/>
  <c r="M12"/>
  <c r="O11"/>
  <c r="P11" s="1"/>
  <c r="K42" i="66"/>
  <c r="L42" s="1"/>
  <c r="I42"/>
  <c r="K37"/>
  <c r="L37" s="1"/>
  <c r="M37" s="1"/>
  <c r="K38"/>
  <c r="L38" s="1"/>
  <c r="K39"/>
  <c r="L39" s="1"/>
  <c r="K40"/>
  <c r="L40" s="1"/>
  <c r="K41"/>
  <c r="L41" s="1"/>
  <c r="H20" i="65"/>
  <c r="F24"/>
  <c r="G24" s="1"/>
  <c r="F21"/>
  <c r="G21" s="1"/>
  <c r="I32" i="34"/>
  <c r="Q8" i="52"/>
  <c r="Q9" s="1"/>
  <c r="Q10" s="1"/>
  <c r="Q11" s="1"/>
  <c r="F10" i="33" l="1"/>
  <c r="L10"/>
  <c r="J10"/>
  <c r="B9" i="52"/>
  <c r="E8"/>
  <c r="F8" s="1"/>
  <c r="G8" s="1"/>
  <c r="D22" i="50"/>
  <c r="Q11" s="1"/>
  <c r="G11" s="1"/>
  <c r="P22" i="65"/>
  <c r="Q22" s="1"/>
  <c r="P21"/>
  <c r="Q21" s="1"/>
  <c r="M38" i="66"/>
  <c r="M39" s="1"/>
  <c r="M40" s="1"/>
  <c r="M41" s="1"/>
  <c r="M42" s="1"/>
  <c r="O43" s="1"/>
  <c r="O44" s="1"/>
  <c r="D22" i="67"/>
  <c r="Q11" s="1"/>
  <c r="G11" s="1"/>
  <c r="CD3" i="20"/>
  <c r="B13" i="33"/>
  <c r="D13" s="1"/>
  <c r="B23"/>
  <c r="CD1" i="20"/>
  <c r="P46" i="64"/>
  <c r="Q46" s="1"/>
  <c r="P43"/>
  <c r="Q43" s="1"/>
  <c r="R43" s="1"/>
  <c r="P47"/>
  <c r="Q47" s="1"/>
  <c r="P48"/>
  <c r="Q48" s="1"/>
  <c r="P44"/>
  <c r="Q44" s="1"/>
  <c r="P45"/>
  <c r="Q45" s="1"/>
  <c r="G61" i="58"/>
  <c r="E61"/>
  <c r="C61"/>
  <c r="A61"/>
  <c r="H61"/>
  <c r="F61"/>
  <c r="D61"/>
  <c r="B61"/>
  <c r="E9" i="51"/>
  <c r="F9" s="1"/>
  <c r="B10"/>
  <c r="T41" i="63"/>
  <c r="F19" i="64"/>
  <c r="G19" s="1"/>
  <c r="H19" s="1"/>
  <c r="F21"/>
  <c r="G21" s="1"/>
  <c r="F23"/>
  <c r="G23" s="1"/>
  <c r="F24"/>
  <c r="G24" s="1"/>
  <c r="F20"/>
  <c r="G20" s="1"/>
  <c r="D24"/>
  <c r="M35" i="48"/>
  <c r="N35" s="1"/>
  <c r="O35" s="1"/>
  <c r="M37"/>
  <c r="N37" s="1"/>
  <c r="M39"/>
  <c r="N39" s="1"/>
  <c r="M40"/>
  <c r="N40" s="1"/>
  <c r="M36"/>
  <c r="N36" s="1"/>
  <c r="M38"/>
  <c r="N38" s="1"/>
  <c r="K40"/>
  <c r="T47" i="49"/>
  <c r="T38" i="66"/>
  <c r="U38" s="1"/>
  <c r="T40"/>
  <c r="U40" s="1"/>
  <c r="T37"/>
  <c r="U37" s="1"/>
  <c r="V37" s="1"/>
  <c r="T41"/>
  <c r="U41" s="1"/>
  <c r="T39"/>
  <c r="U39" s="1"/>
  <c r="T42"/>
  <c r="U42" s="1"/>
  <c r="R42"/>
  <c r="J13" i="48"/>
  <c r="K13" s="1"/>
  <c r="L13" s="1"/>
  <c r="J14"/>
  <c r="K14" s="1"/>
  <c r="J15"/>
  <c r="K15" s="1"/>
  <c r="J16"/>
  <c r="K16" s="1"/>
  <c r="J17"/>
  <c r="K17" s="1"/>
  <c r="H18"/>
  <c r="J18"/>
  <c r="K18" s="1"/>
  <c r="J13" i="63"/>
  <c r="K13" s="1"/>
  <c r="L13" s="1"/>
  <c r="J14"/>
  <c r="K14" s="1"/>
  <c r="J15"/>
  <c r="K15" s="1"/>
  <c r="J16"/>
  <c r="K16" s="1"/>
  <c r="J17"/>
  <c r="K17" s="1"/>
  <c r="H18"/>
  <c r="J18"/>
  <c r="K18" s="1"/>
  <c r="R20" i="65"/>
  <c r="R21" s="1"/>
  <c r="R22" s="1"/>
  <c r="R23" s="1"/>
  <c r="R24" s="1"/>
  <c r="T25" s="1"/>
  <c r="T26" s="1"/>
  <c r="J11" i="67"/>
  <c r="T14" i="49"/>
  <c r="U14" s="1"/>
  <c r="T16"/>
  <c r="U16" s="1"/>
  <c r="T13"/>
  <c r="U13" s="1"/>
  <c r="V13" s="1"/>
  <c r="T17"/>
  <c r="U17" s="1"/>
  <c r="T15"/>
  <c r="U15" s="1"/>
  <c r="T18"/>
  <c r="U18" s="1"/>
  <c r="R18"/>
  <c r="J13"/>
  <c r="K13" s="1"/>
  <c r="L13" s="1"/>
  <c r="J14"/>
  <c r="K14" s="1"/>
  <c r="J15"/>
  <c r="K15" s="1"/>
  <c r="J16"/>
  <c r="K16" s="1"/>
  <c r="J17"/>
  <c r="K17" s="1"/>
  <c r="H18"/>
  <c r="J18"/>
  <c r="K18" s="1"/>
  <c r="B32" i="52"/>
  <c r="E31"/>
  <c r="F31" s="1"/>
  <c r="F40" i="64"/>
  <c r="T11" i="66"/>
  <c r="T6" i="50"/>
  <c r="L4" s="1"/>
  <c r="D32"/>
  <c r="D33" s="1"/>
  <c r="AC34"/>
  <c r="L40" i="65"/>
  <c r="Q12" i="52"/>
  <c r="S13" s="1"/>
  <c r="S14" s="1"/>
  <c r="N19" s="1"/>
  <c r="H21" i="65"/>
  <c r="H22" s="1"/>
  <c r="H23" s="1"/>
  <c r="H24" s="1"/>
  <c r="J25" s="1"/>
  <c r="N24"/>
  <c r="T14" i="63"/>
  <c r="U14" s="1"/>
  <c r="T16"/>
  <c r="U16" s="1"/>
  <c r="R18"/>
  <c r="T13"/>
  <c r="U13" s="1"/>
  <c r="V13" s="1"/>
  <c r="V14" s="1"/>
  <c r="V15" s="1"/>
  <c r="T15"/>
  <c r="U15" s="1"/>
  <c r="T17"/>
  <c r="U17" s="1"/>
  <c r="T18"/>
  <c r="U18" s="1"/>
  <c r="E26" i="51"/>
  <c r="F26" s="1"/>
  <c r="B27"/>
  <c r="J46" i="63"/>
  <c r="K46" s="1"/>
  <c r="J45"/>
  <c r="K45" s="1"/>
  <c r="J44"/>
  <c r="K44" s="1"/>
  <c r="L44" s="1"/>
  <c r="J48"/>
  <c r="K48" s="1"/>
  <c r="J49"/>
  <c r="K49" s="1"/>
  <c r="E51"/>
  <c r="H49"/>
  <c r="J47"/>
  <c r="K47" s="1"/>
  <c r="J14" i="66"/>
  <c r="K14" s="1"/>
  <c r="L14" s="1"/>
  <c r="J15"/>
  <c r="K15" s="1"/>
  <c r="J16"/>
  <c r="K16" s="1"/>
  <c r="J17"/>
  <c r="K17" s="1"/>
  <c r="J18"/>
  <c r="K18" s="1"/>
  <c r="H19"/>
  <c r="J19"/>
  <c r="K19" s="1"/>
  <c r="J55" i="49"/>
  <c r="K55" s="1"/>
  <c r="J50"/>
  <c r="K50" s="1"/>
  <c r="L50" s="1"/>
  <c r="J51"/>
  <c r="K51" s="1"/>
  <c r="J52"/>
  <c r="K52" s="1"/>
  <c r="J53"/>
  <c r="K53" s="1"/>
  <c r="J54"/>
  <c r="K54" s="1"/>
  <c r="H55"/>
  <c r="D33" i="67"/>
  <c r="T11" i="48"/>
  <c r="J41" i="67"/>
  <c r="R41"/>
  <c r="G9" i="51"/>
  <c r="B10" i="52" l="1"/>
  <c r="E9"/>
  <c r="F9" s="1"/>
  <c r="L45" i="63"/>
  <c r="L46" s="1"/>
  <c r="L47" s="1"/>
  <c r="L48" s="1"/>
  <c r="L49" s="1"/>
  <c r="N50" s="1"/>
  <c r="V16"/>
  <c r="V17" s="1"/>
  <c r="V18" s="1"/>
  <c r="X19" s="1"/>
  <c r="G9" i="52"/>
  <c r="L15" i="66"/>
  <c r="L14" i="63"/>
  <c r="T11" i="67"/>
  <c r="L51" i="49"/>
  <c r="L52" s="1"/>
  <c r="L53" s="1"/>
  <c r="L54" s="1"/>
  <c r="L55" s="1"/>
  <c r="N56" s="1"/>
  <c r="N57" s="1"/>
  <c r="E62" i="57" s="1"/>
  <c r="F62" s="1"/>
  <c r="F13" i="33"/>
  <c r="J13"/>
  <c r="L13"/>
  <c r="T13" i="48"/>
  <c r="U13" s="1"/>
  <c r="V13" s="1"/>
  <c r="T14"/>
  <c r="U14" s="1"/>
  <c r="T15"/>
  <c r="U15" s="1"/>
  <c r="T16"/>
  <c r="U16" s="1"/>
  <c r="T17"/>
  <c r="U17" s="1"/>
  <c r="R18"/>
  <c r="T18"/>
  <c r="U18" s="1"/>
  <c r="E27" i="51"/>
  <c r="F27" s="1"/>
  <c r="B28"/>
  <c r="H20" i="64"/>
  <c r="H21" s="1"/>
  <c r="R44"/>
  <c r="R45" s="1"/>
  <c r="R46" s="1"/>
  <c r="R47" s="1"/>
  <c r="R48" s="1"/>
  <c r="T49" s="1"/>
  <c r="E7" i="58"/>
  <c r="G51" i="63"/>
  <c r="N51"/>
  <c r="I56" s="1"/>
  <c r="F45" i="64"/>
  <c r="G45" s="1"/>
  <c r="F46"/>
  <c r="G46" s="1"/>
  <c r="F44"/>
  <c r="G44" s="1"/>
  <c r="F43"/>
  <c r="G43" s="1"/>
  <c r="H43" s="1"/>
  <c r="H44" s="1"/>
  <c r="H45" s="1"/>
  <c r="F47"/>
  <c r="G47" s="1"/>
  <c r="F48"/>
  <c r="G48" s="1"/>
  <c r="D48"/>
  <c r="N48" s="1"/>
  <c r="T41" i="67"/>
  <c r="B53" i="65"/>
  <c r="J26"/>
  <c r="J10" s="1"/>
  <c r="T14" i="66"/>
  <c r="U14" s="1"/>
  <c r="V14" s="1"/>
  <c r="T16"/>
  <c r="U16" s="1"/>
  <c r="T18"/>
  <c r="U18" s="1"/>
  <c r="T19"/>
  <c r="U19" s="1"/>
  <c r="T17"/>
  <c r="U17" s="1"/>
  <c r="R19"/>
  <c r="T15"/>
  <c r="U15" s="1"/>
  <c r="B33" i="52"/>
  <c r="E32"/>
  <c r="F32" s="1"/>
  <c r="E5" i="58"/>
  <c r="E60" i="57"/>
  <c r="F60" s="1"/>
  <c r="G60" s="1"/>
  <c r="E7"/>
  <c r="F7" s="1"/>
  <c r="G7" s="1"/>
  <c r="T50" i="49"/>
  <c r="U50" s="1"/>
  <c r="V50" s="1"/>
  <c r="T52"/>
  <c r="U52" s="1"/>
  <c r="T54"/>
  <c r="U54" s="1"/>
  <c r="T55"/>
  <c r="U55" s="1"/>
  <c r="T53"/>
  <c r="U53" s="1"/>
  <c r="T51"/>
  <c r="U51" s="1"/>
  <c r="R55"/>
  <c r="E10" i="51"/>
  <c r="F10" s="1"/>
  <c r="B11"/>
  <c r="L16" i="66"/>
  <c r="L17" s="1"/>
  <c r="L18" s="1"/>
  <c r="L19" s="1"/>
  <c r="N20" s="1"/>
  <c r="N21" s="1"/>
  <c r="I26" s="1"/>
  <c r="V14" i="49"/>
  <c r="V15" s="1"/>
  <c r="V16" s="1"/>
  <c r="V17" s="1"/>
  <c r="V18" s="1"/>
  <c r="X19" s="1"/>
  <c r="L15" i="63"/>
  <c r="L16" s="1"/>
  <c r="L17" s="1"/>
  <c r="L18" s="1"/>
  <c r="N19" s="1"/>
  <c r="N20" s="1"/>
  <c r="I25" s="1"/>
  <c r="V38" i="66"/>
  <c r="V39" s="1"/>
  <c r="V40" s="1"/>
  <c r="V41" s="1"/>
  <c r="V42" s="1"/>
  <c r="X43" s="1"/>
  <c r="X44" s="1"/>
  <c r="X20" i="63"/>
  <c r="S25" s="1"/>
  <c r="AC40" i="50"/>
  <c r="AC41" s="1"/>
  <c r="D11"/>
  <c r="H11" s="1"/>
  <c r="AC36"/>
  <c r="J49" i="67"/>
  <c r="K49" s="1"/>
  <c r="J44"/>
  <c r="K44" s="1"/>
  <c r="L44" s="1"/>
  <c r="J45"/>
  <c r="K45" s="1"/>
  <c r="J46"/>
  <c r="K46" s="1"/>
  <c r="J47"/>
  <c r="K47" s="1"/>
  <c r="J48"/>
  <c r="K48" s="1"/>
  <c r="H49"/>
  <c r="P40" i="65"/>
  <c r="B40"/>
  <c r="J13" i="67"/>
  <c r="K13" s="1"/>
  <c r="L13" s="1"/>
  <c r="J14"/>
  <c r="K14" s="1"/>
  <c r="J15"/>
  <c r="K15" s="1"/>
  <c r="J16"/>
  <c r="K16" s="1"/>
  <c r="J17"/>
  <c r="K17" s="1"/>
  <c r="H18"/>
  <c r="J18"/>
  <c r="K18" s="1"/>
  <c r="T45" i="63"/>
  <c r="U45" s="1"/>
  <c r="T49"/>
  <c r="U49" s="1"/>
  <c r="T44"/>
  <c r="U44" s="1"/>
  <c r="V44" s="1"/>
  <c r="T48"/>
  <c r="U48" s="1"/>
  <c r="T47"/>
  <c r="U47" s="1"/>
  <c r="T46"/>
  <c r="U46" s="1"/>
  <c r="R49"/>
  <c r="T13" i="67"/>
  <c r="U13" s="1"/>
  <c r="V13" s="1"/>
  <c r="T15"/>
  <c r="U15" s="1"/>
  <c r="T17"/>
  <c r="U17" s="1"/>
  <c r="T18"/>
  <c r="U18" s="1"/>
  <c r="T14"/>
  <c r="U14" s="1"/>
  <c r="T16"/>
  <c r="U16" s="1"/>
  <c r="R18"/>
  <c r="G10" i="51"/>
  <c r="I51" i="63"/>
  <c r="L14" i="49"/>
  <c r="L15" s="1"/>
  <c r="L16" s="1"/>
  <c r="L17" s="1"/>
  <c r="L18" s="1"/>
  <c r="N19" s="1"/>
  <c r="N20" s="1"/>
  <c r="I25" s="1"/>
  <c r="L14" i="48"/>
  <c r="L15" s="1"/>
  <c r="L16" s="1"/>
  <c r="L17" s="1"/>
  <c r="L18" s="1"/>
  <c r="N19" s="1"/>
  <c r="N20" s="1"/>
  <c r="I25" s="1"/>
  <c r="O36"/>
  <c r="O37" s="1"/>
  <c r="O38" s="1"/>
  <c r="O39" s="1"/>
  <c r="O40" s="1"/>
  <c r="Q41" s="1"/>
  <c r="Q42" s="1"/>
  <c r="H53" s="1"/>
  <c r="E10" i="52" l="1"/>
  <c r="F10" s="1"/>
  <c r="G10" s="1"/>
  <c r="B11"/>
  <c r="H57" i="49"/>
  <c r="E9" i="57"/>
  <c r="F9" s="1"/>
  <c r="L45" i="67"/>
  <c r="H35" i="49"/>
  <c r="V45" i="63"/>
  <c r="V46" s="1"/>
  <c r="V47" s="1"/>
  <c r="V48" s="1"/>
  <c r="V49" s="1"/>
  <c r="X50" s="1"/>
  <c r="X51" s="1"/>
  <c r="S56" s="1"/>
  <c r="I62" i="49"/>
  <c r="V51"/>
  <c r="V52" s="1"/>
  <c r="V14" i="48"/>
  <c r="V15" s="1"/>
  <c r="V16" s="1"/>
  <c r="V17" s="1"/>
  <c r="V18" s="1"/>
  <c r="X19" s="1"/>
  <c r="X20" s="1"/>
  <c r="S25" s="1"/>
  <c r="E29" i="51"/>
  <c r="F29" s="1"/>
  <c r="E28"/>
  <c r="F28" s="1"/>
  <c r="C29"/>
  <c r="F40" i="65"/>
  <c r="B34" i="52"/>
  <c r="E33"/>
  <c r="F33" s="1"/>
  <c r="V14" i="67"/>
  <c r="V15" s="1"/>
  <c r="V16" s="1"/>
  <c r="V17" s="1"/>
  <c r="V18" s="1"/>
  <c r="X19" s="1"/>
  <c r="R11" i="50"/>
  <c r="H40"/>
  <c r="J11"/>
  <c r="E11" i="51"/>
  <c r="F11" s="1"/>
  <c r="E12"/>
  <c r="F12" s="1"/>
  <c r="C12"/>
  <c r="T45" i="67"/>
  <c r="U45" s="1"/>
  <c r="T47"/>
  <c r="U47" s="1"/>
  <c r="R49"/>
  <c r="T44"/>
  <c r="U44" s="1"/>
  <c r="V44" s="1"/>
  <c r="V45" s="1"/>
  <c r="V46" s="1"/>
  <c r="V47" s="1"/>
  <c r="V48" s="1"/>
  <c r="T46"/>
  <c r="U46" s="1"/>
  <c r="T48"/>
  <c r="U48" s="1"/>
  <c r="T49"/>
  <c r="U49" s="1"/>
  <c r="H46" i="64"/>
  <c r="H47"/>
  <c r="H48" s="1"/>
  <c r="J49" s="1"/>
  <c r="F45" i="58"/>
  <c r="D45"/>
  <c r="B45"/>
  <c r="F7"/>
  <c r="N7" s="1"/>
  <c r="H45"/>
  <c r="G45"/>
  <c r="E45"/>
  <c r="C45"/>
  <c r="A45"/>
  <c r="H23" i="64"/>
  <c r="H24" s="1"/>
  <c r="J25" s="1"/>
  <c r="H22"/>
  <c r="G11" i="51"/>
  <c r="L46" i="67"/>
  <c r="L47" s="1"/>
  <c r="L48" s="1"/>
  <c r="L49" s="1"/>
  <c r="N50" s="1"/>
  <c r="N51" s="1"/>
  <c r="V53" i="49"/>
  <c r="V54" s="1"/>
  <c r="V55" s="1"/>
  <c r="X56" s="1"/>
  <c r="X57" s="1"/>
  <c r="S62" s="1"/>
  <c r="V15" i="66"/>
  <c r="V16" s="1"/>
  <c r="V17" s="1"/>
  <c r="V18" s="1"/>
  <c r="V19" s="1"/>
  <c r="X20" s="1"/>
  <c r="P46" i="65"/>
  <c r="Q46" s="1"/>
  <c r="P44"/>
  <c r="Q44" s="1"/>
  <c r="P48"/>
  <c r="Q48" s="1"/>
  <c r="P43"/>
  <c r="Q43" s="1"/>
  <c r="R43" s="1"/>
  <c r="R44" s="1"/>
  <c r="R45" s="1"/>
  <c r="R46" s="1"/>
  <c r="P45"/>
  <c r="Q45" s="1"/>
  <c r="N48"/>
  <c r="P47"/>
  <c r="Q47" s="1"/>
  <c r="X20" i="49"/>
  <c r="S25" s="1"/>
  <c r="H43" i="58"/>
  <c r="G43"/>
  <c r="E43"/>
  <c r="C43"/>
  <c r="A43"/>
  <c r="F43"/>
  <c r="D43"/>
  <c r="B43"/>
  <c r="F5"/>
  <c r="N5" s="1"/>
  <c r="B54" i="64"/>
  <c r="T50"/>
  <c r="L14" i="67"/>
  <c r="L15" s="1"/>
  <c r="L16" s="1"/>
  <c r="L17" s="1"/>
  <c r="L18" s="1"/>
  <c r="N19" s="1"/>
  <c r="N20" s="1"/>
  <c r="I25" s="1"/>
  <c r="E11" i="52" l="1"/>
  <c r="F11" s="1"/>
  <c r="G11" s="1"/>
  <c r="G12" s="1"/>
  <c r="I13" s="1"/>
  <c r="I14" s="1"/>
  <c r="D19" s="1"/>
  <c r="E12"/>
  <c r="F12" s="1"/>
  <c r="C12"/>
  <c r="D34" i="63"/>
  <c r="D35" s="1"/>
  <c r="N1" i="48"/>
  <c r="N2"/>
  <c r="D33" s="1"/>
  <c r="D34" s="1"/>
  <c r="N2" i="66"/>
  <c r="D34" s="1"/>
  <c r="N1"/>
  <c r="X21"/>
  <c r="S26" s="1"/>
  <c r="C35" i="52"/>
  <c r="E35"/>
  <c r="F35" s="1"/>
  <c r="E34"/>
  <c r="F34" s="1"/>
  <c r="V49" i="67"/>
  <c r="X50" s="1"/>
  <c r="X51" s="1"/>
  <c r="S56" s="1"/>
  <c r="B53" i="64"/>
  <c r="J26"/>
  <c r="J8" s="1"/>
  <c r="R40" i="50"/>
  <c r="J40"/>
  <c r="C54" i="64"/>
  <c r="J50"/>
  <c r="J13" i="50"/>
  <c r="K13" s="1"/>
  <c r="L13" s="1"/>
  <c r="L14" s="1"/>
  <c r="J14"/>
  <c r="K14" s="1"/>
  <c r="J15"/>
  <c r="K15" s="1"/>
  <c r="J16"/>
  <c r="K16" s="1"/>
  <c r="J17"/>
  <c r="K17" s="1"/>
  <c r="J18"/>
  <c r="K18" s="1"/>
  <c r="H18"/>
  <c r="B55" i="64"/>
  <c r="B30" s="1"/>
  <c r="B31" s="1"/>
  <c r="J3" s="1"/>
  <c r="J6" s="1"/>
  <c r="D34" i="49"/>
  <c r="R47" i="65"/>
  <c r="R48" s="1"/>
  <c r="T49" s="1"/>
  <c r="G12" i="51"/>
  <c r="I13" s="1"/>
  <c r="I14" s="1"/>
  <c r="D19" s="1"/>
  <c r="F44" i="65"/>
  <c r="G44" s="1"/>
  <c r="D48"/>
  <c r="F46"/>
  <c r="G46" s="1"/>
  <c r="F43"/>
  <c r="G43" s="1"/>
  <c r="H43" s="1"/>
  <c r="F47"/>
  <c r="G47" s="1"/>
  <c r="F48"/>
  <c r="G48" s="1"/>
  <c r="F45"/>
  <c r="G45" s="1"/>
  <c r="E35" i="63"/>
  <c r="E6" i="58"/>
  <c r="I56" i="67"/>
  <c r="E8" i="57"/>
  <c r="F8" s="1"/>
  <c r="E61"/>
  <c r="F61" s="1"/>
  <c r="T11" i="50"/>
  <c r="D34" i="67"/>
  <c r="X20"/>
  <c r="S25" s="1"/>
  <c r="E32" i="48" l="1"/>
  <c r="F32" s="1"/>
  <c r="E34"/>
  <c r="B54" i="65"/>
  <c r="B55" s="1"/>
  <c r="B30" s="1"/>
  <c r="B31" s="1"/>
  <c r="J3" s="1"/>
  <c r="J7" s="1"/>
  <c r="T50"/>
  <c r="T16" i="50"/>
  <c r="U16" s="1"/>
  <c r="T18"/>
  <c r="U18" s="1"/>
  <c r="R18"/>
  <c r="T17"/>
  <c r="U17" s="1"/>
  <c r="T13"/>
  <c r="U13" s="1"/>
  <c r="V13" s="1"/>
  <c r="T15"/>
  <c r="U15" s="1"/>
  <c r="T14"/>
  <c r="U14" s="1"/>
  <c r="F44" i="58"/>
  <c r="D44"/>
  <c r="B44"/>
  <c r="H44"/>
  <c r="G44"/>
  <c r="E44"/>
  <c r="C44"/>
  <c r="A44"/>
  <c r="F6"/>
  <c r="N6" s="1"/>
  <c r="J46" i="50"/>
  <c r="K46" s="1"/>
  <c r="J44"/>
  <c r="K44" s="1"/>
  <c r="J47"/>
  <c r="K47" s="1"/>
  <c r="J45"/>
  <c r="K45" s="1"/>
  <c r="J43"/>
  <c r="K43" s="1"/>
  <c r="L43" s="1"/>
  <c r="J48"/>
  <c r="K48" s="1"/>
  <c r="H48"/>
  <c r="E33" i="66"/>
  <c r="F33" s="1"/>
  <c r="E35"/>
  <c r="D35"/>
  <c r="L15" i="50"/>
  <c r="L16" s="1"/>
  <c r="L17" s="1"/>
  <c r="L18" s="1"/>
  <c r="N19" s="1"/>
  <c r="N20" s="1"/>
  <c r="I25" s="1"/>
  <c r="E58" i="57"/>
  <c r="F58" s="1"/>
  <c r="G58" s="1"/>
  <c r="F102" s="1"/>
  <c r="C102" s="1"/>
  <c r="E5"/>
  <c r="F5" s="1"/>
  <c r="G5" s="1"/>
  <c r="F41" s="1"/>
  <c r="E41" s="1"/>
  <c r="E9" i="58"/>
  <c r="H55" i="48"/>
  <c r="H60" s="1"/>
  <c r="D43"/>
  <c r="E33" i="67"/>
  <c r="F33" s="1"/>
  <c r="D35"/>
  <c r="E35"/>
  <c r="D35" i="49"/>
  <c r="E35"/>
  <c r="T40" i="50"/>
  <c r="H44" i="65"/>
  <c r="H45" s="1"/>
  <c r="H46" s="1"/>
  <c r="H47" s="1"/>
  <c r="H48" s="1"/>
  <c r="J49" s="1"/>
  <c r="B7" i="58" l="1"/>
  <c r="C62" i="57"/>
  <c r="C9"/>
  <c r="T45" i="50"/>
  <c r="U45" s="1"/>
  <c r="R48"/>
  <c r="T43"/>
  <c r="U43" s="1"/>
  <c r="V43" s="1"/>
  <c r="V44" s="1"/>
  <c r="V45" s="1"/>
  <c r="T47"/>
  <c r="U47" s="1"/>
  <c r="T44"/>
  <c r="U44" s="1"/>
  <c r="T48"/>
  <c r="U48" s="1"/>
  <c r="T46"/>
  <c r="U46" s="1"/>
  <c r="H47" i="58"/>
  <c r="H60" s="1"/>
  <c r="F9"/>
  <c r="G9" s="1"/>
  <c r="G47"/>
  <c r="G60" s="1"/>
  <c r="E47"/>
  <c r="E60" s="1"/>
  <c r="C47"/>
  <c r="C60" s="1"/>
  <c r="A47"/>
  <c r="A60" s="1"/>
  <c r="F47"/>
  <c r="F60" s="1"/>
  <c r="D47"/>
  <c r="D60" s="1"/>
  <c r="B47"/>
  <c r="B60" s="1"/>
  <c r="B5"/>
  <c r="D39" i="66"/>
  <c r="L44" i="50"/>
  <c r="L45" s="1"/>
  <c r="L46" s="1"/>
  <c r="L47" s="1"/>
  <c r="L48" s="1"/>
  <c r="N49" s="1"/>
  <c r="N50" s="1"/>
  <c r="V14"/>
  <c r="V15" s="1"/>
  <c r="V16" s="1"/>
  <c r="V17" s="1"/>
  <c r="V18" s="1"/>
  <c r="X19" s="1"/>
  <c r="C54" i="65"/>
  <c r="J50"/>
  <c r="C61" i="57"/>
  <c r="C8"/>
  <c r="B6" i="58"/>
  <c r="X20" i="50" l="1"/>
  <c r="S25" s="1"/>
  <c r="D62" i="57"/>
  <c r="G62"/>
  <c r="V46" i="50"/>
  <c r="V47" s="1"/>
  <c r="V48" s="1"/>
  <c r="X49" s="1"/>
  <c r="X50" s="1"/>
  <c r="S55" s="1"/>
  <c r="D6" i="58"/>
  <c r="L6"/>
  <c r="O6" s="1"/>
  <c r="G9" i="57"/>
  <c r="D9"/>
  <c r="D61"/>
  <c r="G61"/>
  <c r="D7" i="58"/>
  <c r="L7"/>
  <c r="O7" s="1"/>
  <c r="D8" i="57"/>
  <c r="G8"/>
  <c r="AC42" i="50"/>
  <c r="I55"/>
  <c r="L5" i="58"/>
  <c r="O5" s="1"/>
  <c r="D5"/>
  <c r="G6" l="1"/>
  <c r="P6" s="1"/>
  <c r="H57"/>
  <c r="E57"/>
  <c r="B57"/>
  <c r="A57"/>
  <c r="G57"/>
  <c r="D57"/>
  <c r="C57"/>
  <c r="F57"/>
  <c r="D34" i="50"/>
  <c r="G5" i="58"/>
  <c r="P5" s="1"/>
  <c r="G56"/>
  <c r="H56"/>
  <c r="E56"/>
  <c r="C56"/>
  <c r="F56"/>
  <c r="A56"/>
  <c r="B56"/>
  <c r="D56"/>
  <c r="G7"/>
  <c r="P7" s="1"/>
  <c r="G58"/>
  <c r="B58"/>
  <c r="C58"/>
  <c r="A58"/>
  <c r="E58"/>
  <c r="D58"/>
  <c r="F58"/>
  <c r="H58"/>
  <c r="E33" i="50" l="1"/>
  <c r="F33" s="1"/>
  <c r="E35"/>
  <c r="D35"/>
</calcChain>
</file>

<file path=xl/comments1.xml><?xml version="1.0" encoding="utf-8"?>
<comments xmlns="http://schemas.openxmlformats.org/spreadsheetml/2006/main">
  <authors>
    <author>user</author>
    <author>מיכאל נוימן</author>
  </authors>
  <commentList>
    <comment ref="AW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הפרמיה לחיסכון (חישוב ידני) כפול אחוז הרכיב חלקי סך אחוז ההפרשהההפרשה</t>
        </r>
      </text>
    </comment>
    <comment ref="Q8" authorId="1">
      <text>
        <r>
          <rPr>
            <b/>
            <sz val="8"/>
            <rFont val="Tahoma"/>
            <family val="2"/>
          </rPr>
          <t>ב: מביטחה תשואה.
ש: משתתף ברווחים.
נ: פוליסת קצבה עם מקדם נייד.</t>
        </r>
      </text>
    </comment>
    <comment ref="S8" authorId="1">
      <text>
        <r>
          <rPr>
            <b/>
            <sz val="8"/>
            <rFont val="Tahoma"/>
            <family val="2"/>
          </rPr>
          <t xml:space="preserve">יעל:
עד 1990 4%
1990-2000 3%
מ 2000  2.5%
קופ"ג 2.5%
ק.פנסיה 3%
</t>
        </r>
        <r>
          <rPr>
            <sz val="8"/>
            <rFont val="Tahoma"/>
            <family val="2"/>
          </rPr>
          <t xml:space="preserve">
</t>
        </r>
      </text>
    </comment>
    <comment ref="AB8" authorId="1">
      <text>
        <r>
          <rPr>
            <b/>
            <sz val="8"/>
            <rFont val="Tahoma"/>
            <family val="2"/>
          </rPr>
          <t xml:space="preserve">אין הפקדות
מסולקת
פרמיה חודשית המשולמת
</t>
        </r>
      </text>
    </comment>
    <comment ref="AC8" authorId="1">
      <text>
        <r>
          <rPr>
            <b/>
            <sz val="8"/>
            <rFont val="Tahoma"/>
            <family val="2"/>
          </rPr>
          <t>יעל:</t>
        </r>
        <r>
          <rPr>
            <sz val="8"/>
            <rFont val="Tahoma"/>
            <family val="2"/>
          </rPr>
          <t xml:space="preserve">
עלות כל הכיסויים, גורמי פוליסה.... כל מה שלא מיועד לחסכון.
</t>
        </r>
      </text>
    </comment>
    <comment ref="AE8" authorId="1">
      <text>
        <r>
          <rPr>
            <b/>
            <sz val="8"/>
            <rFont val="Tahoma"/>
            <family val="2"/>
          </rPr>
          <t>יעל:
כל החישובים העתידיים מבוססים על חסכון חודשי המופיע כאן.</t>
        </r>
        <r>
          <rPr>
            <sz val="8"/>
            <rFont val="Tahoma"/>
            <family val="2"/>
          </rPr>
          <t xml:space="preserve">
</t>
        </r>
      </text>
    </comment>
    <comment ref="AL8" authorId="1">
      <text>
        <r>
          <rPr>
            <b/>
            <sz val="8"/>
            <rFont val="Tahoma"/>
            <family val="2"/>
          </rPr>
          <t xml:space="preserve">בפוליסות במגדל והראל הסכום נתון.
</t>
        </r>
        <r>
          <rPr>
            <sz val="8"/>
            <rFont val="Tahoma"/>
            <family val="2"/>
          </rPr>
          <t xml:space="preserve">
</t>
        </r>
      </text>
    </comment>
    <comment ref="AS8" authorId="1">
      <text>
        <r>
          <rPr>
            <sz val="8"/>
            <rFont val="Tahoma"/>
            <family val="2"/>
          </rPr>
          <t xml:space="preserve">
יעל: חובה למלא אם יש א.כ.ע.
</t>
        </r>
      </text>
    </comment>
  </commentList>
</comments>
</file>

<file path=xl/sharedStrings.xml><?xml version="1.0" encoding="utf-8"?>
<sst xmlns="http://schemas.openxmlformats.org/spreadsheetml/2006/main" count="2851" uniqueCount="1138">
  <si>
    <t>סידורי</t>
  </si>
  <si>
    <t>ת"ז</t>
  </si>
  <si>
    <t>מספר פוליסה</t>
  </si>
  <si>
    <t>נכון לתאריך</t>
  </si>
  <si>
    <t>תאריך הצטרפות</t>
  </si>
  <si>
    <t>פנסיה ישנה או חדשה</t>
  </si>
  <si>
    <t>סוג קרן פנסיה</t>
  </si>
  <si>
    <t>סוג פוליסה</t>
  </si>
  <si>
    <t>סוג תוכנית</t>
  </si>
  <si>
    <t>סטוטס</t>
  </si>
  <si>
    <t>מספר מפיץ</t>
  </si>
  <si>
    <t>תאריך עדכון סטטוס</t>
  </si>
  <si>
    <t>שם התוכנית</t>
  </si>
  <si>
    <t>שם חברה</t>
  </si>
  <si>
    <t>שכבת ההפרשה</t>
  </si>
  <si>
    <t>תאריך נכונות</t>
  </si>
  <si>
    <t>פיצויים</t>
  </si>
  <si>
    <t>סעיף 47</t>
  </si>
  <si>
    <t>שונות עובד</t>
  </si>
  <si>
    <t>השתלמות מעביד</t>
  </si>
  <si>
    <t>השתלמות עובד</t>
  </si>
  <si>
    <t>פרט</t>
  </si>
  <si>
    <t>תג' מעביד</t>
  </si>
  <si>
    <t>תג' עובד</t>
  </si>
  <si>
    <t>קוד מסלול</t>
  </si>
  <si>
    <t>אחוז ההפרשה</t>
  </si>
  <si>
    <t>שם המסלול</t>
  </si>
  <si>
    <t>תגמולים</t>
  </si>
  <si>
    <t>שונות</t>
  </si>
  <si>
    <t>מספר מעסיק</t>
  </si>
  <si>
    <t>סטטוס מעסיק</t>
  </si>
  <si>
    <t>סוג ב.פוליסה שאינו המבוטח</t>
  </si>
  <si>
    <t>מספר ב.פוליסה שאינו המבוטח</t>
  </si>
  <si>
    <t>שם ב.פוליסה שאינו המבוטח</t>
  </si>
  <si>
    <t>אובדן כושר עבודה</t>
  </si>
  <si>
    <t>שונות מעסיד</t>
  </si>
  <si>
    <t>מונה</t>
  </si>
  <si>
    <t>קוד יצרן</t>
  </si>
  <si>
    <t>סוג רשומה</t>
  </si>
  <si>
    <t>תאריך הפקדה</t>
  </si>
  <si>
    <t>אופן משיכה</t>
  </si>
  <si>
    <t>סוג הפקדה</t>
  </si>
  <si>
    <t>סוג מפקיד</t>
  </si>
  <si>
    <t>סכום ההפקדה</t>
  </si>
  <si>
    <t>חודש ושנה</t>
  </si>
  <si>
    <t>זמן פרעון</t>
  </si>
  <si>
    <t>שם משפחה</t>
  </si>
  <si>
    <t>שם פרטי</t>
  </si>
  <si>
    <t>תאריך לידה</t>
  </si>
  <si>
    <t>מין</t>
  </si>
  <si>
    <t>כתובת</t>
  </si>
  <si>
    <t>עיר</t>
  </si>
  <si>
    <t>מיקוד</t>
  </si>
  <si>
    <t>ת.ד</t>
  </si>
  <si>
    <t>ערך הנחה</t>
  </si>
  <si>
    <t>פנימי (פרנצ'יזה)</t>
  </si>
  <si>
    <t>פנימי (עיסוק)</t>
  </si>
  <si>
    <t>פנימי (קוד כיסוי)</t>
  </si>
  <si>
    <t>פנימי (סוג כיסוי)</t>
  </si>
  <si>
    <t>סוג ביטוח</t>
  </si>
  <si>
    <t>סוג הנחה</t>
  </si>
  <si>
    <t>עיסוק</t>
  </si>
  <si>
    <t>קוד מוצר</t>
  </si>
  <si>
    <t>סכום ביטוח</t>
  </si>
  <si>
    <t>סוג מבוטח</t>
  </si>
  <si>
    <t>אופן התשלום</t>
  </si>
  <si>
    <t>משלם הכיסוי</t>
  </si>
  <si>
    <t>עישון</t>
  </si>
  <si>
    <t>חיתום</t>
  </si>
  <si>
    <t>החרגה</t>
  </si>
  <si>
    <t>סוג החרגה</t>
  </si>
  <si>
    <t>תאריך תחילת כיסוי</t>
  </si>
  <si>
    <t>תאריך סיום כיסוי</t>
  </si>
  <si>
    <t>תאריך הפסקת תשלום</t>
  </si>
  <si>
    <t>אחוז מסכום ביטוח יסודי</t>
  </si>
  <si>
    <t>אחוז משכר</t>
  </si>
  <si>
    <t>תאריך חיתום</t>
  </si>
  <si>
    <t>תקופת הכשרה</t>
  </si>
  <si>
    <t>תקופת הכשרה בחודשים</t>
  </si>
  <si>
    <t>תאריך עידכון הבא של דמי הביטוח</t>
  </si>
  <si>
    <t>הנחה</t>
  </si>
  <si>
    <t>התניה להנחה</t>
  </si>
  <si>
    <t>שם הכיסוי</t>
  </si>
  <si>
    <t>פנימי</t>
  </si>
  <si>
    <t>פנימי (סוג מבוטח)</t>
  </si>
  <si>
    <t>דמי ביטוח ת</t>
  </si>
  <si>
    <t>תדירות שינוי דמי הביטוח בשנים</t>
  </si>
  <si>
    <t>שיעור ההנחה</t>
  </si>
  <si>
    <t>פנימי (סוג הנחה)</t>
  </si>
  <si>
    <t>אכ"ע כולל פרנציזה</t>
  </si>
  <si>
    <t>גובה ד.ניהול נקבע ע"פ הוצאות בפועל</t>
  </si>
  <si>
    <t>סוג הוצאה</t>
  </si>
  <si>
    <t>קוד מסלול דמי ניהול</t>
  </si>
  <si>
    <t>מאפיניי מסלול דמי ניהול</t>
  </si>
  <si>
    <t>שיעור דמי ניהול</t>
  </si>
  <si>
    <t>תאריך נכונות שיעור דמי ניהול</t>
  </si>
  <si>
    <t>האם דמי ניהול אחידים לכל מסלולי ההשקעה</t>
  </si>
  <si>
    <t>קוד מסלול ההשקעה בעל דמי הניהול הייחודיים</t>
  </si>
  <si>
    <t>אופן הפרשה</t>
  </si>
  <si>
    <t>סכום מכסימלי של דמי ניהול מהפקדה</t>
  </si>
  <si>
    <t>סך דמי ניהול למסלול</t>
  </si>
  <si>
    <t>סך דמי ניהול אחרים</t>
  </si>
  <si>
    <t>קיימת הטבה בדמי </t>
  </si>
  <si>
    <t>תאריך הצטרפות ראשון</t>
  </si>
  <si>
    <t>PerutHafkadotMetchilatShana</t>
  </si>
  <si>
    <t>PerutMivneDmeiNihul</t>
  </si>
  <si>
    <t>PerutYitraLeTkufa</t>
  </si>
  <si>
    <t>PirteiKisuiBeMutzar</t>
  </si>
  <si>
    <t>PirteiOved</t>
  </si>
  <si>
    <t>ricusPolice</t>
  </si>
  <si>
    <t>ClientList</t>
  </si>
  <si>
    <t>PerutMasluleiHashkaa</t>
  </si>
  <si>
    <t>PerutHafrashotLePolisa</t>
  </si>
  <si>
    <t>שם הטווח</t>
  </si>
  <si>
    <t>שם הגליון</t>
  </si>
  <si>
    <t>הטווח</t>
  </si>
  <si>
    <t>dataForSimulator</t>
  </si>
  <si>
    <t>$C$6:$AG$107</t>
  </si>
  <si>
    <t>perutMasluleiHashkaa</t>
  </si>
  <si>
    <t>$C$6:$X$195</t>
  </si>
  <si>
    <t>perutHafrashotLePolisa</t>
  </si>
  <si>
    <t>$C$6:$AI$150</t>
  </si>
  <si>
    <t>perutYitraLeTkufa</t>
  </si>
  <si>
    <t>$C$6:$AF$217</t>
  </si>
  <si>
    <t>RicusPolice</t>
  </si>
  <si>
    <t>$C$6:$AG$1201</t>
  </si>
  <si>
    <t>perutHafkadotMetchilatShana</t>
  </si>
  <si>
    <t>$C$6:$BH$339</t>
  </si>
  <si>
    <t>pirteiKisuiBeMutzar</t>
  </si>
  <si>
    <t>perutMivneDmeiNihul</t>
  </si>
  <si>
    <t>$C$6:$AI$16</t>
  </si>
  <si>
    <t>pirteiOved</t>
  </si>
  <si>
    <t>clientList</t>
  </si>
  <si>
    <t>MyData</t>
  </si>
  <si>
    <t>myData</t>
  </si>
  <si>
    <t>$C$9:$E$39</t>
  </si>
  <si>
    <t>אופן תשלום</t>
  </si>
  <si>
    <t>חיסכון מצטבר</t>
  </si>
  <si>
    <t>סה"כ פידיון</t>
  </si>
  <si>
    <t>סוג הפרשה</t>
  </si>
  <si>
    <t>תאריך ערך</t>
  </si>
  <si>
    <t>PerutPirteiHafkadaAchrona</t>
  </si>
  <si>
    <t>perutPirteiHafkadaAchrona</t>
  </si>
  <si>
    <t>PerutYitrot</t>
  </si>
  <si>
    <t>perutYitrot</t>
  </si>
  <si>
    <t>חודש הפקדה</t>
  </si>
  <si>
    <t>סה"כ הפקדה</t>
  </si>
  <si>
    <t>סוג ההפקדה</t>
  </si>
  <si>
    <t>סוג התשלום</t>
  </si>
  <si>
    <t>זהות המשלם</t>
  </si>
  <si>
    <t>סכום התשלום</t>
  </si>
  <si>
    <t>הפקדה לחיסכון א</t>
  </si>
  <si>
    <t>הפקדה לחיסכון ב</t>
  </si>
  <si>
    <t>Kupa</t>
  </si>
  <si>
    <t>YitraLefiGilPrisha</t>
  </si>
  <si>
    <t>yitraLefiGilPrisha</t>
  </si>
  <si>
    <t>kupa</t>
  </si>
  <si>
    <t>$C$6:$AA$50</t>
  </si>
  <si>
    <t>$C$6:$AA$51</t>
  </si>
  <si>
    <t>$C$6:$AA$52</t>
  </si>
  <si>
    <t>$C$6:$AA$53</t>
  </si>
  <si>
    <t>$C$6:$AA$54</t>
  </si>
  <si>
    <t>ספר פוליסה</t>
  </si>
  <si>
    <t>גיל פרישה</t>
  </si>
  <si>
    <t>.זקנה ללא פרמיות</t>
  </si>
  <si>
    <t>אחוז התשואה בתחזית</t>
  </si>
  <si>
    <t>צבירה מחושבת להון כולל פרמיות</t>
  </si>
  <si>
    <t>צבירה מחושבת להון ללא פרמיות</t>
  </si>
  <si>
    <t>ח"פ צפוי לקצבה כולל פרמיות</t>
  </si>
  <si>
    <t>ח"פ צפוי לקצבה ללא פרמיות</t>
  </si>
  <si>
    <t>סוג קופה</t>
  </si>
  <si>
    <t>חיסכון צפוי כולל פרמיות</t>
  </si>
  <si>
    <t>חיסכון צפוי ללא פרמיות</t>
  </si>
  <si>
    <t>שיעור פנסיית זיקנה צפויה</t>
  </si>
  <si>
    <t>מומצע חודשי</t>
  </si>
  <si>
    <t>$C$6:$AA$55</t>
  </si>
  <si>
    <t>hafkadotMetchilatShanaAverages</t>
  </si>
  <si>
    <t>HafkadotMetchilatShanaAverages</t>
  </si>
  <si>
    <t>ריכוז פוליסות</t>
  </si>
  <si>
    <t>מסלול העסקה</t>
  </si>
  <si>
    <t>פרטי כיסוי במוצר</t>
  </si>
  <si>
    <t>פרוט יתרות</t>
  </si>
  <si>
    <t>יתרות לפי תקופה</t>
  </si>
  <si>
    <t>קופה</t>
  </si>
  <si>
    <t>יתרות לגיל פרישה</t>
  </si>
  <si>
    <t>פרוט הפקדות לפוליסה</t>
  </si>
  <si>
    <t>פרטי הפקדה אחרונה</t>
  </si>
  <si>
    <t>פרוט הפקדה אחרונה</t>
  </si>
  <si>
    <t>הפקדה חודשית ממוצעת</t>
  </si>
  <si>
    <t>פרטי עובד</t>
  </si>
  <si>
    <t>עד חוק ההסדרים ( 1997 2000 )</t>
  </si>
  <si>
    <t>לאחר חוק ההסדרים ( 1997 2000 )</t>
  </si>
  <si>
    <t>עד 31.12.2004</t>
  </si>
  <si>
    <t>עד 31.12.2005</t>
  </si>
  <si>
    <t xml:space="preserve">מ-01.01.2005 עד 31.12.2007 </t>
  </si>
  <si>
    <t>מ-01.01.2006 עד 31.12.2007</t>
  </si>
  <si>
    <t xml:space="preserve">מ- 01.01.2008 </t>
  </si>
  <si>
    <t>עד 31.12.2002</t>
  </si>
  <si>
    <t>נדרש חישוב ידני</t>
  </si>
  <si>
    <t>קוד 10 הינו בכפוף להוראות חוזר "טיוב נתוני זכויות עמיתים בגופים מוסדיים" בעניין תאריך סיום הפרויקט.</t>
  </si>
  <si>
    <t>רכיב היתרה</t>
  </si>
  <si>
    <t>סכום יתרה</t>
  </si>
  <si>
    <t>סוג יתרה</t>
  </si>
  <si>
    <t>קוד שיכבה</t>
  </si>
  <si>
    <t>קוד רכיב יתרה</t>
  </si>
  <si>
    <t>קוד סוג יתרה</t>
  </si>
  <si>
    <t>תגמולי מעביד</t>
  </si>
  <si>
    <t>תגמולי עובד</t>
  </si>
  <si>
    <t>שונות מעביד</t>
  </si>
  <si>
    <t>ק.השתלמות מעביד</t>
  </si>
  <si>
    <t>ק.השתלמות עובד</t>
  </si>
  <si>
    <t>$C$6:$AA$56</t>
  </si>
  <si>
    <t>perutYitraLeTkufa_till2000</t>
  </si>
  <si>
    <t>PerutYitraLeTkufa_till2000</t>
  </si>
  <si>
    <t>$C$6:$AA$57</t>
  </si>
  <si>
    <t>perutYitraLeTkufa_after2000</t>
  </si>
  <si>
    <t>PerutYitraLeTkufa_after2000</t>
  </si>
  <si>
    <t>לגיל</t>
  </si>
  <si>
    <t>אחוזי הפרשה במנהלים</t>
  </si>
  <si>
    <t>ערכי פדיון</t>
  </si>
  <si>
    <t>אם נתון סה"כ למקרה מוות</t>
  </si>
  <si>
    <t>אם נתונים ריסקים נוספים</t>
  </si>
  <si>
    <t>חסכון לחלק</t>
  </si>
  <si>
    <t>יתרות עתידיות</t>
  </si>
  <si>
    <t>מכספי פיצויים נכון ליום פרישה</t>
  </si>
  <si>
    <t>מכספי תגמולים מעביד עד 31/12/1999 נכון ליום פרישה</t>
  </si>
  <si>
    <t>מכספי תגמולי מעביד אחרי 1/1/2000 נכון ליום פרישה</t>
  </si>
  <si>
    <t>מכספי תגמולי עובד עד 31/12/1999 נכון ליום פרישה</t>
  </si>
  <si>
    <t>מכספי תגמולי עובד אחרי 2000 נכון ליום פרישה</t>
  </si>
  <si>
    <t>מס '</t>
  </si>
  <si>
    <t>מס' התוכנית</t>
  </si>
  <si>
    <t>החברה המנהלת</t>
  </si>
  <si>
    <t>סוג ההשקעה</t>
  </si>
  <si>
    <t>תאריך תחילה</t>
  </si>
  <si>
    <t>ריבית</t>
  </si>
  <si>
    <t>מקדם קצבה 120</t>
  </si>
  <si>
    <t>מקדם הדדי 100%</t>
  </si>
  <si>
    <t xml:space="preserve">פיצויים </t>
  </si>
  <si>
    <t>סה"כ</t>
  </si>
  <si>
    <t>שכר לפוליסה ע"פ חברת הביטוח</t>
  </si>
  <si>
    <t>שכר לפוליסה ע"פ ההפרשות</t>
  </si>
  <si>
    <t>עלות ביטוח וגורמים</t>
  </si>
  <si>
    <t>אחוז חסכון מוערך</t>
  </si>
  <si>
    <t>חסכון בפועל חישוב ידני R-S</t>
  </si>
  <si>
    <t>ת' מעביד עד 01/2000</t>
  </si>
  <si>
    <t>ת' מעביד מ 01/2000</t>
  </si>
  <si>
    <t>ת' עובד עד 01/2000</t>
  </si>
  <si>
    <t>ת' עובד מ 01/2000</t>
  </si>
  <si>
    <t>ערך נוכחי</t>
  </si>
  <si>
    <t xml:space="preserve">סה"כ  למקרה מוות הנתון מחברה </t>
  </si>
  <si>
    <t xml:space="preserve">סה"כ ריסק </t>
  </si>
  <si>
    <t xml:space="preserve">ריסק נוסף </t>
  </si>
  <si>
    <t xml:space="preserve">סה"כ </t>
  </si>
  <si>
    <t>כיסוי לנכות מתאונה</t>
  </si>
  <si>
    <t>כיסוי לנכות מקצועית</t>
  </si>
  <si>
    <t>פיצוי חודשי לא.כ.ע</t>
  </si>
  <si>
    <t>שחרור מפרמיה בא.כ.ע.</t>
  </si>
  <si>
    <t>מס' הערה</t>
  </si>
  <si>
    <t>הערות(מוות מתואנה, מחלות קשות, בריאות סיעוד...)</t>
  </si>
  <si>
    <t>פיצוי חודשי נטו א.כ.ע</t>
  </si>
  <si>
    <t>ת' מעביד עד</t>
  </si>
  <si>
    <t>ת' מעביד מ</t>
  </si>
  <si>
    <t>ת' עובד עד</t>
  </si>
  <si>
    <t>ת' עובד מ</t>
  </si>
  <si>
    <t>בקרת סיכום</t>
  </si>
  <si>
    <t>פוליסות הון/קופ"ג</t>
  </si>
  <si>
    <t>פוליסות קצבה</t>
  </si>
  <si>
    <t>חודשי</t>
  </si>
  <si>
    <t>חודשי הדדי</t>
  </si>
  <si>
    <t>קצבה מפיצויים</t>
  </si>
  <si>
    <t>פיצויים בפוליסות קצבה</t>
  </si>
  <si>
    <t>הוני</t>
  </si>
  <si>
    <t>סה"כ פיצויים</t>
  </si>
  <si>
    <t>בקרה</t>
  </si>
  <si>
    <t>קצבה מת' מע עד</t>
  </si>
  <si>
    <t>ת' בקצבה מע עד</t>
  </si>
  <si>
    <t>ת' מע עד הוני</t>
  </si>
  <si>
    <t>סה"כ תג מע עד</t>
  </si>
  <si>
    <t>קצבה מת' מע 2000</t>
  </si>
  <si>
    <t>ת' בקצבה מע 2000</t>
  </si>
  <si>
    <t>ת' הוני מע 2000</t>
  </si>
  <si>
    <t>סה"כ תג מע 2000</t>
  </si>
  <si>
    <t>קצבה מת' עובד עד</t>
  </si>
  <si>
    <t>ת' בקצבה עובד עד</t>
  </si>
  <si>
    <t>ת' עובד עד הוני</t>
  </si>
  <si>
    <t xml:space="preserve">סה"כ תג עובד עד </t>
  </si>
  <si>
    <t>קצבה מת' עובד מ 2000</t>
  </si>
  <si>
    <t>ת' בקצבה עובד מ 2000</t>
  </si>
  <si>
    <t>ת' הוני עובד מ 2000</t>
  </si>
  <si>
    <t>סה"כ תג עובד מ 2000</t>
  </si>
  <si>
    <t>שכר</t>
  </si>
  <si>
    <t>סוג הצמדה</t>
  </si>
  <si>
    <t>תאריך משכורת</t>
  </si>
  <si>
    <t>זכאות ללא תנאי</t>
  </si>
  <si>
    <t>סעיף 14</t>
  </si>
  <si>
    <t>תאריך תחילת תשלום</t>
  </si>
  <si>
    <t>פרטי העסקה</t>
  </si>
  <si>
    <t>פרוט הפקדות מתחילת שנה</t>
  </si>
  <si>
    <t>מבנה דמי ניהול</t>
  </si>
  <si>
    <t>ממוצע הפרשות חודשיות  פר"ח</t>
  </si>
  <si>
    <t>סה"כ מעביד</t>
  </si>
  <si>
    <t>סה"כ עובד</t>
  </si>
  <si>
    <t>פרוט סוג ההשקעה</t>
  </si>
  <si>
    <t>סכום של סכום ביטוח</t>
  </si>
  <si>
    <t>תוויות שורה</t>
  </si>
  <si>
    <t>(ריק)</t>
  </si>
  <si>
    <t>סכום כולל</t>
  </si>
  <si>
    <t>תוויות עמודה</t>
  </si>
  <si>
    <t xml:space="preserve">כיסוי למקרה מוות </t>
  </si>
  <si>
    <t>נכות מקצועית</t>
  </si>
  <si>
    <t>מוות מתאונה</t>
  </si>
  <si>
    <t>נכות מתאונה</t>
  </si>
  <si>
    <t>אבדן כושר עבודה</t>
  </si>
  <si>
    <t>שחרור</t>
  </si>
  <si>
    <t>מחלות קשות</t>
  </si>
  <si>
    <t>תוכנית משולבת חיסכון</t>
  </si>
  <si>
    <t>מוות + אכ"ע</t>
  </si>
  <si>
    <t>אחר</t>
  </si>
  <si>
    <t>ערך 9 מיועד לפנסיה ותיקה בלבד</t>
  </si>
  <si>
    <t>ביטוח חיים</t>
  </si>
  <si>
    <t>אי כושר</t>
  </si>
  <si>
    <t>שיחרור</t>
  </si>
  <si>
    <t>חיסכון</t>
  </si>
  <si>
    <t>מסלול ביטוח</t>
  </si>
  <si>
    <t>האם סכום הביטוח כולל חיסכון</t>
  </si>
  <si>
    <t>מספר משכורות</t>
  </si>
  <si>
    <t>אחוז הקצאה לחיסכון</t>
  </si>
  <si>
    <t>תקרת חיתום למוות</t>
  </si>
  <si>
    <t>תקרת חיתום לא.כ.ע</t>
  </si>
  <si>
    <t>סכום ביטוח למוות</t>
  </si>
  <si>
    <t>שם כיסוי</t>
  </si>
  <si>
    <t>ביטוח יסודי</t>
  </si>
  <si>
    <t>SchumeiBituahYesodi</t>
  </si>
  <si>
    <t>schumeiBituahYesodi</t>
  </si>
  <si>
    <t>PirteiKisuiBeMutzar_procerur</t>
  </si>
  <si>
    <t>pirteiKisuiBeMutzar_procerur</t>
  </si>
  <si>
    <t>PirteiHaasaka</t>
  </si>
  <si>
    <t>pirteiHaasaka</t>
  </si>
  <si>
    <t>$C$6:$AA$58</t>
  </si>
  <si>
    <t>$C$6:$AA$59</t>
  </si>
  <si>
    <t>$C$6:$AA$60</t>
  </si>
  <si>
    <t>PerutYitraLeTkufa_crosTab</t>
  </si>
  <si>
    <t>perutYitraLeTkufa_crosTab</t>
  </si>
  <si>
    <t>$C$6:$AA$61</t>
  </si>
  <si>
    <t>סכומי ביטוח</t>
  </si>
  <si>
    <t>עלות  ביטוח</t>
  </si>
  <si>
    <t>PirteiKisuiBeMutzarPrmia</t>
  </si>
  <si>
    <t>pirteiKisuiBeMutzarPrmia</t>
  </si>
  <si>
    <t>$C$6:$AA$62</t>
  </si>
  <si>
    <t>מדד בסיס</t>
  </si>
  <si>
    <t>קוד אחיד</t>
  </si>
  <si>
    <t>הצמדה לתנאי ההלוואה</t>
  </si>
  <si>
    <t>תאריך בו נקבע מוטב</t>
  </si>
  <si>
    <t>כולל זכאות אג"ח</t>
  </si>
  <si>
    <t>שיעור אג"ח מיועדות</t>
  </si>
  <si>
    <t>הבטחת תשואה</t>
  </si>
  <si>
    <t>תאריך סיום הבטחת תשואה</t>
  </si>
  <si>
    <t>מספר גמלאות</t>
  </si>
  <si>
    <t>קיום כיסוי ביטוחי אצל מבטח חיצוני</t>
  </si>
  <si>
    <t>כיסוי אישי/קבוצתי</t>
  </si>
  <si>
    <t>תאריך תחילת ריסק זמני</t>
  </si>
  <si>
    <t>פנימי (פנסיה חדשה או ותיקה)</t>
  </si>
  <si>
    <t>פנימי (סוג קרן פנסיה)</t>
  </si>
  <si>
    <t>מספר אסמכתא</t>
  </si>
  <si>
    <t>שם המבוטח</t>
  </si>
  <si>
    <t>תאריך נוכחי</t>
  </si>
  <si>
    <t>שווי נקודת זיכוי</t>
  </si>
  <si>
    <t>שווי שנתי של נקודות הזיכוי</t>
  </si>
  <si>
    <t>גיל פרישה מותנה גבר</t>
  </si>
  <si>
    <t>גיל פרישה מותנה אשה</t>
  </si>
  <si>
    <t>גיל פרישה מוחלט אשה</t>
  </si>
  <si>
    <t>מין המבוטח</t>
  </si>
  <si>
    <t xml:space="preserve">מדד נוכחי </t>
  </si>
  <si>
    <t>קצבה מזכה</t>
  </si>
  <si>
    <t>שווי חודשי של נקודות הזיכוי</t>
  </si>
  <si>
    <t xml:space="preserve">    -</t>
  </si>
  <si>
    <t>-</t>
  </si>
  <si>
    <t xml:space="preserve">  -</t>
  </si>
  <si>
    <t>גיל התחלה בהדסה</t>
  </si>
  <si>
    <t>הכנסה מזכה</t>
  </si>
  <si>
    <t>&lt;01/08/1939</t>
  </si>
  <si>
    <t>65 ו–4 חודשים</t>
  </si>
  <si>
    <t>60 ו–4 חודשים</t>
  </si>
  <si>
    <t>תאירך תחילה בקרן ותיקה</t>
  </si>
  <si>
    <t xml:space="preserve">גיל נוכחי </t>
  </si>
  <si>
    <t>קצבה פטורה</t>
  </si>
  <si>
    <t>65 ו–8 חודשים</t>
  </si>
  <si>
    <t>60 ו–8 חודשים</t>
  </si>
  <si>
    <t xml:space="preserve">גיל נוכחי מעוגל </t>
  </si>
  <si>
    <t>פיצויים פטורים לשנת עבודה</t>
  </si>
  <si>
    <t>תאריך פרישה</t>
  </si>
  <si>
    <t>פרישה לפני ספטמבר רשום 1</t>
  </si>
  <si>
    <t>מקסימום פטור על פיצויים:</t>
  </si>
  <si>
    <t>66 ו–4 חודשים</t>
  </si>
  <si>
    <t>61 ו–4 חודשים</t>
  </si>
  <si>
    <t>שנות ותק בפרישה</t>
  </si>
  <si>
    <t>66 ו–8 חודשים</t>
  </si>
  <si>
    <t>61 ו–8 חודשים</t>
  </si>
  <si>
    <t>חודשי ותק צפויים בפרישה</t>
  </si>
  <si>
    <t>ואילך</t>
  </si>
  <si>
    <t>שנים בחל"ת ושבתונים</t>
  </si>
  <si>
    <t>62 ו–4 חודשים</t>
  </si>
  <si>
    <t>67 ו–4 חודשים</t>
  </si>
  <si>
    <t xml:space="preserve">מקום עבודה </t>
  </si>
  <si>
    <t>62 ו–8 חודשים</t>
  </si>
  <si>
    <t>67 ו–8 חודשים</t>
  </si>
  <si>
    <t xml:space="preserve">תאריך פרישה ע"פ ביטוח לאומי </t>
  </si>
  <si>
    <t>ותק נוכחי בשנים</t>
  </si>
  <si>
    <t>בקרת ותק</t>
  </si>
  <si>
    <t>ולא יותר מ</t>
  </si>
  <si>
    <t>גיל פרישה מותנה של גבר מביטוח לאומי</t>
  </si>
  <si>
    <t>גיל פרישה מותנה של אשה מביטוח לאומי</t>
  </si>
  <si>
    <t>63 ו–4 חודשים</t>
  </si>
  <si>
    <t>68 ו–4 חודשים</t>
  </si>
  <si>
    <t>בקביעת תאריך פרישה</t>
  </si>
  <si>
    <t>סך הכל חודשים במלל עד היום</t>
  </si>
  <si>
    <r>
      <t xml:space="preserve">חודשים צפויים </t>
    </r>
    <r>
      <rPr>
        <sz val="10"/>
        <color indexed="10"/>
        <rFont val="Arial"/>
        <family val="2"/>
        <charset val="177"/>
      </rPr>
      <t>מינימום</t>
    </r>
    <r>
      <rPr>
        <sz val="10"/>
        <rFont val="Arial"/>
        <family val="2"/>
      </rPr>
      <t xml:space="preserve"> במלל</t>
    </r>
  </si>
  <si>
    <t>גיל פרישה מוחלט של גבר מביטוח לאומי</t>
  </si>
  <si>
    <t>גיל פרישה מוחלט של אשה מביטוח לאומי</t>
  </si>
  <si>
    <t>63 ו–8 חודשים</t>
  </si>
  <si>
    <t>68 ו–8 חודשים</t>
  </si>
  <si>
    <t>גיל פרישה בעקבות תאריך</t>
  </si>
  <si>
    <t>חודשים עד לפרישה</t>
  </si>
  <si>
    <t>סך שנים במלל בפרישה</t>
  </si>
  <si>
    <t>שנים עד לפרישה לפי גיל</t>
  </si>
  <si>
    <t>שנים למל"ל</t>
  </si>
  <si>
    <t>69 ו–4 חודשים</t>
  </si>
  <si>
    <t>שנים עד לפרישה לפי תאריכים</t>
  </si>
  <si>
    <t>חודשים נובעים</t>
  </si>
  <si>
    <t>69 ו–8 חודשים</t>
  </si>
  <si>
    <t>שם קרן הפנסיה ותיקה</t>
  </si>
  <si>
    <t>ק.פנסיה וותיקה</t>
  </si>
  <si>
    <t>פנסיה מקיפה</t>
  </si>
  <si>
    <t>נקודות זיכוי</t>
  </si>
  <si>
    <t>שכר לפנסיה ותיקה בהסדר</t>
  </si>
  <si>
    <t>אחוז הפנסיה בפרישה</t>
  </si>
  <si>
    <t>גיל תוחלת חיים</t>
  </si>
  <si>
    <t>ריבית לחישוב ע"נ</t>
  </si>
  <si>
    <t xml:space="preserve">השלמות פיצויים </t>
  </si>
  <si>
    <t>טבלאות מעסיק</t>
  </si>
  <si>
    <t>פידיון ימי מחלה</t>
  </si>
  <si>
    <t>ע"פ הערכה ממוחשבת</t>
  </si>
  <si>
    <t xml:space="preserve">שווי יום </t>
  </si>
  <si>
    <t>פנסיית שארים מקרן ותיקה</t>
  </si>
  <si>
    <t>סכום מוערך לפידיון ימי מחלה</t>
  </si>
  <si>
    <t>הערכת חישוב מניב</t>
  </si>
  <si>
    <t>חודשים בפרישה</t>
  </si>
  <si>
    <t>פנסית נכות וזקנה ברוטו מקרן ותיקה</t>
  </si>
  <si>
    <t>סה"כ פיצויים מחישובי מקורות</t>
  </si>
  <si>
    <t>ימי מחלה התאוריה</t>
  </si>
  <si>
    <t>פנסיה ברוטו מתגמולי קצבה לאחר 2000</t>
  </si>
  <si>
    <t>פיצויים נוספים</t>
  </si>
  <si>
    <t>ימים שנוצלו</t>
  </si>
  <si>
    <t>פנסיה אחרת / קצבה אחרת ממוסה</t>
  </si>
  <si>
    <t>ימים לפדיון</t>
  </si>
  <si>
    <t>פנסיה / קצבה פטורה</t>
  </si>
  <si>
    <t>סכום לפידיון</t>
  </si>
  <si>
    <t xml:space="preserve">כמה </t>
  </si>
  <si>
    <t>הכנסה חודשית מעבודה אחרי פרישה ממקום נוכחי</t>
  </si>
  <si>
    <t>מתוך כמה</t>
  </si>
  <si>
    <t>קצבת זקנה בגיל פרישה אם לא עובד</t>
  </si>
  <si>
    <t>קצבת זקנה אם עובדים עד 70</t>
  </si>
  <si>
    <t>סך הכל פיצויים</t>
  </si>
  <si>
    <t>פיצויים בפוליסות מנהלים הוניות</t>
  </si>
  <si>
    <t>פיצויים בפוליסות מנהלים לקצבה</t>
  </si>
  <si>
    <t>הקצבה הנובעת מפיצויים אילו בפוליסות קצבה</t>
  </si>
  <si>
    <t>כספים ממקורות הפטורים במשיכה ח"פ בפרישה</t>
  </si>
  <si>
    <t>שם בת בן הזוג</t>
  </si>
  <si>
    <t>מין בן בת הזוג</t>
  </si>
  <si>
    <t>שם הילד</t>
  </si>
  <si>
    <t>ת.ל.</t>
  </si>
  <si>
    <t>גיל</t>
  </si>
  <si>
    <t xml:space="preserve">מין </t>
  </si>
  <si>
    <t>זכר</t>
  </si>
  <si>
    <t>תאריך לידה של בן בת הזוג</t>
  </si>
  <si>
    <t>נקבה</t>
  </si>
  <si>
    <t>גיל נוכחי</t>
  </si>
  <si>
    <t>גיל בן הזוג בעת פרישת המבוטח</t>
  </si>
  <si>
    <t>חישוב כנ"ל לפי תאריכים</t>
  </si>
  <si>
    <t>גיל מעוגל לחישובים</t>
  </si>
  <si>
    <t>bjkljk</t>
  </si>
  <si>
    <t>???</t>
  </si>
  <si>
    <t>?</t>
  </si>
  <si>
    <t>אשה</t>
  </si>
  <si>
    <t>לא לגעת</t>
  </si>
  <si>
    <t>גבר</t>
  </si>
  <si>
    <t>ע"פ טבלה מקארו</t>
  </si>
  <si>
    <t>ע"פ הערכה של מיכאל</t>
  </si>
  <si>
    <t>ע"פ הערכה במניב</t>
  </si>
  <si>
    <t>ע"פ הערכה אחרת</t>
  </si>
  <si>
    <t>ע"פ הערכת הלקוח</t>
  </si>
  <si>
    <t>לכבוד</t>
  </si>
  <si>
    <t>טל"ח</t>
  </si>
  <si>
    <t xml:space="preserve">להלן פרוט מצב ביטוחי החיים אשר יש לך באמצעותינו ושלא באמצעותנו, הנתונים נכונים לחודש </t>
  </si>
  <si>
    <t xml:space="preserve"> המדד לחישובים הינו :</t>
  </si>
  <si>
    <t>הסכומים בטבלה הינם הסכומים שחושבו על ידינו, והם לקוחים מהפוליסות ומהמידעים שבידינו, הסכומים הקובעים הם הסכומים ע"פ הפוליסות בלבד.</t>
  </si>
  <si>
    <t xml:space="preserve">מס' </t>
  </si>
  <si>
    <t>מספר התכנית</t>
  </si>
  <si>
    <t>שם התכנית</t>
  </si>
  <si>
    <t>ייעוד התכנית</t>
  </si>
  <si>
    <t xml:space="preserve">תאריך תחילה </t>
  </si>
  <si>
    <t xml:space="preserve">סכום ביטוח </t>
  </si>
  <si>
    <t xml:space="preserve">פיצוי חודשי בא.כ.ע </t>
  </si>
  <si>
    <t xml:space="preserve">חודשי שחרור בא.כ.ע </t>
  </si>
  <si>
    <t>פרמיה חודשית</t>
  </si>
  <si>
    <t>הערות</t>
  </si>
  <si>
    <t>סה"כ פרמיות</t>
  </si>
  <si>
    <t>סה"כ פדיון פיצויים ותגמולים</t>
  </si>
  <si>
    <t>סה"כ פדיון תגמולים</t>
  </si>
  <si>
    <t>יתרות לפני שנת 2000 555</t>
  </si>
  <si>
    <t>יתרות אחרי שנת 2000  6666</t>
  </si>
  <si>
    <t>שכיר</t>
  </si>
  <si>
    <t>עצמאי</t>
  </si>
  <si>
    <t>בעל שליטה</t>
  </si>
  <si>
    <t>ת</t>
  </si>
  <si>
    <t>מ</t>
  </si>
  <si>
    <t>סוג המוצר</t>
  </si>
  <si>
    <t>סוג הפרשה - קיצור</t>
  </si>
  <si>
    <t>טבלת קה"ש</t>
  </si>
  <si>
    <t>מס' הקופה</t>
  </si>
  <si>
    <t>שם החברה המנהלת</t>
  </si>
  <si>
    <t>תאריך וותק</t>
  </si>
  <si>
    <t>תאריך נזילות</t>
  </si>
  <si>
    <t>יתרה</t>
  </si>
  <si>
    <t>הערה</t>
  </si>
  <si>
    <t xml:space="preserve">מספר </t>
  </si>
  <si>
    <t xml:space="preserve">פנסיית נכות </t>
  </si>
  <si>
    <t xml:space="preserve">פנסיית שארים </t>
  </si>
  <si>
    <t>ש</t>
  </si>
  <si>
    <t>משתתפת ברווחים.</t>
  </si>
  <si>
    <t>ב</t>
  </si>
  <si>
    <t>מבטיחה תשואה.</t>
  </si>
  <si>
    <t>נ</t>
  </si>
  <si>
    <t>עם מקדם נייד.</t>
  </si>
  <si>
    <t>תוכנית מנהלים.</t>
  </si>
  <si>
    <t>פ</t>
  </si>
  <si>
    <t>תוכנית פרטית.</t>
  </si>
  <si>
    <t>תוכנית תגמולים לעצמאים.</t>
  </si>
  <si>
    <t>*</t>
  </si>
  <si>
    <t>משולם דרך המשכורת .</t>
  </si>
  <si>
    <t/>
  </si>
  <si>
    <t>0   (0)</t>
  </si>
  <si>
    <t>תאריך תם ריסק זמני</t>
  </si>
  <si>
    <t>ק.השתלמות מעביד - לפני 2000</t>
  </si>
  <si>
    <t>ק.השתלמות עובד - לפני 2000</t>
  </si>
  <si>
    <t>ק.השתלמות מעביד - אחרי 2000</t>
  </si>
  <si>
    <t>ק.השתלמות עובד - אחרי 2000</t>
  </si>
  <si>
    <r>
      <t xml:space="preserve">To copy the worksheet click right button on it, choose "Move or Copy" option and then choose your simulator and </t>
    </r>
    <r>
      <rPr>
        <b/>
        <u/>
        <sz val="11"/>
        <rFont val="Arial"/>
        <family val="2"/>
      </rPr>
      <t>mark "Create a copy" checkbox</t>
    </r>
    <r>
      <rPr>
        <b/>
        <sz val="11"/>
        <rFont val="Arial"/>
        <family val="2"/>
      </rPr>
      <t>.</t>
    </r>
  </si>
  <si>
    <t>קצבה מצטברת</t>
  </si>
  <si>
    <t>קצבה לשלב</t>
  </si>
  <si>
    <t>שעור המס</t>
  </si>
  <si>
    <t>קצבה רגילה לשלב</t>
  </si>
  <si>
    <t>קצבה הדדית לשלב</t>
  </si>
  <si>
    <t>קצבה מזכה:</t>
  </si>
  <si>
    <t>פנסיה פטורה:</t>
  </si>
  <si>
    <t>נקודות זיכוי:</t>
  </si>
  <si>
    <t>שווי הנקודה:</t>
  </si>
  <si>
    <t>פנסיה רגילה לחישוב:</t>
  </si>
  <si>
    <t>פנסיה הדדית לחישוב:</t>
  </si>
  <si>
    <t>סה"כ מס לתשלום:</t>
  </si>
  <si>
    <t>סף המס להכנסה:</t>
  </si>
  <si>
    <t>פנסיה נטו לאחר קצבה מזכה:</t>
  </si>
  <si>
    <t>סך זיכוי:</t>
  </si>
  <si>
    <t>שנת פרישה:</t>
  </si>
  <si>
    <t>מין:</t>
  </si>
  <si>
    <r>
      <t xml:space="preserve">Please </t>
    </r>
    <r>
      <rPr>
        <b/>
        <u/>
        <sz val="11"/>
        <rFont val="Arial"/>
        <family val="2"/>
      </rPr>
      <t>update</t>
    </r>
    <r>
      <rPr>
        <b/>
        <sz val="11"/>
        <rFont val="Arial"/>
        <family val="2"/>
      </rPr>
      <t xml:space="preserve"> stained cells after attaching this worksheet to an existing simulator!</t>
    </r>
  </si>
  <si>
    <t>פיצויים בפוליסות מנהלים קצבה</t>
  </si>
  <si>
    <t>קצבה נובעת מפיצויים בפוליסות קצבה</t>
  </si>
  <si>
    <t>תגמולי מעביד עד 31/12/1999</t>
  </si>
  <si>
    <t>תגמולי מעביד עד 31/12/1999 בהוני</t>
  </si>
  <si>
    <t>תגמולי מעביד עד 31/12/1999 בקצבה</t>
  </si>
  <si>
    <t>קצבה נובעת מתגמולים עד 31/12/1999</t>
  </si>
  <si>
    <t>תגמולי עובד עד 31/12/1999</t>
  </si>
  <si>
    <t>תגמולי עובד עד 31/12/1999 בהוני</t>
  </si>
  <si>
    <t>תגמולי עובד עד 31/12/1999 בקצבה</t>
  </si>
  <si>
    <t>תגמולי מעביד מ 1/1/2000</t>
  </si>
  <si>
    <t>תגמולי מעביד מ 1/1/2000 בהוני</t>
  </si>
  <si>
    <t>תגמולי מעביד מ 1/1/2000 בקצבה</t>
  </si>
  <si>
    <t>קצבה נובעת מתגמולים עד 1/1/2000</t>
  </si>
  <si>
    <t>תגמולי עובד מ 1/1/2000</t>
  </si>
  <si>
    <t>תגמולי עובד מ 1/1/2000 בהוני</t>
  </si>
  <si>
    <t>תגמולי עובד מ 1/1/2000 בקצבה</t>
  </si>
  <si>
    <t>קצבה נובעת מתגמולים מ 1/1/2000</t>
  </si>
  <si>
    <t>סה"כ פיצויים הוניים</t>
  </si>
  <si>
    <t>פיצויים פטורים</t>
  </si>
  <si>
    <t>פיצויים לחיוב במס</t>
  </si>
  <si>
    <t>מס בפריסה</t>
  </si>
  <si>
    <t>פיצויים חייבים נטו לאחר חיוב במס בפריסה</t>
  </si>
  <si>
    <t>סה"כ פיצויים נטו</t>
  </si>
  <si>
    <t>פנסיה ברוטו מקרן הפנסיה של הדסה</t>
  </si>
  <si>
    <t>פנסיה ברוטו מתגמולי קצבה עד 2000</t>
  </si>
  <si>
    <t>הכנסה חודשית מעבודה אחרי פרישה מהדסה</t>
  </si>
  <si>
    <t>הקצבה הנובעת מפיצויים בפוליסות קצבה</t>
  </si>
  <si>
    <t>סה"כ פנסיה ברוטו</t>
  </si>
  <si>
    <t>פנסיה נטו</t>
  </si>
  <si>
    <t>תג' הוניים נטו</t>
  </si>
  <si>
    <t>כל התגמולים נטו</t>
  </si>
  <si>
    <t>סה"כ סכומים פטורים במשיכה ח"פ</t>
  </si>
  <si>
    <t>מזעור חבויות מס למינימום בכל אופציה ואופציה בנפרד</t>
  </si>
  <si>
    <t>מקסימום פנסיה</t>
  </si>
  <si>
    <t>מקסימום הון</t>
  </si>
  <si>
    <t>פיצויים פטורים והוני</t>
  </si>
  <si>
    <t>פיצויים פטורים וקצבה</t>
  </si>
  <si>
    <t>קצבה פטורה והוני</t>
  </si>
  <si>
    <t>קצבה פטורה וקצבה</t>
  </si>
  <si>
    <t>ריבית לטבלה</t>
  </si>
  <si>
    <t>תוחלת חיים</t>
  </si>
  <si>
    <t>ריביות</t>
  </si>
  <si>
    <t>סוגי הצמדה</t>
  </si>
  <si>
    <t>סוגי פוליסות</t>
  </si>
  <si>
    <t>(פ)</t>
  </si>
  <si>
    <t>כספים פטורים במשיכה ח"פ בפרישה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</si>
  <si>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אחרי</t>
    </r>
    <r>
      <rPr>
        <sz val="10"/>
        <rFont val="David"/>
        <family val="2"/>
        <charset val="177"/>
      </rPr>
      <t xml:space="preserve"> 2000</t>
    </r>
  </si>
  <si>
    <t>סה"כ תג' הוניים מע+עו</t>
  </si>
  <si>
    <t>שנים לפרישה</t>
  </si>
  <si>
    <t>קצבה</t>
  </si>
  <si>
    <t>(ת)</t>
  </si>
  <si>
    <t>תחזית חסכון לגיל פנסיה</t>
  </si>
  <si>
    <t>קרן פנסיה</t>
  </si>
  <si>
    <t>(מ)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</si>
  <si>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לפני</t>
    </r>
    <r>
      <rPr>
        <sz val="10"/>
        <rFont val="David"/>
        <family val="2"/>
        <charset val="177"/>
      </rPr>
      <t xml:space="preserve"> 2000</t>
    </r>
  </si>
  <si>
    <t>סה"כ תג' אחרי 2000</t>
  </si>
  <si>
    <t>קופ"ג</t>
  </si>
  <si>
    <t>(מב)</t>
  </si>
  <si>
    <t>עובד + מעביד</t>
  </si>
  <si>
    <t>סיעוד</t>
  </si>
  <si>
    <t>תחזית לפנסיה לגיל</t>
  </si>
  <si>
    <t>חד פעמי</t>
  </si>
  <si>
    <t>או</t>
  </si>
  <si>
    <t xml:space="preserve">פר"ח </t>
  </si>
  <si>
    <t xml:space="preserve">סה"כ עם מקסימום קצבה </t>
  </si>
  <si>
    <t>סה"כ עם מקסימום הון</t>
  </si>
  <si>
    <t>סה"כ קצבה לאחר חישוב מס</t>
  </si>
  <si>
    <t>פיצויים נטו</t>
  </si>
  <si>
    <t>עובד</t>
  </si>
  <si>
    <t>הדסה</t>
  </si>
  <si>
    <t>=</t>
  </si>
  <si>
    <t>שנים</t>
  </si>
  <si>
    <t>חישוב שנתי</t>
  </si>
  <si>
    <t>שכר מצטבר</t>
  </si>
  <si>
    <t>שכר לשלב</t>
  </si>
  <si>
    <t>המס במדרגה</t>
  </si>
  <si>
    <t>מס מצטבר</t>
  </si>
  <si>
    <t>מס לתשלום</t>
  </si>
  <si>
    <t>סך הכל פנסיה</t>
  </si>
  <si>
    <t>פנסיה פטורה</t>
  </si>
  <si>
    <t>פנסיה לחישוב</t>
  </si>
  <si>
    <t>סך הכל פנסיה שנתית</t>
  </si>
  <si>
    <t>פנסיה שנתית פטורה</t>
  </si>
  <si>
    <t>פנסיה שנתית לחישוב</t>
  </si>
  <si>
    <t>תאריך תחילה בהדסה</t>
  </si>
  <si>
    <t>.</t>
  </si>
  <si>
    <t>תאריך פרישה מהדסה</t>
  </si>
  <si>
    <t>בפרישה לפני ספטמבר רשום בעמודה משמאל "1"</t>
  </si>
  <si>
    <t>שנות עבודה אצל בהדסה</t>
  </si>
  <si>
    <t>חודשי כולל הפריסה</t>
  </si>
  <si>
    <t>חישוב שנתי כולל הפריסה</t>
  </si>
  <si>
    <t>סך הכל פנסיה ללא פנסיה מפיצויים</t>
  </si>
  <si>
    <t>הכנסה חודשית נוספת בפריסה</t>
  </si>
  <si>
    <t>הכנסה שנתית נוספת בפריסה</t>
  </si>
  <si>
    <t>פנסיה חודשית  לחישוב כולל פנסיה מפיצויים:</t>
  </si>
  <si>
    <t xml:space="preserve">סך הכל פיצויים: </t>
  </si>
  <si>
    <t>פיצויי בפוליסות קצבה</t>
  </si>
  <si>
    <t>שנות עבודה אצל המעסיק:</t>
  </si>
  <si>
    <t>שנים לפריסה:</t>
  </si>
  <si>
    <t>פיצויים לפריסה</t>
  </si>
  <si>
    <t>ערך נוכחי של הפנסיה</t>
  </si>
  <si>
    <t>שנות פריסה "בפועל"</t>
  </si>
  <si>
    <t>ערך נוכחי של החלק הפטור</t>
  </si>
  <si>
    <t>פטור</t>
  </si>
  <si>
    <t>פיצויים בפליסות קצבה</t>
  </si>
  <si>
    <t>סכום לפריסה</t>
  </si>
  <si>
    <t>מס על הפיצויים הפרוסים</t>
  </si>
  <si>
    <t>חודשי שוטף ללא הפריסה</t>
  </si>
  <si>
    <t>חישוב שנתי רגיל ללא הפריסה</t>
  </si>
  <si>
    <t>ללא תוספת הפריסה</t>
  </si>
  <si>
    <t>פנסיה חודשית נטו</t>
  </si>
  <si>
    <t>פנסיות</t>
  </si>
  <si>
    <t>תג' לאחר 2000</t>
  </si>
  <si>
    <t>קצבה ממוסה</t>
  </si>
  <si>
    <t>הכנסת עבודה</t>
  </si>
  <si>
    <t>פנסיה חודשית  לחישוב:</t>
  </si>
  <si>
    <t>סך הכל פיצויים:</t>
  </si>
  <si>
    <t>סכום חייב לאחר פריסה</t>
  </si>
  <si>
    <t>קצבה אחרת ממוסה</t>
  </si>
  <si>
    <t>פנסיה מתג לאחר 2000</t>
  </si>
  <si>
    <t>פנסיה מהדסה</t>
  </si>
  <si>
    <t>קצבה /פנסיה פטורה</t>
  </si>
  <si>
    <t>הכנסה חודשית לאחר פרישה</t>
  </si>
  <si>
    <t>נטו אחרי פריסה</t>
  </si>
  <si>
    <t>חישוב מס לעניין פנסיה כולל הפנסיה מהפיצויים</t>
  </si>
  <si>
    <t>פריסת מס בפרישה לקיחת פיצויים פטורים והשאר הוני נוסחת פידיון תג' אחרי 2000</t>
  </si>
  <si>
    <t>סך הפיצויים לחישוב</t>
  </si>
  <si>
    <t>תג לאחר 2000</t>
  </si>
  <si>
    <t>אחוז מס</t>
  </si>
  <si>
    <t>תג' לאחר 2000 נטו</t>
  </si>
  <si>
    <t>חישוב תוצאה בפדיון תג' אחרי 2000</t>
  </si>
  <si>
    <t>ח"פ</t>
  </si>
  <si>
    <t>כספים הפטורים בח"פ</t>
  </si>
  <si>
    <t>פדיון תגי לאחר 2000</t>
  </si>
  <si>
    <t>סך הכל ח"פ ביד</t>
  </si>
  <si>
    <t>פריסת מס בפרישה לקיחת קצבה פטורה והשאר הוני</t>
  </si>
  <si>
    <r>
      <t xml:space="preserve">פנסיה חודשית  לחישוב </t>
    </r>
    <r>
      <rPr>
        <sz val="10"/>
        <color indexed="10"/>
        <rFont val="Arial"/>
        <family val="2"/>
        <charset val="177"/>
      </rPr>
      <t>ללא</t>
    </r>
    <r>
      <rPr>
        <sz val="10"/>
        <rFont val="Arial"/>
        <family val="2"/>
      </rPr>
      <t xml:space="preserve"> פנסיה מפיצויים:</t>
    </r>
  </si>
  <si>
    <t>סך הכל פיצויים לחישוב: ללא ניכוי פיצויים מפוליסות הקצבה</t>
  </si>
  <si>
    <t>פנסיה עם קצבה פטורה ללא פיצויים ופריסה</t>
  </si>
  <si>
    <t>חודשי שוטף ללא פיצויים והפריסה</t>
  </si>
  <si>
    <t>חישוב שנתי רגיל ללא הפיצויים וללא הפריסה</t>
  </si>
  <si>
    <t>פנסיה לחישוב פחות מס</t>
  </si>
  <si>
    <t>בתוספת פנסיה פטורה</t>
  </si>
  <si>
    <t>תיתן נטו</t>
  </si>
  <si>
    <t>קצבה מפיצויים בפוליסות קצבה</t>
  </si>
  <si>
    <t>אחרת</t>
  </si>
  <si>
    <t>הקצבה הנובעת מיתרת פיצויים בפוליסות הקצבה</t>
  </si>
  <si>
    <t>מקדם ממוצע</t>
  </si>
  <si>
    <t>יתרת פיצויים בפוליסות קצבה לאחר הפטור</t>
  </si>
  <si>
    <t>פנסיה משארית הפיצויים בקצבה</t>
  </si>
  <si>
    <t>בפרישה לקיחת מקסימום פיצויים פטורים מהפיצויים וקצבה אם נותר</t>
  </si>
  <si>
    <t>סך הכל פיצויים לחישוב: בניכוי פיצויים פטורים</t>
  </si>
  <si>
    <t>פיצויים לא מפוליסות קצבה</t>
  </si>
  <si>
    <t>שווי נקודות זיכוי</t>
  </si>
  <si>
    <t>יתרה בשלב</t>
  </si>
  <si>
    <t>השוואת ערך נוכחי של פנסיות לח"פ</t>
  </si>
  <si>
    <t>מס שולי</t>
  </si>
  <si>
    <t>גיל תוחלת</t>
  </si>
  <si>
    <t>מקורות קצבתיים</t>
  </si>
  <si>
    <t>מס' פוליסה</t>
  </si>
  <si>
    <t>חב' ביטוח</t>
  </si>
  <si>
    <t>מס'</t>
  </si>
  <si>
    <t>מקדם</t>
  </si>
  <si>
    <t>מפיצויים</t>
  </si>
  <si>
    <t>מת' עד 31.12.99</t>
  </si>
  <si>
    <t>מתג' מ 2000</t>
  </si>
  <si>
    <t>עד  31.12.99</t>
  </si>
  <si>
    <t>מ 1.1.2000</t>
  </si>
  <si>
    <t>מעביד</t>
  </si>
  <si>
    <t>קצבאות הנובעות מ</t>
  </si>
  <si>
    <t xml:space="preserve">ערך תגמולים </t>
  </si>
  <si>
    <t>עד 31.12.1999</t>
  </si>
  <si>
    <t>סה"כ תג' מעביד</t>
  </si>
  <si>
    <t>עד 31.12.99</t>
  </si>
  <si>
    <t>סה"כ תג' עובד</t>
  </si>
  <si>
    <t>סה"כ מתג'</t>
  </si>
  <si>
    <t>סה"כ מת'</t>
  </si>
  <si>
    <t>טבלת מקדמים לצורך חישוב פנסיה הדדית לשני בני זוג</t>
  </si>
  <si>
    <t>בת הזוג</t>
  </si>
  <si>
    <t>גילה בעת פרישתו</t>
  </si>
  <si>
    <t>גיל מעוגל</t>
  </si>
  <si>
    <t>מבוטח גבר</t>
  </si>
  <si>
    <t>בת זוג אשה</t>
  </si>
  <si>
    <t>גיל פנסיה מבוטח</t>
  </si>
  <si>
    <t>גיל בת זוג במועד</t>
  </si>
  <si>
    <t>שם הרכיב</t>
  </si>
  <si>
    <t>מס' רכיב</t>
  </si>
  <si>
    <t>לחישוב מחלה</t>
  </si>
  <si>
    <t>לחישוב מחלה בלי תוספת תפקיד</t>
  </si>
  <si>
    <t>שכר משולב</t>
  </si>
  <si>
    <t>תוס' אקדמית</t>
  </si>
  <si>
    <t>ביגוד</t>
  </si>
  <si>
    <t>שחיקה 16.2</t>
  </si>
  <si>
    <t>ותק אקדמי</t>
  </si>
  <si>
    <t>טלפון</t>
  </si>
  <si>
    <t>ניידות</t>
  </si>
  <si>
    <t>תפקיד מניידות</t>
  </si>
  <si>
    <t>תפקיד</t>
  </si>
  <si>
    <t>כוננויות על</t>
  </si>
  <si>
    <t>תפוקות</t>
  </si>
  <si>
    <t>הסכם 7/2000</t>
  </si>
  <si>
    <t>סכום ביניים</t>
  </si>
  <si>
    <t>הבראה  1/12</t>
  </si>
  <si>
    <t>חודשי עבודה</t>
  </si>
  <si>
    <t>יום חישוב</t>
  </si>
  <si>
    <t>בשנים</t>
  </si>
  <si>
    <t>שנות עבודה בימים</t>
  </si>
  <si>
    <t>ימי מחלה לתשלום</t>
  </si>
  <si>
    <t>חופשות ללא תשלום ושבתונים</t>
  </si>
  <si>
    <t>התחלה - חישוב</t>
  </si>
  <si>
    <t>בחודשים</t>
  </si>
  <si>
    <t>ימי עבודה לצרכי פיצויים</t>
  </si>
  <si>
    <t>חל"ת - שבתון</t>
  </si>
  <si>
    <t>שנים לצרכי פיצויים</t>
  </si>
  <si>
    <t>יתרה בחודשים</t>
  </si>
  <si>
    <t>שיעור פיצויים</t>
  </si>
  <si>
    <t>יתרה לתשלום</t>
  </si>
  <si>
    <t>מחלה</t>
  </si>
  <si>
    <t>מחלה בלי תוס' תפקיד</t>
  </si>
  <si>
    <t>סה"כ פיצויי פרישה ומחלה</t>
  </si>
  <si>
    <t>מענק מקופת הפנסיה</t>
  </si>
  <si>
    <t>תחזית לפנסיה הדדית (100% קצבה לבת הזוג) לגיל</t>
  </si>
  <si>
    <t>לנותר</t>
  </si>
  <si>
    <t>ע"פ נתוני יסוד</t>
  </si>
  <si>
    <t>כספים הפטורים במשיכה ח"פ בפרישה</t>
  </si>
  <si>
    <t>סה" ח"פ נטו</t>
  </si>
  <si>
    <t>קצבה נטו</t>
  </si>
  <si>
    <t>ע"נ של הקצבה</t>
  </si>
  <si>
    <t xml:space="preserve">סה"כ ע"נ </t>
  </si>
  <si>
    <t>תוצאה כדאית הינה</t>
  </si>
  <si>
    <t>מקסימום קצבה</t>
  </si>
  <si>
    <t>השוואה בחירתית</t>
  </si>
  <si>
    <t xml:space="preserve"> </t>
  </si>
  <si>
    <t xml:space="preserve">התוצאה הכדאית הינה: </t>
  </si>
  <si>
    <t>השווי הינו:</t>
  </si>
  <si>
    <t>בסיסי</t>
  </si>
  <si>
    <t>סה"כ סכומים ח"פ נטו</t>
  </si>
  <si>
    <t>ע"נ 1.5</t>
  </si>
  <si>
    <t>ע"נ קצבה 2.5</t>
  </si>
  <si>
    <t>ע"נ 3.0</t>
  </si>
  <si>
    <t>ע"נ 3.5</t>
  </si>
  <si>
    <t>ע"נ 4.0</t>
  </si>
  <si>
    <t>ע"נ 4.5</t>
  </si>
  <si>
    <t>ע"נ 5.5</t>
  </si>
  <si>
    <t>ע"נ 6.5</t>
  </si>
  <si>
    <t>מקרא צבעים:</t>
  </si>
  <si>
    <t>גיל תוחלת חיים לטבלה</t>
  </si>
  <si>
    <t>סה"כ ע"נ 1.5</t>
  </si>
  <si>
    <t>סה"כ ע"נ 2.5</t>
  </si>
  <si>
    <t>סה"כ ע"נ 3.0</t>
  </si>
  <si>
    <t>סה"כ ע"נ 4.0</t>
  </si>
  <si>
    <t>סה"כ ע"נ 3.5</t>
  </si>
  <si>
    <t>סה"כ ע"נ 4.5</t>
  </si>
  <si>
    <t>סה"כ ע"נ 5.5</t>
  </si>
  <si>
    <t>סה"כ ע"נ 6.5</t>
  </si>
  <si>
    <t>מקס פטור וקצבה</t>
  </si>
  <si>
    <t>קצבה מוכרת וקצבה</t>
  </si>
  <si>
    <t>שם מבוטח</t>
  </si>
  <si>
    <t>מצב לפני שינויים</t>
  </si>
  <si>
    <t>זקופה</t>
  </si>
  <si>
    <t>לפני שינויים</t>
  </si>
  <si>
    <t>מעסיק</t>
  </si>
  <si>
    <t>סמל</t>
  </si>
  <si>
    <t>שם הנתון</t>
  </si>
  <si>
    <t>הוני / קצבה / קרן פנסיה</t>
  </si>
  <si>
    <t>אחוז מעסיק</t>
  </si>
  <si>
    <t>סכום מעסיק</t>
  </si>
  <si>
    <t>5% מעביד</t>
  </si>
  <si>
    <t>אחוז עובד</t>
  </si>
  <si>
    <t>סכום עובד</t>
  </si>
  <si>
    <t>אחוז פיצויים</t>
  </si>
  <si>
    <t>סכום פיצויים</t>
  </si>
  <si>
    <t>שכר מפיצויים</t>
  </si>
  <si>
    <t>תג' קצבה</t>
  </si>
  <si>
    <t>תג' הון</t>
  </si>
  <si>
    <t>שכר מתג'</t>
  </si>
  <si>
    <t>מס פוליסה</t>
  </si>
  <si>
    <t>גורם</t>
  </si>
  <si>
    <t>תמר 7.5% הרי</t>
  </si>
  <si>
    <t>&amp;</t>
  </si>
  <si>
    <t>תמר מניידות</t>
  </si>
  <si>
    <t>שיאון (עדיף) (ש))</t>
  </si>
  <si>
    <t>מיטב  בי"ח</t>
  </si>
  <si>
    <t>עדיף ע. שחיקה</t>
  </si>
  <si>
    <t>ז</t>
  </si>
  <si>
    <t>עדיף ע. 2.5%</t>
  </si>
  <si>
    <t>עדיף ע. מעוז</t>
  </si>
  <si>
    <t>עדיף ע. חדש</t>
  </si>
  <si>
    <t>גמל רעיוני</t>
  </si>
  <si>
    <t>עצמאי שניה</t>
  </si>
  <si>
    <t>קופת הפנסיה</t>
  </si>
  <si>
    <t>מעוז חדש</t>
  </si>
  <si>
    <t>עדיף משמרת ב'</t>
  </si>
  <si>
    <t>קופת פנסיה הדסה</t>
  </si>
  <si>
    <t>מעוז רעיוני</t>
  </si>
  <si>
    <t>תשורה</t>
  </si>
  <si>
    <t>מעוז</t>
  </si>
  <si>
    <t>מיטב ניידות</t>
  </si>
  <si>
    <t xml:space="preserve">מיטב </t>
  </si>
  <si>
    <t>עדיף</t>
  </si>
  <si>
    <t>עדיף כונ/תור</t>
  </si>
  <si>
    <t>? ז ?</t>
  </si>
  <si>
    <t>תעוז כונ/תור</t>
  </si>
  <si>
    <t>עדיף (ש)</t>
  </si>
  <si>
    <t>עדיף עצמאי</t>
  </si>
  <si>
    <t>ע"פ התקנות</t>
  </si>
  <si>
    <t>ע"פ הדסה</t>
  </si>
  <si>
    <t>הפרשה של</t>
  </si>
  <si>
    <t>שכר ב:</t>
  </si>
  <si>
    <t>תקרת קצבה</t>
  </si>
  <si>
    <t>תקרה לקצבה</t>
  </si>
  <si>
    <t>מופרש</t>
  </si>
  <si>
    <t>הון</t>
  </si>
  <si>
    <t>הפרש</t>
  </si>
  <si>
    <t>לזקיפה</t>
  </si>
  <si>
    <t>זקוף</t>
  </si>
  <si>
    <t>תקרת הון</t>
  </si>
  <si>
    <t>תקרה להון</t>
  </si>
  <si>
    <t>שכר לתנאים סוציאליים</t>
  </si>
  <si>
    <t>תג מעסיק</t>
  </si>
  <si>
    <t>+</t>
  </si>
  <si>
    <t>מה הדסה</t>
  </si>
  <si>
    <t>עושה</t>
  </si>
  <si>
    <t>כמה כבר</t>
  </si>
  <si>
    <t>יש לפני</t>
  </si>
  <si>
    <t>נזקף:</t>
  </si>
  <si>
    <t>הפרשות אחרי</t>
  </si>
  <si>
    <t>יזקף</t>
  </si>
  <si>
    <t>כולל 2.5</t>
  </si>
  <si>
    <t>הפרש ???</t>
  </si>
  <si>
    <t>אחרי שינויים</t>
  </si>
  <si>
    <t>794/1</t>
  </si>
  <si>
    <t>795/1</t>
  </si>
  <si>
    <t>מבנה הפרשות ושכר</t>
  </si>
  <si>
    <t>תוכנית</t>
  </si>
  <si>
    <t>שכר מבוטח</t>
  </si>
  <si>
    <t>% פיצויים</t>
  </si>
  <si>
    <t>תשלום</t>
  </si>
  <si>
    <t>תג' מעביד %</t>
  </si>
  <si>
    <t>תג' עובד %</t>
  </si>
  <si>
    <t>יעוד</t>
  </si>
  <si>
    <t>ללא זקיפה</t>
  </si>
  <si>
    <t>שכר בקצבה</t>
  </si>
  <si>
    <t>שכר בהון</t>
  </si>
  <si>
    <t>מגדל קצבה</t>
  </si>
  <si>
    <t>כלל קצבה</t>
  </si>
  <si>
    <t>מגדל הון</t>
  </si>
  <si>
    <t>כמגדל הון</t>
  </si>
  <si>
    <t>ע"פ הערה</t>
  </si>
  <si>
    <t>תמר</t>
  </si>
  <si>
    <t xml:space="preserve">מגדל שר"פ </t>
  </si>
  <si>
    <t>קופות ופוליסות ע"פ מידע</t>
  </si>
  <si>
    <t>מספר קופה</t>
  </si>
  <si>
    <t>כלל</t>
  </si>
  <si>
    <t>מגדל</t>
  </si>
  <si>
    <t>חישובים פתוחים</t>
  </si>
  <si>
    <t>א'</t>
  </si>
  <si>
    <t>ב'</t>
  </si>
  <si>
    <t>ג'</t>
  </si>
  <si>
    <t>ד'</t>
  </si>
  <si>
    <t>חיבור</t>
  </si>
  <si>
    <t>כפל</t>
  </si>
  <si>
    <t>חילוק</t>
  </si>
  <si>
    <t>חיסור:</t>
  </si>
  <si>
    <t>-----------------</t>
  </si>
  <si>
    <t>מכנה</t>
  </si>
  <si>
    <t>------------------</t>
  </si>
  <si>
    <t>שווה =</t>
  </si>
  <si>
    <t>ערך עתידי</t>
  </si>
  <si>
    <t>שווי נוכחי</t>
  </si>
  <si>
    <t>יתרה לאחר ביצוע התשלומים</t>
  </si>
  <si>
    <t>תשלום חודשי</t>
  </si>
  <si>
    <t>סכום עתידי</t>
  </si>
  <si>
    <t>PV</t>
  </si>
  <si>
    <t>מה הריבית?</t>
  </si>
  <si>
    <t>הלוואה</t>
  </si>
  <si>
    <t>שווי עתידי</t>
  </si>
  <si>
    <t>עתידי</t>
  </si>
  <si>
    <t>החזר חודשי</t>
  </si>
  <si>
    <t>חישובי מיסוי פנסיה פתוחים</t>
  </si>
  <si>
    <t>פנסיה ברוטו מהדסה</t>
  </si>
  <si>
    <t>פנסיה ברוטו מתגמולי מעביד</t>
  </si>
  <si>
    <t>פריסת מס בפרישה לקיחת קצבה מוכרת והשאר קצבה</t>
  </si>
  <si>
    <t>סך הכל פיצויים לחישוב: בניכוי פיצויים מפוליסות הקצבה</t>
  </si>
  <si>
    <t>קצבה מוכרת פטורה ממס</t>
  </si>
  <si>
    <t>עד 2000</t>
  </si>
  <si>
    <t>מ 2000</t>
  </si>
  <si>
    <t>תג' עובד הון</t>
  </si>
  <si>
    <t>תג' מעביד הון</t>
  </si>
  <si>
    <t>פנסיה עם קצבה מוכרת</t>
  </si>
  <si>
    <t>מס</t>
  </si>
  <si>
    <t>נותר</t>
  </si>
  <si>
    <t>נוסיף הפנסיה הפטורה</t>
  </si>
  <si>
    <t>סה"כ תהיה</t>
  </si>
  <si>
    <t>מקסימום פנסיה עם קצבה פטורה</t>
  </si>
  <si>
    <t>סה"כ פנסיה חייבת</t>
  </si>
  <si>
    <t>תגמולים הוניים נטו</t>
  </si>
  <si>
    <t>ביטוחים הוניים נטו</t>
  </si>
  <si>
    <t>סה"כ נטו הוני בפרישה</t>
  </si>
  <si>
    <t xml:space="preserve">סכומים עתידיים </t>
  </si>
  <si>
    <t>פיצויים הוניים</t>
  </si>
  <si>
    <t>סך הכל הכנסה</t>
  </si>
  <si>
    <t>פנסיה / הכנסה נטו</t>
  </si>
  <si>
    <t>סכומים הוניים</t>
  </si>
  <si>
    <t xml:space="preserve">סה"כ תגמולים הוניים </t>
  </si>
  <si>
    <t>סה"כ פיצויים הוניים  לפריסה (הכל)</t>
  </si>
  <si>
    <t>מס על פיצויים בפריסה</t>
  </si>
  <si>
    <t>פיצוים נטו לאחר מס עקב פריסה</t>
  </si>
  <si>
    <t>שנים לפריסה</t>
  </si>
  <si>
    <t>חישוב מס לעניין הפריסה - חישוב מס תיאורטי חודשי</t>
  </si>
  <si>
    <t>חישוב מס לעניין הפריסה - חישוב תיאורטי שנתי</t>
  </si>
  <si>
    <t>פנסיה שנתית לחישוב הפריסה</t>
  </si>
  <si>
    <t>ללא פריסה - מס שנתי</t>
  </si>
  <si>
    <t>עם פריסה מס שנתי</t>
  </si>
  <si>
    <t>הפרש המיסים לשנה</t>
  </si>
  <si>
    <t>מקסימום הון עם פיצויים פטורים</t>
  </si>
  <si>
    <t>סה"כ פנסיה</t>
  </si>
  <si>
    <t>תגמולים מקצבה נטו</t>
  </si>
  <si>
    <t>תוספת פיצויים תאורטית</t>
  </si>
  <si>
    <t>פיצוים פטורים</t>
  </si>
  <si>
    <t>פיצויים חייבים</t>
  </si>
  <si>
    <t>כדאיות פריסה</t>
  </si>
  <si>
    <t>חישוב מס שנתי</t>
  </si>
  <si>
    <t>סה"כ פיצויים  לפריסה (הכל)</t>
  </si>
  <si>
    <t>מיסוי תגמולי קצבה במשיכה ח"פ</t>
  </si>
  <si>
    <t xml:space="preserve">מעביד </t>
  </si>
  <si>
    <t xml:space="preserve">עובד </t>
  </si>
  <si>
    <t xml:space="preserve">מס </t>
  </si>
  <si>
    <t>נטו</t>
  </si>
  <si>
    <t>תגמולי קצבה עד 31/12/1999</t>
  </si>
  <si>
    <t>תגמולי קצבה ברוטו מ 2000</t>
  </si>
  <si>
    <t>סך הכל</t>
  </si>
  <si>
    <t>לידיעה בלבד:</t>
  </si>
  <si>
    <t>סך הפיצויים ההוניים כולל הדסה -</t>
  </si>
  <si>
    <t>פריסת מס בפרישה לקיחת פיצויים פטורים והשאר הוני</t>
  </si>
  <si>
    <t>חודשי כולל פריסה</t>
  </si>
  <si>
    <t>חישוב שנתי כולל פריסה</t>
  </si>
  <si>
    <t>סך הפיצויים למיסוי</t>
  </si>
  <si>
    <t>חודשי ללא הפריסה</t>
  </si>
  <si>
    <t>בקרה: סה"כ פיצויים</t>
  </si>
  <si>
    <t>הקצבה הנובעת מפיצויים בפוליסות הקצבה</t>
  </si>
  <si>
    <t xml:space="preserve">בפרישה לקיחת פיצויים פטורים מהפיצויים ההוניים וקצבה מהפיצויים לקצבה </t>
  </si>
  <si>
    <t>פיצויים בפוליסות הוניות</t>
  </si>
  <si>
    <t>פנימי (סוג קופה)</t>
  </si>
  <si>
    <t>ק.זקנה כולל פרמיות) לפי מקדם בסיס</t>
  </si>
  <si>
    <t>גליון חסר</t>
  </si>
  <si>
    <t>$C$6:$AA$63</t>
  </si>
  <si>
    <t>PerutYitraLeTkufa_groupby</t>
  </si>
  <si>
    <t>perutYitraLeTkufa_groupby</t>
  </si>
  <si>
    <t>ספירה של סכום יתרה</t>
  </si>
  <si>
    <t>CrossTabYitraLeTkufa_till_2000</t>
  </si>
  <si>
    <t>crossTabYitraLeTkufa_till_1999</t>
  </si>
  <si>
    <t>CrossTabYitraLeTkufa_after_2000</t>
  </si>
  <si>
    <t>crossTabYitraLeTkufa_after_1999</t>
  </si>
  <si>
    <t>RicusKrenHishtalmut</t>
  </si>
  <si>
    <t>$C$6:$AI$151</t>
  </si>
  <si>
    <t>סוג המוצר מעובד</t>
  </si>
  <si>
    <t>(אחר)</t>
  </si>
  <si>
    <t>סטטוס</t>
  </si>
  <si>
    <t>KisuiBKerenPensiaDBWithParams</t>
  </si>
  <si>
    <t>ricusKrenHishtalmut</t>
  </si>
  <si>
    <t>סה"כ חיסכון</t>
  </si>
  <si>
    <t>קצבת נכות</t>
  </si>
  <si>
    <t>סכום ביטוח למקרה מוות</t>
  </si>
  <si>
    <t>פרמיה חודשית  מנהלים</t>
  </si>
  <si>
    <t>פרמיה חודשית  פרט</t>
  </si>
  <si>
    <t xml:space="preserve">עלות כיסוי נכות בש"ח </t>
  </si>
  <si>
    <t>עלות כיסוי פנסיית שארים של נכה בש"ח</t>
  </si>
  <si>
    <t>שיעור כיסוי נכות במסלול ביטוח</t>
  </si>
  <si>
    <t>שכר קובע לכיסוי נכות ושאירים</t>
  </si>
  <si>
    <t>תאריך נכונות שכר קובע לכיסוי נכות ושאירים</t>
  </si>
  <si>
    <t>סוג ויתור שארים</t>
  </si>
  <si>
    <t>סך פנסיית נכות בש"ח</t>
  </si>
  <si>
    <t xml:space="preserve">עלות כיסוי שארים בש"ח </t>
  </si>
  <si>
    <t>שיעור כיסוי ביטוחי ליתום של עמית פעיל במסלול ביטוח</t>
  </si>
  <si>
    <t xml:space="preserve">קצבת שארים לאלמן/ת עמית פעיל לפי מסלול ביטוח </t>
  </si>
  <si>
    <t xml:space="preserve"> קצבת שארים ליתום של עמית פעיל לפי מסלול ביטוח</t>
  </si>
  <si>
    <t xml:space="preserve">קצבת שארים להורה נתמך של עמית פעיל לפי מסלול ביטוח </t>
  </si>
  <si>
    <t>תאריך חתימה על ויתור שארים</t>
  </si>
  <si>
    <t>תאריך סיום ויתור שארים</t>
  </si>
  <si>
    <t>שיעור כיסוי ביטוחי לאלמן/ת עמית פעיל במסלול ביטוח</t>
  </si>
  <si>
    <t>שיעור כיסוי ביטוחי להורה נתמך של עמית פעיל</t>
  </si>
  <si>
    <t>גיל פרישה לפנסיית זקנה לפי מסלול ביטוח</t>
  </si>
  <si>
    <t>סך פנסיית אלמנן/ת עמית לא פעיל בש"ח</t>
  </si>
  <si>
    <t>מספר חודשי חברות רצופים בקרן הפנסיה</t>
  </si>
  <si>
    <t>מספר חודשי חברות מצטברבקרן פנסיה ותיקה</t>
  </si>
  <si>
    <t>מנת פנסיה צבורה</t>
  </si>
  <si>
    <t xml:space="preserve">אחוז פנסיה צבורה </t>
  </si>
  <si>
    <t xml:space="preserve">תאריך תחילת חברות </t>
  </si>
  <si>
    <t>תאריך ערך לנתונים</t>
  </si>
  <si>
    <t>האם קיימת הטבה ביטוחית</t>
  </si>
  <si>
    <t>מספר סוג מוצר</t>
  </si>
  <si>
    <t>שם סוג מוצר</t>
  </si>
  <si>
    <t>סו מוצר</t>
  </si>
  <si>
    <t xml:space="preserve">שם התכנית </t>
  </si>
  <si>
    <t>גיל  סיום תוכנית</t>
  </si>
  <si>
    <t>אג"ח מיועד</t>
  </si>
  <si>
    <t>מבטיח תשואה</t>
  </si>
  <si>
    <t>קצבת נכות / א.כ.ע</t>
  </si>
  <si>
    <t>קצבת זקנה כולל פרמיות עתידיות</t>
  </si>
  <si>
    <t>קצבת זקנה לאא פרמיות</t>
  </si>
  <si>
    <t>קצבת שארים בן זוג</t>
  </si>
  <si>
    <t>קצבת שארים ילד</t>
  </si>
  <si>
    <t>שכר קובע לפנסיה נכות ושארים</t>
  </si>
  <si>
    <t>קצבת נכות או אי כושר עבודה</t>
  </si>
  <si>
    <t>קצבת שארים לבן זוג</t>
  </si>
  <si>
    <t>קצבת שארים לילד</t>
  </si>
  <si>
    <t>קצבת זקנה ללא פרמיות</t>
  </si>
  <si>
    <t>קצבת זקנה כולל פרמיות</t>
  </si>
  <si>
    <t>כיסוי למוות מתאונה</t>
  </si>
  <si>
    <t xml:space="preserve">מספר סוג תוכנית </t>
  </si>
  <si>
    <t>מספר סוג הפרשה</t>
  </si>
  <si>
    <t>הבטחת תשואה (מספר)</t>
  </si>
  <si>
    <t>פרמיות מנהלים</t>
  </si>
  <si>
    <t>פרמיות פרט</t>
  </si>
  <si>
    <t>תמהיל</t>
  </si>
  <si>
    <t>סוג הפוליסה</t>
  </si>
  <si>
    <t>ד.ניהול מפרמיה</t>
  </si>
  <si>
    <t>ד.ניהול מצבירה</t>
  </si>
  <si>
    <t>דמי ניהול</t>
  </si>
  <si>
    <t>מפרמיה</t>
  </si>
  <si>
    <t>מצבירה</t>
  </si>
  <si>
    <t>HotzaotBafoalLehodeshDivoach</t>
  </si>
  <si>
    <t>hotzaotBafoalLehodeshDivoach</t>
  </si>
  <si>
    <t>ד.ניהול מהפקדה</t>
  </si>
  <si>
    <t>שיעור ד.ניהול</t>
  </si>
  <si>
    <t>סכום ד.ניהול</t>
  </si>
  <si>
    <t>ד.ניהול אחרים</t>
  </si>
  <si>
    <t>סך סכום ד.ניהול</t>
  </si>
  <si>
    <t>סך סכום ד.ביטוח</t>
  </si>
  <si>
    <t>הוצאות ניהול השקעות</t>
  </si>
  <si>
    <t>דמי העברות מסלול</t>
  </si>
  <si>
    <t>ד.נימול מנהל השקעות</t>
  </si>
  <si>
    <t>אופן גבית ד.ביטוח</t>
  </si>
  <si>
    <t>תז</t>
  </si>
  <si>
    <t>הוצאות דמי ניהול לחודש הדיווח</t>
  </si>
  <si>
    <t>מספר תכנית</t>
  </si>
  <si>
    <t>$C$6:$AG$1202</t>
  </si>
  <si>
    <t>PerutHafkadotMetchilatShanaAvgM</t>
  </si>
  <si>
    <t>perutHafkadotMetchilatShanaAvgM</t>
  </si>
  <si>
    <t>פרמיה שנתית</t>
  </si>
  <si>
    <t>פרמיה ממוצעת</t>
  </si>
  <si>
    <t>פרמיה מרבית</t>
  </si>
  <si>
    <t>פרמיות ממוצעות מנהלים</t>
  </si>
  <si>
    <t>פרמיות ממוצעות פרט</t>
  </si>
  <si>
    <t>פרמיה מירבית</t>
  </si>
  <si>
    <t>רשימת לקוחות</t>
  </si>
  <si>
    <t>יתרות לפי תקופה - אחרי 2000</t>
  </si>
  <si>
    <t>יתרות לפי תקופה - עד 2000</t>
  </si>
  <si>
    <t>הוצאות בפועל חלודש דיווח</t>
  </si>
  <si>
    <t>כיסויים בקרן פנסיה</t>
  </si>
  <si>
    <t>קופות</t>
  </si>
  <si>
    <t>פרוט הפקדות מתחילת שנה - ממוצע ופרמיה מרבית</t>
  </si>
  <si>
    <t>פרוט מסלול העסקה</t>
  </si>
  <si>
    <t>פרוט מבנה דמי ניהול</t>
  </si>
  <si>
    <t>פרוט פרטי הפקדה אחרונה</t>
  </si>
  <si>
    <t>פרוט יתרה לתקופה</t>
  </si>
  <si>
    <t>פרוט יתרה לתקופה - אחרי 2000</t>
  </si>
  <si>
    <t>פרוט יתרה לתקופה- היפוך טבלה</t>
  </si>
  <si>
    <t>פרוט יתרה לתקופה - קיבוץ לפי תקופה</t>
  </si>
  <si>
    <t>פרוט יתרה לתקופה - עד 2000</t>
  </si>
  <si>
    <t>פרטי השקעה</t>
  </si>
  <si>
    <t>פרטי כיסוי במוצר - פרוצדורה</t>
  </si>
  <si>
    <t>פרטי כיסוי במוצר - פרמיות</t>
  </si>
  <si>
    <t>ריכוז קרנות השתלמות</t>
  </si>
  <si>
    <t>סכום ביטוח יסודי</t>
  </si>
  <si>
    <t>סוג המוצר קצבה - 1 הון 2</t>
  </si>
  <si>
    <t>קצבה משלמת</t>
  </si>
  <si>
    <t>קצבה לא משלמת</t>
  </si>
  <si>
    <t>ד.נ מפרמיה</t>
  </si>
  <si>
    <t>ד.נ מצבירה</t>
  </si>
  <si>
    <t>מקדם קצבה</t>
  </si>
</sst>
</file>

<file path=xl/styles.xml><?xml version="1.0" encoding="utf-8"?>
<styleSheet xmlns="http://schemas.openxmlformats.org/spreadsheetml/2006/main">
  <numFmts count="15">
    <numFmt numFmtId="8" formatCode="&quot;₪&quot;\ #,##0.00;[Red]&quot;₪&quot;\ \-#,##0.00"/>
    <numFmt numFmtId="42" formatCode="_ &quot;₪&quot;\ * #,##0_ ;_ &quot;₪&quot;\ * \-#,##0_ ;_ &quot;₪&quot;\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,##0_ ;[Red]\-#,##0\ "/>
    <numFmt numFmtId="165" formatCode="#,##0.00_ ;[Red]\-#,##0.00\ "/>
    <numFmt numFmtId="166" formatCode="#,##0.000_ ;[Red]\-#,##0.000\ "/>
    <numFmt numFmtId="167" formatCode="0.0000"/>
    <numFmt numFmtId="168" formatCode="0.00_ ;[Red]\-0.00\ "/>
    <numFmt numFmtId="169" formatCode="mmm\-yyyy"/>
    <numFmt numFmtId="170" formatCode="_ * #,##0_ ;_ * \-#,##0_ ;_ * &quot;-&quot;??_ ;_ @_ "/>
    <numFmt numFmtId="171" formatCode="0;[Red]0"/>
    <numFmt numFmtId="172" formatCode="#,##0.00000000_ ;[Red]\-#,##0.00000000\ "/>
    <numFmt numFmtId="173" formatCode="#,##0.000000_ ;[Red]\-#,##0.000000\ "/>
    <numFmt numFmtId="174" formatCode="mm/yyyy"/>
  </numFmts>
  <fonts count="74">
    <font>
      <sz val="10"/>
      <name val="Arial"/>
      <charset val="177"/>
    </font>
    <font>
      <b/>
      <sz val="11"/>
      <color rgb="FF0000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6"/>
      <name val="David"/>
      <family val="2"/>
      <charset val="177"/>
    </font>
    <font>
      <sz val="14"/>
      <name val="David"/>
      <family val="2"/>
      <charset val="177"/>
    </font>
    <font>
      <sz val="10"/>
      <name val="David"/>
      <family val="2"/>
      <charset val="177"/>
    </font>
    <font>
      <b/>
      <sz val="10"/>
      <name val="David"/>
      <family val="2"/>
      <charset val="177"/>
    </font>
    <font>
      <b/>
      <sz val="14"/>
      <name val="Arial"/>
      <family val="2"/>
    </font>
    <font>
      <b/>
      <sz val="16"/>
      <color theme="0"/>
      <name val="David"/>
      <family val="2"/>
      <charset val="177"/>
    </font>
    <font>
      <b/>
      <sz val="10"/>
      <color theme="0"/>
      <name val="David"/>
      <family val="2"/>
      <charset val="177"/>
    </font>
    <font>
      <b/>
      <sz val="8"/>
      <name val="Tahoma"/>
      <family val="2"/>
    </font>
    <font>
      <sz val="8"/>
      <name val="Tahoma"/>
      <family val="2"/>
    </font>
    <font>
      <sz val="12"/>
      <color rgb="FFFF0000"/>
      <name val="Tahoma"/>
      <family val="2"/>
    </font>
    <font>
      <b/>
      <sz val="16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  <charset val="177"/>
    </font>
    <font>
      <sz val="10"/>
      <name val="Arial"/>
      <family val="2"/>
      <charset val="177"/>
    </font>
    <font>
      <b/>
      <sz val="11"/>
      <color indexed="10"/>
      <name val="Arial"/>
      <family val="2"/>
      <charset val="177"/>
    </font>
    <font>
      <sz val="10"/>
      <color indexed="25"/>
      <name val="Arial"/>
      <family val="2"/>
    </font>
    <font>
      <b/>
      <sz val="10"/>
      <color indexed="10"/>
      <name val="Arial"/>
      <family val="2"/>
      <charset val="177"/>
    </font>
    <font>
      <sz val="28"/>
      <name val="David"/>
      <family val="2"/>
      <charset val="177"/>
    </font>
    <font>
      <b/>
      <sz val="28"/>
      <name val="David"/>
      <family val="2"/>
      <charset val="177"/>
    </font>
    <font>
      <b/>
      <sz val="14"/>
      <name val="David"/>
      <family val="2"/>
      <charset val="177"/>
    </font>
    <font>
      <sz val="12"/>
      <name val="David"/>
      <family val="2"/>
      <charset val="177"/>
    </font>
    <font>
      <b/>
      <sz val="22"/>
      <name val="David"/>
      <family val="2"/>
      <charset val="177"/>
    </font>
    <font>
      <b/>
      <sz val="20"/>
      <name val="David"/>
      <family val="2"/>
      <charset val="177"/>
    </font>
    <font>
      <b/>
      <sz val="30"/>
      <name val="David"/>
      <family val="2"/>
      <charset val="177"/>
    </font>
    <font>
      <sz val="14"/>
      <name val="Arial"/>
      <family val="2"/>
    </font>
    <font>
      <u val="double"/>
      <sz val="22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22"/>
      <name val="Arial"/>
      <family val="2"/>
      <charset val="177"/>
    </font>
    <font>
      <sz val="18"/>
      <name val="Arial"/>
      <family val="2"/>
      <charset val="177"/>
    </font>
    <font>
      <sz val="10"/>
      <color indexed="10"/>
      <name val="David"/>
      <family val="2"/>
      <charset val="177"/>
    </font>
    <font>
      <sz val="10"/>
      <color indexed="61"/>
      <name val="David"/>
      <family val="2"/>
      <charset val="177"/>
    </font>
    <font>
      <sz val="10"/>
      <color indexed="9"/>
      <name val="David"/>
      <family val="2"/>
      <charset val="177"/>
    </font>
    <font>
      <sz val="11"/>
      <name val="David"/>
      <family val="2"/>
      <charset val="177"/>
    </font>
    <font>
      <sz val="26"/>
      <name val="Arial"/>
      <family val="2"/>
      <charset val="177"/>
    </font>
    <font>
      <sz val="20"/>
      <name val="Arial"/>
      <family val="2"/>
      <charset val="177"/>
    </font>
    <font>
      <sz val="8"/>
      <name val="Arial"/>
      <family val="2"/>
      <charset val="177"/>
    </font>
    <font>
      <sz val="14"/>
      <name val="Arial"/>
      <family val="2"/>
      <charset val="177"/>
    </font>
    <font>
      <sz val="12"/>
      <name val="Arial"/>
      <family val="2"/>
      <charset val="177"/>
    </font>
    <font>
      <sz val="16"/>
      <name val="Arial"/>
      <family val="2"/>
      <charset val="177"/>
    </font>
    <font>
      <b/>
      <sz val="20"/>
      <name val="Arial"/>
      <family val="2"/>
      <charset val="177"/>
    </font>
    <font>
      <sz val="10"/>
      <color indexed="9"/>
      <name val="Arial"/>
      <family val="2"/>
      <charset val="177"/>
    </font>
    <font>
      <b/>
      <sz val="24"/>
      <name val="David"/>
      <family val="2"/>
      <charset val="177"/>
    </font>
    <font>
      <sz val="36"/>
      <name val="Arial"/>
      <family val="2"/>
      <charset val="177"/>
    </font>
    <font>
      <sz val="2"/>
      <name val="Arial"/>
      <family val="2"/>
      <charset val="177"/>
    </font>
    <font>
      <sz val="32"/>
      <color indexed="10"/>
      <name val="Arial"/>
      <family val="2"/>
      <charset val="177"/>
    </font>
    <font>
      <b/>
      <sz val="16"/>
      <name val="Arial"/>
      <family val="2"/>
      <charset val="177"/>
    </font>
    <font>
      <b/>
      <sz val="8"/>
      <name val="Arial"/>
      <family val="2"/>
      <charset val="177"/>
    </font>
    <font>
      <b/>
      <sz val="12"/>
      <color indexed="10"/>
      <name val="Arial"/>
      <family val="2"/>
      <charset val="177"/>
    </font>
    <font>
      <sz val="16"/>
      <color indexed="48"/>
      <name val="Arial"/>
      <family val="2"/>
      <charset val="177"/>
    </font>
    <font>
      <sz val="16"/>
      <color indexed="10"/>
      <name val="Arial"/>
      <family val="2"/>
      <charset val="177"/>
    </font>
    <font>
      <b/>
      <sz val="14"/>
      <name val="Arial"/>
      <family val="2"/>
      <charset val="177"/>
    </font>
    <font>
      <sz val="20"/>
      <name val="David"/>
      <family val="2"/>
      <charset val="177"/>
    </font>
    <font>
      <sz val="22"/>
      <name val="Arial"/>
      <family val="2"/>
      <charset val="177"/>
    </font>
    <font>
      <sz val="24"/>
      <name val="Arial"/>
      <family val="2"/>
      <charset val="177"/>
    </font>
    <font>
      <sz val="18"/>
      <color indexed="14"/>
      <name val="Arial"/>
      <family val="2"/>
      <charset val="177"/>
    </font>
    <font>
      <sz val="11"/>
      <name val="Arial"/>
      <family val="2"/>
      <charset val="177"/>
    </font>
    <font>
      <b/>
      <sz val="20"/>
      <color indexed="10"/>
      <name val="David"/>
      <family val="2"/>
      <charset val="177"/>
    </font>
    <font>
      <b/>
      <sz val="20"/>
      <color indexed="10"/>
      <name val="Arial"/>
      <family val="2"/>
    </font>
    <font>
      <sz val="20"/>
      <color indexed="10"/>
      <name val="Arial"/>
      <family val="2"/>
      <charset val="177"/>
    </font>
    <font>
      <sz val="12"/>
      <color indexed="10"/>
      <name val="Arial"/>
      <family val="2"/>
      <charset val="177"/>
    </font>
    <font>
      <sz val="12"/>
      <color indexed="19"/>
      <name val="Arial"/>
      <family val="2"/>
      <charset val="177"/>
    </font>
    <font>
      <sz val="12"/>
      <name val="Tahoma"/>
      <family val="2"/>
    </font>
    <font>
      <b/>
      <sz val="10"/>
      <color rgb="FFFF0000"/>
      <name val="David"/>
      <family val="2"/>
      <charset val="177"/>
    </font>
    <font>
      <b/>
      <sz val="10"/>
      <color theme="5" tint="-0.249977111117893"/>
      <name val="David"/>
      <family val="2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E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2">
    <border>
      <left/>
      <right/>
      <top/>
      <bottom/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ck">
        <color indexed="10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ck">
        <color indexed="10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36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36"/>
      </right>
      <top style="medium">
        <color indexed="36"/>
      </top>
      <bottom style="medium">
        <color indexed="36"/>
      </bottom>
      <diagonal/>
    </border>
    <border>
      <left style="double">
        <color indexed="3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 diagonalUp="1">
      <left style="medium">
        <color indexed="10"/>
      </left>
      <right style="medium">
        <color indexed="10"/>
      </right>
      <top style="medium">
        <color indexed="10"/>
      </top>
      <bottom style="thin">
        <color indexed="22"/>
      </bottom>
      <diagonal style="medium">
        <color indexed="10"/>
      </diagonal>
    </border>
    <border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/>
    </border>
    <border diagonalUp="1"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 style="medium">
        <color indexed="10"/>
      </diagonal>
    </border>
    <border diagonalUp="1">
      <left style="medium">
        <color indexed="10"/>
      </left>
      <right style="medium">
        <color indexed="10"/>
      </right>
      <top style="thin">
        <color indexed="22"/>
      </top>
      <bottom style="medium">
        <color indexed="10"/>
      </bottom>
      <diagonal style="medium">
        <color indexed="10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10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/>
      <right/>
      <top style="mediumDashDot">
        <color indexed="53"/>
      </top>
      <bottom/>
      <diagonal/>
    </border>
    <border>
      <left style="thin">
        <color indexed="22"/>
      </left>
      <right style="mediumDashDot">
        <color indexed="53"/>
      </right>
      <top style="mediumDashDot">
        <color indexed="53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/>
      <right/>
      <top/>
      <bottom style="mediumDashDot">
        <color indexed="53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5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19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mediumDashDot">
        <color indexed="53"/>
      </left>
      <right/>
      <top style="mediumDashDot">
        <color indexed="53"/>
      </top>
      <bottom/>
      <diagonal/>
    </border>
    <border>
      <left style="mediumDashDot">
        <color indexed="53"/>
      </left>
      <right/>
      <top/>
      <bottom/>
      <diagonal/>
    </border>
    <border>
      <left style="thick">
        <color indexed="13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ck">
        <color indexed="13"/>
      </right>
      <top style="thick">
        <color indexed="13"/>
      </top>
      <bottom style="thin">
        <color indexed="22"/>
      </bottom>
      <diagonal/>
    </border>
    <border>
      <left style="thick">
        <color indexed="13"/>
      </left>
      <right/>
      <top/>
      <bottom/>
      <diagonal/>
    </border>
    <border>
      <left/>
      <right style="thick">
        <color indexed="13"/>
      </right>
      <top style="thin">
        <color indexed="22"/>
      </top>
      <bottom/>
      <diagonal/>
    </border>
    <border>
      <left/>
      <right style="thick">
        <color indexed="13"/>
      </right>
      <top/>
      <bottom/>
      <diagonal/>
    </border>
    <border>
      <left style="thick">
        <color indexed="13"/>
      </left>
      <right/>
      <top/>
      <bottom style="thick">
        <color indexed="13"/>
      </bottom>
      <diagonal/>
    </border>
    <border>
      <left/>
      <right/>
      <top/>
      <bottom style="thick">
        <color indexed="13"/>
      </bottom>
      <diagonal/>
    </border>
    <border>
      <left/>
      <right style="thick">
        <color indexed="13"/>
      </right>
      <top/>
      <bottom style="thick">
        <color indexed="13"/>
      </bottom>
      <diagonal/>
    </border>
    <border>
      <left/>
      <right style="medium">
        <color indexed="14"/>
      </right>
      <top/>
      <bottom/>
      <diagonal/>
    </border>
    <border>
      <left style="thin">
        <color indexed="22"/>
      </left>
      <right style="medium">
        <color indexed="14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48"/>
      </bottom>
      <diagonal/>
    </border>
    <border>
      <left/>
      <right/>
      <top style="medium">
        <color indexed="64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48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64"/>
      </bottom>
      <diagonal/>
    </border>
    <border>
      <left/>
      <right/>
      <top/>
      <bottom style="medium">
        <color indexed="39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39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medium">
        <color indexed="39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39"/>
      </bottom>
      <diagonal/>
    </border>
    <border>
      <left/>
      <right/>
      <top style="medium">
        <color indexed="39"/>
      </top>
      <bottom/>
      <diagonal/>
    </border>
    <border>
      <left/>
      <right/>
      <top style="medium">
        <color indexed="38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double">
        <color indexed="61"/>
      </top>
      <bottom style="double">
        <color indexed="61"/>
      </bottom>
      <diagonal/>
    </border>
    <border>
      <left/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/>
      <top/>
      <bottom style="thick">
        <color indexed="10"/>
      </bottom>
      <diagonal/>
    </border>
    <border>
      <left/>
      <right/>
      <top/>
      <bottom style="thick">
        <color indexed="28"/>
      </bottom>
      <diagonal/>
    </border>
    <border>
      <left style="medium">
        <color indexed="45"/>
      </left>
      <right/>
      <top style="medium">
        <color indexed="45"/>
      </top>
      <bottom style="thin">
        <color indexed="22"/>
      </bottom>
      <diagonal/>
    </border>
    <border>
      <left/>
      <right style="medium">
        <color indexed="45"/>
      </right>
      <top style="medium">
        <color indexed="45"/>
      </top>
      <bottom style="thin">
        <color indexed="22"/>
      </bottom>
      <diagonal/>
    </border>
    <border>
      <left style="medium">
        <color indexed="45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45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11"/>
      </bottom>
      <diagonal/>
    </border>
    <border>
      <left style="medium">
        <color indexed="45"/>
      </left>
      <right/>
      <top style="thin">
        <color indexed="22"/>
      </top>
      <bottom style="medium">
        <color indexed="19"/>
      </bottom>
      <diagonal/>
    </border>
    <border>
      <left/>
      <right style="medium">
        <color indexed="45"/>
      </right>
      <top style="thin">
        <color indexed="22"/>
      </top>
      <bottom style="medium">
        <color indexed="19"/>
      </bottom>
      <diagonal/>
    </border>
    <border>
      <left style="medium">
        <color indexed="45"/>
      </left>
      <right/>
      <top/>
      <bottom style="thin">
        <color indexed="22"/>
      </bottom>
      <diagonal/>
    </border>
    <border>
      <left/>
      <right style="medium">
        <color indexed="45"/>
      </right>
      <top/>
      <bottom style="thin">
        <color indexed="22"/>
      </bottom>
      <diagonal/>
    </border>
    <border>
      <left/>
      <right/>
      <top/>
      <bottom style="medium">
        <color indexed="40"/>
      </bottom>
      <diagonal/>
    </border>
    <border>
      <left style="medium">
        <color indexed="45"/>
      </left>
      <right/>
      <top style="thin">
        <color indexed="22"/>
      </top>
      <bottom style="medium">
        <color indexed="62"/>
      </bottom>
      <diagonal/>
    </border>
    <border>
      <left/>
      <right style="medium">
        <color indexed="45"/>
      </right>
      <top style="thin">
        <color indexed="22"/>
      </top>
      <bottom style="medium">
        <color indexed="62"/>
      </bottom>
      <diagonal/>
    </border>
    <border>
      <left style="medium">
        <color indexed="45"/>
      </left>
      <right/>
      <top/>
      <bottom style="medium">
        <color indexed="45"/>
      </bottom>
      <diagonal/>
    </border>
    <border>
      <left/>
      <right style="medium">
        <color indexed="45"/>
      </right>
      <top/>
      <bottom style="medium">
        <color indexed="45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medium">
        <color indexed="20"/>
      </bottom>
      <diagonal/>
    </border>
    <border diagonalDown="1">
      <left/>
      <right/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/>
      <right style="thick">
        <color indexed="50"/>
      </right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 style="thick">
        <color indexed="53"/>
      </left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 style="thick">
        <color indexed="53"/>
      </right>
      <top style="thick">
        <color indexed="53"/>
      </top>
      <bottom style="thick">
        <color indexed="53"/>
      </bottom>
      <diagonal style="medium">
        <color indexed="53"/>
      </diagonal>
    </border>
    <border>
      <left style="dashed">
        <color indexed="22"/>
      </left>
      <right style="dashed">
        <color indexed="22"/>
      </right>
      <top style="dashed">
        <color indexed="22"/>
      </top>
      <bottom style="dashed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dashed">
        <color indexed="55"/>
      </bottom>
      <diagonal/>
    </border>
    <border>
      <left/>
      <right style="thick">
        <color indexed="10"/>
      </right>
      <top style="thick">
        <color indexed="10"/>
      </top>
      <bottom style="dashed">
        <color indexed="55"/>
      </bottom>
      <diagonal/>
    </border>
    <border>
      <left style="thick">
        <color indexed="10"/>
      </left>
      <right/>
      <top style="dashed">
        <color indexed="55"/>
      </top>
      <bottom style="dashed">
        <color indexed="55"/>
      </bottom>
      <diagonal/>
    </border>
    <border>
      <left/>
      <right style="thick">
        <color indexed="10"/>
      </right>
      <top style="dashed">
        <color indexed="55"/>
      </top>
      <bottom style="dashed">
        <color indexed="55"/>
      </bottom>
      <diagonal/>
    </border>
    <border>
      <left style="mediumDashed">
        <color indexed="36"/>
      </left>
      <right/>
      <top style="mediumDashed">
        <color indexed="36"/>
      </top>
      <bottom style="mediumDashed">
        <color indexed="36"/>
      </bottom>
      <diagonal/>
    </border>
    <border>
      <left/>
      <right style="thin">
        <color indexed="22"/>
      </right>
      <top style="mediumDashed">
        <color indexed="36"/>
      </top>
      <bottom style="mediumDashed">
        <color indexed="36"/>
      </bottom>
      <diagonal/>
    </border>
    <border>
      <left/>
      <right style="mediumDashed">
        <color indexed="36"/>
      </right>
      <top style="mediumDashed">
        <color indexed="36"/>
      </top>
      <bottom style="mediumDashed">
        <color indexed="36"/>
      </bottom>
      <diagonal/>
    </border>
    <border>
      <left style="thick">
        <color indexed="10"/>
      </left>
      <right/>
      <top style="dashed">
        <color indexed="55"/>
      </top>
      <bottom style="thick">
        <color indexed="10"/>
      </bottom>
      <diagonal/>
    </border>
    <border>
      <left/>
      <right style="thick">
        <color indexed="10"/>
      </right>
      <top style="dashed">
        <color indexed="55"/>
      </top>
      <bottom style="thick">
        <color indexed="10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 style="thick">
        <color indexed="36"/>
      </right>
      <top/>
      <bottom/>
      <diagonal/>
    </border>
    <border>
      <left style="thick">
        <color indexed="36"/>
      </left>
      <right style="thick">
        <color indexed="36"/>
      </right>
      <top/>
      <bottom style="thick">
        <color indexed="36"/>
      </bottom>
      <diagonal/>
    </border>
    <border>
      <left style="mediumDashDot">
        <color indexed="53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thin">
        <color indexed="22"/>
      </left>
      <right/>
      <top style="mediumDashDot">
        <color indexed="53"/>
      </top>
      <bottom style="thin">
        <color indexed="22"/>
      </bottom>
      <diagonal/>
    </border>
    <border>
      <left/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8EEF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</cellStyleXfs>
  <cellXfs count="1168">
    <xf numFmtId="0" fontId="0" fillId="0" borderId="0" xfId="0"/>
    <xf numFmtId="0" fontId="1" fillId="3" borderId="1" xfId="0" applyFont="1" applyFill="1" applyBorder="1" applyAlignment="1">
      <alignment horizontal="right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/>
    <xf numFmtId="0" fontId="3" fillId="2" borderId="0" xfId="0" applyFont="1" applyFill="1" applyAlignment="1">
      <alignment horizontal="right" vertical="top" wrapText="1"/>
    </xf>
    <xf numFmtId="0" fontId="6" fillId="0" borderId="2" xfId="0" applyFont="1" applyBorder="1" applyAlignment="1" applyProtection="1">
      <alignment horizontal="center" vertical="center"/>
    </xf>
    <xf numFmtId="164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12" fillId="14" borderId="2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15" fillId="15" borderId="4" xfId="1" applyFont="1" applyFill="1" applyBorder="1" applyAlignment="1">
      <alignment horizontal="right" vertical="top" wrapText="1" readingOrder="2"/>
    </xf>
    <xf numFmtId="0" fontId="3" fillId="16" borderId="0" xfId="0" applyFont="1" applyFill="1" applyAlignment="1">
      <alignment vertical="top" wrapText="1"/>
    </xf>
    <xf numFmtId="0" fontId="16" fillId="0" borderId="0" xfId="0" applyFont="1"/>
    <xf numFmtId="0" fontId="2" fillId="7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</xf>
    <xf numFmtId="14" fontId="0" fillId="7" borderId="6" xfId="0" applyNumberFormat="1" applyFill="1" applyBorder="1" applyAlignment="1" applyProtection="1">
      <alignment horizontal="center" vertical="center" wrapText="1"/>
      <protection locked="0"/>
    </xf>
    <xf numFmtId="14" fontId="0" fillId="17" borderId="6" xfId="0" applyNumberForma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165" fontId="17" fillId="18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  <protection locked="0"/>
    </xf>
    <xf numFmtId="165" fontId="17" fillId="18" borderId="13" xfId="0" applyNumberFormat="1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right" vertical="top" wrapText="1"/>
    </xf>
    <xf numFmtId="17" fontId="2" fillId="4" borderId="15" xfId="0" applyNumberFormat="1" applyFont="1" applyFill="1" applyBorder="1" applyAlignment="1" applyProtection="1">
      <alignment horizontal="right" vertical="top" wrapText="1"/>
    </xf>
    <xf numFmtId="0" fontId="2" fillId="4" borderId="15" xfId="0" applyFont="1" applyFill="1" applyBorder="1" applyAlignment="1" applyProtection="1">
      <alignment horizontal="right" vertical="top" wrapText="1"/>
    </xf>
    <xf numFmtId="17" fontId="2" fillId="0" borderId="6" xfId="0" applyNumberFormat="1" applyFont="1" applyBorder="1" applyAlignment="1" applyProtection="1">
      <alignment horizontal="center" vertical="center" wrapText="1"/>
    </xf>
    <xf numFmtId="0" fontId="2" fillId="4" borderId="16" xfId="0" applyFont="1" applyFill="1" applyBorder="1" applyAlignment="1" applyProtection="1">
      <alignment horizontal="right" vertical="top" wrapText="1"/>
    </xf>
    <xf numFmtId="17" fontId="2" fillId="4" borderId="17" xfId="0" applyNumberFormat="1" applyFont="1" applyFill="1" applyBorder="1" applyAlignment="1" applyProtection="1">
      <alignment horizontal="right" vertical="top" wrapText="1"/>
    </xf>
    <xf numFmtId="0" fontId="2" fillId="4" borderId="17" xfId="0" applyFont="1" applyFill="1" applyBorder="1" applyAlignment="1" applyProtection="1">
      <alignment horizontal="right" vertical="top" wrapText="1"/>
    </xf>
    <xf numFmtId="17" fontId="0" fillId="0" borderId="6" xfId="0" applyNumberFormat="1" applyBorder="1" applyAlignment="1" applyProtection="1">
      <alignment horizontal="center" vertical="center" wrapText="1"/>
    </xf>
    <xf numFmtId="2" fontId="0" fillId="19" borderId="6" xfId="0" applyNumberFormat="1" applyFill="1" applyBorder="1" applyAlignment="1" applyProtection="1">
      <alignment horizontal="center" vertical="center" wrapText="1"/>
    </xf>
    <xf numFmtId="17" fontId="2" fillId="4" borderId="14" xfId="0" applyNumberFormat="1" applyFont="1" applyFill="1" applyBorder="1" applyAlignment="1" applyProtection="1">
      <alignment horizontal="right" vertical="top" wrapText="1"/>
    </xf>
    <xf numFmtId="17" fontId="2" fillId="4" borderId="16" xfId="0" applyNumberFormat="1" applyFont="1" applyFill="1" applyBorder="1" applyAlignment="1" applyProtection="1">
      <alignment horizontal="right" vertical="top" wrapText="1"/>
    </xf>
    <xf numFmtId="14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165" fontId="0" fillId="19" borderId="6" xfId="0" applyNumberFormat="1" applyFill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center" vertical="center" wrapText="1"/>
    </xf>
    <xf numFmtId="165" fontId="17" fillId="18" borderId="19" xfId="0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165" fontId="0" fillId="0" borderId="24" xfId="0" applyNumberFormat="1" applyBorder="1" applyAlignment="1" applyProtection="1">
      <alignment horizontal="center" vertical="center" wrapText="1"/>
    </xf>
    <xf numFmtId="165" fontId="19" fillId="19" borderId="6" xfId="0" applyNumberFormat="1" applyFont="1" applyFill="1" applyBorder="1" applyAlignment="1" applyProtection="1">
      <alignment horizontal="center" vertical="center" wrapText="1"/>
    </xf>
    <xf numFmtId="0" fontId="0" fillId="20" borderId="6" xfId="0" applyFill="1" applyBorder="1" applyAlignment="1" applyProtection="1">
      <alignment horizontal="center" vertical="center" wrapText="1"/>
    </xf>
    <xf numFmtId="3" fontId="0" fillId="20" borderId="6" xfId="0" applyNumberFormat="1" applyFill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</xf>
    <xf numFmtId="14" fontId="0" fillId="0" borderId="6" xfId="0" applyNumberFormat="1" applyBorder="1" applyAlignment="1" applyProtection="1">
      <alignment horizontal="center" vertical="center" wrapText="1"/>
    </xf>
    <xf numFmtId="165" fontId="0" fillId="20" borderId="6" xfId="0" applyNumberFormat="1" applyFill="1" applyBorder="1" applyAlignment="1" applyProtection="1">
      <alignment horizontal="center" vertical="center" wrapText="1"/>
    </xf>
    <xf numFmtId="2" fontId="0" fillId="17" borderId="7" xfId="0" applyNumberFormat="1" applyFill="1" applyBorder="1" applyAlignment="1" applyProtection="1">
      <alignment horizontal="center" vertical="center" wrapText="1"/>
    </xf>
    <xf numFmtId="14" fontId="2" fillId="7" borderId="6" xfId="0" applyNumberFormat="1" applyFont="1" applyFill="1" applyBorder="1" applyAlignment="1" applyProtection="1">
      <alignment horizontal="center" vertical="center" wrapText="1"/>
    </xf>
    <xf numFmtId="166" fontId="0" fillId="21" borderId="6" xfId="0" applyNumberFormat="1" applyFill="1" applyBorder="1" applyAlignment="1" applyProtection="1">
      <alignment horizontal="center" vertical="center" wrapText="1"/>
    </xf>
    <xf numFmtId="4" fontId="0" fillId="17" borderId="7" xfId="0" applyNumberFormat="1" applyFill="1" applyBorder="1" applyAlignment="1" applyProtection="1">
      <alignment horizontal="center" vertical="center" wrapText="1"/>
    </xf>
    <xf numFmtId="0" fontId="0" fillId="0" borderId="6" xfId="0" applyNumberFormat="1" applyBorder="1" applyAlignment="1" applyProtection="1">
      <alignment horizontal="center" vertical="center" wrapText="1"/>
    </xf>
    <xf numFmtId="167" fontId="0" fillId="17" borderId="6" xfId="0" applyNumberFormat="1" applyFill="1" applyBorder="1" applyAlignment="1" applyProtection="1">
      <alignment horizontal="center" vertical="center" wrapText="1"/>
    </xf>
    <xf numFmtId="17" fontId="2" fillId="4" borderId="26" xfId="0" applyNumberFormat="1" applyFont="1" applyFill="1" applyBorder="1" applyAlignment="1" applyProtection="1">
      <alignment horizontal="right" vertical="top" wrapText="1"/>
    </xf>
    <xf numFmtId="0" fontId="2" fillId="4" borderId="27" xfId="0" applyFont="1" applyFill="1" applyBorder="1" applyAlignment="1" applyProtection="1">
      <alignment horizontal="right" vertical="top" wrapText="1"/>
    </xf>
    <xf numFmtId="4" fontId="0" fillId="9" borderId="6" xfId="0" applyNumberFormat="1" applyFill="1" applyBorder="1" applyAlignment="1" applyProtection="1">
      <alignment horizontal="center" vertical="center" wrapText="1"/>
    </xf>
    <xf numFmtId="0" fontId="2" fillId="4" borderId="28" xfId="0" applyFont="1" applyFill="1" applyBorder="1" applyAlignment="1" applyProtection="1">
      <alignment horizontal="right" vertical="top" wrapText="1"/>
    </xf>
    <xf numFmtId="0" fontId="0" fillId="19" borderId="6" xfId="0" applyFill="1" applyBorder="1" applyAlignment="1" applyProtection="1">
      <alignment horizontal="center" vertical="center" wrapText="1"/>
    </xf>
    <xf numFmtId="0" fontId="2" fillId="0" borderId="0" xfId="0" applyFont="1" applyProtection="1"/>
    <xf numFmtId="165" fontId="0" fillId="0" borderId="6" xfId="0" applyNumberFormat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165" fontId="0" fillId="7" borderId="6" xfId="0" applyNumberFormat="1" applyFill="1" applyBorder="1" applyAlignment="1" applyProtection="1">
      <alignment horizontal="center" vertical="center" wrapText="1"/>
    </xf>
    <xf numFmtId="10" fontId="0" fillId="22" borderId="6" xfId="0" applyNumberFormat="1" applyFill="1" applyBorder="1" applyAlignment="1" applyProtection="1">
      <alignment horizontal="center" vertical="center" wrapText="1"/>
    </xf>
    <xf numFmtId="0" fontId="2" fillId="10" borderId="6" xfId="0" applyFont="1" applyFill="1" applyBorder="1" applyAlignment="1" applyProtection="1">
      <alignment horizontal="center" vertical="center" wrapText="1"/>
    </xf>
    <xf numFmtId="4" fontId="0" fillId="19" borderId="6" xfId="0" applyNumberFormat="1" applyFill="1" applyBorder="1" applyAlignment="1" applyProtection="1">
      <alignment horizontal="center" vertical="center" wrapText="1"/>
    </xf>
    <xf numFmtId="165" fontId="0" fillId="17" borderId="6" xfId="0" applyNumberFormat="1" applyFill="1" applyBorder="1" applyAlignment="1" applyProtection="1">
      <alignment horizontal="center" vertical="center" wrapText="1"/>
    </xf>
    <xf numFmtId="0" fontId="0" fillId="7" borderId="20" xfId="0" applyFill="1" applyBorder="1" applyAlignment="1" applyProtection="1">
      <alignment horizontal="center" vertical="center" wrapText="1"/>
    </xf>
    <xf numFmtId="0" fontId="0" fillId="19" borderId="29" xfId="0" applyFill="1" applyBorder="1" applyAlignment="1" applyProtection="1">
      <alignment horizontal="center" vertical="center" wrapText="1"/>
    </xf>
    <xf numFmtId="0" fontId="0" fillId="19" borderId="21" xfId="0" applyFill="1" applyBorder="1" applyAlignment="1" applyProtection="1">
      <alignment horizontal="center" vertical="center" wrapText="1"/>
    </xf>
    <xf numFmtId="165" fontId="0" fillId="19" borderId="30" xfId="0" applyNumberFormat="1" applyFill="1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center" vertical="center" wrapText="1"/>
    </xf>
    <xf numFmtId="0" fontId="0" fillId="0" borderId="32" xfId="0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 wrapText="1"/>
    </xf>
    <xf numFmtId="165" fontId="0" fillId="0" borderId="34" xfId="0" applyNumberFormat="1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 wrapText="1"/>
    </xf>
    <xf numFmtId="17" fontId="0" fillId="0" borderId="21" xfId="0" applyNumberFormat="1" applyBorder="1" applyAlignment="1" applyProtection="1">
      <alignment horizontal="center" vertical="center" wrapText="1"/>
    </xf>
    <xf numFmtId="164" fontId="0" fillId="19" borderId="6" xfId="0" applyNumberFormat="1" applyFill="1" applyBorder="1" applyAlignment="1" applyProtection="1">
      <alignment horizontal="center" vertical="center" wrapText="1"/>
    </xf>
    <xf numFmtId="3" fontId="0" fillId="19" borderId="6" xfId="0" applyNumberFormat="1" applyFill="1" applyBorder="1" applyAlignment="1" applyProtection="1">
      <alignment horizontal="center" vertical="center" wrapText="1"/>
    </xf>
    <xf numFmtId="0" fontId="18" fillId="4" borderId="6" xfId="0" applyFont="1" applyFill="1" applyBorder="1" applyAlignment="1" applyProtection="1">
      <alignment horizontal="center" vertical="center" wrapText="1"/>
    </xf>
    <xf numFmtId="10" fontId="19" fillId="4" borderId="6" xfId="0" applyNumberFormat="1" applyFont="1" applyFill="1" applyBorder="1" applyAlignment="1" applyProtection="1">
      <alignment horizontal="center" vertical="center" wrapText="1"/>
    </xf>
    <xf numFmtId="165" fontId="19" fillId="4" borderId="6" xfId="0" applyNumberFormat="1" applyFont="1" applyFill="1" applyBorder="1" applyAlignment="1" applyProtection="1">
      <alignment horizontal="center" vertical="center" wrapText="1"/>
    </xf>
    <xf numFmtId="4" fontId="0" fillId="4" borderId="6" xfId="0" applyNumberFormat="1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49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0" borderId="6" xfId="0" applyFont="1" applyFill="1" applyBorder="1" applyAlignment="1" applyProtection="1">
      <alignment horizontal="center" vertical="center" wrapText="1"/>
    </xf>
    <xf numFmtId="4" fontId="0" fillId="24" borderId="6" xfId="0" applyNumberFormat="1" applyFill="1" applyBorder="1" applyAlignment="1" applyProtection="1">
      <alignment horizontal="center" vertical="center" wrapText="1"/>
    </xf>
    <xf numFmtId="49" fontId="0" fillId="7" borderId="6" xfId="0" applyNumberFormat="1" applyFill="1" applyBorder="1" applyAlignment="1" applyProtection="1">
      <alignment horizontal="center" vertical="center" wrapText="1"/>
      <protection locked="0"/>
    </xf>
    <xf numFmtId="0" fontId="19" fillId="0" borderId="6" xfId="0" applyFont="1" applyBorder="1" applyAlignment="1" applyProtection="1">
      <alignment horizontal="center" vertical="center" wrapText="1"/>
      <protection hidden="1"/>
    </xf>
    <xf numFmtId="0" fontId="19" fillId="0" borderId="6" xfId="0" applyFont="1" applyBorder="1" applyAlignment="1" applyProtection="1">
      <alignment horizontal="center" vertical="center" wrapText="1"/>
    </xf>
    <xf numFmtId="0" fontId="19" fillId="23" borderId="6" xfId="0" applyFont="1" applyFill="1" applyBorder="1" applyAlignment="1" applyProtection="1">
      <alignment horizontal="center" vertical="center" wrapText="1"/>
      <protection hidden="1"/>
    </xf>
    <xf numFmtId="0" fontId="0" fillId="0" borderId="36" xfId="0" applyBorder="1" applyAlignment="1" applyProtection="1">
      <alignment horizontal="center" vertical="center" wrapText="1"/>
    </xf>
    <xf numFmtId="0" fontId="22" fillId="0" borderId="37" xfId="0" applyFont="1" applyBorder="1" applyAlignment="1" applyProtection="1">
      <alignment horizontal="center" vertical="center" wrapText="1"/>
    </xf>
    <xf numFmtId="0" fontId="0" fillId="0" borderId="38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wrapText="1"/>
    </xf>
    <xf numFmtId="0" fontId="0" fillId="26" borderId="6" xfId="0" applyFill="1" applyBorder="1" applyAlignment="1" applyProtection="1">
      <alignment horizontal="center" vertical="center" wrapText="1"/>
    </xf>
    <xf numFmtId="0" fontId="0" fillId="27" borderId="6" xfId="0" applyFill="1" applyBorder="1" applyAlignment="1" applyProtection="1">
      <alignment horizontal="center" vertical="center" wrapText="1"/>
    </xf>
    <xf numFmtId="0" fontId="0" fillId="16" borderId="6" xfId="0" applyFill="1" applyBorder="1" applyAlignment="1" applyProtection="1">
      <alignment horizontal="center" vertical="center" wrapText="1"/>
    </xf>
    <xf numFmtId="0" fontId="0" fillId="28" borderId="6" xfId="0" applyFill="1" applyBorder="1" applyAlignment="1" applyProtection="1">
      <alignment horizontal="center" vertical="center" wrapText="1"/>
    </xf>
    <xf numFmtId="0" fontId="0" fillId="29" borderId="6" xfId="0" applyFill="1" applyBorder="1" applyAlignment="1" applyProtection="1">
      <alignment horizontal="center" vertical="center" wrapText="1"/>
    </xf>
    <xf numFmtId="0" fontId="0" fillId="30" borderId="6" xfId="0" applyFill="1" applyBorder="1" applyAlignment="1" applyProtection="1">
      <alignment horizontal="center" vertical="center" wrapText="1"/>
    </xf>
    <xf numFmtId="0" fontId="0" fillId="30" borderId="8" xfId="0" applyFill="1" applyBorder="1" applyAlignment="1" applyProtection="1">
      <alignment horizontal="center" vertical="center" wrapText="1"/>
    </xf>
    <xf numFmtId="0" fontId="0" fillId="30" borderId="12" xfId="0" applyFill="1" applyBorder="1" applyAlignment="1" applyProtection="1">
      <alignment horizontal="center" vertical="center" wrapText="1"/>
    </xf>
    <xf numFmtId="0" fontId="18" fillId="33" borderId="6" xfId="0" applyFont="1" applyFill="1" applyBorder="1" applyAlignment="1" applyProtection="1">
      <alignment horizontal="center" vertical="center" wrapText="1"/>
    </xf>
    <xf numFmtId="4" fontId="18" fillId="33" borderId="6" xfId="0" applyNumberFormat="1" applyFont="1" applyFill="1" applyBorder="1" applyAlignment="1" applyProtection="1">
      <alignment horizontal="center" vertical="center" wrapText="1"/>
    </xf>
    <xf numFmtId="165" fontId="20" fillId="28" borderId="25" xfId="0" applyNumberFormat="1" applyFont="1" applyFill="1" applyBorder="1" applyAlignment="1" applyProtection="1">
      <alignment horizontal="center" vertical="center" wrapText="1"/>
    </xf>
    <xf numFmtId="165" fontId="18" fillId="28" borderId="25" xfId="0" applyNumberFormat="1" applyFont="1" applyFill="1" applyBorder="1" applyAlignment="1" applyProtection="1">
      <alignment horizontal="center" vertical="center" wrapText="1"/>
    </xf>
    <xf numFmtId="168" fontId="0" fillId="16" borderId="6" xfId="0" applyNumberFormat="1" applyFill="1" applyBorder="1" applyAlignment="1" applyProtection="1">
      <alignment horizontal="center" vertical="center" wrapText="1"/>
    </xf>
    <xf numFmtId="0" fontId="2" fillId="27" borderId="6" xfId="0" applyFont="1" applyFill="1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shrinkToFit="1"/>
    </xf>
    <xf numFmtId="0" fontId="0" fillId="32" borderId="6" xfId="0" applyFill="1" applyBorder="1" applyAlignment="1" applyProtection="1">
      <alignment horizontal="center" vertical="center" wrapText="1"/>
    </xf>
    <xf numFmtId="3" fontId="19" fillId="16" borderId="6" xfId="0" applyNumberFormat="1" applyFont="1" applyFill="1" applyBorder="1" applyAlignment="1" applyProtection="1">
      <alignment horizontal="center" vertical="center" wrapText="1"/>
    </xf>
    <xf numFmtId="0" fontId="0" fillId="35" borderId="6" xfId="0" applyFill="1" applyBorder="1" applyAlignment="1" applyProtection="1">
      <alignment horizontal="center" vertical="center" wrapText="1"/>
    </xf>
    <xf numFmtId="165" fontId="21" fillId="36" borderId="6" xfId="0" applyNumberFormat="1" applyFont="1" applyFill="1" applyBorder="1" applyAlignment="1" applyProtection="1">
      <alignment horizontal="center" vertical="center" wrapText="1"/>
    </xf>
    <xf numFmtId="0" fontId="0" fillId="37" borderId="6" xfId="0" applyFill="1" applyBorder="1" applyAlignment="1" applyProtection="1">
      <alignment horizontal="center" vertical="center" wrapText="1"/>
    </xf>
    <xf numFmtId="165" fontId="0" fillId="2" borderId="6" xfId="0" applyNumberFormat="1" applyFill="1" applyBorder="1" applyAlignment="1" applyProtection="1">
      <alignment horizontal="center" vertical="center" wrapText="1"/>
    </xf>
    <xf numFmtId="0" fontId="0" fillId="34" borderId="6" xfId="0" applyFill="1" applyBorder="1" applyAlignment="1" applyProtection="1">
      <alignment horizontal="center" vertical="center" wrapText="1"/>
    </xf>
    <xf numFmtId="0" fontId="0" fillId="38" borderId="6" xfId="0" applyFill="1" applyBorder="1" applyAlignment="1" applyProtection="1">
      <alignment horizontal="center" vertical="center" wrapText="1"/>
    </xf>
    <xf numFmtId="165" fontId="0" fillId="39" borderId="6" xfId="0" applyNumberFormat="1" applyFill="1" applyBorder="1" applyAlignment="1" applyProtection="1">
      <alignment horizontal="center" vertical="center" wrapText="1"/>
    </xf>
    <xf numFmtId="0" fontId="0" fillId="39" borderId="6" xfId="0" applyFill="1" applyBorder="1" applyAlignment="1" applyProtection="1">
      <alignment horizontal="center" vertical="center" wrapText="1"/>
    </xf>
    <xf numFmtId="165" fontId="0" fillId="31" borderId="6" xfId="0" applyNumberFormat="1" applyFill="1" applyBorder="1" applyAlignment="1" applyProtection="1">
      <alignment horizontal="center" vertical="center" wrapText="1"/>
    </xf>
    <xf numFmtId="4" fontId="0" fillId="31" borderId="6" xfId="0" applyNumberFormat="1" applyFill="1" applyBorder="1" applyAlignment="1" applyProtection="1">
      <alignment horizontal="center" vertical="center" wrapText="1"/>
    </xf>
    <xf numFmtId="0" fontId="23" fillId="0" borderId="0" xfId="0" applyFont="1" applyBorder="1"/>
    <xf numFmtId="0" fontId="24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readingOrder="2"/>
    </xf>
    <xf numFmtId="0" fontId="7" fillId="0" borderId="0" xfId="0" applyFont="1" applyBorder="1" applyAlignment="1">
      <alignment horizontal="center" readingOrder="2"/>
    </xf>
    <xf numFmtId="169" fontId="7" fillId="0" borderId="0" xfId="0" applyNumberFormat="1" applyFont="1" applyBorder="1" applyAlignment="1">
      <alignment horizontal="center" readingOrder="2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25" fillId="7" borderId="40" xfId="0" applyFont="1" applyFill="1" applyBorder="1" applyAlignment="1">
      <alignment horizontal="center" vertical="center" wrapText="1" readingOrder="2"/>
    </xf>
    <xf numFmtId="0" fontId="25" fillId="7" borderId="40" xfId="0" applyFont="1" applyFill="1" applyBorder="1" applyAlignment="1">
      <alignment vertical="center" wrapText="1" readingOrder="2"/>
    </xf>
    <xf numFmtId="0" fontId="25" fillId="7" borderId="41" xfId="2" applyNumberFormat="1" applyFont="1" applyFill="1" applyBorder="1" applyAlignment="1">
      <alignment horizontal="center" vertical="center" wrapText="1" readingOrder="2"/>
    </xf>
    <xf numFmtId="170" fontId="25" fillId="7" borderId="42" xfId="2" applyNumberFormat="1" applyFont="1" applyFill="1" applyBorder="1" applyAlignment="1">
      <alignment horizontal="center" vertical="center" wrapText="1" readingOrder="2"/>
    </xf>
    <xf numFmtId="170" fontId="25" fillId="7" borderId="43" xfId="2" applyNumberFormat="1" applyFont="1" applyFill="1" applyBorder="1" applyAlignment="1">
      <alignment horizontal="center" vertical="center" wrapText="1" readingOrder="2"/>
    </xf>
    <xf numFmtId="170" fontId="25" fillId="7" borderId="40" xfId="2" applyNumberFormat="1" applyFont="1" applyFill="1" applyBorder="1" applyAlignment="1">
      <alignment horizontal="center" vertical="center" wrapText="1" readingOrder="2"/>
    </xf>
    <xf numFmtId="3" fontId="7" fillId="4" borderId="45" xfId="2" applyNumberFormat="1" applyFont="1" applyFill="1" applyBorder="1" applyAlignment="1">
      <alignment horizontal="center" vertical="center" wrapText="1" readingOrder="2"/>
    </xf>
    <xf numFmtId="171" fontId="7" fillId="4" borderId="45" xfId="2" applyNumberFormat="1" applyFont="1" applyFill="1" applyBorder="1" applyAlignment="1">
      <alignment horizontal="center" vertical="center" wrapText="1" readingOrder="2"/>
    </xf>
    <xf numFmtId="0" fontId="26" fillId="0" borderId="47" xfId="0" applyFont="1" applyBorder="1" applyAlignment="1">
      <alignment vertical="center" wrapText="1" readingOrder="2"/>
    </xf>
    <xf numFmtId="0" fontId="27" fillId="0" borderId="48" xfId="0" applyFont="1" applyBorder="1" applyAlignment="1">
      <alignment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50" xfId="0" applyFont="1" applyBorder="1" applyAlignment="1">
      <alignment vertical="center" wrapText="1"/>
    </xf>
    <xf numFmtId="0" fontId="8" fillId="0" borderId="47" xfId="0" applyFont="1" applyBorder="1" applyAlignment="1">
      <alignment horizontal="center" wrapText="1"/>
    </xf>
    <xf numFmtId="3" fontId="25" fillId="0" borderId="47" xfId="0" applyNumberFormat="1" applyFont="1" applyBorder="1" applyAlignment="1">
      <alignment horizontal="center" vertical="center" wrapText="1" readingOrder="2"/>
    </xf>
    <xf numFmtId="3" fontId="25" fillId="0" borderId="47" xfId="0" applyNumberFormat="1" applyFont="1" applyBorder="1" applyAlignment="1">
      <alignment horizontal="center" vertical="center" wrapText="1"/>
    </xf>
    <xf numFmtId="0" fontId="8" fillId="0" borderId="51" xfId="0" applyFont="1" applyBorder="1" applyAlignment="1">
      <alignment wrapText="1"/>
    </xf>
    <xf numFmtId="0" fontId="8" fillId="0" borderId="51" xfId="0" applyFont="1" applyBorder="1" applyAlignment="1">
      <alignment horizontal="center" wrapText="1"/>
    </xf>
    <xf numFmtId="3" fontId="25" fillId="0" borderId="51" xfId="0" applyNumberFormat="1" applyFont="1" applyBorder="1" applyAlignment="1">
      <alignment horizontal="center" vertical="center" wrapText="1"/>
    </xf>
    <xf numFmtId="170" fontId="26" fillId="0" borderId="51" xfId="2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28" fillId="0" borderId="53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5" fillId="7" borderId="55" xfId="0" applyFont="1" applyFill="1" applyBorder="1" applyAlignment="1">
      <alignment horizontal="center" vertical="center" wrapText="1" readingOrder="2"/>
    </xf>
    <xf numFmtId="0" fontId="0" fillId="0" borderId="0" xfId="0" applyBorder="1"/>
    <xf numFmtId="0" fontId="8" fillId="7" borderId="2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vertical="center"/>
    </xf>
    <xf numFmtId="3" fontId="26" fillId="4" borderId="45" xfId="2" applyNumberFormat="1" applyFont="1" applyFill="1" applyBorder="1" applyAlignment="1">
      <alignment horizontal="center" vertical="center" wrapText="1" readingOrder="2"/>
    </xf>
    <xf numFmtId="0" fontId="26" fillId="4" borderId="45" xfId="2" applyNumberFormat="1" applyFont="1" applyFill="1" applyBorder="1" applyAlignment="1">
      <alignment horizontal="center" vertical="center" wrapText="1" readingOrder="2"/>
    </xf>
    <xf numFmtId="169" fontId="26" fillId="4" borderId="45" xfId="2" applyNumberFormat="1" applyFont="1" applyFill="1" applyBorder="1" applyAlignment="1">
      <alignment horizontal="center" vertical="center" wrapText="1" readingOrder="2"/>
    </xf>
    <xf numFmtId="0" fontId="30" fillId="0" borderId="2" xfId="0" applyFont="1" applyBorder="1" applyAlignment="1">
      <alignment horizontal="center" vertical="center" wrapText="1" readingOrder="2"/>
    </xf>
    <xf numFmtId="0" fontId="30" fillId="0" borderId="2" xfId="0" applyFont="1" applyBorder="1" applyAlignment="1">
      <alignment horizontal="right" vertical="center" wrapText="1" readingOrder="2"/>
    </xf>
    <xf numFmtId="0" fontId="0" fillId="0" borderId="46" xfId="0" applyBorder="1"/>
    <xf numFmtId="169" fontId="26" fillId="4" borderId="46" xfId="2" applyNumberFormat="1" applyFont="1" applyFill="1" applyBorder="1" applyAlignment="1">
      <alignment horizontal="center" vertical="center" wrapText="1" readingOrder="2"/>
    </xf>
    <xf numFmtId="3" fontId="25" fillId="4" borderId="47" xfId="2" applyNumberFormat="1" applyFont="1" applyFill="1" applyBorder="1" applyAlignment="1">
      <alignment horizontal="center" vertical="center" wrapText="1" readingOrder="2"/>
    </xf>
    <xf numFmtId="3" fontId="25" fillId="4" borderId="0" xfId="2" applyNumberFormat="1" applyFont="1" applyFill="1" applyBorder="1" applyAlignment="1">
      <alignment horizontal="center" vertical="center" wrapText="1" readingOrder="2"/>
    </xf>
    <xf numFmtId="0" fontId="10" fillId="0" borderId="0" xfId="0" applyFont="1" applyBorder="1" applyProtection="1"/>
    <xf numFmtId="0" fontId="10" fillId="0" borderId="56" xfId="0" applyFont="1" applyBorder="1" applyProtection="1"/>
    <xf numFmtId="169" fontId="26" fillId="4" borderId="0" xfId="2" applyNumberFormat="1" applyFont="1" applyFill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0" fillId="0" borderId="57" xfId="0" applyBorder="1"/>
    <xf numFmtId="0" fontId="2" fillId="4" borderId="2" xfId="0" applyFont="1" applyFill="1" applyBorder="1"/>
    <xf numFmtId="0" fontId="0" fillId="4" borderId="2" xfId="0" applyFill="1" applyBorder="1"/>
    <xf numFmtId="0" fontId="26" fillId="0" borderId="2" xfId="0" applyFont="1" applyBorder="1" applyAlignment="1">
      <alignment horizontal="center" vertical="center" wrapText="1" readingOrder="2"/>
    </xf>
    <xf numFmtId="0" fontId="26" fillId="0" borderId="2" xfId="0" applyFont="1" applyBorder="1" applyAlignment="1">
      <alignment horizontal="right" vertical="center" wrapText="1" readingOrder="2"/>
    </xf>
    <xf numFmtId="0" fontId="26" fillId="0" borderId="2" xfId="0" applyFont="1" applyBorder="1" applyAlignment="1">
      <alignment wrapText="1"/>
    </xf>
    <xf numFmtId="3" fontId="26" fillId="4" borderId="2" xfId="0" applyNumberFormat="1" applyFont="1" applyFill="1" applyBorder="1" applyAlignment="1">
      <alignment wrapText="1"/>
    </xf>
    <xf numFmtId="170" fontId="26" fillId="4" borderId="2" xfId="2" applyNumberFormat="1" applyFont="1" applyFill="1" applyBorder="1" applyAlignment="1">
      <alignment wrapText="1"/>
    </xf>
    <xf numFmtId="0" fontId="26" fillId="4" borderId="2" xfId="0" applyFont="1" applyFill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1" fontId="28" fillId="0" borderId="54" xfId="0" applyNumberFormat="1" applyFont="1" applyBorder="1" applyAlignment="1">
      <alignment horizontal="center" vertical="center"/>
    </xf>
    <xf numFmtId="1" fontId="26" fillId="4" borderId="45" xfId="2" applyNumberFormat="1" applyFont="1" applyFill="1" applyBorder="1" applyAlignment="1">
      <alignment horizontal="center" vertical="center" wrapText="1" readingOrder="2"/>
    </xf>
    <xf numFmtId="1" fontId="0" fillId="0" borderId="0" xfId="0" applyNumberFormat="1"/>
    <xf numFmtId="1" fontId="25" fillId="4" borderId="47" xfId="2" applyNumberFormat="1" applyFont="1" applyFill="1" applyBorder="1" applyAlignment="1">
      <alignment horizontal="center" vertical="center" wrapText="1" readingOrder="2"/>
    </xf>
    <xf numFmtId="1" fontId="26" fillId="4" borderId="0" xfId="2" applyNumberFormat="1" applyFont="1" applyFill="1" applyBorder="1" applyAlignment="1">
      <alignment horizontal="center" vertical="center" wrapText="1" readingOrder="2"/>
    </xf>
    <xf numFmtId="1" fontId="0" fillId="0" borderId="0" xfId="0" applyNumberFormat="1" applyBorder="1"/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5" fillId="4" borderId="58" xfId="2" applyNumberFormat="1" applyFont="1" applyFill="1" applyBorder="1" applyAlignment="1">
      <alignment horizontal="center" vertical="center" wrapText="1" readingOrder="2"/>
    </xf>
    <xf numFmtId="3" fontId="25" fillId="4" borderId="47" xfId="2" applyNumberFormat="1" applyFont="1" applyFill="1" applyBorder="1" applyAlignment="1">
      <alignment horizontal="center" vertical="center" wrapText="1" readingOrder="2"/>
    </xf>
    <xf numFmtId="0" fontId="0" fillId="0" borderId="10" xfId="0" applyBorder="1" applyAlignment="1" applyProtection="1">
      <alignment horizontal="center" vertical="center" wrapText="1"/>
    </xf>
    <xf numFmtId="3" fontId="25" fillId="4" borderId="47" xfId="2" applyNumberFormat="1" applyFont="1" applyFill="1" applyBorder="1" applyAlignment="1">
      <alignment horizontal="center" vertical="center" wrapText="1" readingOrder="2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1" fillId="0" borderId="0" xfId="0" applyFont="1" applyBorder="1" applyAlignment="1">
      <alignment vertical="center"/>
    </xf>
    <xf numFmtId="0" fontId="0" fillId="0" borderId="0" xfId="0" applyProtection="1">
      <protection hidden="1"/>
    </xf>
    <xf numFmtId="4" fontId="3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4" fontId="0" fillId="0" borderId="2" xfId="0" applyNumberFormat="1" applyFill="1" applyBorder="1" applyAlignment="1" applyProtection="1">
      <alignment horizontal="center" vertical="center" wrapText="1"/>
      <protection hidden="1"/>
    </xf>
    <xf numFmtId="10" fontId="0" fillId="0" borderId="2" xfId="0" applyNumberFormat="1" applyFill="1" applyBorder="1" applyAlignment="1" applyProtection="1">
      <alignment horizontal="center" vertical="center" wrapText="1"/>
      <protection hidden="1"/>
    </xf>
    <xf numFmtId="42" fontId="0" fillId="0" borderId="2" xfId="0" applyNumberForma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42" fontId="0" fillId="0" borderId="0" xfId="0" applyNumberFormat="1"/>
    <xf numFmtId="0" fontId="0" fillId="0" borderId="65" xfId="0" applyBorder="1"/>
    <xf numFmtId="0" fontId="0" fillId="0" borderId="2" xfId="0" applyBorder="1" applyAlignment="1">
      <alignment horizontal="left" vertical="center"/>
    </xf>
    <xf numFmtId="42" fontId="0" fillId="0" borderId="2" xfId="0" applyNumberFormat="1" applyBorder="1" applyAlignment="1">
      <alignment horizontal="center" vertical="center"/>
    </xf>
    <xf numFmtId="0" fontId="0" fillId="0" borderId="66" xfId="0" applyBorder="1"/>
    <xf numFmtId="44" fontId="0" fillId="0" borderId="0" xfId="0" applyNumberFormat="1"/>
    <xf numFmtId="44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2" fontId="0" fillId="2" borderId="2" xfId="0" applyNumberFormat="1" applyFill="1" applyBorder="1" applyAlignment="1">
      <alignment horizontal="center" vertical="center"/>
    </xf>
    <xf numFmtId="42" fontId="33" fillId="0" borderId="2" xfId="0" applyNumberFormat="1" applyFont="1" applyBorder="1" applyProtection="1">
      <protection hidden="1"/>
    </xf>
    <xf numFmtId="4" fontId="0" fillId="0" borderId="0" xfId="0" applyNumberFormat="1" applyBorder="1"/>
    <xf numFmtId="42" fontId="0" fillId="0" borderId="2" xfId="0" applyNumberFormat="1" applyFill="1" applyBorder="1" applyAlignment="1">
      <alignment horizontal="center" vertical="center"/>
    </xf>
    <xf numFmtId="44" fontId="33" fillId="0" borderId="2" xfId="0" applyNumberFormat="1" applyFont="1" applyBorder="1" applyProtection="1">
      <protection hidden="1"/>
    </xf>
    <xf numFmtId="42" fontId="0" fillId="0" borderId="65" xfId="0" applyNumberFormat="1" applyBorder="1"/>
    <xf numFmtId="0" fontId="0" fillId="0" borderId="0" xfId="0" applyBorder="1" applyAlignment="1" applyProtection="1">
      <protection hidden="1"/>
    </xf>
    <xf numFmtId="44" fontId="0" fillId="0" borderId="0" xfId="0" applyNumberFormat="1" applyBorder="1"/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vertical="top"/>
      <protection hidden="1"/>
    </xf>
    <xf numFmtId="0" fontId="0" fillId="2" borderId="2" xfId="0" applyFill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34" fillId="41" borderId="0" xfId="0" applyFont="1" applyFill="1" applyBorder="1"/>
    <xf numFmtId="165" fontId="35" fillId="0" borderId="0" xfId="0" applyNumberFormat="1" applyFont="1" applyAlignment="1" applyProtection="1">
      <alignment horizontal="center" vertical="center" wrapText="1"/>
    </xf>
    <xf numFmtId="165" fontId="36" fillId="0" borderId="0" xfId="0" applyNumberFormat="1" applyFont="1" applyAlignment="1" applyProtection="1">
      <alignment horizontal="center" vertical="center"/>
    </xf>
    <xf numFmtId="165" fontId="36" fillId="0" borderId="0" xfId="0" applyNumberFormat="1" applyFont="1" applyAlignment="1" applyProtection="1">
      <alignment horizontal="center" vertical="center" shrinkToFit="1"/>
    </xf>
    <xf numFmtId="165" fontId="36" fillId="17" borderId="0" xfId="0" applyNumberFormat="1" applyFont="1" applyFill="1" applyAlignment="1" applyProtection="1">
      <alignment horizontal="center" vertical="center"/>
    </xf>
    <xf numFmtId="165" fontId="36" fillId="42" borderId="0" xfId="0" applyNumberFormat="1" applyFont="1" applyFill="1" applyAlignment="1" applyProtection="1">
      <alignment horizontal="center" vertical="center"/>
    </xf>
    <xf numFmtId="165" fontId="36" fillId="0" borderId="0" xfId="0" applyNumberFormat="1" applyFont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2" fontId="8" fillId="0" borderId="2" xfId="0" applyNumberFormat="1" applyFont="1" applyBorder="1" applyAlignment="1" applyProtection="1">
      <alignment horizontal="center" vertical="center"/>
    </xf>
    <xf numFmtId="10" fontId="8" fillId="0" borderId="2" xfId="0" applyNumberFormat="1" applyFont="1" applyBorder="1" applyAlignment="1" applyProtection="1">
      <alignment horizontal="center" vertical="center"/>
    </xf>
    <xf numFmtId="165" fontId="8" fillId="0" borderId="2" xfId="0" applyNumberFormat="1" applyFont="1" applyBorder="1" applyAlignment="1" applyProtection="1">
      <alignment horizontal="center" vertical="center"/>
    </xf>
    <xf numFmtId="8" fontId="8" fillId="0" borderId="2" xfId="0" applyNumberFormat="1" applyFont="1" applyBorder="1" applyAlignment="1" applyProtection="1">
      <alignment horizontal="center" vertical="center"/>
    </xf>
    <xf numFmtId="165" fontId="38" fillId="26" borderId="2" xfId="0" applyNumberFormat="1" applyFont="1" applyFill="1" applyBorder="1" applyAlignment="1" applyProtection="1">
      <alignment horizontal="center" vertical="center"/>
    </xf>
    <xf numFmtId="165" fontId="39" fillId="26" borderId="2" xfId="0" applyNumberFormat="1" applyFont="1" applyFill="1" applyBorder="1" applyAlignment="1" applyProtection="1">
      <alignment horizontal="center" vertical="center"/>
    </xf>
    <xf numFmtId="165" fontId="37" fillId="26" borderId="2" xfId="0" applyNumberFormat="1" applyFont="1" applyFill="1" applyBorder="1" applyAlignment="1" applyProtection="1">
      <alignment horizontal="center" vertical="center"/>
    </xf>
    <xf numFmtId="165" fontId="36" fillId="23" borderId="0" xfId="0" applyNumberFormat="1" applyFont="1" applyFill="1" applyAlignment="1" applyProtection="1">
      <alignment horizontal="center" vertical="center" wrapText="1"/>
    </xf>
    <xf numFmtId="165" fontId="36" fillId="24" borderId="0" xfId="0" applyNumberFormat="1" applyFont="1" applyFill="1" applyAlignment="1" applyProtection="1">
      <alignment horizontal="center" vertical="center" wrapText="1"/>
    </xf>
    <xf numFmtId="165" fontId="36" fillId="6" borderId="0" xfId="0" applyNumberFormat="1" applyFont="1" applyFill="1" applyAlignment="1" applyProtection="1">
      <alignment horizontal="center" vertical="center" wrapText="1"/>
    </xf>
    <xf numFmtId="165" fontId="36" fillId="8" borderId="0" xfId="0" applyNumberFormat="1" applyFont="1" applyFill="1" applyAlignment="1" applyProtection="1">
      <alignment horizontal="center" vertical="center" wrapText="1"/>
    </xf>
    <xf numFmtId="165" fontId="36" fillId="42" borderId="0" xfId="0" applyNumberFormat="1" applyFont="1" applyFill="1" applyAlignment="1" applyProtection="1">
      <alignment horizontal="center" vertical="center" wrapText="1"/>
    </xf>
    <xf numFmtId="165" fontId="36" fillId="43" borderId="0" xfId="0" applyNumberFormat="1" applyFont="1" applyFill="1" applyAlignment="1" applyProtection="1">
      <alignment horizontal="center" vertical="center" wrapText="1"/>
    </xf>
    <xf numFmtId="165" fontId="36" fillId="23" borderId="0" xfId="0" applyNumberFormat="1" applyFont="1" applyFill="1" applyAlignment="1" applyProtection="1">
      <alignment horizontal="center" vertical="center"/>
    </xf>
    <xf numFmtId="165" fontId="36" fillId="24" borderId="0" xfId="0" applyNumberFormat="1" applyFont="1" applyFill="1" applyAlignment="1" applyProtection="1">
      <alignment horizontal="center" vertical="center"/>
    </xf>
    <xf numFmtId="165" fontId="36" fillId="6" borderId="0" xfId="0" applyNumberFormat="1" applyFont="1" applyFill="1" applyAlignment="1" applyProtection="1">
      <alignment horizontal="center" vertical="center"/>
    </xf>
    <xf numFmtId="165" fontId="36" fillId="8" borderId="0" xfId="0" applyNumberFormat="1" applyFont="1" applyFill="1" applyAlignment="1" applyProtection="1">
      <alignment horizontal="center" vertical="center"/>
    </xf>
    <xf numFmtId="165" fontId="36" fillId="43" borderId="0" xfId="0" applyNumberFormat="1" applyFont="1" applyFill="1" applyAlignment="1" applyProtection="1">
      <alignment horizontal="center" vertical="center"/>
    </xf>
    <xf numFmtId="165" fontId="36" fillId="25" borderId="0" xfId="0" applyNumberFormat="1" applyFont="1" applyFill="1" applyAlignment="1" applyProtection="1">
      <alignment horizontal="center" vertical="center" wrapText="1"/>
    </xf>
    <xf numFmtId="165" fontId="36" fillId="44" borderId="0" xfId="0" applyNumberFormat="1" applyFont="1" applyFill="1" applyAlignment="1" applyProtection="1">
      <alignment horizontal="center" vertical="center" wrapText="1"/>
    </xf>
    <xf numFmtId="165" fontId="36" fillId="16" borderId="0" xfId="0" applyNumberFormat="1" applyFont="1" applyFill="1" applyAlignment="1" applyProtection="1">
      <alignment horizontal="center" vertical="center" wrapText="1"/>
    </xf>
    <xf numFmtId="165" fontId="36" fillId="45" borderId="0" xfId="0" applyNumberFormat="1" applyFont="1" applyFill="1" applyAlignment="1" applyProtection="1">
      <alignment horizontal="center" vertical="center" wrapText="1"/>
    </xf>
    <xf numFmtId="165" fontId="36" fillId="26" borderId="0" xfId="0" applyNumberFormat="1" applyFont="1" applyFill="1" applyAlignment="1" applyProtection="1">
      <alignment horizontal="center" vertical="center"/>
    </xf>
    <xf numFmtId="165" fontId="36" fillId="26" borderId="6" xfId="0" applyNumberFormat="1" applyFont="1" applyFill="1" applyBorder="1" applyAlignment="1" applyProtection="1">
      <alignment horizontal="center" vertical="center" wrapText="1"/>
    </xf>
    <xf numFmtId="165" fontId="36" fillId="26" borderId="0" xfId="0" applyNumberFormat="1" applyFont="1" applyFill="1" applyAlignment="1">
      <alignment horizontal="center" vertical="center"/>
    </xf>
    <xf numFmtId="165" fontId="36" fillId="26" borderId="6" xfId="0" applyNumberFormat="1" applyFont="1" applyFill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0" fillId="0" borderId="0" xfId="0" applyBorder="1" applyProtection="1"/>
    <xf numFmtId="0" fontId="0" fillId="0" borderId="0" xfId="0" applyNumberFormat="1" applyBorder="1" applyProtection="1"/>
    <xf numFmtId="0" fontId="0" fillId="0" borderId="2" xfId="0" applyBorder="1" applyProtection="1"/>
    <xf numFmtId="0" fontId="25" fillId="7" borderId="44" xfId="0" applyFont="1" applyFill="1" applyBorder="1" applyAlignment="1">
      <alignment horizontal="center" vertical="center" wrapText="1" readingOrder="2"/>
    </xf>
    <xf numFmtId="0" fontId="25" fillId="7" borderId="70" xfId="0" applyFont="1" applyFill="1" applyBorder="1" applyAlignment="1">
      <alignment horizontal="center" vertical="center" wrapText="1" readingOrder="2"/>
    </xf>
    <xf numFmtId="0" fontId="40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169" fontId="7" fillId="4" borderId="45" xfId="2" applyNumberFormat="1" applyFont="1" applyFill="1" applyBorder="1" applyAlignment="1">
      <alignment horizontal="center" vertical="center" wrapText="1" readingOrder="2"/>
    </xf>
    <xf numFmtId="0" fontId="7" fillId="0" borderId="2" xfId="0" applyFont="1" applyBorder="1" applyProtection="1"/>
    <xf numFmtId="0" fontId="7" fillId="0" borderId="0" xfId="0" applyFont="1" applyBorder="1" applyProtection="1"/>
    <xf numFmtId="0" fontId="30" fillId="0" borderId="0" xfId="0" applyFont="1" applyBorder="1" applyProtection="1"/>
    <xf numFmtId="0" fontId="30" fillId="0" borderId="2" xfId="0" applyFont="1" applyBorder="1" applyProtection="1"/>
    <xf numFmtId="170" fontId="7" fillId="0" borderId="0" xfId="0" applyNumberFormat="1" applyFont="1" applyBorder="1" applyProtection="1"/>
    <xf numFmtId="0" fontId="7" fillId="0" borderId="46" xfId="0" applyFont="1" applyBorder="1" applyProtection="1"/>
    <xf numFmtId="0" fontId="30" fillId="0" borderId="46" xfId="0" applyFont="1" applyBorder="1" applyProtection="1"/>
    <xf numFmtId="3" fontId="25" fillId="4" borderId="48" xfId="2" applyNumberFormat="1" applyFont="1" applyFill="1" applyBorder="1" applyAlignment="1">
      <alignment horizontal="center" vertical="center" wrapText="1" readingOrder="2"/>
    </xf>
    <xf numFmtId="3" fontId="25" fillId="4" borderId="71" xfId="2" applyNumberFormat="1" applyFont="1" applyFill="1" applyBorder="1" applyAlignment="1">
      <alignment horizontal="center" vertical="center" wrapText="1" readingOrder="2"/>
    </xf>
    <xf numFmtId="0" fontId="10" fillId="0" borderId="72" xfId="0" applyFont="1" applyBorder="1" applyProtection="1"/>
    <xf numFmtId="0" fontId="10" fillId="0" borderId="73" xfId="0" applyFont="1" applyBorder="1" applyProtection="1"/>
    <xf numFmtId="0" fontId="10" fillId="0" borderId="74" xfId="0" applyFont="1" applyBorder="1" applyProtection="1"/>
    <xf numFmtId="3" fontId="25" fillId="4" borderId="75" xfId="2" applyNumberFormat="1" applyFont="1" applyFill="1" applyBorder="1" applyAlignment="1">
      <alignment horizontal="center" vertical="center" wrapText="1" readingOrder="2"/>
    </xf>
    <xf numFmtId="0" fontId="10" fillId="0" borderId="76" xfId="0" applyFont="1" applyBorder="1" applyProtection="1"/>
    <xf numFmtId="0" fontId="10" fillId="0" borderId="77" xfId="0" applyFont="1" applyBorder="1" applyProtection="1"/>
    <xf numFmtId="0" fontId="10" fillId="0" borderId="54" xfId="0" applyFont="1" applyBorder="1" applyProtection="1"/>
    <xf numFmtId="0" fontId="0" fillId="0" borderId="51" xfId="0" applyBorder="1" applyProtection="1"/>
    <xf numFmtId="0" fontId="40" fillId="0" borderId="0" xfId="0" applyFont="1" applyBorder="1" applyProtection="1"/>
    <xf numFmtId="169" fontId="40" fillId="0" borderId="0" xfId="0" applyNumberFormat="1" applyFont="1" applyBorder="1" applyProtection="1"/>
    <xf numFmtId="170" fontId="40" fillId="0" borderId="52" xfId="0" applyNumberFormat="1" applyFont="1" applyBorder="1" applyProtection="1"/>
    <xf numFmtId="0" fontId="0" fillId="0" borderId="52" xfId="0" applyBorder="1" applyProtection="1"/>
    <xf numFmtId="0" fontId="0" fillId="0" borderId="45" xfId="0" applyBorder="1" applyProtection="1"/>
    <xf numFmtId="0" fontId="0" fillId="0" borderId="5" xfId="0" applyBorder="1" applyProtection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165" fontId="0" fillId="42" borderId="6" xfId="0" applyNumberFormat="1" applyFill="1" applyBorder="1" applyAlignment="1" applyProtection="1">
      <alignment horizontal="center" vertical="center"/>
    </xf>
    <xf numFmtId="0" fontId="0" fillId="14" borderId="6" xfId="0" applyFill="1" applyBorder="1" applyAlignment="1" applyProtection="1">
      <alignment horizontal="center" vertical="center"/>
    </xf>
    <xf numFmtId="165" fontId="0" fillId="14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9" borderId="6" xfId="0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wrapText="1"/>
    </xf>
    <xf numFmtId="3" fontId="0" fillId="4" borderId="6" xfId="0" applyNumberFormat="1" applyFill="1" applyBorder="1" applyAlignment="1" applyProtection="1">
      <alignment horizontal="center" vertical="center" wrapText="1"/>
    </xf>
    <xf numFmtId="4" fontId="0" fillId="0" borderId="6" xfId="0" applyNumberFormat="1" applyBorder="1" applyAlignment="1" applyProtection="1">
      <alignment horizontal="center" vertical="center" wrapText="1"/>
    </xf>
    <xf numFmtId="165" fontId="0" fillId="4" borderId="6" xfId="0" applyNumberFormat="1" applyFill="1" applyBorder="1" applyAlignment="1" applyProtection="1">
      <alignment horizontal="center" vertical="center" wrapText="1"/>
    </xf>
    <xf numFmtId="2" fontId="0" fillId="46" borderId="6" xfId="0" applyNumberFormat="1" applyFill="1" applyBorder="1" applyAlignment="1" applyProtection="1">
      <alignment horizontal="center" vertical="center" wrapText="1"/>
    </xf>
    <xf numFmtId="10" fontId="0" fillId="4" borderId="6" xfId="0" applyNumberFormat="1" applyFill="1" applyBorder="1" applyAlignment="1" applyProtection="1">
      <alignment horizontal="center" vertical="center" wrapText="1"/>
    </xf>
    <xf numFmtId="0" fontId="48" fillId="49" borderId="0" xfId="0" applyFont="1" applyFill="1" applyAlignment="1" applyProtection="1">
      <alignment horizontal="center" vertical="center"/>
    </xf>
    <xf numFmtId="14" fontId="0" fillId="11" borderId="6" xfId="0" applyNumberFormat="1" applyFill="1" applyBorder="1" applyAlignment="1" applyProtection="1">
      <alignment horizontal="center" vertical="center" wrapText="1"/>
    </xf>
    <xf numFmtId="4" fontId="0" fillId="20" borderId="6" xfId="0" applyNumberFormat="1" applyFill="1" applyBorder="1" applyAlignment="1" applyProtection="1">
      <alignment horizontal="center" vertical="center" wrapText="1"/>
    </xf>
    <xf numFmtId="4" fontId="0" fillId="11" borderId="6" xfId="0" applyNumberFormat="1" applyFill="1" applyBorder="1" applyAlignment="1" applyProtection="1">
      <alignment horizontal="center" vertical="center" wrapText="1"/>
    </xf>
    <xf numFmtId="165" fontId="0" fillId="9" borderId="6" xfId="0" applyNumberFormat="1" applyFill="1" applyBorder="1" applyAlignment="1" applyProtection="1">
      <alignment horizontal="center" vertical="center" wrapText="1"/>
    </xf>
    <xf numFmtId="3" fontId="0" fillId="17" borderId="0" xfId="0" applyNumberFormat="1" applyFill="1" applyAlignment="1" applyProtection="1">
      <alignment horizontal="center" vertical="center"/>
    </xf>
    <xf numFmtId="4" fontId="0" fillId="50" borderId="6" xfId="0" applyNumberFormat="1" applyFill="1" applyBorder="1" applyAlignment="1" applyProtection="1">
      <alignment horizontal="center" vertical="center" wrapText="1"/>
    </xf>
    <xf numFmtId="10" fontId="0" fillId="50" borderId="6" xfId="0" applyNumberFormat="1" applyFill="1" applyBorder="1" applyAlignment="1" applyProtection="1">
      <alignment horizontal="center" vertical="center" wrapText="1"/>
    </xf>
    <xf numFmtId="4" fontId="0" fillId="43" borderId="0" xfId="0" applyNumberFormat="1" applyFill="1" applyAlignment="1" applyProtection="1">
      <alignment horizontal="center" vertical="center"/>
    </xf>
    <xf numFmtId="2" fontId="0" fillId="9" borderId="6" xfId="0" applyNumberFormat="1" applyFill="1" applyBorder="1" applyAlignment="1" applyProtection="1">
      <alignment horizontal="center" vertical="center" wrapText="1"/>
    </xf>
    <xf numFmtId="0" fontId="0" fillId="11" borderId="6" xfId="0" applyFill="1" applyBorder="1" applyAlignment="1" applyProtection="1">
      <alignment horizontal="center" vertical="center" wrapText="1"/>
    </xf>
    <xf numFmtId="3" fontId="0" fillId="0" borderId="6" xfId="0" applyNumberFormat="1" applyBorder="1" applyAlignment="1" applyProtection="1">
      <alignment horizontal="center" vertical="center" wrapText="1"/>
    </xf>
    <xf numFmtId="3" fontId="0" fillId="9" borderId="6" xfId="0" applyNumberFormat="1" applyFill="1" applyBorder="1" applyAlignment="1" applyProtection="1">
      <alignment horizontal="center" vertical="center" wrapText="1"/>
    </xf>
    <xf numFmtId="3" fontId="0" fillId="48" borderId="6" xfId="0" applyNumberFormat="1" applyFill="1" applyBorder="1" applyAlignment="1" applyProtection="1">
      <alignment horizontal="center" vertical="center" wrapText="1"/>
    </xf>
    <xf numFmtId="165" fontId="45" fillId="8" borderId="6" xfId="0" applyNumberFormat="1" applyFont="1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shrinkToFit="1"/>
    </xf>
    <xf numFmtId="165" fontId="0" fillId="11" borderId="6" xfId="0" applyNumberFormat="1" applyFill="1" applyBorder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165" fontId="0" fillId="42" borderId="6" xfId="0" applyNumberFormat="1" applyFill="1" applyBorder="1" applyAlignment="1" applyProtection="1">
      <alignment horizontal="center" vertical="center" wrapText="1"/>
    </xf>
    <xf numFmtId="4" fontId="45" fillId="48" borderId="6" xfId="0" applyNumberFormat="1" applyFont="1" applyFill="1" applyBorder="1" applyAlignment="1" applyProtection="1">
      <alignment horizontal="center" vertical="center" wrapText="1"/>
    </xf>
    <xf numFmtId="4" fontId="45" fillId="8" borderId="6" xfId="0" applyNumberFormat="1" applyFont="1" applyFill="1" applyBorder="1" applyAlignment="1" applyProtection="1">
      <alignment horizontal="center" vertical="center" wrapText="1"/>
    </xf>
    <xf numFmtId="0" fontId="50" fillId="0" borderId="80" xfId="0" applyFont="1" applyBorder="1" applyAlignment="1" applyProtection="1">
      <alignment horizontal="center" vertical="center" wrapText="1"/>
    </xf>
    <xf numFmtId="0" fontId="0" fillId="0" borderId="81" xfId="0" applyBorder="1" applyAlignment="1" applyProtection="1">
      <alignment horizontal="center" vertical="center" wrapText="1"/>
    </xf>
    <xf numFmtId="0" fontId="0" fillId="0" borderId="82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85" xfId="0" applyFill="1" applyBorder="1" applyAlignment="1" applyProtection="1">
      <alignment horizontal="center" vertical="center"/>
    </xf>
    <xf numFmtId="4" fontId="0" fillId="14" borderId="85" xfId="0" applyNumberFormat="1" applyFill="1" applyBorder="1" applyAlignment="1" applyProtection="1">
      <alignment horizontal="center" vertical="center"/>
    </xf>
    <xf numFmtId="0" fontId="0" fillId="49" borderId="0" xfId="0" applyFill="1" applyAlignment="1" applyProtection="1">
      <alignment horizontal="center" vertical="center"/>
    </xf>
    <xf numFmtId="4" fontId="0" fillId="14" borderId="6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 wrapText="1"/>
    </xf>
    <xf numFmtId="0" fontId="0" fillId="14" borderId="6" xfId="0" applyFill="1" applyBorder="1" applyAlignment="1" applyProtection="1">
      <alignment horizontal="center" vertical="center" wrapText="1"/>
    </xf>
    <xf numFmtId="4" fontId="0" fillId="14" borderId="6" xfId="0" applyNumberFormat="1" applyFill="1" applyBorder="1" applyAlignment="1" applyProtection="1">
      <alignment horizontal="center" vertical="center" wrapText="1"/>
    </xf>
    <xf numFmtId="0" fontId="0" fillId="14" borderId="89" xfId="0" applyFill="1" applyBorder="1" applyAlignment="1" applyProtection="1">
      <alignment horizontal="center" vertical="center" wrapText="1"/>
    </xf>
    <xf numFmtId="14" fontId="0" fillId="9" borderId="6" xfId="0" applyNumberFormat="1" applyFill="1" applyBorder="1" applyAlignment="1" applyProtection="1">
      <alignment horizontal="center" vertical="center" wrapText="1"/>
    </xf>
    <xf numFmtId="0" fontId="0" fillId="14" borderId="90" xfId="0" applyFill="1" applyBorder="1" applyAlignment="1" applyProtection="1">
      <alignment horizontal="center" vertical="center" wrapText="1"/>
    </xf>
    <xf numFmtId="0" fontId="0" fillId="14" borderId="91" xfId="0" applyFill="1" applyBorder="1" applyAlignment="1" applyProtection="1">
      <alignment horizontal="center" vertical="center" wrapText="1"/>
    </xf>
    <xf numFmtId="4" fontId="0" fillId="14" borderId="91" xfId="0" applyNumberFormat="1" applyFill="1" applyBorder="1" applyAlignment="1" applyProtection="1">
      <alignment horizontal="center" vertical="center" wrapText="1"/>
    </xf>
    <xf numFmtId="0" fontId="0" fillId="14" borderId="93" xfId="0" applyFill="1" applyBorder="1" applyAlignment="1" applyProtection="1">
      <alignment horizontal="center" vertical="center" wrapText="1"/>
    </xf>
    <xf numFmtId="3" fontId="45" fillId="8" borderId="6" xfId="0" applyNumberFormat="1" applyFont="1" applyFill="1" applyBorder="1" applyAlignment="1" applyProtection="1">
      <alignment horizontal="center" vertical="center" wrapText="1"/>
    </xf>
    <xf numFmtId="165" fontId="0" fillId="20" borderId="6" xfId="0" applyNumberFormat="1" applyFill="1" applyBorder="1" applyAlignment="1" applyProtection="1">
      <alignment horizontal="center" vertical="center"/>
    </xf>
    <xf numFmtId="4" fontId="0" fillId="4" borderId="10" xfId="0" applyNumberFormat="1" applyFill="1" applyBorder="1" applyAlignment="1" applyProtection="1">
      <alignment horizontal="center" vertical="center" wrapText="1"/>
    </xf>
    <xf numFmtId="2" fontId="0" fillId="46" borderId="7" xfId="0" applyNumberFormat="1" applyFill="1" applyBorder="1" applyAlignment="1" applyProtection="1">
      <alignment horizontal="center" vertical="center" wrapText="1"/>
    </xf>
    <xf numFmtId="2" fontId="0" fillId="9" borderId="21" xfId="0" applyNumberFormat="1" applyFill="1" applyBorder="1" applyAlignment="1" applyProtection="1">
      <alignment horizontal="center" vertical="center" wrapText="1"/>
    </xf>
    <xf numFmtId="3" fontId="0" fillId="51" borderId="6" xfId="0" applyNumberFormat="1" applyFill="1" applyBorder="1" applyAlignment="1" applyProtection="1">
      <alignment horizontal="center" vertical="center" wrapText="1"/>
    </xf>
    <xf numFmtId="3" fontId="0" fillId="51" borderId="20" xfId="0" applyNumberFormat="1" applyFill="1" applyBorder="1" applyAlignment="1" applyProtection="1">
      <alignment horizontal="center" vertical="center" wrapText="1"/>
    </xf>
    <xf numFmtId="3" fontId="0" fillId="51" borderId="84" xfId="0" applyNumberFormat="1" applyFill="1" applyBorder="1" applyAlignment="1" applyProtection="1">
      <alignment horizontal="center" vertical="center" wrapText="1"/>
    </xf>
    <xf numFmtId="0" fontId="0" fillId="14" borderId="97" xfId="0" applyFill="1" applyBorder="1" applyAlignment="1" applyProtection="1">
      <alignment horizontal="center" vertical="center"/>
    </xf>
    <xf numFmtId="165" fontId="0" fillId="14" borderId="87" xfId="0" applyNumberFormat="1" applyFill="1" applyBorder="1" applyAlignment="1" applyProtection="1">
      <alignment horizontal="center" vertical="center"/>
    </xf>
    <xf numFmtId="0" fontId="0" fillId="14" borderId="98" xfId="0" applyFill="1" applyBorder="1" applyAlignment="1" applyProtection="1">
      <alignment horizontal="center" vertical="center"/>
    </xf>
    <xf numFmtId="165" fontId="0" fillId="14" borderId="89" xfId="0" applyNumberFormat="1" applyFill="1" applyBorder="1" applyAlignment="1" applyProtection="1">
      <alignment horizontal="center" vertical="center"/>
    </xf>
    <xf numFmtId="165" fontId="45" fillId="0" borderId="6" xfId="0" applyNumberFormat="1" applyFont="1" applyBorder="1" applyAlignment="1" applyProtection="1">
      <alignment horizontal="center" vertical="center" wrapText="1"/>
    </xf>
    <xf numFmtId="165" fontId="45" fillId="8" borderId="20" xfId="0" applyNumberFormat="1" applyFont="1" applyFill="1" applyBorder="1" applyAlignment="1" applyProtection="1">
      <alignment horizontal="center" vertical="center" wrapText="1"/>
    </xf>
    <xf numFmtId="165" fontId="45" fillId="8" borderId="94" xfId="0" applyNumberFormat="1" applyFont="1" applyFill="1" applyBorder="1" applyAlignment="1" applyProtection="1">
      <alignment horizontal="center" vertical="center" wrapText="1"/>
    </xf>
    <xf numFmtId="165" fontId="45" fillId="0" borderId="7" xfId="0" applyNumberFormat="1" applyFont="1" applyBorder="1" applyAlignment="1" applyProtection="1">
      <alignment horizontal="center" vertical="center" wrapText="1"/>
    </xf>
    <xf numFmtId="165" fontId="0" fillId="20" borderId="11" xfId="0" applyNumberFormat="1" applyFill="1" applyBorder="1" applyAlignment="1" applyProtection="1">
      <alignment horizontal="center" vertical="center" wrapText="1"/>
    </xf>
    <xf numFmtId="165" fontId="45" fillId="48" borderId="95" xfId="0" applyNumberFormat="1" applyFont="1" applyFill="1" applyBorder="1" applyAlignment="1" applyProtection="1">
      <alignment horizontal="center" vertical="center" wrapText="1"/>
    </xf>
    <xf numFmtId="10" fontId="0" fillId="0" borderId="0" xfId="0" applyNumberFormat="1" applyAlignment="1" applyProtection="1">
      <alignment horizontal="center" vertical="center"/>
    </xf>
    <xf numFmtId="0" fontId="0" fillId="53" borderId="0" xfId="0" applyFill="1" applyAlignment="1" applyProtection="1">
      <alignment horizontal="center" vertical="center"/>
    </xf>
    <xf numFmtId="9" fontId="51" fillId="53" borderId="0" xfId="0" applyNumberFormat="1" applyFont="1" applyFill="1" applyAlignment="1" applyProtection="1">
      <alignment horizontal="center" vertical="center"/>
    </xf>
    <xf numFmtId="0" fontId="0" fillId="0" borderId="99" xfId="0" applyBorder="1" applyAlignment="1" applyProtection="1">
      <alignment horizontal="center" vertical="center" wrapText="1"/>
    </xf>
    <xf numFmtId="0" fontId="0" fillId="0" borderId="100" xfId="0" applyBorder="1" applyAlignment="1" applyProtection="1">
      <alignment horizontal="center" vertical="center" wrapText="1"/>
    </xf>
    <xf numFmtId="0" fontId="0" fillId="0" borderId="101" xfId="0" applyBorder="1" applyAlignment="1" applyProtection="1">
      <alignment horizontal="center" vertical="center" wrapText="1"/>
    </xf>
    <xf numFmtId="0" fontId="0" fillId="0" borderId="102" xfId="0" applyBorder="1" applyAlignment="1" applyProtection="1">
      <alignment horizontal="center" vertical="center"/>
    </xf>
    <xf numFmtId="0" fontId="0" fillId="0" borderId="104" xfId="0" applyBorder="1" applyAlignment="1" applyProtection="1">
      <alignment horizontal="center" vertical="center"/>
    </xf>
    <xf numFmtId="165" fontId="0" fillId="0" borderId="0" xfId="0" applyNumberFormat="1" applyBorder="1" applyAlignment="1" applyProtection="1">
      <alignment horizontal="center" vertical="center"/>
    </xf>
    <xf numFmtId="0" fontId="0" fillId="0" borderId="105" xfId="0" applyBorder="1" applyAlignment="1" applyProtection="1">
      <alignment horizontal="center" vertical="center"/>
    </xf>
    <xf numFmtId="0" fontId="0" fillId="0" borderId="106" xfId="0" applyBorder="1" applyAlignment="1" applyProtection="1">
      <alignment horizontal="center" vertical="center"/>
    </xf>
    <xf numFmtId="0" fontId="0" fillId="0" borderId="107" xfId="0" applyBorder="1" applyAlignment="1" applyProtection="1">
      <alignment horizontal="center" vertical="center"/>
    </xf>
    <xf numFmtId="165" fontId="0" fillId="14" borderId="85" xfId="0" applyNumberFormat="1" applyFill="1" applyBorder="1" applyAlignment="1" applyProtection="1">
      <alignment horizontal="center" vertical="center"/>
    </xf>
    <xf numFmtId="4" fontId="0" fillId="8" borderId="6" xfId="0" applyNumberFormat="1" applyFill="1" applyBorder="1" applyAlignment="1" applyProtection="1">
      <alignment horizontal="center" vertical="center" wrapText="1"/>
    </xf>
    <xf numFmtId="0" fontId="41" fillId="9" borderId="6" xfId="0" applyFont="1" applyFill="1" applyBorder="1" applyAlignment="1" applyProtection="1">
      <alignment horizontal="center" vertical="center" wrapText="1"/>
    </xf>
    <xf numFmtId="0" fontId="0" fillId="0" borderId="108" xfId="0" applyBorder="1" applyAlignment="1" applyProtection="1">
      <alignment horizontal="center" vertical="center"/>
    </xf>
    <xf numFmtId="0" fontId="43" fillId="0" borderId="0" xfId="0" applyFont="1" applyAlignment="1" applyProtection="1">
      <alignment horizontal="center" vertical="center"/>
    </xf>
    <xf numFmtId="0" fontId="0" fillId="0" borderId="109" xfId="0" applyBorder="1" applyAlignment="1" applyProtection="1">
      <alignment horizontal="center" vertical="center" wrapText="1"/>
    </xf>
    <xf numFmtId="165" fontId="54" fillId="0" borderId="0" xfId="0" applyNumberFormat="1" applyFont="1" applyAlignment="1" applyProtection="1">
      <alignment horizontal="center" vertical="center" wrapText="1"/>
    </xf>
    <xf numFmtId="165" fontId="43" fillId="8" borderId="0" xfId="0" applyNumberFormat="1" applyFont="1" applyFill="1" applyAlignment="1" applyProtection="1">
      <alignment horizontal="center" vertical="center" wrapText="1"/>
    </xf>
    <xf numFmtId="0" fontId="43" fillId="0" borderId="6" xfId="0" applyFont="1" applyBorder="1" applyAlignment="1" applyProtection="1">
      <alignment horizontal="center" vertical="center" wrapText="1"/>
    </xf>
    <xf numFmtId="165" fontId="43" fillId="0" borderId="0" xfId="0" applyNumberFormat="1" applyFont="1" applyAlignment="1" applyProtection="1">
      <alignment horizontal="center" vertical="center"/>
    </xf>
    <xf numFmtId="165" fontId="0" fillId="17" borderId="6" xfId="0" applyNumberFormat="1" applyFill="1" applyBorder="1" applyAlignment="1" applyProtection="1">
      <alignment horizontal="center" vertical="center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3" fontId="43" fillId="0" borderId="0" xfId="0" applyNumberFormat="1" applyFont="1" applyAlignment="1" applyProtection="1">
      <alignment horizontal="center" vertical="center"/>
    </xf>
    <xf numFmtId="165" fontId="43" fillId="42" borderId="10" xfId="0" applyNumberFormat="1" applyFont="1" applyFill="1" applyBorder="1" applyAlignment="1" applyProtection="1">
      <alignment horizontal="center" vertical="center" wrapText="1"/>
    </xf>
    <xf numFmtId="165" fontId="43" fillId="0" borderId="6" xfId="0" applyNumberFormat="1" applyFont="1" applyBorder="1" applyAlignment="1" applyProtection="1">
      <alignment horizontal="center" vertical="center" wrapText="1"/>
    </xf>
    <xf numFmtId="165" fontId="43" fillId="42" borderId="10" xfId="0" applyNumberFormat="1" applyFont="1" applyFill="1" applyBorder="1" applyAlignment="1" applyProtection="1">
      <alignment horizontal="center" vertical="center"/>
    </xf>
    <xf numFmtId="165" fontId="43" fillId="8" borderId="0" xfId="0" applyNumberFormat="1" applyFont="1" applyFill="1" applyAlignment="1" applyProtection="1">
      <alignment horizontal="center" vertical="center"/>
    </xf>
    <xf numFmtId="4" fontId="43" fillId="0" borderId="6" xfId="0" applyNumberFormat="1" applyFont="1" applyBorder="1" applyAlignment="1" applyProtection="1">
      <alignment horizontal="center" vertical="center" wrapText="1"/>
    </xf>
    <xf numFmtId="165" fontId="43" fillId="0" borderId="0" xfId="0" applyNumberFormat="1" applyFont="1" applyAlignment="1" applyProtection="1">
      <alignment horizontal="center" vertical="center" wrapText="1"/>
    </xf>
    <xf numFmtId="0" fontId="36" fillId="54" borderId="6" xfId="0" applyFont="1" applyFill="1" applyBorder="1" applyAlignment="1" applyProtection="1">
      <alignment horizontal="center" vertical="center" wrapText="1"/>
    </xf>
    <xf numFmtId="4" fontId="0" fillId="9" borderId="0" xfId="0" applyNumberFormat="1" applyFill="1" applyAlignment="1" applyProtection="1">
      <alignment horizontal="center" vertical="center"/>
    </xf>
    <xf numFmtId="4" fontId="0" fillId="7" borderId="6" xfId="0" applyNumberFormat="1" applyFill="1" applyBorder="1" applyAlignment="1" applyProtection="1">
      <alignment horizontal="center" vertical="center" wrapText="1"/>
      <protection locked="0"/>
    </xf>
    <xf numFmtId="4" fontId="0" fillId="11" borderId="6" xfId="0" applyNumberFormat="1" applyFill="1" applyBorder="1" applyAlignment="1" applyProtection="1">
      <alignment horizontal="center" vertical="center" wrapText="1"/>
      <protection locked="0"/>
    </xf>
    <xf numFmtId="0" fontId="0" fillId="42" borderId="6" xfId="0" applyFill="1" applyBorder="1" applyAlignment="1" applyProtection="1">
      <alignment horizontal="center" vertical="center" wrapText="1"/>
      <protection locked="0"/>
    </xf>
    <xf numFmtId="165" fontId="0" fillId="42" borderId="6" xfId="0" applyNumberFormat="1" applyFill="1" applyBorder="1" applyAlignment="1" applyProtection="1">
      <alignment horizontal="center" vertical="center" wrapText="1"/>
      <protection locked="0"/>
    </xf>
    <xf numFmtId="4" fontId="56" fillId="0" borderId="110" xfId="0" applyNumberFormat="1" applyFont="1" applyBorder="1" applyAlignment="1" applyProtection="1">
      <alignment horizontal="center" vertical="center" wrapText="1"/>
    </xf>
    <xf numFmtId="0" fontId="46" fillId="54" borderId="110" xfId="0" applyFont="1" applyFill="1" applyBorder="1" applyAlignment="1" applyProtection="1">
      <alignment horizontal="center" vertical="center" wrapText="1"/>
    </xf>
    <xf numFmtId="4" fontId="56" fillId="4" borderId="110" xfId="0" applyNumberFormat="1" applyFont="1" applyFill="1" applyBorder="1" applyAlignment="1" applyProtection="1">
      <alignment horizontal="center" vertical="center" wrapText="1"/>
    </xf>
    <xf numFmtId="10" fontId="56" fillId="4" borderId="110" xfId="0" applyNumberFormat="1" applyFont="1" applyFill="1" applyBorder="1" applyAlignment="1" applyProtection="1">
      <alignment horizontal="center" vertical="center" wrapText="1"/>
    </xf>
    <xf numFmtId="4" fontId="57" fillId="9" borderId="110" xfId="0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4" fontId="58" fillId="0" borderId="0" xfId="0" applyNumberFormat="1" applyFont="1" applyAlignment="1">
      <alignment horizontal="center"/>
    </xf>
    <xf numFmtId="4" fontId="0" fillId="20" borderId="0" xfId="0" applyNumberFormat="1" applyFill="1" applyAlignment="1" applyProtection="1">
      <alignment horizontal="center"/>
    </xf>
    <xf numFmtId="4" fontId="0" fillId="20" borderId="0" xfId="0" applyNumberFormat="1" applyFill="1" applyAlignment="1" applyProtection="1">
      <alignment horizontal="center"/>
      <protection locked="0"/>
    </xf>
    <xf numFmtId="10" fontId="0" fillId="20" borderId="0" xfId="0" applyNumberFormat="1" applyFill="1" applyAlignment="1" applyProtection="1">
      <alignment horizontal="center"/>
    </xf>
    <xf numFmtId="4" fontId="0" fillId="0" borderId="111" xfId="0" applyNumberFormat="1" applyBorder="1" applyAlignment="1">
      <alignment horizontal="center"/>
    </xf>
    <xf numFmtId="0" fontId="0" fillId="0" borderId="111" xfId="0" applyNumberFormat="1" applyBorder="1" applyAlignment="1">
      <alignment horizontal="center"/>
    </xf>
    <xf numFmtId="4" fontId="0" fillId="6" borderId="111" xfId="0" applyNumberFormat="1" applyFill="1" applyBorder="1" applyAlignment="1">
      <alignment horizontal="center"/>
    </xf>
    <xf numFmtId="4" fontId="0" fillId="8" borderId="111" xfId="0" applyNumberFormat="1" applyFill="1" applyBorder="1" applyAlignment="1">
      <alignment horizontal="center"/>
    </xf>
    <xf numFmtId="4" fontId="0" fillId="42" borderId="111" xfId="0" applyNumberFormat="1" applyFill="1" applyBorder="1" applyAlignment="1">
      <alignment horizontal="center"/>
    </xf>
    <xf numFmtId="4" fontId="0" fillId="43" borderId="111" xfId="0" applyNumberFormat="1" applyFill="1" applyBorder="1" applyAlignment="1">
      <alignment horizontal="center"/>
    </xf>
    <xf numFmtId="4" fontId="0" fillId="20" borderId="111" xfId="0" applyNumberFormat="1" applyFill="1" applyBorder="1" applyAlignment="1">
      <alignment horizontal="center"/>
    </xf>
    <xf numFmtId="4" fontId="0" fillId="53" borderId="111" xfId="0" applyNumberFormat="1" applyFill="1" applyBorder="1" applyAlignment="1">
      <alignment horizontal="center"/>
    </xf>
    <xf numFmtId="4" fontId="0" fillId="0" borderId="112" xfId="0" applyNumberFormat="1" applyBorder="1" applyAlignment="1">
      <alignment horizontal="center"/>
    </xf>
    <xf numFmtId="0" fontId="0" fillId="0" borderId="112" xfId="0" applyNumberFormat="1" applyBorder="1" applyAlignment="1">
      <alignment horizontal="center"/>
    </xf>
    <xf numFmtId="4" fontId="0" fillId="6" borderId="112" xfId="0" applyNumberFormat="1" applyFill="1" applyBorder="1" applyAlignment="1">
      <alignment horizontal="center"/>
    </xf>
    <xf numFmtId="4" fontId="0" fillId="8" borderId="112" xfId="0" applyNumberFormat="1" applyFill="1" applyBorder="1" applyAlignment="1">
      <alignment horizontal="center"/>
    </xf>
    <xf numFmtId="4" fontId="0" fillId="42" borderId="112" xfId="0" applyNumberFormat="1" applyFill="1" applyBorder="1" applyAlignment="1">
      <alignment horizontal="center"/>
    </xf>
    <xf numFmtId="4" fontId="0" fillId="43" borderId="112" xfId="0" applyNumberFormat="1" applyFill="1" applyBorder="1" applyAlignment="1">
      <alignment horizontal="center"/>
    </xf>
    <xf numFmtId="4" fontId="0" fillId="20" borderId="112" xfId="0" applyNumberFormat="1" applyFill="1" applyBorder="1" applyAlignment="1">
      <alignment horizontal="center"/>
    </xf>
    <xf numFmtId="4" fontId="0" fillId="53" borderId="112" xfId="0" applyNumberFormat="1" applyFill="1" applyBorder="1" applyAlignment="1">
      <alignment horizontal="center"/>
    </xf>
    <xf numFmtId="4" fontId="0" fillId="0" borderId="113" xfId="0" applyNumberFormat="1" applyBorder="1" applyAlignment="1">
      <alignment horizontal="center"/>
    </xf>
    <xf numFmtId="0" fontId="0" fillId="0" borderId="113" xfId="0" applyNumberFormat="1" applyBorder="1" applyAlignment="1">
      <alignment horizontal="center"/>
    </xf>
    <xf numFmtId="4" fontId="0" fillId="6" borderId="113" xfId="0" applyNumberFormat="1" applyFill="1" applyBorder="1" applyAlignment="1">
      <alignment horizontal="center"/>
    </xf>
    <xf numFmtId="4" fontId="0" fillId="8" borderId="113" xfId="0" applyNumberFormat="1" applyFill="1" applyBorder="1" applyAlignment="1">
      <alignment horizontal="center"/>
    </xf>
    <xf numFmtId="4" fontId="0" fillId="42" borderId="113" xfId="0" applyNumberFormat="1" applyFill="1" applyBorder="1" applyAlignment="1">
      <alignment horizontal="center"/>
    </xf>
    <xf numFmtId="4" fontId="0" fillId="43" borderId="113" xfId="0" applyNumberFormat="1" applyFill="1" applyBorder="1" applyAlignment="1">
      <alignment horizontal="center"/>
    </xf>
    <xf numFmtId="4" fontId="0" fillId="20" borderId="113" xfId="0" applyNumberFormat="1" applyFill="1" applyBorder="1" applyAlignment="1">
      <alignment horizontal="center"/>
    </xf>
    <xf numFmtId="4" fontId="0" fillId="53" borderId="113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0" fillId="6" borderId="0" xfId="0" applyNumberFormat="1" applyFill="1" applyBorder="1" applyAlignment="1">
      <alignment horizontal="center"/>
    </xf>
    <xf numFmtId="4" fontId="0" fillId="8" borderId="0" xfId="0" applyNumberFormat="1" applyFill="1" applyBorder="1" applyAlignment="1">
      <alignment horizontal="center"/>
    </xf>
    <xf numFmtId="4" fontId="0" fillId="42" borderId="0" xfId="0" applyNumberFormat="1" applyFill="1" applyBorder="1" applyAlignment="1">
      <alignment horizontal="center"/>
    </xf>
    <xf numFmtId="4" fontId="0" fillId="43" borderId="0" xfId="0" applyNumberFormat="1" applyFill="1" applyBorder="1" applyAlignment="1">
      <alignment horizontal="center"/>
    </xf>
    <xf numFmtId="4" fontId="0" fillId="20" borderId="0" xfId="0" applyNumberFormat="1" applyFill="1" applyBorder="1" applyAlignment="1">
      <alignment horizontal="center"/>
    </xf>
    <xf numFmtId="4" fontId="0" fillId="53" borderId="0" xfId="0" applyNumberFormat="1" applyFill="1" applyBorder="1" applyAlignment="1">
      <alignment horizontal="center"/>
    </xf>
    <xf numFmtId="4" fontId="0" fillId="0" borderId="114" xfId="0" applyNumberFormat="1" applyBorder="1" applyAlignment="1">
      <alignment horizontal="center"/>
    </xf>
    <xf numFmtId="0" fontId="0" fillId="0" borderId="114" xfId="0" applyNumberFormat="1" applyBorder="1" applyAlignment="1">
      <alignment horizontal="center"/>
    </xf>
    <xf numFmtId="4" fontId="0" fillId="6" borderId="114" xfId="0" applyNumberFormat="1" applyFill="1" applyBorder="1" applyAlignment="1">
      <alignment horizontal="center"/>
    </xf>
    <xf numFmtId="4" fontId="0" fillId="8" borderId="114" xfId="0" applyNumberFormat="1" applyFill="1" applyBorder="1" applyAlignment="1">
      <alignment horizontal="center"/>
    </xf>
    <xf numFmtId="4" fontId="0" fillId="42" borderId="114" xfId="0" applyNumberFormat="1" applyFill="1" applyBorder="1" applyAlignment="1">
      <alignment horizontal="center"/>
    </xf>
    <xf numFmtId="4" fontId="0" fillId="43" borderId="114" xfId="0" applyNumberFormat="1" applyFill="1" applyBorder="1" applyAlignment="1">
      <alignment horizontal="center"/>
    </xf>
    <xf numFmtId="4" fontId="0" fillId="20" borderId="114" xfId="0" applyNumberFormat="1" applyFill="1" applyBorder="1" applyAlignment="1">
      <alignment horizontal="center"/>
    </xf>
    <xf numFmtId="4" fontId="0" fillId="53" borderId="114" xfId="0" applyNumberFormat="1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4" fontId="0" fillId="6" borderId="32" xfId="0" applyNumberFormat="1" applyFill="1" applyBorder="1" applyAlignment="1">
      <alignment horizontal="center"/>
    </xf>
    <xf numFmtId="4" fontId="0" fillId="8" borderId="32" xfId="0" applyNumberFormat="1" applyFill="1" applyBorder="1" applyAlignment="1">
      <alignment horizontal="center"/>
    </xf>
    <xf numFmtId="4" fontId="0" fillId="42" borderId="32" xfId="0" applyNumberFormat="1" applyFill="1" applyBorder="1" applyAlignment="1">
      <alignment horizontal="center"/>
    </xf>
    <xf numFmtId="4" fontId="0" fillId="43" borderId="32" xfId="0" applyNumberFormat="1" applyFill="1" applyBorder="1" applyAlignment="1">
      <alignment horizontal="center"/>
    </xf>
    <xf numFmtId="4" fontId="0" fillId="20" borderId="32" xfId="0" applyNumberFormat="1" applyFill="1" applyBorder="1" applyAlignment="1">
      <alignment horizontal="center"/>
    </xf>
    <xf numFmtId="4" fontId="0" fillId="53" borderId="32" xfId="0" applyNumberFormat="1" applyFill="1" applyBorder="1" applyAlignment="1">
      <alignment horizontal="center"/>
    </xf>
    <xf numFmtId="4" fontId="0" fillId="0" borderId="115" xfId="0" applyNumberFormat="1" applyBorder="1" applyAlignment="1">
      <alignment horizontal="center"/>
    </xf>
    <xf numFmtId="0" fontId="0" fillId="0" borderId="115" xfId="0" applyNumberFormat="1" applyBorder="1" applyAlignment="1">
      <alignment horizontal="center"/>
    </xf>
    <xf numFmtId="4" fontId="0" fillId="6" borderId="115" xfId="0" applyNumberFormat="1" applyFill="1" applyBorder="1" applyAlignment="1">
      <alignment horizontal="center"/>
    </xf>
    <xf numFmtId="4" fontId="0" fillId="8" borderId="115" xfId="0" applyNumberFormat="1" applyFill="1" applyBorder="1" applyAlignment="1">
      <alignment horizontal="center"/>
    </xf>
    <xf numFmtId="4" fontId="0" fillId="42" borderId="115" xfId="0" applyNumberFormat="1" applyFill="1" applyBorder="1" applyAlignment="1">
      <alignment horizontal="center"/>
    </xf>
    <xf numFmtId="4" fontId="0" fillId="43" borderId="115" xfId="0" applyNumberFormat="1" applyFill="1" applyBorder="1" applyAlignment="1">
      <alignment horizontal="center"/>
    </xf>
    <xf numFmtId="4" fontId="0" fillId="20" borderId="115" xfId="0" applyNumberFormat="1" applyFill="1" applyBorder="1" applyAlignment="1">
      <alignment horizontal="center"/>
    </xf>
    <xf numFmtId="4" fontId="0" fillId="53" borderId="115" xfId="0" applyNumberFormat="1" applyFill="1" applyBorder="1" applyAlignment="1">
      <alignment horizontal="center"/>
    </xf>
    <xf numFmtId="4" fontId="0" fillId="0" borderId="116" xfId="0" applyNumberFormat="1" applyBorder="1" applyAlignment="1">
      <alignment horizontal="center"/>
    </xf>
    <xf numFmtId="0" fontId="0" fillId="0" borderId="116" xfId="0" applyNumberFormat="1" applyBorder="1" applyAlignment="1">
      <alignment horizontal="center"/>
    </xf>
    <xf numFmtId="4" fontId="0" fillId="6" borderId="116" xfId="0" applyNumberFormat="1" applyFill="1" applyBorder="1" applyAlignment="1">
      <alignment horizontal="center"/>
    </xf>
    <xf numFmtId="4" fontId="0" fillId="8" borderId="116" xfId="0" applyNumberFormat="1" applyFill="1" applyBorder="1" applyAlignment="1">
      <alignment horizontal="center"/>
    </xf>
    <xf numFmtId="4" fontId="0" fillId="42" borderId="116" xfId="0" applyNumberFormat="1" applyFill="1" applyBorder="1" applyAlignment="1">
      <alignment horizontal="center"/>
    </xf>
    <xf numFmtId="4" fontId="0" fillId="43" borderId="116" xfId="0" applyNumberFormat="1" applyFill="1" applyBorder="1" applyAlignment="1">
      <alignment horizontal="center"/>
    </xf>
    <xf numFmtId="4" fontId="0" fillId="20" borderId="116" xfId="0" applyNumberFormat="1" applyFill="1" applyBorder="1" applyAlignment="1">
      <alignment horizontal="center"/>
    </xf>
    <xf numFmtId="4" fontId="0" fillId="53" borderId="116" xfId="0" applyNumberFormat="1" applyFill="1" applyBorder="1" applyAlignment="1">
      <alignment horizontal="center"/>
    </xf>
    <xf numFmtId="4" fontId="0" fillId="0" borderId="117" xfId="0" applyNumberFormat="1" applyBorder="1" applyAlignment="1">
      <alignment horizontal="center"/>
    </xf>
    <xf numFmtId="0" fontId="0" fillId="0" borderId="117" xfId="0" applyNumberFormat="1" applyBorder="1" applyAlignment="1">
      <alignment horizontal="center"/>
    </xf>
    <xf numFmtId="4" fontId="0" fillId="6" borderId="117" xfId="0" applyNumberFormat="1" applyFill="1" applyBorder="1" applyAlignment="1">
      <alignment horizontal="center"/>
    </xf>
    <xf numFmtId="4" fontId="0" fillId="8" borderId="117" xfId="0" applyNumberFormat="1" applyFill="1" applyBorder="1" applyAlignment="1">
      <alignment horizontal="center"/>
    </xf>
    <xf numFmtId="4" fontId="0" fillId="42" borderId="117" xfId="0" applyNumberFormat="1" applyFill="1" applyBorder="1" applyAlignment="1">
      <alignment horizontal="center"/>
    </xf>
    <xf numFmtId="4" fontId="0" fillId="43" borderId="117" xfId="0" applyNumberFormat="1" applyFill="1" applyBorder="1" applyAlignment="1">
      <alignment horizontal="center"/>
    </xf>
    <xf numFmtId="4" fontId="0" fillId="20" borderId="117" xfId="0" applyNumberFormat="1" applyFill="1" applyBorder="1" applyAlignment="1">
      <alignment horizontal="center"/>
    </xf>
    <xf numFmtId="4" fontId="0" fillId="53" borderId="117" xfId="0" applyNumberFormat="1" applyFill="1" applyBorder="1" applyAlignment="1">
      <alignment horizontal="center"/>
    </xf>
    <xf numFmtId="4" fontId="0" fillId="0" borderId="118" xfId="0" applyNumberFormat="1" applyBorder="1" applyAlignment="1">
      <alignment horizontal="center"/>
    </xf>
    <xf numFmtId="0" fontId="0" fillId="0" borderId="118" xfId="0" applyNumberFormat="1" applyBorder="1" applyAlignment="1">
      <alignment horizontal="center"/>
    </xf>
    <xf numFmtId="4" fontId="0" fillId="6" borderId="118" xfId="0" applyNumberFormat="1" applyFill="1" applyBorder="1" applyAlignment="1">
      <alignment horizontal="center"/>
    </xf>
    <xf numFmtId="4" fontId="0" fillId="8" borderId="118" xfId="0" applyNumberFormat="1" applyFill="1" applyBorder="1" applyAlignment="1">
      <alignment horizontal="center"/>
    </xf>
    <xf numFmtId="4" fontId="0" fillId="42" borderId="118" xfId="0" applyNumberFormat="1" applyFill="1" applyBorder="1" applyAlignment="1">
      <alignment horizontal="center"/>
    </xf>
    <xf numFmtId="4" fontId="0" fillId="43" borderId="118" xfId="0" applyNumberFormat="1" applyFill="1" applyBorder="1" applyAlignment="1">
      <alignment horizontal="center"/>
    </xf>
    <xf numFmtId="4" fontId="0" fillId="20" borderId="118" xfId="0" applyNumberFormat="1" applyFill="1" applyBorder="1" applyAlignment="1">
      <alignment horizontal="center"/>
    </xf>
    <xf numFmtId="4" fontId="0" fillId="53" borderId="118" xfId="0" applyNumberFormat="1" applyFill="1" applyBorder="1" applyAlignment="1">
      <alignment horizontal="center"/>
    </xf>
    <xf numFmtId="4" fontId="0" fillId="0" borderId="119" xfId="0" applyNumberFormat="1" applyBorder="1" applyAlignment="1">
      <alignment horizontal="center"/>
    </xf>
    <xf numFmtId="0" fontId="0" fillId="0" borderId="119" xfId="0" applyNumberFormat="1" applyBorder="1" applyAlignment="1">
      <alignment horizontal="center"/>
    </xf>
    <xf numFmtId="4" fontId="0" fillId="6" borderId="119" xfId="0" applyNumberFormat="1" applyFill="1" applyBorder="1" applyAlignment="1">
      <alignment horizontal="center"/>
    </xf>
    <xf numFmtId="4" fontId="0" fillId="8" borderId="119" xfId="0" applyNumberFormat="1" applyFill="1" applyBorder="1" applyAlignment="1">
      <alignment horizontal="center"/>
    </xf>
    <xf numFmtId="4" fontId="0" fillId="42" borderId="119" xfId="0" applyNumberFormat="1" applyFill="1" applyBorder="1" applyAlignment="1">
      <alignment horizontal="center"/>
    </xf>
    <xf numFmtId="4" fontId="0" fillId="43" borderId="119" xfId="0" applyNumberFormat="1" applyFill="1" applyBorder="1" applyAlignment="1">
      <alignment horizontal="center"/>
    </xf>
    <xf numFmtId="4" fontId="0" fillId="20" borderId="119" xfId="0" applyNumberFormat="1" applyFill="1" applyBorder="1" applyAlignment="1">
      <alignment horizontal="center"/>
    </xf>
    <xf numFmtId="4" fontId="0" fillId="53" borderId="119" xfId="0" applyNumberFormat="1" applyFill="1" applyBorder="1" applyAlignment="1">
      <alignment horizontal="center"/>
    </xf>
    <xf numFmtId="4" fontId="0" fillId="0" borderId="120" xfId="0" applyNumberFormat="1" applyBorder="1" applyAlignment="1">
      <alignment horizontal="center"/>
    </xf>
    <xf numFmtId="0" fontId="0" fillId="0" borderId="120" xfId="0" applyNumberFormat="1" applyBorder="1" applyAlignment="1">
      <alignment horizontal="center"/>
    </xf>
    <xf numFmtId="4" fontId="0" fillId="6" borderId="120" xfId="0" applyNumberFormat="1" applyFill="1" applyBorder="1" applyAlignment="1">
      <alignment horizontal="center"/>
    </xf>
    <xf numFmtId="4" fontId="0" fillId="8" borderId="120" xfId="0" applyNumberFormat="1" applyFill="1" applyBorder="1" applyAlignment="1">
      <alignment horizontal="center"/>
    </xf>
    <xf numFmtId="4" fontId="0" fillId="42" borderId="120" xfId="0" applyNumberFormat="1" applyFill="1" applyBorder="1" applyAlignment="1">
      <alignment horizontal="center"/>
    </xf>
    <xf numFmtId="4" fontId="0" fillId="43" borderId="120" xfId="0" applyNumberFormat="1" applyFill="1" applyBorder="1" applyAlignment="1">
      <alignment horizontal="center"/>
    </xf>
    <xf numFmtId="4" fontId="0" fillId="20" borderId="120" xfId="0" applyNumberFormat="1" applyFill="1" applyBorder="1" applyAlignment="1">
      <alignment horizontal="center"/>
    </xf>
    <xf numFmtId="4" fontId="0" fillId="53" borderId="120" xfId="0" applyNumberFormat="1" applyFill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0" fillId="8" borderId="29" xfId="0" applyNumberFormat="1" applyFill="1" applyBorder="1" applyAlignment="1">
      <alignment horizontal="center"/>
    </xf>
    <xf numFmtId="4" fontId="0" fillId="42" borderId="29" xfId="0" applyNumberFormat="1" applyFill="1" applyBorder="1" applyAlignment="1">
      <alignment horizontal="center"/>
    </xf>
    <xf numFmtId="4" fontId="0" fillId="43" borderId="29" xfId="0" applyNumberFormat="1" applyFill="1" applyBorder="1" applyAlignment="1">
      <alignment horizontal="center"/>
    </xf>
    <xf numFmtId="4" fontId="0" fillId="20" borderId="29" xfId="0" applyNumberFormat="1" applyFill="1" applyBorder="1" applyAlignment="1">
      <alignment horizontal="center"/>
    </xf>
    <xf numFmtId="4" fontId="0" fillId="53" borderId="29" xfId="0" applyNumberFormat="1" applyFill="1" applyBorder="1" applyAlignment="1">
      <alignment horizontal="center"/>
    </xf>
    <xf numFmtId="4" fontId="0" fillId="0" borderId="57" xfId="0" applyNumberFormat="1" applyBorder="1" applyAlignment="1">
      <alignment horizontal="center"/>
    </xf>
    <xf numFmtId="0" fontId="0" fillId="0" borderId="57" xfId="0" applyNumberFormat="1" applyBorder="1" applyAlignment="1">
      <alignment horizontal="center"/>
    </xf>
    <xf numFmtId="4" fontId="0" fillId="6" borderId="57" xfId="0" applyNumberFormat="1" applyFill="1" applyBorder="1" applyAlignment="1">
      <alignment horizontal="center"/>
    </xf>
    <xf numFmtId="4" fontId="0" fillId="8" borderId="57" xfId="0" applyNumberFormat="1" applyFill="1" applyBorder="1" applyAlignment="1">
      <alignment horizontal="center"/>
    </xf>
    <xf numFmtId="4" fontId="0" fillId="42" borderId="57" xfId="0" applyNumberFormat="1" applyFill="1" applyBorder="1" applyAlignment="1">
      <alignment horizontal="center"/>
    </xf>
    <xf numFmtId="4" fontId="0" fillId="43" borderId="57" xfId="0" applyNumberFormat="1" applyFill="1" applyBorder="1" applyAlignment="1">
      <alignment horizontal="center"/>
    </xf>
    <xf numFmtId="4" fontId="0" fillId="20" borderId="57" xfId="0" applyNumberFormat="1" applyFill="1" applyBorder="1" applyAlignment="1">
      <alignment horizontal="center"/>
    </xf>
    <xf numFmtId="4" fontId="0" fillId="53" borderId="57" xfId="0" applyNumberForma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4" fontId="0" fillId="42" borderId="4" xfId="0" applyNumberFormat="1" applyFill="1" applyBorder="1" applyAlignment="1">
      <alignment horizontal="center"/>
    </xf>
    <xf numFmtId="4" fontId="0" fillId="43" borderId="4" xfId="0" applyNumberFormat="1" applyFill="1" applyBorder="1" applyAlignment="1">
      <alignment horizontal="center"/>
    </xf>
    <xf numFmtId="4" fontId="0" fillId="20" borderId="4" xfId="0" applyNumberFormat="1" applyFill="1" applyBorder="1" applyAlignment="1">
      <alignment horizontal="center"/>
    </xf>
    <xf numFmtId="4" fontId="0" fillId="53" borderId="4" xfId="0" applyNumberFormat="1" applyFill="1" applyBorder="1" applyAlignment="1">
      <alignment horizontal="center"/>
    </xf>
    <xf numFmtId="0" fontId="0" fillId="52" borderId="0" xfId="0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2" fontId="0" fillId="52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18" fillId="10" borderId="0" xfId="0" applyNumberFormat="1" applyFont="1" applyFill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14" fontId="0" fillId="0" borderId="121" xfId="0" applyNumberFormat="1" applyBorder="1" applyAlignment="1">
      <alignment horizontal="center" vertical="center" wrapText="1"/>
    </xf>
    <xf numFmtId="14" fontId="18" fillId="10" borderId="121" xfId="0" applyNumberFormat="1" applyFont="1" applyFill="1" applyBorder="1" applyAlignment="1">
      <alignment horizontal="center" vertical="center" wrapText="1"/>
    </xf>
    <xf numFmtId="165" fontId="0" fillId="7" borderId="122" xfId="0" applyNumberFormat="1" applyFill="1" applyBorder="1" applyAlignment="1" applyProtection="1">
      <alignment horizontal="center" vertical="center" wrapText="1"/>
      <protection locked="0"/>
    </xf>
    <xf numFmtId="165" fontId="0" fillId="7" borderId="123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165" fontId="0" fillId="7" borderId="124" xfId="0" applyNumberFormat="1" applyFill="1" applyBorder="1" applyAlignment="1" applyProtection="1">
      <alignment horizontal="center" vertical="center" wrapText="1"/>
      <protection locked="0"/>
    </xf>
    <xf numFmtId="0" fontId="0" fillId="7" borderId="125" xfId="0" applyFill="1" applyBorder="1" applyAlignment="1" applyProtection="1">
      <alignment horizontal="center" vertical="center" wrapText="1"/>
      <protection locked="0"/>
    </xf>
    <xf numFmtId="0" fontId="0" fillId="7" borderId="126" xfId="0" applyFill="1" applyBorder="1" applyAlignment="1" applyProtection="1">
      <alignment horizontal="center" vertical="center" wrapText="1"/>
      <protection locked="0"/>
    </xf>
    <xf numFmtId="0" fontId="0" fillId="7" borderId="127" xfId="0" applyFill="1" applyBorder="1" applyAlignment="1" applyProtection="1">
      <alignment horizontal="center" vertical="center" wrapText="1"/>
      <protection locked="0"/>
    </xf>
    <xf numFmtId="165" fontId="0" fillId="7" borderId="128" xfId="0" applyNumberFormat="1" applyFill="1" applyBorder="1" applyAlignment="1" applyProtection="1">
      <alignment horizontal="center" vertical="center" wrapText="1"/>
      <protection locked="0"/>
    </xf>
    <xf numFmtId="165" fontId="0" fillId="0" borderId="129" xfId="0" applyNumberForma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165" fontId="0" fillId="0" borderId="130" xfId="0" applyNumberFormat="1" applyBorder="1" applyAlignment="1">
      <alignment horizontal="center" vertical="center" wrapText="1"/>
    </xf>
    <xf numFmtId="165" fontId="0" fillId="12" borderId="0" xfId="0" applyNumberFormat="1" applyFill="1" applyAlignment="1">
      <alignment horizontal="center" vertical="center" wrapText="1"/>
    </xf>
    <xf numFmtId="173" fontId="0" fillId="0" borderId="0" xfId="0" applyNumberFormat="1" applyAlignment="1">
      <alignment horizontal="center" vertical="center" wrapText="1"/>
    </xf>
    <xf numFmtId="165" fontId="0" fillId="9" borderId="6" xfId="0" applyNumberFormat="1" applyFill="1" applyBorder="1" applyAlignment="1" applyProtection="1">
      <alignment horizontal="center" vertical="center" wrapText="1"/>
      <protection locked="0"/>
    </xf>
    <xf numFmtId="172" fontId="0" fillId="0" borderId="0" xfId="0" applyNumberFormat="1" applyAlignment="1">
      <alignment horizontal="center" vertical="center" wrapText="1"/>
    </xf>
    <xf numFmtId="165" fontId="0" fillId="17" borderId="0" xfId="0" applyNumberFormat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5" fontId="0" fillId="0" borderId="131" xfId="0" applyNumberFormat="1" applyBorder="1" applyAlignment="1">
      <alignment horizontal="center" vertical="center" wrapText="1"/>
    </xf>
    <xf numFmtId="3" fontId="25" fillId="4" borderId="47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25" fillId="7" borderId="41" xfId="0" applyFont="1" applyFill="1" applyBorder="1" applyAlignment="1">
      <alignment horizontal="center" vertical="center" wrapText="1" readingOrder="2"/>
    </xf>
    <xf numFmtId="0" fontId="40" fillId="0" borderId="0" xfId="0" applyFont="1" applyBorder="1" applyAlignment="1" applyProtection="1">
      <alignment vertical="center"/>
    </xf>
    <xf numFmtId="3" fontId="7" fillId="0" borderId="45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 wrapText="1"/>
      <protection locked="0"/>
    </xf>
    <xf numFmtId="0" fontId="0" fillId="23" borderId="6" xfId="0" applyFill="1" applyBorder="1" applyAlignment="1">
      <alignment horizontal="center" vertical="center"/>
    </xf>
    <xf numFmtId="165" fontId="0" fillId="23" borderId="6" xfId="0" applyNumberFormat="1" applyFill="1" applyBorder="1" applyAlignment="1" applyProtection="1">
      <alignment horizontal="center" vertical="center" wrapText="1"/>
      <protection locked="0"/>
    </xf>
    <xf numFmtId="165" fontId="0" fillId="23" borderId="6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165" fontId="0" fillId="24" borderId="6" xfId="0" applyNumberFormat="1" applyFill="1" applyBorder="1" applyAlignment="1" applyProtection="1">
      <alignment horizontal="center" vertical="center" wrapText="1"/>
      <protection locked="0"/>
    </xf>
    <xf numFmtId="165" fontId="0" fillId="24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9" fillId="0" borderId="133" xfId="0" applyFont="1" applyBorder="1" applyAlignment="1">
      <alignment horizontal="center" vertical="center"/>
    </xf>
    <xf numFmtId="0" fontId="19" fillId="0" borderId="134" xfId="0" applyFont="1" applyBorder="1" applyAlignment="1">
      <alignment horizontal="center" vertical="center"/>
    </xf>
    <xf numFmtId="165" fontId="19" fillId="0" borderId="135" xfId="0" applyNumberFormat="1" applyFont="1" applyBorder="1" applyAlignment="1">
      <alignment horizontal="right" vertical="center"/>
    </xf>
    <xf numFmtId="0" fontId="0" fillId="24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165" fontId="0" fillId="7" borderId="2" xfId="0" applyNumberFormat="1" applyFill="1" applyBorder="1" applyAlignment="1" applyProtection="1">
      <alignment horizontal="center" vertical="center"/>
      <protection locked="0"/>
    </xf>
    <xf numFmtId="0" fontId="36" fillId="0" borderId="138" xfId="0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6" borderId="6" xfId="0" applyFill="1" applyBorder="1" applyAlignment="1" applyProtection="1">
      <alignment horizontal="center" vertical="center"/>
    </xf>
    <xf numFmtId="165" fontId="0" fillId="6" borderId="6" xfId="0" applyNumberFormat="1" applyFill="1" applyBorder="1" applyAlignment="1" applyProtection="1">
      <alignment horizontal="center" vertical="center"/>
    </xf>
    <xf numFmtId="3" fontId="0" fillId="6" borderId="6" xfId="0" applyNumberFormat="1" applyFill="1" applyBorder="1" applyAlignment="1" applyProtection="1">
      <alignment horizontal="center" vertical="center"/>
    </xf>
    <xf numFmtId="164" fontId="0" fillId="6" borderId="6" xfId="0" applyNumberFormat="1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165" fontId="0" fillId="8" borderId="6" xfId="0" applyNumberFormat="1" applyFill="1" applyBorder="1" applyAlignment="1" applyProtection="1">
      <alignment horizontal="center" vertical="center"/>
    </xf>
    <xf numFmtId="3" fontId="0" fillId="8" borderId="6" xfId="0" applyNumberFormat="1" applyFill="1" applyBorder="1" applyAlignment="1" applyProtection="1">
      <alignment horizontal="center" vertical="center"/>
    </xf>
    <xf numFmtId="164" fontId="0" fillId="8" borderId="6" xfId="0" applyNumberFormat="1" applyFill="1" applyBorder="1" applyAlignment="1" applyProtection="1">
      <alignment horizontal="center" vertical="center"/>
    </xf>
    <xf numFmtId="0" fontId="0" fillId="42" borderId="6" xfId="0" applyFill="1" applyBorder="1" applyAlignment="1" applyProtection="1">
      <alignment horizontal="center" vertical="center"/>
    </xf>
    <xf numFmtId="3" fontId="0" fillId="42" borderId="6" xfId="0" applyNumberFormat="1" applyFill="1" applyBorder="1" applyAlignment="1" applyProtection="1">
      <alignment horizontal="center" vertical="center"/>
    </xf>
    <xf numFmtId="164" fontId="0" fillId="42" borderId="6" xfId="0" applyNumberFormat="1" applyFill="1" applyBorder="1" applyAlignment="1" applyProtection="1">
      <alignment horizontal="center" vertical="center"/>
    </xf>
    <xf numFmtId="0" fontId="0" fillId="43" borderId="6" xfId="0" applyFill="1" applyBorder="1" applyAlignment="1" applyProtection="1">
      <alignment horizontal="center" vertical="center"/>
    </xf>
    <xf numFmtId="165" fontId="0" fillId="43" borderId="6" xfId="0" applyNumberFormat="1" applyFill="1" applyBorder="1" applyAlignment="1" applyProtection="1">
      <alignment horizontal="center" vertical="center"/>
    </xf>
    <xf numFmtId="3" fontId="0" fillId="43" borderId="6" xfId="0" applyNumberFormat="1" applyFill="1" applyBorder="1" applyAlignment="1" applyProtection="1">
      <alignment horizontal="center" vertical="center"/>
    </xf>
    <xf numFmtId="164" fontId="0" fillId="43" borderId="6" xfId="0" applyNumberFormat="1" applyFill="1" applyBorder="1" applyAlignment="1" applyProtection="1">
      <alignment horizontal="center" vertical="center"/>
    </xf>
    <xf numFmtId="165" fontId="19" fillId="6" borderId="6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165" fontId="19" fillId="8" borderId="6" xfId="0" applyNumberFormat="1" applyFont="1" applyFill="1" applyBorder="1" applyAlignment="1" applyProtection="1">
      <alignment horizontal="center" vertical="center"/>
    </xf>
    <xf numFmtId="0" fontId="0" fillId="8" borderId="0" xfId="0" applyFill="1" applyAlignment="1" applyProtection="1">
      <alignment horizontal="center" vertical="center"/>
    </xf>
    <xf numFmtId="165" fontId="19" fillId="42" borderId="6" xfId="0" applyNumberFormat="1" applyFont="1" applyFill="1" applyBorder="1" applyAlignment="1" applyProtection="1">
      <alignment horizontal="center" vertical="center"/>
    </xf>
    <xf numFmtId="0" fontId="0" fillId="42" borderId="0" xfId="0" applyFill="1" applyAlignment="1" applyProtection="1">
      <alignment horizontal="center" vertical="center"/>
    </xf>
    <xf numFmtId="165" fontId="19" fillId="43" borderId="6" xfId="0" applyNumberFormat="1" applyFont="1" applyFill="1" applyBorder="1" applyAlignment="1" applyProtection="1">
      <alignment horizontal="center" vertical="center"/>
    </xf>
    <xf numFmtId="0" fontId="0" fillId="43" borderId="0" xfId="0" applyFill="1" applyAlignment="1" applyProtection="1">
      <alignment horizontal="center" vertical="center"/>
    </xf>
    <xf numFmtId="165" fontId="19" fillId="23" borderId="6" xfId="0" applyNumberFormat="1" applyFont="1" applyFill="1" applyBorder="1" applyAlignment="1" applyProtection="1">
      <alignment horizontal="center" vertical="center"/>
    </xf>
    <xf numFmtId="0" fontId="0" fillId="23" borderId="0" xfId="0" applyFill="1" applyAlignment="1" applyProtection="1">
      <alignment horizontal="center" vertical="center"/>
    </xf>
    <xf numFmtId="165" fontId="19" fillId="24" borderId="6" xfId="0" applyNumberFormat="1" applyFont="1" applyFill="1" applyBorder="1" applyAlignment="1" applyProtection="1">
      <alignment horizontal="center" vertical="center"/>
    </xf>
    <xf numFmtId="0" fontId="0" fillId="24" borderId="0" xfId="0" applyFill="1" applyAlignment="1" applyProtection="1">
      <alignment horizontal="center" vertical="center"/>
    </xf>
    <xf numFmtId="165" fontId="40" fillId="0" borderId="0" xfId="0" applyNumberFormat="1" applyFont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24" borderId="0" xfId="0" applyFill="1" applyBorder="1" applyAlignment="1" applyProtection="1">
      <alignment horizontal="center" vertical="center"/>
    </xf>
    <xf numFmtId="0" fontId="0" fillId="23" borderId="0" xfId="0" applyFill="1" applyBorder="1" applyAlignment="1" applyProtection="1">
      <alignment horizontal="center" vertical="center"/>
    </xf>
    <xf numFmtId="0" fontId="0" fillId="43" borderId="0" xfId="0" applyFill="1" applyBorder="1" applyAlignment="1" applyProtection="1">
      <alignment horizontal="center" vertical="center"/>
    </xf>
    <xf numFmtId="0" fontId="0" fillId="42" borderId="0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165" fontId="8" fillId="0" borderId="0" xfId="0" applyNumberFormat="1" applyFont="1" applyBorder="1" applyAlignment="1" applyProtection="1">
      <alignment horizontal="center" vertical="center"/>
    </xf>
    <xf numFmtId="165" fontId="8" fillId="55" borderId="0" xfId="0" applyNumberFormat="1" applyFont="1" applyFill="1" applyBorder="1" applyAlignment="1" applyProtection="1">
      <alignment horizontal="center" vertical="center"/>
    </xf>
    <xf numFmtId="165" fontId="10" fillId="55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165" fontId="0" fillId="6" borderId="0" xfId="0" applyNumberFormat="1" applyFill="1" applyBorder="1" applyAlignment="1" applyProtection="1">
      <alignment horizontal="center" vertical="center"/>
    </xf>
    <xf numFmtId="165" fontId="0" fillId="8" borderId="0" xfId="0" applyNumberFormat="1" applyFill="1" applyBorder="1" applyAlignment="1" applyProtection="1">
      <alignment horizontal="center" vertical="center"/>
    </xf>
    <xf numFmtId="165" fontId="0" fillId="42" borderId="0" xfId="0" applyNumberFormat="1" applyFill="1" applyBorder="1" applyAlignment="1" applyProtection="1">
      <alignment horizontal="center" vertical="center"/>
    </xf>
    <xf numFmtId="165" fontId="0" fillId="43" borderId="0" xfId="0" applyNumberForma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165" fontId="0" fillId="23" borderId="0" xfId="0" applyNumberFormat="1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23" borderId="6" xfId="0" applyFill="1" applyBorder="1" applyAlignment="1" applyProtection="1">
      <alignment horizontal="center" vertical="center"/>
    </xf>
    <xf numFmtId="165" fontId="0" fillId="24" borderId="0" xfId="0" applyNumberFormat="1" applyFill="1" applyBorder="1" applyAlignment="1" applyProtection="1">
      <alignment horizontal="center" vertical="center"/>
    </xf>
    <xf numFmtId="0" fontId="0" fillId="24" borderId="6" xfId="0" applyFill="1" applyBorder="1" applyAlignment="1" applyProtection="1">
      <alignment horizontal="center" vertical="center"/>
    </xf>
    <xf numFmtId="44" fontId="0" fillId="0" borderId="0" xfId="3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  <protection locked="0"/>
    </xf>
    <xf numFmtId="165" fontId="0" fillId="7" borderId="0" xfId="0" applyNumberFormat="1" applyFill="1" applyAlignment="1" applyProtection="1">
      <alignment horizontal="center" vertical="center"/>
      <protection locked="0"/>
    </xf>
    <xf numFmtId="3" fontId="0" fillId="14" borderId="6" xfId="0" applyNumberFormat="1" applyFill="1" applyBorder="1" applyAlignment="1" applyProtection="1">
      <alignment horizontal="center" vertical="center"/>
    </xf>
    <xf numFmtId="164" fontId="0" fillId="14" borderId="6" xfId="0" applyNumberForma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center" vertical="center"/>
    </xf>
    <xf numFmtId="165" fontId="2" fillId="10" borderId="6" xfId="0" applyNumberFormat="1" applyFont="1" applyFill="1" applyBorder="1" applyAlignment="1" applyProtection="1">
      <alignment horizontal="center" vertical="center"/>
    </xf>
    <xf numFmtId="165" fontId="0" fillId="7" borderId="6" xfId="0" applyNumberFormat="1" applyFill="1" applyBorder="1" applyAlignment="1" applyProtection="1">
      <alignment horizontal="center" vertical="center"/>
    </xf>
    <xf numFmtId="4" fontId="2" fillId="10" borderId="6" xfId="0" applyNumberFormat="1" applyFont="1" applyFill="1" applyBorder="1" applyAlignment="1" applyProtection="1">
      <alignment horizontal="center" vertical="center"/>
    </xf>
    <xf numFmtId="165" fontId="19" fillId="14" borderId="6" xfId="0" applyNumberFormat="1" applyFont="1" applyFill="1" applyBorder="1" applyAlignment="1" applyProtection="1">
      <alignment horizontal="center" vertical="center"/>
    </xf>
    <xf numFmtId="0" fontId="0" fillId="14" borderId="0" xfId="0" applyFill="1" applyAlignment="1" applyProtection="1">
      <alignment horizontal="center" vertical="center"/>
    </xf>
    <xf numFmtId="165" fontId="19" fillId="10" borderId="6" xfId="0" applyNumberFormat="1" applyFont="1" applyFill="1" applyBorder="1" applyAlignment="1" applyProtection="1">
      <alignment horizontal="center" vertical="center"/>
    </xf>
    <xf numFmtId="165" fontId="19" fillId="55" borderId="0" xfId="0" applyNumberFormat="1" applyFont="1" applyFill="1" applyBorder="1" applyAlignment="1" applyProtection="1">
      <alignment horizontal="right" vertical="center"/>
    </xf>
    <xf numFmtId="165" fontId="0" fillId="12" borderId="0" xfId="0" applyNumberFormat="1" applyFill="1" applyBorder="1" applyAlignment="1" applyProtection="1">
      <alignment horizontal="center" vertical="center"/>
    </xf>
    <xf numFmtId="0" fontId="0" fillId="9" borderId="10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165" fontId="0" fillId="7" borderId="0" xfId="0" applyNumberFormat="1" applyFill="1" applyBorder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4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44" fillId="0" borderId="0" xfId="0" applyFont="1" applyAlignment="1" applyProtection="1">
      <alignment horizontal="center" vertical="center"/>
      <protection locked="0"/>
    </xf>
    <xf numFmtId="0" fontId="44" fillId="0" borderId="0" xfId="0" applyFont="1" applyProtection="1">
      <protection locked="0"/>
    </xf>
    <xf numFmtId="0" fontId="44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5" fontId="0" fillId="7" borderId="6" xfId="0" applyNumberFormat="1" applyFill="1" applyBorder="1" applyAlignment="1" applyProtection="1">
      <alignment horizontal="center" vertical="center"/>
      <protection locked="0"/>
    </xf>
    <xf numFmtId="165" fontId="0" fillId="0" borderId="0" xfId="0" applyNumberFormat="1"/>
    <xf numFmtId="165" fontId="0" fillId="46" borderId="6" xfId="0" applyNumberFormat="1" applyFill="1" applyBorder="1" applyAlignment="1" applyProtection="1">
      <alignment horizontal="center" vertical="center"/>
      <protection locked="0"/>
    </xf>
    <xf numFmtId="165" fontId="0" fillId="9" borderId="6" xfId="0" applyNumberFormat="1" applyFill="1" applyBorder="1" applyAlignment="1" applyProtection="1">
      <alignment horizontal="center" vertical="center"/>
      <protection locked="0"/>
    </xf>
    <xf numFmtId="165" fontId="19" fillId="4" borderId="6" xfId="0" applyNumberFormat="1" applyFont="1" applyFill="1" applyBorder="1" applyAlignment="1" applyProtection="1">
      <alignment horizontal="center" vertical="center"/>
      <protection locked="0"/>
    </xf>
    <xf numFmtId="165" fontId="0" fillId="0" borderId="140" xfId="0" applyNumberFormat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165" fontId="0" fillId="0" borderId="144" xfId="0" applyNumberFormat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165" fontId="0" fillId="17" borderId="6" xfId="0" applyNumberFormat="1" applyFill="1" applyBorder="1" applyAlignment="1">
      <alignment horizontal="center" vertical="center"/>
    </xf>
    <xf numFmtId="0" fontId="0" fillId="0" borderId="145" xfId="0" applyBorder="1" applyAlignment="1" applyProtection="1">
      <alignment horizontal="center" vertical="center"/>
      <protection locked="0"/>
    </xf>
    <xf numFmtId="165" fontId="0" fillId="0" borderId="145" xfId="0" applyNumberFormat="1" applyBorder="1" applyAlignment="1" applyProtection="1">
      <alignment horizontal="center" vertical="center"/>
      <protection locked="0"/>
    </xf>
    <xf numFmtId="0" fontId="0" fillId="0" borderId="146" xfId="0" applyBorder="1" applyAlignment="1">
      <alignment horizontal="center" vertical="center"/>
    </xf>
    <xf numFmtId="165" fontId="0" fillId="0" borderId="147" xfId="0" applyNumberForma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165" fontId="0" fillId="0" borderId="149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5" fontId="0" fillId="9" borderId="6" xfId="0" applyNumberFormat="1" applyFill="1" applyBorder="1" applyAlignment="1">
      <alignment horizontal="center" vertical="center"/>
    </xf>
    <xf numFmtId="0" fontId="0" fillId="0" borderId="150" xfId="0" applyBorder="1" applyAlignment="1" applyProtection="1">
      <alignment horizontal="center" vertical="center"/>
      <protection locked="0"/>
    </xf>
    <xf numFmtId="165" fontId="0" fillId="0" borderId="150" xfId="0" applyNumberFormat="1" applyBorder="1" applyAlignment="1" applyProtection="1">
      <alignment horizontal="center" vertical="center"/>
      <protection locked="0"/>
    </xf>
    <xf numFmtId="0" fontId="0" fillId="0" borderId="151" xfId="0" applyBorder="1" applyAlignment="1">
      <alignment horizontal="center" vertical="center"/>
    </xf>
    <xf numFmtId="165" fontId="0" fillId="0" borderId="152" xfId="0" applyNumberFormat="1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165" fontId="0" fillId="0" borderId="154" xfId="0" applyNumberFormat="1" applyBorder="1" applyAlignment="1">
      <alignment horizontal="center" vertical="center"/>
    </xf>
    <xf numFmtId="165" fontId="0" fillId="0" borderId="155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Protection="1"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156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Protection="1">
      <protection locked="0"/>
    </xf>
    <xf numFmtId="165" fontId="0" fillId="0" borderId="5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61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165" fontId="0" fillId="0" borderId="140" xfId="0" applyNumberFormat="1" applyBorder="1" applyAlignment="1" applyProtection="1">
      <alignment horizontal="center" vertical="center"/>
      <protection locked="0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165" fontId="0" fillId="17" borderId="0" xfId="0" applyNumberFormat="1" applyFill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45" fillId="0" borderId="0" xfId="0" applyFont="1" applyAlignment="1">
      <alignment horizontal="center" vertical="center" shrinkToFit="1"/>
    </xf>
    <xf numFmtId="0" fontId="45" fillId="46" borderId="0" xfId="0" applyFont="1" applyFill="1" applyAlignment="1">
      <alignment horizontal="center" vertical="center" shrinkToFit="1"/>
    </xf>
    <xf numFmtId="165" fontId="45" fillId="7" borderId="0" xfId="0" applyNumberFormat="1" applyFont="1" applyFill="1" applyAlignment="1" applyProtection="1">
      <alignment horizontal="center" vertical="center" shrinkToFit="1"/>
      <protection locked="0"/>
    </xf>
    <xf numFmtId="165" fontId="45" fillId="0" borderId="0" xfId="0" applyNumberFormat="1" applyFont="1" applyAlignment="1">
      <alignment horizontal="center" vertical="center" shrinkToFit="1"/>
    </xf>
    <xf numFmtId="0" fontId="45" fillId="19" borderId="0" xfId="0" applyFont="1" applyFill="1" applyAlignment="1">
      <alignment horizontal="center" vertical="center" shrinkToFit="1"/>
    </xf>
    <xf numFmtId="0" fontId="45" fillId="7" borderId="0" xfId="0" applyFont="1" applyFill="1" applyAlignment="1" applyProtection="1">
      <alignment horizontal="center" vertical="center" shrinkToFit="1"/>
      <protection locked="0"/>
    </xf>
    <xf numFmtId="2" fontId="45" fillId="7" borderId="0" xfId="0" applyNumberFormat="1" applyFont="1" applyFill="1" applyAlignment="1" applyProtection="1">
      <alignment horizontal="center" vertical="center" shrinkToFit="1"/>
      <protection locked="0"/>
    </xf>
    <xf numFmtId="0" fontId="45" fillId="20" borderId="0" xfId="0" applyFont="1" applyFill="1" applyAlignment="1">
      <alignment horizontal="center" vertical="center" shrinkToFit="1"/>
    </xf>
    <xf numFmtId="0" fontId="45" fillId="17" borderId="0" xfId="0" applyFont="1" applyFill="1" applyAlignment="1">
      <alignment horizontal="center" vertical="center" shrinkToFit="1"/>
    </xf>
    <xf numFmtId="4" fontId="63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45" fillId="0" borderId="0" xfId="0" quotePrefix="1" applyFont="1" applyAlignment="1">
      <alignment horizontal="center" vertical="center" shrinkToFit="1"/>
    </xf>
    <xf numFmtId="165" fontId="45" fillId="24" borderId="0" xfId="0" applyNumberFormat="1" applyFont="1" applyFill="1" applyAlignment="1">
      <alignment horizontal="center" vertical="center" shrinkToFit="1"/>
    </xf>
    <xf numFmtId="4" fontId="45" fillId="7" borderId="0" xfId="0" applyNumberFormat="1" applyFont="1" applyFill="1" applyAlignment="1" applyProtection="1">
      <alignment horizontal="center" vertical="center" shrinkToFit="1"/>
      <protection locked="0"/>
    </xf>
    <xf numFmtId="0" fontId="63" fillId="0" borderId="0" xfId="0" quotePrefix="1" applyFont="1" applyAlignment="1">
      <alignment horizontal="center" vertical="center" shrinkToFit="1"/>
    </xf>
    <xf numFmtId="4" fontId="63" fillId="24" borderId="0" xfId="0" applyNumberFormat="1" applyFont="1" applyFill="1" applyAlignment="1" applyProtection="1">
      <alignment horizontal="center" vertical="center" shrinkToFit="1"/>
      <protection locked="0"/>
    </xf>
    <xf numFmtId="0" fontId="45" fillId="7" borderId="6" xfId="0" applyFont="1" applyFill="1" applyBorder="1" applyAlignment="1" applyProtection="1">
      <alignment horizontal="center" vertical="center" shrinkToFit="1"/>
      <protection locked="0"/>
    </xf>
    <xf numFmtId="0" fontId="45" fillId="7" borderId="162" xfId="0" applyFont="1" applyFill="1" applyBorder="1" applyAlignment="1" applyProtection="1">
      <alignment horizontal="center" vertical="center" shrinkToFit="1"/>
      <protection locked="0"/>
    </xf>
    <xf numFmtId="4" fontId="45" fillId="7" borderId="163" xfId="0" applyNumberFormat="1" applyFont="1" applyFill="1" applyBorder="1" applyAlignment="1" applyProtection="1">
      <alignment horizontal="center" vertical="center" shrinkToFit="1"/>
      <protection locked="0"/>
    </xf>
    <xf numFmtId="4" fontId="45" fillId="24" borderId="0" xfId="0" applyNumberFormat="1" applyFont="1" applyFill="1" applyAlignment="1">
      <alignment horizontal="center" vertical="center" shrinkToFit="1"/>
    </xf>
    <xf numFmtId="172" fontId="45" fillId="0" borderId="0" xfId="0" applyNumberFormat="1" applyFont="1" applyAlignment="1">
      <alignment horizontal="center" vertical="center" shrinkToFit="1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9" fillId="43" borderId="6" xfId="0" applyFont="1" applyFill="1" applyBorder="1" applyAlignment="1" applyProtection="1">
      <alignment horizontal="center" vertical="center" wrapText="1"/>
    </xf>
    <xf numFmtId="4" fontId="19" fillId="19" borderId="6" xfId="0" applyNumberFormat="1" applyFont="1" applyFill="1" applyBorder="1" applyAlignment="1">
      <alignment horizontal="center" vertical="center"/>
    </xf>
    <xf numFmtId="165" fontId="19" fillId="19" borderId="6" xfId="0" applyNumberFormat="1" applyFont="1" applyFill="1" applyBorder="1" applyAlignment="1">
      <alignment horizontal="center" vertical="center"/>
    </xf>
    <xf numFmtId="0" fontId="19" fillId="42" borderId="6" xfId="0" applyFont="1" applyFill="1" applyBorder="1" applyAlignment="1" applyProtection="1">
      <alignment horizontal="center" vertical="center" wrapText="1"/>
    </xf>
    <xf numFmtId="165" fontId="0" fillId="51" borderId="6" xfId="0" applyNumberFormat="1" applyFill="1" applyBorder="1" applyAlignment="1" applyProtection="1">
      <alignment horizontal="center" vertical="center" wrapText="1"/>
    </xf>
    <xf numFmtId="4" fontId="2" fillId="0" borderId="6" xfId="0" applyNumberFormat="1" applyFont="1" applyBorder="1" applyAlignment="1" applyProtection="1">
      <alignment horizontal="center" vertical="center" wrapText="1"/>
    </xf>
    <xf numFmtId="0" fontId="2" fillId="0" borderId="80" xfId="0" applyFont="1" applyBorder="1" applyAlignment="1" applyProtection="1">
      <alignment horizontal="center" vertical="center" wrapText="1"/>
    </xf>
    <xf numFmtId="0" fontId="2" fillId="0" borderId="81" xfId="0" applyFont="1" applyBorder="1" applyAlignment="1" applyProtection="1">
      <alignment horizontal="center" vertical="center" wrapText="1"/>
    </xf>
    <xf numFmtId="0" fontId="2" fillId="0" borderId="82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78" xfId="0" applyFont="1" applyBorder="1" applyAlignment="1" applyProtection="1">
      <alignment horizontal="center" vertical="center" wrapText="1"/>
    </xf>
    <xf numFmtId="0" fontId="2" fillId="0" borderId="83" xfId="0" applyFont="1" applyBorder="1" applyAlignment="1" applyProtection="1">
      <alignment horizontal="center" vertical="center" wrapText="1"/>
    </xf>
    <xf numFmtId="165" fontId="0" fillId="51" borderId="20" xfId="0" applyNumberFormat="1" applyFill="1" applyBorder="1" applyAlignment="1" applyProtection="1">
      <alignment horizontal="center" vertical="center" wrapText="1"/>
    </xf>
    <xf numFmtId="165" fontId="0" fillId="51" borderId="84" xfId="0" applyNumberFormat="1" applyFill="1" applyBorder="1" applyAlignment="1" applyProtection="1">
      <alignment horizontal="center" vertical="center" wrapText="1"/>
    </xf>
    <xf numFmtId="165" fontId="0" fillId="6" borderId="6" xfId="0" applyNumberFormat="1" applyFill="1" applyBorder="1" applyAlignment="1" applyProtection="1">
      <alignment horizontal="center" vertical="center" wrapText="1"/>
    </xf>
    <xf numFmtId="165" fontId="0" fillId="17" borderId="0" xfId="0" applyNumberFormat="1" applyFill="1" applyAlignment="1" applyProtection="1">
      <alignment horizontal="center" vertical="center"/>
    </xf>
    <xf numFmtId="165" fontId="0" fillId="48" borderId="10" xfId="0" applyNumberFormat="1" applyFill="1" applyBorder="1" applyAlignment="1" applyProtection="1">
      <alignment horizontal="center" vertical="center" wrapText="1"/>
    </xf>
    <xf numFmtId="165" fontId="0" fillId="48" borderId="6" xfId="0" applyNumberFormat="1" applyFill="1" applyBorder="1" applyAlignment="1" applyProtection="1">
      <alignment horizontal="center" vertical="center"/>
    </xf>
    <xf numFmtId="165" fontId="0" fillId="55" borderId="6" xfId="0" applyNumberFormat="1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45" fillId="43" borderId="6" xfId="0" applyFont="1" applyFill="1" applyBorder="1" applyAlignment="1" applyProtection="1">
      <alignment horizontal="center" vertical="center" wrapText="1"/>
    </xf>
    <xf numFmtId="4" fontId="33" fillId="19" borderId="6" xfId="0" applyNumberFormat="1" applyFont="1" applyFill="1" applyBorder="1" applyAlignment="1">
      <alignment horizontal="center" vertical="center"/>
    </xf>
    <xf numFmtId="0" fontId="33" fillId="0" borderId="164" xfId="0" applyFont="1" applyBorder="1" applyAlignment="1">
      <alignment horizontal="center" vertical="center"/>
    </xf>
    <xf numFmtId="165" fontId="33" fillId="0" borderId="165" xfId="0" applyNumberFormat="1" applyFont="1" applyBorder="1" applyAlignment="1">
      <alignment horizontal="center" vertical="center"/>
    </xf>
    <xf numFmtId="0" fontId="33" fillId="43" borderId="0" xfId="0" applyFont="1" applyFill="1" applyAlignment="1">
      <alignment horizontal="center" vertical="center"/>
    </xf>
    <xf numFmtId="165" fontId="33" fillId="19" borderId="0" xfId="0" applyNumberFormat="1" applyFont="1" applyFill="1" applyAlignment="1">
      <alignment horizontal="center" vertical="center"/>
    </xf>
    <xf numFmtId="165" fontId="33" fillId="9" borderId="166" xfId="0" applyNumberFormat="1" applyFont="1" applyFill="1" applyBorder="1" applyAlignment="1">
      <alignment horizontal="center" vertical="center"/>
    </xf>
    <xf numFmtId="165" fontId="33" fillId="9" borderId="167" xfId="0" applyNumberFormat="1" applyFont="1" applyFill="1" applyBorder="1" applyAlignment="1">
      <alignment horizontal="center" vertical="center"/>
    </xf>
    <xf numFmtId="0" fontId="33" fillId="0" borderId="168" xfId="0" applyFont="1" applyBorder="1" applyAlignment="1">
      <alignment horizontal="center" vertical="center"/>
    </xf>
    <xf numFmtId="165" fontId="33" fillId="0" borderId="169" xfId="0" applyNumberFormat="1" applyFont="1" applyBorder="1" applyAlignment="1">
      <alignment horizontal="center" vertical="center"/>
    </xf>
    <xf numFmtId="0" fontId="45" fillId="42" borderId="6" xfId="0" applyFont="1" applyFill="1" applyBorder="1" applyAlignment="1" applyProtection="1">
      <alignment horizontal="center" vertical="center" wrapText="1"/>
    </xf>
    <xf numFmtId="0" fontId="33" fillId="12" borderId="169" xfId="0" applyFont="1" applyFill="1" applyBorder="1" applyAlignment="1">
      <alignment horizontal="center" vertical="center"/>
    </xf>
    <xf numFmtId="165" fontId="33" fillId="19" borderId="6" xfId="0" applyNumberFormat="1" applyFont="1" applyFill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169" xfId="0" applyFont="1" applyBorder="1" applyAlignment="1">
      <alignment horizontal="center" vertical="center"/>
    </xf>
    <xf numFmtId="0" fontId="45" fillId="4" borderId="10" xfId="0" applyFont="1" applyFill="1" applyBorder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4" fontId="33" fillId="0" borderId="169" xfId="0" applyNumberFormat="1" applyFont="1" applyBorder="1" applyAlignment="1">
      <alignment horizontal="center" vertical="center"/>
    </xf>
    <xf numFmtId="0" fontId="33" fillId="0" borderId="170" xfId="0" applyFont="1" applyBorder="1" applyAlignment="1">
      <alignment horizontal="center" vertical="center"/>
    </xf>
    <xf numFmtId="0" fontId="33" fillId="0" borderId="171" xfId="0" applyFont="1" applyBorder="1" applyAlignment="1">
      <alignment horizontal="center" vertical="center"/>
    </xf>
    <xf numFmtId="0" fontId="33" fillId="0" borderId="6" xfId="0" applyFont="1" applyBorder="1" applyAlignment="1" applyProtection="1">
      <alignment horizontal="center" vertical="center" wrapText="1"/>
    </xf>
    <xf numFmtId="3" fontId="33" fillId="4" borderId="6" xfId="0" applyNumberFormat="1" applyFont="1" applyFill="1" applyBorder="1" applyAlignment="1" applyProtection="1">
      <alignment horizontal="center" vertical="center" wrapText="1"/>
    </xf>
    <xf numFmtId="4" fontId="33" fillId="9" borderId="6" xfId="0" applyNumberFormat="1" applyFont="1" applyFill="1" applyBorder="1" applyAlignment="1" applyProtection="1">
      <alignment horizontal="center" vertical="center" wrapText="1"/>
    </xf>
    <xf numFmtId="165" fontId="33" fillId="9" borderId="0" xfId="0" applyNumberFormat="1" applyFont="1" applyFill="1" applyAlignment="1">
      <alignment horizontal="center" vertical="center"/>
    </xf>
    <xf numFmtId="4" fontId="33" fillId="11" borderId="6" xfId="0" applyNumberFormat="1" applyFont="1" applyFill="1" applyBorder="1" applyAlignment="1" applyProtection="1">
      <alignment horizontal="center" vertical="center" wrapText="1"/>
    </xf>
    <xf numFmtId="4" fontId="33" fillId="0" borderId="6" xfId="0" applyNumberFormat="1" applyFont="1" applyBorder="1" applyAlignment="1" applyProtection="1">
      <alignment horizontal="center" vertical="center" wrapText="1"/>
    </xf>
    <xf numFmtId="4" fontId="33" fillId="50" borderId="6" xfId="0" applyNumberFormat="1" applyFont="1" applyFill="1" applyBorder="1" applyAlignment="1" applyProtection="1">
      <alignment horizontal="center" vertical="center" wrapText="1"/>
    </xf>
    <xf numFmtId="10" fontId="33" fillId="50" borderId="6" xfId="0" applyNumberFormat="1" applyFont="1" applyFill="1" applyBorder="1" applyAlignment="1" applyProtection="1">
      <alignment horizontal="center" vertical="center" wrapText="1"/>
    </xf>
    <xf numFmtId="165" fontId="33" fillId="0" borderId="0" xfId="0" applyNumberFormat="1" applyFont="1" applyAlignment="1">
      <alignment horizontal="center" vertical="center"/>
    </xf>
    <xf numFmtId="4" fontId="33" fillId="0" borderId="0" xfId="0" applyNumberFormat="1" applyFont="1" applyAlignment="1">
      <alignment horizontal="center" vertical="center"/>
    </xf>
    <xf numFmtId="0" fontId="45" fillId="0" borderId="6" xfId="0" applyFont="1" applyBorder="1" applyAlignment="1" applyProtection="1">
      <alignment horizontal="center" vertical="center" wrapText="1"/>
    </xf>
    <xf numFmtId="3" fontId="45" fillId="4" borderId="6" xfId="0" applyNumberFormat="1" applyFont="1" applyFill="1" applyBorder="1" applyAlignment="1" applyProtection="1">
      <alignment horizontal="center" vertical="center" wrapText="1"/>
    </xf>
    <xf numFmtId="4" fontId="45" fillId="17" borderId="6" xfId="0" applyNumberFormat="1" applyFont="1" applyFill="1" applyBorder="1" applyAlignment="1" applyProtection="1">
      <alignment horizontal="center" vertical="center" shrinkToFit="1"/>
    </xf>
    <xf numFmtId="4" fontId="45" fillId="9" borderId="6" xfId="0" applyNumberFormat="1" applyFont="1" applyFill="1" applyBorder="1" applyAlignment="1" applyProtection="1">
      <alignment horizontal="center" vertical="center" wrapText="1"/>
    </xf>
    <xf numFmtId="4" fontId="45" fillId="11" borderId="6" xfId="0" applyNumberFormat="1" applyFont="1" applyFill="1" applyBorder="1" applyAlignment="1" applyProtection="1">
      <alignment horizontal="center" vertical="center" wrapText="1"/>
    </xf>
    <xf numFmtId="4" fontId="45" fillId="0" borderId="6" xfId="0" applyNumberFormat="1" applyFont="1" applyBorder="1" applyAlignment="1" applyProtection="1">
      <alignment horizontal="center" vertical="center" wrapText="1"/>
    </xf>
    <xf numFmtId="4" fontId="45" fillId="10" borderId="6" xfId="0" applyNumberFormat="1" applyFont="1" applyFill="1" applyBorder="1" applyAlignment="1" applyProtection="1">
      <alignment horizontal="center" vertical="center" wrapText="1"/>
    </xf>
    <xf numFmtId="4" fontId="45" fillId="50" borderId="6" xfId="0" applyNumberFormat="1" applyFont="1" applyFill="1" applyBorder="1" applyAlignment="1" applyProtection="1">
      <alignment horizontal="center" vertical="center" wrapText="1"/>
    </xf>
    <xf numFmtId="10" fontId="45" fillId="50" borderId="6" xfId="0" applyNumberFormat="1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79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3" fillId="42" borderId="172" xfId="0" applyFont="1" applyFill="1" applyBorder="1" applyAlignment="1">
      <alignment horizontal="center" vertical="center"/>
    </xf>
    <xf numFmtId="165" fontId="33" fillId="0" borderId="173" xfId="0" applyNumberFormat="1" applyFont="1" applyBorder="1" applyAlignment="1">
      <alignment horizontal="center" vertical="center"/>
    </xf>
    <xf numFmtId="0" fontId="33" fillId="42" borderId="174" xfId="0" applyFont="1" applyFill="1" applyBorder="1" applyAlignment="1">
      <alignment horizontal="center" vertical="center"/>
    </xf>
    <xf numFmtId="165" fontId="33" fillId="0" borderId="175" xfId="0" applyNumberFormat="1" applyFont="1" applyBorder="1" applyAlignment="1">
      <alignment horizontal="center" vertical="center"/>
    </xf>
    <xf numFmtId="0" fontId="33" fillId="12" borderId="175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165" fontId="33" fillId="0" borderId="178" xfId="0" applyNumberFormat="1" applyFont="1" applyBorder="1" applyAlignment="1" applyProtection="1">
      <alignment horizontal="center" vertical="center"/>
      <protection locked="0"/>
    </xf>
    <xf numFmtId="0" fontId="33" fillId="0" borderId="175" xfId="0" applyFont="1" applyBorder="1" applyAlignment="1">
      <alignment horizontal="center" vertical="center"/>
    </xf>
    <xf numFmtId="4" fontId="33" fillId="0" borderId="175" xfId="0" applyNumberFormat="1" applyFont="1" applyBorder="1" applyAlignment="1">
      <alignment horizontal="center" vertical="center"/>
    </xf>
    <xf numFmtId="0" fontId="33" fillId="42" borderId="179" xfId="0" applyFont="1" applyFill="1" applyBorder="1" applyAlignment="1">
      <alignment horizontal="center" vertical="center"/>
    </xf>
    <xf numFmtId="0" fontId="33" fillId="0" borderId="180" xfId="0" applyFont="1" applyBorder="1" applyAlignment="1">
      <alignment horizontal="center" vertical="center"/>
    </xf>
    <xf numFmtId="0" fontId="33" fillId="56" borderId="0" xfId="0" applyFont="1" applyFill="1" applyAlignment="1">
      <alignment horizontal="center" vertical="center"/>
    </xf>
    <xf numFmtId="165" fontId="33" fillId="56" borderId="0" xfId="0" applyNumberFormat="1" applyFont="1" applyFill="1" applyAlignment="1">
      <alignment horizontal="center" vertical="center"/>
    </xf>
    <xf numFmtId="0" fontId="33" fillId="48" borderId="0" xfId="0" applyFont="1" applyFill="1" applyAlignment="1">
      <alignment horizontal="center" vertical="center"/>
    </xf>
    <xf numFmtId="4" fontId="33" fillId="48" borderId="0" xfId="0" applyNumberFormat="1" applyFont="1" applyFill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165" fontId="33" fillId="6" borderId="0" xfId="0" applyNumberFormat="1" applyFont="1" applyFill="1" applyAlignment="1">
      <alignment horizontal="center" vertical="center"/>
    </xf>
    <xf numFmtId="165" fontId="45" fillId="9" borderId="6" xfId="0" applyNumberFormat="1" applyFont="1" applyFill="1" applyBorder="1" applyAlignment="1" applyProtection="1">
      <alignment horizontal="center" vertical="center" wrapText="1"/>
    </xf>
    <xf numFmtId="165" fontId="45" fillId="10" borderId="6" xfId="0" applyNumberFormat="1" applyFont="1" applyFill="1" applyBorder="1" applyAlignment="1" applyProtection="1">
      <alignment horizontal="center" vertical="center" wrapText="1"/>
    </xf>
    <xf numFmtId="0" fontId="42" fillId="0" borderId="20" xfId="0" applyFont="1" applyBorder="1" applyAlignment="1" applyProtection="1">
      <alignment horizontal="center" vertical="center" shrinkToFit="1"/>
    </xf>
    <xf numFmtId="0" fontId="51" fillId="0" borderId="181" xfId="0" applyFont="1" applyBorder="1" applyAlignment="1">
      <alignment horizontal="center" vertical="center"/>
    </xf>
    <xf numFmtId="0" fontId="51" fillId="0" borderId="182" xfId="0" applyFont="1" applyBorder="1" applyAlignment="1">
      <alignment horizontal="center" vertical="center"/>
    </xf>
    <xf numFmtId="0" fontId="51" fillId="0" borderId="183" xfId="0" applyFont="1" applyBorder="1" applyAlignment="1">
      <alignment horizontal="center" vertical="center"/>
    </xf>
    <xf numFmtId="165" fontId="68" fillId="0" borderId="0" xfId="0" applyNumberFormat="1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184" xfId="0" applyFill="1" applyBorder="1" applyAlignment="1" applyProtection="1">
      <alignment horizontal="center" vertical="center"/>
    </xf>
    <xf numFmtId="4" fontId="0" fillId="14" borderId="87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/>
    </xf>
    <xf numFmtId="4" fontId="0" fillId="14" borderId="89" xfId="0" applyNumberFormat="1" applyFill="1" applyBorder="1" applyAlignment="1" applyProtection="1">
      <alignment horizontal="center" vertical="center"/>
    </xf>
    <xf numFmtId="165" fontId="0" fillId="9" borderId="21" xfId="0" applyNumberFormat="1" applyFill="1" applyBorder="1" applyAlignment="1" applyProtection="1">
      <alignment horizontal="center" vertical="center" wrapText="1"/>
    </xf>
    <xf numFmtId="3" fontId="0" fillId="11" borderId="6" xfId="0" applyNumberFormat="1" applyFill="1" applyBorder="1" applyAlignment="1" applyProtection="1">
      <alignment horizontal="center" vertical="center" wrapText="1"/>
    </xf>
    <xf numFmtId="165" fontId="0" fillId="50" borderId="6" xfId="0" applyNumberFormat="1" applyFill="1" applyBorder="1" applyAlignment="1" applyProtection="1">
      <alignment horizontal="center" vertical="center" wrapText="1"/>
    </xf>
    <xf numFmtId="3" fontId="45" fillId="8" borderId="20" xfId="0" applyNumberFormat="1" applyFont="1" applyFill="1" applyBorder="1" applyAlignment="1" applyProtection="1">
      <alignment horizontal="center" vertical="center" wrapText="1"/>
    </xf>
    <xf numFmtId="3" fontId="45" fillId="8" borderId="94" xfId="0" applyNumberFormat="1" applyFont="1" applyFill="1" applyBorder="1" applyAlignment="1" applyProtection="1">
      <alignment horizontal="center" vertical="center" wrapText="1"/>
    </xf>
    <xf numFmtId="3" fontId="45" fillId="0" borderId="7" xfId="0" applyNumberFormat="1" applyFont="1" applyBorder="1" applyAlignment="1" applyProtection="1">
      <alignment horizontal="center" vertical="center" wrapText="1"/>
    </xf>
    <xf numFmtId="3" fontId="0" fillId="20" borderId="11" xfId="0" applyNumberFormat="1" applyFill="1" applyBorder="1" applyAlignment="1" applyProtection="1">
      <alignment horizontal="center" vertical="center" wrapText="1"/>
    </xf>
    <xf numFmtId="3" fontId="45" fillId="48" borderId="9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4" fontId="46" fillId="48" borderId="6" xfId="0" applyNumberFormat="1" applyFont="1" applyFill="1" applyBorder="1" applyAlignment="1" applyProtection="1">
      <alignment horizontal="center" vertical="center" wrapText="1"/>
    </xf>
    <xf numFmtId="165" fontId="44" fillId="48" borderId="6" xfId="0" applyNumberFormat="1" applyFont="1" applyFill="1" applyBorder="1" applyAlignment="1" applyProtection="1">
      <alignment horizontal="center" vertical="center" wrapText="1"/>
    </xf>
    <xf numFmtId="4" fontId="19" fillId="19" borderId="6" xfId="0" applyNumberFormat="1" applyFont="1" applyFill="1" applyBorder="1" applyAlignment="1" applyProtection="1">
      <alignment horizontal="center" vertical="center" wrapText="1"/>
    </xf>
    <xf numFmtId="3" fontId="0" fillId="42" borderId="6" xfId="0" applyNumberFormat="1" applyFill="1" applyBorder="1" applyAlignment="1" applyProtection="1">
      <alignment horizontal="center" vertical="center" wrapText="1"/>
    </xf>
    <xf numFmtId="3" fontId="0" fillId="17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5" fillId="7" borderId="187" xfId="0" applyFont="1" applyFill="1" applyBorder="1" applyAlignment="1">
      <alignment horizontal="center" vertical="center" wrapText="1" readingOrder="2"/>
    </xf>
    <xf numFmtId="0" fontId="0" fillId="39" borderId="6" xfId="0" applyFill="1" applyBorder="1" applyAlignment="1">
      <alignment horizontal="center" vertical="center"/>
    </xf>
    <xf numFmtId="165" fontId="0" fillId="39" borderId="6" xfId="0" applyNumberFormat="1" applyFill="1" applyBorder="1" applyAlignment="1" applyProtection="1">
      <alignment horizontal="center" vertical="center" wrapText="1"/>
      <protection locked="0"/>
    </xf>
    <xf numFmtId="165" fontId="0" fillId="39" borderId="6" xfId="0" applyNumberFormat="1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165" fontId="0" fillId="33" borderId="6" xfId="0" applyNumberForma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165" fontId="0" fillId="25" borderId="6" xfId="0" applyNumberFormat="1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165" fontId="0" fillId="32" borderId="6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165" fontId="0" fillId="16" borderId="6" xfId="0" applyNumberFormat="1" applyFill="1" applyBorder="1" applyAlignment="1">
      <alignment horizontal="center" vertical="center"/>
    </xf>
    <xf numFmtId="0" fontId="0" fillId="57" borderId="6" xfId="0" applyFill="1" applyBorder="1" applyAlignment="1">
      <alignment horizontal="center" vertical="center"/>
    </xf>
    <xf numFmtId="165" fontId="0" fillId="57" borderId="6" xfId="0" applyNumberFormat="1" applyFill="1" applyBorder="1" applyAlignment="1">
      <alignment horizontal="center" vertical="center"/>
    </xf>
    <xf numFmtId="165" fontId="0" fillId="57" borderId="6" xfId="0" applyNumberFormat="1" applyFill="1" applyBorder="1" applyAlignment="1" applyProtection="1">
      <alignment horizontal="center" vertical="center" wrapText="1"/>
      <protection locked="0"/>
    </xf>
    <xf numFmtId="0" fontId="0" fillId="58" borderId="6" xfId="0" applyFill="1" applyBorder="1" applyAlignment="1">
      <alignment horizontal="center" vertical="center"/>
    </xf>
    <xf numFmtId="165" fontId="0" fillId="58" borderId="6" xfId="0" applyNumberForma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165" fontId="0" fillId="29" borderId="6" xfId="0" applyNumberFormat="1" applyFill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165" fontId="0" fillId="0" borderId="6" xfId="0" applyNumberFormat="1" applyFill="1" applyBorder="1" applyAlignment="1" applyProtection="1">
      <alignment horizontal="center" vertical="center"/>
    </xf>
    <xf numFmtId="3" fontId="0" fillId="0" borderId="6" xfId="0" applyNumberFormat="1" applyFill="1" applyBorder="1" applyAlignment="1" applyProtection="1">
      <alignment horizontal="center" vertical="center"/>
    </xf>
    <xf numFmtId="164" fontId="0" fillId="0" borderId="6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>
      <alignment horizontal="center" vertical="center"/>
    </xf>
    <xf numFmtId="165" fontId="0" fillId="0" borderId="6" xfId="0" applyNumberFormat="1" applyFill="1" applyBorder="1" applyAlignment="1" applyProtection="1">
      <alignment horizontal="center" vertical="center" wrapText="1"/>
      <protection locked="0"/>
    </xf>
    <xf numFmtId="165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34" fillId="0" borderId="0" xfId="0" applyFont="1"/>
    <xf numFmtId="0" fontId="23" fillId="0" borderId="0" xfId="1" applyFont="1" applyBorder="1"/>
    <xf numFmtId="0" fontId="23" fillId="0" borderId="0" xfId="1" applyFont="1" applyBorder="1" applyAlignment="1">
      <alignment horizontal="center" vertical="top"/>
    </xf>
    <xf numFmtId="0" fontId="25" fillId="0" borderId="0" xfId="1" applyFont="1" applyBorder="1" applyAlignment="1">
      <alignment horizontal="center" vertical="center"/>
    </xf>
    <xf numFmtId="0" fontId="2" fillId="0" borderId="0" xfId="1"/>
    <xf numFmtId="0" fontId="7" fillId="0" borderId="0" xfId="1" applyFont="1" applyBorder="1"/>
    <xf numFmtId="0" fontId="7" fillId="0" borderId="0" xfId="1" applyFont="1" applyBorder="1" applyAlignment="1">
      <alignment horizontal="center" vertical="top" readingOrder="2"/>
    </xf>
    <xf numFmtId="0" fontId="7" fillId="0" borderId="0" xfId="1" applyFont="1" applyBorder="1" applyAlignment="1">
      <alignment vertical="top" readingOrder="2"/>
    </xf>
    <xf numFmtId="17" fontId="7" fillId="0" borderId="0" xfId="1" applyNumberFormat="1" applyFont="1" applyBorder="1" applyAlignment="1">
      <alignment horizontal="center" vertical="top" readingOrder="2"/>
    </xf>
    <xf numFmtId="169" fontId="7" fillId="0" borderId="0" xfId="1" applyNumberFormat="1" applyFont="1" applyBorder="1" applyAlignment="1">
      <alignment horizontal="center" vertical="top" readingOrder="2"/>
    </xf>
    <xf numFmtId="0" fontId="7" fillId="0" borderId="0" xfId="1" applyFont="1" applyBorder="1" applyAlignment="1">
      <alignment horizontal="center" vertical="top"/>
    </xf>
    <xf numFmtId="0" fontId="7" fillId="0" borderId="0" xfId="1" applyFont="1" applyBorder="1" applyAlignment="1"/>
    <xf numFmtId="17" fontId="7" fillId="0" borderId="0" xfId="1" applyNumberFormat="1" applyFont="1" applyBorder="1" applyAlignment="1">
      <alignment horizontal="center" vertical="top"/>
    </xf>
    <xf numFmtId="0" fontId="8" fillId="0" borderId="0" xfId="1" applyFont="1" applyBorder="1"/>
    <xf numFmtId="0" fontId="8" fillId="0" borderId="0" xfId="1" applyFont="1" applyBorder="1" applyAlignment="1">
      <alignment horizontal="center" vertical="top"/>
    </xf>
    <xf numFmtId="0" fontId="8" fillId="0" borderId="0" xfId="1" applyFont="1" applyBorder="1" applyAlignment="1"/>
    <xf numFmtId="17" fontId="8" fillId="0" borderId="0" xfId="1" applyNumberFormat="1" applyFont="1" applyBorder="1" applyAlignment="1">
      <alignment horizontal="center" vertical="top"/>
    </xf>
    <xf numFmtId="0" fontId="25" fillId="7" borderId="40" xfId="1" applyFont="1" applyFill="1" applyBorder="1" applyAlignment="1">
      <alignment horizontal="center" vertical="center" wrapText="1" readingOrder="2"/>
    </xf>
    <xf numFmtId="0" fontId="25" fillId="7" borderId="40" xfId="1" applyFont="1" applyFill="1" applyBorder="1" applyAlignment="1">
      <alignment vertical="center" wrapText="1" readingOrder="2"/>
    </xf>
    <xf numFmtId="17" fontId="25" fillId="7" borderId="40" xfId="1" applyNumberFormat="1" applyFont="1" applyFill="1" applyBorder="1" applyAlignment="1">
      <alignment horizontal="center" vertical="center" wrapText="1" readingOrder="2"/>
    </xf>
    <xf numFmtId="0" fontId="25" fillId="7" borderId="41" xfId="1" applyFont="1" applyFill="1" applyBorder="1" applyAlignment="1">
      <alignment horizontal="center" vertical="center" wrapText="1" readingOrder="2"/>
    </xf>
    <xf numFmtId="0" fontId="25" fillId="7" borderId="2" xfId="1" applyNumberFormat="1" applyFont="1" applyFill="1" applyBorder="1" applyAlignment="1">
      <alignment horizontal="center" vertical="center" wrapText="1" readingOrder="2"/>
    </xf>
    <xf numFmtId="170" fontId="25" fillId="7" borderId="2" xfId="1" applyNumberFormat="1" applyFont="1" applyFill="1" applyBorder="1" applyAlignment="1">
      <alignment horizontal="center" vertical="center" wrapText="1" readingOrder="2"/>
    </xf>
    <xf numFmtId="170" fontId="25" fillId="7" borderId="43" xfId="1" applyNumberFormat="1" applyFont="1" applyFill="1" applyBorder="1" applyAlignment="1">
      <alignment horizontal="center" vertical="center" wrapText="1" readingOrder="2"/>
    </xf>
    <xf numFmtId="170" fontId="25" fillId="7" borderId="40" xfId="1" applyNumberFormat="1" applyFont="1" applyFill="1" applyBorder="1" applyAlignment="1">
      <alignment horizontal="center" vertical="center" wrapText="1" readingOrder="2"/>
    </xf>
    <xf numFmtId="3" fontId="7" fillId="4" borderId="45" xfId="1" applyNumberFormat="1" applyFont="1" applyFill="1" applyBorder="1" applyAlignment="1">
      <alignment horizontal="center" vertical="center" wrapText="1" readingOrder="2"/>
    </xf>
    <xf numFmtId="171" fontId="7" fillId="4" borderId="45" xfId="1" applyNumberFormat="1" applyFont="1" applyFill="1" applyBorder="1" applyAlignment="1">
      <alignment horizontal="center" vertical="center" wrapText="1" readingOrder="2"/>
    </xf>
    <xf numFmtId="0" fontId="26" fillId="0" borderId="47" xfId="1" applyFont="1" applyBorder="1" applyAlignment="1">
      <alignment vertical="center" wrapText="1" readingOrder="2"/>
    </xf>
    <xf numFmtId="0" fontId="27" fillId="0" borderId="49" xfId="1" applyFont="1" applyBorder="1" applyAlignment="1">
      <alignment horizontal="center" vertical="center" wrapText="1"/>
    </xf>
    <xf numFmtId="0" fontId="27" fillId="0" borderId="50" xfId="1" applyFont="1" applyBorder="1" applyAlignment="1">
      <alignment vertical="center" wrapText="1"/>
    </xf>
    <xf numFmtId="0" fontId="8" fillId="0" borderId="47" xfId="1" applyFont="1" applyBorder="1" applyAlignment="1">
      <alignment horizontal="center" vertical="top" wrapText="1"/>
    </xf>
    <xf numFmtId="17" fontId="8" fillId="0" borderId="47" xfId="1" applyNumberFormat="1" applyFont="1" applyBorder="1" applyAlignment="1">
      <alignment horizontal="center" vertical="top" wrapText="1"/>
    </xf>
    <xf numFmtId="3" fontId="25" fillId="0" borderId="47" xfId="1" applyNumberFormat="1" applyFont="1" applyBorder="1" applyAlignment="1">
      <alignment horizontal="center" vertical="center" wrapText="1" readingOrder="2"/>
    </xf>
    <xf numFmtId="3" fontId="25" fillId="0" borderId="47" xfId="1" applyNumberFormat="1" applyFont="1" applyBorder="1" applyAlignment="1">
      <alignment horizontal="center" vertical="center" wrapText="1"/>
    </xf>
    <xf numFmtId="0" fontId="8" fillId="0" borderId="51" xfId="1" applyFont="1" applyBorder="1" applyAlignment="1">
      <alignment vertical="top" wrapText="1"/>
    </xf>
    <xf numFmtId="0" fontId="8" fillId="0" borderId="51" xfId="1" applyFont="1" applyBorder="1" applyAlignment="1">
      <alignment horizontal="center" vertical="top" wrapText="1"/>
    </xf>
    <xf numFmtId="17" fontId="8" fillId="0" borderId="51" xfId="1" applyNumberFormat="1" applyFont="1" applyBorder="1" applyAlignment="1">
      <alignment horizontal="center" vertical="top" wrapText="1"/>
    </xf>
    <xf numFmtId="3" fontId="25" fillId="0" borderId="51" xfId="1" applyNumberFormat="1" applyFont="1" applyBorder="1" applyAlignment="1">
      <alignment horizontal="center" vertical="center" wrapText="1"/>
    </xf>
    <xf numFmtId="170" fontId="26" fillId="0" borderId="51" xfId="1" applyNumberFormat="1" applyFont="1" applyBorder="1" applyAlignment="1">
      <alignment horizontal="center" vertical="center" wrapText="1"/>
    </xf>
    <xf numFmtId="17" fontId="2" fillId="0" borderId="0" xfId="1" applyNumberFormat="1"/>
    <xf numFmtId="17" fontId="7" fillId="4" borderId="45" xfId="1" applyNumberFormat="1" applyFont="1" applyFill="1" applyBorder="1" applyAlignment="1">
      <alignment horizontal="center" vertical="center" wrapText="1" readingOrder="2"/>
    </xf>
    <xf numFmtId="0" fontId="69" fillId="15" borderId="189" xfId="1" applyFont="1" applyFill="1" applyBorder="1" applyAlignment="1">
      <alignment horizontal="right" vertical="top" wrapText="1" readingOrder="2"/>
    </xf>
    <xf numFmtId="0" fontId="15" fillId="15" borderId="189" xfId="1" applyFont="1" applyFill="1" applyBorder="1" applyAlignment="1">
      <alignment horizontal="right" vertical="top" wrapText="1" readingOrder="2"/>
    </xf>
    <xf numFmtId="0" fontId="69" fillId="15" borderId="190" xfId="1" applyFont="1" applyFill="1" applyBorder="1" applyAlignment="1">
      <alignment horizontal="right" vertical="top" wrapText="1" readingOrder="2"/>
    </xf>
    <xf numFmtId="0" fontId="69" fillId="15" borderId="0" xfId="1" applyFont="1" applyFill="1" applyBorder="1" applyAlignment="1">
      <alignment horizontal="right" vertical="top" wrapText="1" readingOrder="2"/>
    </xf>
    <xf numFmtId="0" fontId="15" fillId="15" borderId="0" xfId="1" applyFont="1" applyFill="1" applyBorder="1" applyAlignment="1">
      <alignment horizontal="right" vertical="top" wrapText="1" readingOrder="2"/>
    </xf>
    <xf numFmtId="0" fontId="24" fillId="0" borderId="0" xfId="1" applyFont="1" applyBorder="1" applyAlignment="1">
      <alignment vertical="center"/>
    </xf>
    <xf numFmtId="0" fontId="26" fillId="0" borderId="49" xfId="1" applyFont="1" applyBorder="1" applyAlignment="1">
      <alignment vertical="center" wrapText="1" readingOrder="2"/>
    </xf>
    <xf numFmtId="0" fontId="3" fillId="27" borderId="0" xfId="0" applyFont="1" applyFill="1" applyAlignment="1">
      <alignment vertical="top" wrapText="1"/>
    </xf>
    <xf numFmtId="0" fontId="69" fillId="2" borderId="188" xfId="1" applyFont="1" applyFill="1" applyBorder="1" applyAlignment="1">
      <alignment horizontal="right" vertical="top" wrapText="1" readingOrder="2"/>
    </xf>
    <xf numFmtId="0" fontId="69" fillId="2" borderId="189" xfId="1" applyFont="1" applyFill="1" applyBorder="1" applyAlignment="1">
      <alignment horizontal="right" vertical="top" wrapText="1" readingOrder="2"/>
    </xf>
    <xf numFmtId="0" fontId="8" fillId="0" borderId="0" xfId="1" applyFont="1" applyBorder="1" applyAlignment="1">
      <alignment horizontal="center" vertical="top" wrapText="1"/>
    </xf>
    <xf numFmtId="174" fontId="0" fillId="0" borderId="2" xfId="0" applyNumberFormat="1" applyBorder="1"/>
    <xf numFmtId="0" fontId="3" fillId="2" borderId="2" xfId="0" applyFont="1" applyFill="1" applyBorder="1" applyAlignment="1">
      <alignment vertical="top" wrapText="1"/>
    </xf>
    <xf numFmtId="0" fontId="6" fillId="4" borderId="2" xfId="0" applyFont="1" applyFill="1" applyBorder="1" applyAlignment="1" applyProtection="1">
      <alignment horizontal="center" vertical="center"/>
    </xf>
    <xf numFmtId="0" fontId="27" fillId="0" borderId="49" xfId="0" applyFont="1" applyBorder="1" applyAlignment="1">
      <alignment vertical="center" wrapText="1"/>
    </xf>
    <xf numFmtId="174" fontId="7" fillId="4" borderId="45" xfId="2" applyNumberFormat="1" applyFont="1" applyFill="1" applyBorder="1" applyAlignment="1">
      <alignment horizontal="center" vertical="center" wrapText="1" readingOrder="2"/>
    </xf>
    <xf numFmtId="0" fontId="25" fillId="7" borderId="2" xfId="1" applyFont="1" applyFill="1" applyBorder="1" applyAlignment="1">
      <alignment horizontal="center" vertical="center" wrapText="1" readingOrder="2"/>
    </xf>
    <xf numFmtId="0" fontId="3" fillId="25" borderId="0" xfId="0" applyFont="1" applyFill="1" applyAlignment="1">
      <alignment vertical="center" wrapText="1"/>
    </xf>
    <xf numFmtId="0" fontId="25" fillId="7" borderId="26" xfId="1" applyFont="1" applyFill="1" applyBorder="1" applyAlignment="1">
      <alignment horizontal="center" vertical="center" wrapText="1" readingOrder="2"/>
    </xf>
    <xf numFmtId="0" fontId="2" fillId="0" borderId="2" xfId="1" applyBorder="1"/>
    <xf numFmtId="0" fontId="3" fillId="2" borderId="0" xfId="0" applyFont="1" applyFill="1" applyAlignment="1">
      <alignment horizontal="center" vertical="top" wrapText="1"/>
    </xf>
    <xf numFmtId="0" fontId="3" fillId="59" borderId="0" xfId="0" applyFont="1" applyFill="1" applyAlignment="1">
      <alignment vertical="top" wrapText="1"/>
    </xf>
    <xf numFmtId="170" fontId="25" fillId="30" borderId="26" xfId="1" applyNumberFormat="1" applyFont="1" applyFill="1" applyBorder="1" applyAlignment="1">
      <alignment horizontal="center" vertical="center" wrapText="1" readingOrder="2"/>
    </xf>
    <xf numFmtId="0" fontId="2" fillId="0" borderId="0" xfId="1" applyAlignment="1">
      <alignment horizontal="center" vertical="center"/>
    </xf>
    <xf numFmtId="1" fontId="25" fillId="7" borderId="26" xfId="0" applyNumberFormat="1" applyFont="1" applyFill="1" applyBorder="1" applyAlignment="1">
      <alignment horizontal="center" vertical="center" wrapText="1" readingOrder="2"/>
    </xf>
    <xf numFmtId="0" fontId="70" fillId="7" borderId="2" xfId="0" applyFont="1" applyFill="1" applyBorder="1" applyAlignment="1" applyProtection="1">
      <alignment horizontal="center" vertical="center" wrapText="1"/>
    </xf>
    <xf numFmtId="0" fontId="4" fillId="58" borderId="0" xfId="0" applyFont="1" applyFill="1" applyAlignment="1">
      <alignment horizontal="center" vertical="center" wrapText="1"/>
    </xf>
    <xf numFmtId="0" fontId="9" fillId="45" borderId="2" xfId="0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3" fontId="2" fillId="0" borderId="2" xfId="1" applyNumberFormat="1" applyBorder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3" fontId="0" fillId="0" borderId="2" xfId="0" applyNumberFormat="1" applyBorder="1"/>
    <xf numFmtId="3" fontId="0" fillId="0" borderId="2" xfId="0" applyNumberForma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6" fillId="13" borderId="2" xfId="0" applyFont="1" applyFill="1" applyBorder="1" applyAlignment="1" applyProtection="1">
      <alignment horizontal="center" vertical="center"/>
    </xf>
    <xf numFmtId="0" fontId="6" fillId="7" borderId="2" xfId="0" applyFont="1" applyFill="1" applyBorder="1" applyAlignment="1" applyProtection="1">
      <alignment horizontal="center" vertical="center"/>
    </xf>
    <xf numFmtId="0" fontId="11" fillId="8" borderId="2" xfId="0" applyFont="1" applyFill="1" applyBorder="1" applyAlignment="1" applyProtection="1">
      <alignment horizontal="center" vertical="center"/>
    </xf>
    <xf numFmtId="0" fontId="6" fillId="9" borderId="2" xfId="0" applyFont="1" applyFill="1" applyBorder="1" applyAlignment="1" applyProtection="1">
      <alignment horizontal="center" vertical="center"/>
    </xf>
    <xf numFmtId="0" fontId="6" fillId="10" borderId="2" xfId="0" applyFont="1" applyFill="1" applyBorder="1" applyAlignment="1" applyProtection="1">
      <alignment horizontal="center" vertical="center"/>
    </xf>
    <xf numFmtId="0" fontId="6" fillId="11" borderId="2" xfId="0" applyFont="1" applyFill="1" applyBorder="1" applyAlignment="1" applyProtection="1">
      <alignment horizontal="center" vertical="center"/>
    </xf>
    <xf numFmtId="0" fontId="6" fillId="12" borderId="2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6" fillId="5" borderId="5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center" vertical="center"/>
    </xf>
    <xf numFmtId="0" fontId="24" fillId="0" borderId="0" xfId="0" applyFont="1" applyBorder="1" applyAlignment="1">
      <alignment vertical="center"/>
    </xf>
    <xf numFmtId="3" fontId="25" fillId="4" borderId="47" xfId="2" applyNumberFormat="1" applyFont="1" applyFill="1" applyBorder="1" applyAlignment="1">
      <alignment horizontal="center" vertical="center" wrapText="1" readingOrder="2"/>
    </xf>
    <xf numFmtId="0" fontId="24" fillId="0" borderId="0" xfId="1" applyFont="1" applyBorder="1" applyAlignment="1">
      <alignment vertical="center"/>
    </xf>
    <xf numFmtId="0" fontId="2" fillId="0" borderId="7" xfId="0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3" fontId="25" fillId="4" borderId="48" xfId="2" applyNumberFormat="1" applyFont="1" applyFill="1" applyBorder="1" applyAlignment="1">
      <alignment horizontal="center" vertical="center" wrapText="1" readingOrder="2"/>
    </xf>
    <xf numFmtId="3" fontId="25" fillId="4" borderId="49" xfId="2" applyNumberFormat="1" applyFont="1" applyFill="1" applyBorder="1" applyAlignment="1">
      <alignment horizontal="center" vertical="center" wrapText="1" readingOrder="2"/>
    </xf>
    <xf numFmtId="3" fontId="25" fillId="4" borderId="50" xfId="2" applyNumberFormat="1" applyFont="1" applyFill="1" applyBorder="1" applyAlignment="1">
      <alignment horizontal="center" vertical="center" wrapText="1" readingOrder="2"/>
    </xf>
    <xf numFmtId="0" fontId="28" fillId="0" borderId="54" xfId="0" applyFont="1" applyBorder="1" applyAlignment="1">
      <alignment horizontal="center" vertical="center"/>
    </xf>
    <xf numFmtId="0" fontId="0" fillId="0" borderId="54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wrapText="1"/>
    </xf>
    <xf numFmtId="0" fontId="31" fillId="0" borderId="0" xfId="0" applyFont="1" applyAlignment="1" applyProtection="1">
      <alignment horizontal="center" vertical="center" wrapText="1"/>
      <protection hidden="1"/>
    </xf>
    <xf numFmtId="0" fontId="4" fillId="40" borderId="59" xfId="0" applyFont="1" applyFill="1" applyBorder="1" applyAlignment="1">
      <alignment horizontal="center" vertical="center" wrapText="1"/>
    </xf>
    <xf numFmtId="0" fontId="4" fillId="40" borderId="60" xfId="0" applyFont="1" applyFill="1" applyBorder="1" applyAlignment="1">
      <alignment horizontal="center" vertical="center" wrapText="1"/>
    </xf>
    <xf numFmtId="0" fontId="4" fillId="40" borderId="61" xfId="0" applyFont="1" applyFill="1" applyBorder="1" applyAlignment="1">
      <alignment horizontal="center" vertical="center" wrapText="1"/>
    </xf>
    <xf numFmtId="0" fontId="4" fillId="40" borderId="62" xfId="0" applyFont="1" applyFill="1" applyBorder="1" applyAlignment="1">
      <alignment horizontal="center" vertical="center" wrapText="1"/>
    </xf>
    <xf numFmtId="0" fontId="4" fillId="40" borderId="63" xfId="0" applyFont="1" applyFill="1" applyBorder="1" applyAlignment="1">
      <alignment horizontal="center" vertical="center" wrapText="1"/>
    </xf>
    <xf numFmtId="0" fontId="4" fillId="40" borderId="64" xfId="0" applyFont="1" applyFill="1" applyBorder="1" applyAlignment="1">
      <alignment horizontal="center" vertical="center" wrapText="1"/>
    </xf>
    <xf numFmtId="0" fontId="33" fillId="0" borderId="2" xfId="0" applyFont="1" applyBorder="1" applyAlignment="1" applyProtection="1">
      <alignment horizontal="center" vertical="center"/>
      <protection hidden="1"/>
    </xf>
    <xf numFmtId="0" fontId="4" fillId="2" borderId="67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165" fontId="36" fillId="12" borderId="0" xfId="0" applyNumberFormat="1" applyFont="1" applyFill="1" applyAlignment="1" applyProtection="1">
      <alignment horizontal="center" vertical="center"/>
    </xf>
    <xf numFmtId="0" fontId="0" fillId="0" borderId="132" xfId="0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137" xfId="0" applyFont="1" applyBorder="1" applyAlignment="1">
      <alignment horizontal="left" vertical="center"/>
    </xf>
    <xf numFmtId="0" fontId="36" fillId="0" borderId="138" xfId="0" applyFont="1" applyBorder="1" applyAlignment="1">
      <alignment horizontal="left" vertical="center"/>
    </xf>
    <xf numFmtId="0" fontId="36" fillId="0" borderId="138" xfId="0" applyFont="1" applyBorder="1" applyAlignment="1">
      <alignment horizontal="right" vertical="center"/>
    </xf>
    <xf numFmtId="165" fontId="36" fillId="0" borderId="138" xfId="0" applyNumberFormat="1" applyFont="1" applyBorder="1" applyAlignment="1">
      <alignment horizontal="right" vertical="center"/>
    </xf>
    <xf numFmtId="165" fontId="36" fillId="0" borderId="139" xfId="0" applyNumberFormat="1" applyFont="1" applyBorder="1" applyAlignment="1">
      <alignment horizontal="right" vertical="center"/>
    </xf>
    <xf numFmtId="0" fontId="59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60" fillId="0" borderId="0" xfId="0" applyFont="1" applyBorder="1" applyAlignment="1" applyProtection="1">
      <alignment horizontal="center" vertical="center"/>
    </xf>
    <xf numFmtId="0" fontId="62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 applyProtection="1">
      <alignment horizontal="center" vertical="center"/>
      <protection locked="0"/>
    </xf>
    <xf numFmtId="165" fontId="60" fillId="47" borderId="0" xfId="0" applyNumberFormat="1" applyFont="1" applyFill="1" applyAlignment="1">
      <alignment horizontal="center" vertical="center"/>
    </xf>
    <xf numFmtId="165" fontId="60" fillId="24" borderId="0" xfId="0" applyNumberFormat="1" applyFont="1" applyFill="1" applyAlignment="1">
      <alignment horizontal="center" vertical="center"/>
    </xf>
    <xf numFmtId="0" fontId="61" fillId="0" borderId="0" xfId="0" applyFont="1" applyAlignment="1" applyProtection="1">
      <alignment horizontal="center" vertical="center"/>
    </xf>
    <xf numFmtId="0" fontId="45" fillId="0" borderId="0" xfId="0" applyFont="1" applyAlignment="1">
      <alignment horizontal="center" vertical="center" shrinkToFit="1"/>
    </xf>
    <xf numFmtId="0" fontId="0" fillId="0" borderId="79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4" fontId="0" fillId="4" borderId="7" xfId="0" applyNumberFormat="1" applyFill="1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47" fillId="13" borderId="7" xfId="0" applyFont="1" applyFill="1" applyBorder="1" applyAlignment="1" applyProtection="1">
      <alignment horizontal="center" vertical="center" wrapText="1"/>
    </xf>
    <xf numFmtId="0" fontId="47" fillId="13" borderId="11" xfId="0" applyFont="1" applyFill="1" applyBorder="1" applyAlignment="1" applyProtection="1">
      <alignment horizontal="center" vertical="center" wrapText="1"/>
    </xf>
    <xf numFmtId="0" fontId="47" fillId="13" borderId="10" xfId="0" applyFont="1" applyFill="1" applyBorder="1" applyAlignment="1" applyProtection="1">
      <alignment horizontal="center" vertical="center" wrapText="1"/>
    </xf>
    <xf numFmtId="0" fontId="44" fillId="0" borderId="7" xfId="0" applyFont="1" applyBorder="1" applyAlignment="1" applyProtection="1">
      <alignment horizontal="center" vertical="center" wrapText="1"/>
    </xf>
    <xf numFmtId="0" fontId="47" fillId="0" borderId="7" xfId="0" applyFont="1" applyBorder="1" applyAlignment="1" applyProtection="1">
      <alignment horizontal="center" vertical="center" wrapText="1"/>
    </xf>
    <xf numFmtId="0" fontId="47" fillId="0" borderId="11" xfId="0" applyFont="1" applyBorder="1" applyAlignment="1" applyProtection="1">
      <alignment horizontal="center" vertical="center" wrapText="1"/>
    </xf>
    <xf numFmtId="0" fontId="47" fillId="0" borderId="10" xfId="0" applyFont="1" applyBorder="1" applyAlignment="1" applyProtection="1">
      <alignment horizontal="center" vertical="center" wrapText="1"/>
    </xf>
    <xf numFmtId="0" fontId="42" fillId="0" borderId="7" xfId="0" applyFont="1" applyBorder="1" applyAlignment="1" applyProtection="1">
      <alignment horizontal="center" vertical="center" wrapText="1"/>
    </xf>
    <xf numFmtId="0" fontId="42" fillId="0" borderId="11" xfId="0" applyFont="1" applyBorder="1" applyAlignment="1" applyProtection="1">
      <alignment horizontal="center" vertical="center" wrapText="1"/>
    </xf>
    <xf numFmtId="0" fontId="42" fillId="0" borderId="10" xfId="0" applyFont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8" fontId="22" fillId="17" borderId="6" xfId="0" applyNumberFormat="1" applyFont="1" applyFill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center" vertical="center"/>
    </xf>
    <xf numFmtId="0" fontId="41" fillId="0" borderId="7" xfId="0" applyFont="1" applyBorder="1" applyAlignment="1" applyProtection="1">
      <alignment horizontal="center" vertical="center" wrapText="1"/>
    </xf>
    <xf numFmtId="0" fontId="41" fillId="0" borderId="11" xfId="0" applyFont="1" applyBorder="1" applyAlignment="1" applyProtection="1">
      <alignment horizontal="center" vertical="center" wrapText="1"/>
    </xf>
    <xf numFmtId="0" fontId="41" fillId="0" borderId="10" xfId="0" applyFont="1" applyBorder="1" applyAlignment="1" applyProtection="1">
      <alignment horizontal="center" vertical="center" wrapText="1"/>
    </xf>
    <xf numFmtId="0" fontId="46" fillId="0" borderId="6" xfId="0" applyFont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center" vertical="center" wrapText="1"/>
    </xf>
    <xf numFmtId="0" fontId="0" fillId="4" borderId="10" xfId="0" applyFill="1" applyBorder="1" applyAlignment="1" applyProtection="1">
      <alignment horizontal="center" vertical="center" wrapText="1"/>
    </xf>
    <xf numFmtId="0" fontId="49" fillId="13" borderId="7" xfId="0" applyFont="1" applyFill="1" applyBorder="1" applyAlignment="1" applyProtection="1">
      <alignment horizontal="center" vertical="center" wrapText="1"/>
    </xf>
    <xf numFmtId="0" fontId="0" fillId="13" borderId="11" xfId="0" applyFill="1" applyBorder="1" applyAlignment="1" applyProtection="1">
      <alignment horizontal="center" vertical="center" wrapText="1"/>
    </xf>
    <xf numFmtId="0" fontId="0" fillId="13" borderId="10" xfId="0" applyFill="1" applyBorder="1" applyAlignment="1" applyProtection="1">
      <alignment horizontal="center" vertical="center" wrapText="1"/>
    </xf>
    <xf numFmtId="0" fontId="42" fillId="19" borderId="7" xfId="0" applyFont="1" applyFill="1" applyBorder="1" applyAlignment="1" applyProtection="1">
      <alignment horizontal="center" vertical="center" wrapText="1"/>
    </xf>
    <xf numFmtId="0" fontId="42" fillId="19" borderId="11" xfId="0" applyFont="1" applyFill="1" applyBorder="1" applyAlignment="1" applyProtection="1">
      <alignment horizontal="center" vertical="center" wrapText="1"/>
    </xf>
    <xf numFmtId="0" fontId="42" fillId="19" borderId="10" xfId="0" applyFont="1" applyFill="1" applyBorder="1" applyAlignment="1" applyProtection="1">
      <alignment horizontal="center" vertical="center" wrapText="1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33" fillId="0" borderId="78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0" fontId="33" fillId="0" borderId="176" xfId="0" applyFont="1" applyBorder="1" applyAlignment="1">
      <alignment horizontal="center" vertical="center"/>
    </xf>
    <xf numFmtId="0" fontId="33" fillId="0" borderId="177" xfId="0" applyFont="1" applyBorder="1" applyAlignment="1">
      <alignment horizontal="center" vertical="center"/>
    </xf>
    <xf numFmtId="0" fontId="19" fillId="42" borderId="7" xfId="0" applyFont="1" applyFill="1" applyBorder="1" applyAlignment="1" applyProtection="1">
      <alignment horizontal="center" vertical="center" wrapText="1"/>
    </xf>
    <xf numFmtId="0" fontId="19" fillId="42" borderId="10" xfId="0" applyFont="1" applyFill="1" applyBorder="1" applyAlignment="1" applyProtection="1">
      <alignment horizontal="center" vertical="center" wrapText="1"/>
    </xf>
    <xf numFmtId="0" fontId="19" fillId="43" borderId="7" xfId="0" applyFont="1" applyFill="1" applyBorder="1" applyAlignment="1" applyProtection="1">
      <alignment horizontal="center" vertical="center" wrapText="1"/>
    </xf>
    <xf numFmtId="0" fontId="19" fillId="43" borderId="10" xfId="0" applyFont="1" applyFill="1" applyBorder="1" applyAlignment="1" applyProtection="1">
      <alignment horizontal="center" vertical="center" wrapText="1"/>
    </xf>
    <xf numFmtId="0" fontId="45" fillId="8" borderId="7" xfId="0" applyFont="1" applyFill="1" applyBorder="1" applyAlignment="1" applyProtection="1">
      <alignment horizontal="center" vertical="center" wrapText="1"/>
    </xf>
    <xf numFmtId="0" fontId="45" fillId="8" borderId="10" xfId="0" applyFont="1" applyFill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0" fontId="60" fillId="0" borderId="7" xfId="0" applyFont="1" applyBorder="1" applyAlignment="1" applyProtection="1">
      <alignment horizontal="center" vertical="center" wrapText="1"/>
    </xf>
    <xf numFmtId="0" fontId="60" fillId="0" borderId="11" xfId="0" applyFont="1" applyBorder="1" applyAlignment="1" applyProtection="1">
      <alignment horizontal="center" vertical="center" wrapText="1"/>
    </xf>
    <xf numFmtId="0" fontId="60" fillId="0" borderId="10" xfId="0" applyFont="1" applyBorder="1" applyAlignment="1" applyProtection="1">
      <alignment horizontal="center" vertical="center" wrapText="1"/>
    </xf>
    <xf numFmtId="0" fontId="47" fillId="52" borderId="7" xfId="0" applyFont="1" applyFill="1" applyBorder="1" applyAlignment="1" applyProtection="1">
      <alignment horizontal="center" vertical="center" wrapText="1"/>
    </xf>
    <xf numFmtId="0" fontId="47" fillId="52" borderId="11" xfId="0" applyFont="1" applyFill="1" applyBorder="1" applyAlignment="1" applyProtection="1">
      <alignment horizontal="center" vertical="center" wrapText="1"/>
    </xf>
    <xf numFmtId="0" fontId="47" fillId="52" borderId="10" xfId="0" applyFont="1" applyFill="1" applyBorder="1" applyAlignment="1" applyProtection="1">
      <alignment horizontal="center" vertical="center" wrapText="1"/>
    </xf>
    <xf numFmtId="0" fontId="42" fillId="52" borderId="7" xfId="0" applyFont="1" applyFill="1" applyBorder="1" applyAlignment="1" applyProtection="1">
      <alignment horizontal="center" vertical="center" wrapText="1"/>
    </xf>
    <xf numFmtId="0" fontId="42" fillId="52" borderId="11" xfId="0" applyFont="1" applyFill="1" applyBorder="1" applyAlignment="1" applyProtection="1">
      <alignment horizontal="center" vertical="center" wrapText="1"/>
    </xf>
    <xf numFmtId="0" fontId="42" fillId="52" borderId="10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52" fillId="14" borderId="86" xfId="0" applyFont="1" applyFill="1" applyBorder="1" applyAlignment="1" applyProtection="1">
      <alignment horizontal="center" vertical="center" textRotation="117" shrinkToFit="1"/>
    </xf>
    <xf numFmtId="0" fontId="52" fillId="14" borderId="0" xfId="0" applyFont="1" applyFill="1" applyBorder="1" applyAlignment="1" applyProtection="1">
      <alignment horizontal="center" vertical="center" textRotation="117" shrinkToFit="1"/>
    </xf>
    <xf numFmtId="0" fontId="52" fillId="14" borderId="92" xfId="0" applyFont="1" applyFill="1" applyBorder="1" applyAlignment="1" applyProtection="1">
      <alignment horizontal="center" vertical="center" textRotation="117" shrinkToFit="1"/>
    </xf>
    <xf numFmtId="0" fontId="0" fillId="0" borderId="185" xfId="0" applyBorder="1" applyAlignment="1" applyProtection="1">
      <alignment horizontal="center" vertical="center" wrapText="1"/>
    </xf>
    <xf numFmtId="0" fontId="0" fillId="0" borderId="186" xfId="0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 wrapText="1"/>
    </xf>
    <xf numFmtId="0" fontId="0" fillId="11" borderId="11" xfId="0" applyFill="1" applyBorder="1" applyAlignment="1" applyProtection="1">
      <alignment horizontal="center" vertical="center" wrapText="1"/>
    </xf>
    <xf numFmtId="0" fontId="0" fillId="11" borderId="10" xfId="0" applyFill="1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/>
    </xf>
    <xf numFmtId="0" fontId="0" fillId="11" borderId="11" xfId="0" applyFill="1" applyBorder="1" applyAlignment="1" applyProtection="1">
      <alignment horizontal="center" vertical="center"/>
    </xf>
    <xf numFmtId="0" fontId="0" fillId="11" borderId="10" xfId="0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53" fillId="13" borderId="7" xfId="0" applyFont="1" applyFill="1" applyBorder="1" applyAlignment="1" applyProtection="1">
      <alignment horizontal="center" vertical="center" wrapText="1"/>
    </xf>
    <xf numFmtId="0" fontId="47" fillId="7" borderId="7" xfId="0" applyFont="1" applyFill="1" applyBorder="1" applyAlignment="1" applyProtection="1">
      <alignment horizontal="center" vertical="center" wrapText="1"/>
    </xf>
    <xf numFmtId="0" fontId="47" fillId="7" borderId="11" xfId="0" applyFont="1" applyFill="1" applyBorder="1" applyAlignment="1" applyProtection="1">
      <alignment horizontal="center" vertical="center" wrapText="1"/>
    </xf>
    <xf numFmtId="0" fontId="47" fillId="7" borderId="10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165" fontId="0" fillId="0" borderId="7" xfId="0" applyNumberFormat="1" applyBorder="1" applyAlignment="1" applyProtection="1">
      <alignment horizontal="center" vertical="center" wrapText="1"/>
    </xf>
    <xf numFmtId="165" fontId="0" fillId="0" borderId="10" xfId="0" applyNumberFormat="1" applyBorder="1" applyAlignment="1" applyProtection="1">
      <alignment horizontal="center" vertical="center" wrapText="1"/>
    </xf>
    <xf numFmtId="0" fontId="0" fillId="0" borderId="96" xfId="0" applyBorder="1" applyAlignment="1" applyProtection="1">
      <alignment horizontal="center" vertical="center"/>
    </xf>
    <xf numFmtId="0" fontId="42" fillId="0" borderId="81" xfId="0" applyFont="1" applyBorder="1" applyAlignment="1" applyProtection="1">
      <alignment horizontal="center" vertical="center"/>
    </xf>
    <xf numFmtId="0" fontId="42" fillId="0" borderId="103" xfId="0" applyFont="1" applyBorder="1" applyAlignment="1" applyProtection="1">
      <alignment horizontal="center" vertical="center"/>
    </xf>
    <xf numFmtId="0" fontId="42" fillId="0" borderId="0" xfId="0" applyFont="1" applyBorder="1" applyAlignment="1" applyProtection="1">
      <alignment horizontal="center" vertical="center"/>
    </xf>
    <xf numFmtId="0" fontId="42" fillId="0" borderId="104" xfId="0" applyFont="1" applyBorder="1" applyAlignment="1" applyProtection="1">
      <alignment horizontal="center" vertical="center"/>
    </xf>
    <xf numFmtId="8" fontId="55" fillId="20" borderId="6" xfId="0" applyNumberFormat="1" applyFont="1" applyFill="1" applyBorder="1" applyAlignment="1" applyProtection="1">
      <alignment horizontal="center" vertical="center" wrapText="1"/>
    </xf>
    <xf numFmtId="8" fontId="55" fillId="17" borderId="6" xfId="0" applyNumberFormat="1" applyFont="1" applyFill="1" applyBorder="1" applyAlignment="1" applyProtection="1">
      <alignment horizontal="center" vertical="center" wrapText="1"/>
    </xf>
    <xf numFmtId="4" fontId="0" fillId="47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58" fillId="0" borderId="0" xfId="0" applyNumberFormat="1" applyFont="1" applyAlignment="1">
      <alignment horizontal="center"/>
    </xf>
    <xf numFmtId="0" fontId="44" fillId="46" borderId="0" xfId="0" applyFont="1" applyFill="1" applyAlignment="1">
      <alignment horizontal="center" vertical="center" wrapText="1"/>
    </xf>
    <xf numFmtId="0" fontId="0" fillId="52" borderId="0" xfId="0" applyFill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" fillId="26" borderId="191" xfId="0" applyFont="1" applyFill="1" applyBorder="1" applyAlignment="1"/>
    <xf numFmtId="0" fontId="3" fillId="16" borderId="191" xfId="0" applyFont="1" applyFill="1" applyBorder="1" applyAlignment="1"/>
    <xf numFmtId="0" fontId="0" fillId="0" borderId="6" xfId="0" applyFill="1" applyBorder="1" applyAlignment="1" applyProtection="1">
      <alignment horizontal="center" vertical="center" wrapText="1"/>
    </xf>
    <xf numFmtId="0" fontId="71" fillId="28" borderId="2" xfId="0" applyFont="1" applyFill="1" applyBorder="1" applyAlignment="1" applyProtection="1">
      <alignment horizontal="center" vertical="center" wrapText="1"/>
    </xf>
  </cellXfs>
  <cellStyles count="5">
    <cellStyle name="Comma 2" xfId="2"/>
    <cellStyle name="Currency 2" xfId="3"/>
    <cellStyle name="Normal" xfId="0" builtinId="0"/>
    <cellStyle name="Normal 2" xfId="4"/>
    <cellStyle name="Normal 3" xfId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externalLink" Target="externalLinks/externalLink1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2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289"/>
          <c:y val="2.4390348038686949E-2"/>
        </c:manualLayout>
      </c:layout>
      <c:spPr>
        <a:noFill/>
        <a:ln w="25400">
          <a:noFill/>
        </a:ln>
      </c:spPr>
    </c:title>
    <c:view3D>
      <c:hPercent val="13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420280404303877"/>
          <c:y val="0.14412432455256174"/>
          <c:w val="0.42996811057122636"/>
          <c:h val="0.68957946055149966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endParaRPr lang="he-IL"/>
              </a:p>
            </c:txPr>
            <c:showLegendKey val="1"/>
            <c:showCatName val="1"/>
          </c:dLbls>
          <c:val>
            <c:numRef>
              <c:f>'השוואה בחירתית'!$D$5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5609728"/>
        <c:axId val="135620096"/>
        <c:axId val="0"/>
      </c:bar3DChart>
      <c:catAx>
        <c:axId val="13560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27"/>
              <c:y val="0.7294907057850645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5620096"/>
        <c:crosses val="autoZero"/>
        <c:auto val="1"/>
        <c:lblAlgn val="ctr"/>
        <c:lblOffset val="100"/>
        <c:tickLblSkip val="1"/>
        <c:tickMarkSkip val="1"/>
      </c:catAx>
      <c:valAx>
        <c:axId val="135620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400702133045551"/>
              <c:y val="0.39024444504368488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5609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99" r="0.75000000000001199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1.5</a:t>
            </a:r>
          </a:p>
        </c:rich>
      </c:tx>
      <c:layout>
        <c:manualLayout>
          <c:xMode val="edge"/>
          <c:yMode val="edge"/>
          <c:x val="0.24550923541099975"/>
          <c:y val="4.5918325169983683E-2"/>
        </c:manualLayout>
      </c:layout>
      <c:spPr>
        <a:noFill/>
        <a:ln w="25400">
          <a:noFill/>
        </a:ln>
      </c:spPr>
    </c:title>
    <c:view3D>
      <c:hPercent val="24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946107784431728"/>
          <c:y val="6.3775510204081634E-2"/>
          <c:w val="0.68263473053892265"/>
          <c:h val="0.8724489795918376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מזעור'!$A$56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88463232"/>
        <c:axId val="88464768"/>
        <c:axId val="0"/>
      </c:bar3DChart>
      <c:catAx>
        <c:axId val="88463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88464768"/>
        <c:crosses val="autoZero"/>
        <c:auto val="1"/>
        <c:lblAlgn val="ctr"/>
        <c:lblOffset val="100"/>
        <c:tickLblSkip val="1"/>
        <c:tickMarkSkip val="1"/>
      </c:catAx>
      <c:valAx>
        <c:axId val="88464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8846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2.5</a:t>
            </a:r>
          </a:p>
        </c:rich>
      </c:tx>
      <c:layout>
        <c:manualLayout>
          <c:xMode val="edge"/>
          <c:yMode val="edge"/>
          <c:x val="0.27108486439196161"/>
          <c:y val="3.8363262892533688E-2"/>
        </c:manualLayout>
      </c:layout>
      <c:spPr>
        <a:noFill/>
        <a:ln w="25400">
          <a:noFill/>
        </a:ln>
      </c:spPr>
    </c:title>
    <c:view3D>
      <c:hPercent val="252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629274183375856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88513536"/>
        <c:axId val="88519424"/>
        <c:axId val="0"/>
      </c:bar3DChart>
      <c:catAx>
        <c:axId val="88513536"/>
        <c:scaling>
          <c:orientation val="minMax"/>
        </c:scaling>
        <c:delete val="1"/>
        <c:axPos val="b"/>
        <c:tickLblPos val="none"/>
        <c:crossAx val="88519424"/>
        <c:crosses val="autoZero"/>
        <c:auto val="1"/>
        <c:lblAlgn val="ctr"/>
        <c:lblOffset val="100"/>
      </c:catAx>
      <c:valAx>
        <c:axId val="88519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8851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3.5</a:t>
            </a:r>
          </a:p>
        </c:rich>
      </c:tx>
      <c:layout>
        <c:manualLayout>
          <c:xMode val="edge"/>
          <c:yMode val="edge"/>
          <c:x val="0.23750095558443882"/>
          <c:y val="3.3505087262498574E-2"/>
        </c:manualLayout>
      </c:layout>
      <c:spPr>
        <a:noFill/>
        <a:ln w="25400">
          <a:noFill/>
        </a:ln>
      </c:spPr>
    </c:title>
    <c:view3D>
      <c:hPercent val="249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7319684932354138E-2"/>
          <c:w val="0.65625200272217665"/>
          <c:h val="0.85824850274911646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מזעור'!$D$56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88572288"/>
        <c:axId val="88573824"/>
        <c:axId val="0"/>
      </c:bar3DChart>
      <c:catAx>
        <c:axId val="885722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88573824"/>
        <c:crosses val="autoZero"/>
        <c:auto val="1"/>
        <c:lblAlgn val="ctr"/>
        <c:lblOffset val="100"/>
        <c:tickLblSkip val="1"/>
        <c:tickMarkSkip val="1"/>
      </c:catAx>
      <c:valAx>
        <c:axId val="88573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8857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spPr>
        <a:noFill/>
        <a:ln w="25400">
          <a:noFill/>
        </a:ln>
      </c:spPr>
    </c:title>
    <c:view3D>
      <c:hPercent val="225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4796"/>
          <c:h val="0.87628976256665114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מזעור'!$F$56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88630784"/>
        <c:axId val="88632320"/>
        <c:axId val="0"/>
      </c:bar3DChart>
      <c:catAx>
        <c:axId val="886307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88632320"/>
        <c:crosses val="autoZero"/>
        <c:auto val="1"/>
        <c:lblAlgn val="ctr"/>
        <c:lblOffset val="100"/>
        <c:tickLblSkip val="1"/>
        <c:tickMarkSkip val="1"/>
      </c:catAx>
      <c:valAx>
        <c:axId val="8863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88630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5.5</a:t>
            </a:r>
          </a:p>
        </c:rich>
      </c:tx>
      <c:layout>
        <c:manualLayout>
          <c:xMode val="edge"/>
          <c:yMode val="edge"/>
          <c:x val="0.27071906959906383"/>
          <c:y val="3.367864337599083E-2"/>
        </c:manualLayout>
      </c:layout>
      <c:spPr>
        <a:noFill/>
        <a:ln w="25400">
          <a:noFill/>
        </a:ln>
      </c:spPr>
    </c:title>
    <c:view3D>
      <c:hPercent val="215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0914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96041600"/>
        <c:axId val="96051584"/>
        <c:axId val="0"/>
      </c:bar3DChart>
      <c:catAx>
        <c:axId val="96041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051584"/>
        <c:crosses val="autoZero"/>
        <c:auto val="1"/>
        <c:lblAlgn val="ctr"/>
        <c:lblOffset val="100"/>
        <c:tickLblSkip val="1"/>
        <c:tickMarkSkip val="1"/>
      </c:catAx>
      <c:valAx>
        <c:axId val="96051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041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6.5</a:t>
            </a:r>
          </a:p>
        </c:rich>
      </c:tx>
      <c:layout>
        <c:manualLayout>
          <c:xMode val="edge"/>
          <c:yMode val="edge"/>
          <c:x val="0.25581465778316181"/>
          <c:y val="3.3591609432054519E-2"/>
        </c:manualLayout>
      </c:layout>
      <c:spPr>
        <a:noFill/>
        <a:ln w="25400">
          <a:noFill/>
        </a:ln>
      </c:spPr>
    </c:title>
    <c:view3D>
      <c:hPercent val="228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59964621600002E-2"/>
          <c:w val="0.69767639919944369"/>
          <c:h val="0.87855518853760028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מזעור'!$H$56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96149504"/>
        <c:axId val="96151040"/>
        <c:axId val="0"/>
      </c:bar3DChart>
      <c:catAx>
        <c:axId val="961495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151040"/>
        <c:crosses val="autoZero"/>
        <c:auto val="1"/>
        <c:lblAlgn val="ctr"/>
        <c:lblOffset val="100"/>
        <c:tickLblSkip val="1"/>
        <c:tickMarkSkip val="1"/>
      </c:catAx>
      <c:valAx>
        <c:axId val="96151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149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השוואת באופציות השונות עם החלוקה הפנימית</a:t>
            </a:r>
          </a:p>
        </c:rich>
      </c:tx>
      <c:layout>
        <c:manualLayout>
          <c:xMode val="edge"/>
          <c:yMode val="edge"/>
          <c:x val="0.32959667159509837"/>
          <c:y val="3.1325239373011342E-2"/>
        </c:manualLayout>
      </c:layout>
      <c:spPr>
        <a:noFill/>
        <a:ln w="25400">
          <a:noFill/>
        </a:ln>
      </c:spPr>
    </c:title>
    <c:view3D>
      <c:hPercent val="42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4663690630961538"/>
          <c:y val="9.3976014184881246E-2"/>
          <c:w val="0.747758256856903"/>
          <c:h val="0.67710923040904214"/>
        </c:manualLayout>
      </c:layout>
      <c:bar3DChart>
        <c:barDir val="col"/>
        <c:grouping val="stacked"/>
        <c:ser>
          <c:idx val="0"/>
          <c:order val="0"/>
          <c:tx>
            <c:strRef>
              <c:f>'השוואות מזעור'!$L$4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מזעור'!$L$5:$L$8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'השוואות מזעור'!$M$4</c:f>
              <c:strCache>
                <c:ptCount val="1"/>
                <c:pt idx="0">
                  <c:v>כספים הפטורים במשיכה ח"פ בפרישה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מזעור'!$M$5:$M$8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'השוואות מזעור'!$N$4</c:f>
              <c:strCache>
                <c:ptCount val="1"/>
                <c:pt idx="0">
                  <c:v>ע"נ של הקצבה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מזעור'!$N$5:$N$8</c:f>
              <c:numCache>
                <c:formatCode>#,##0_ ;[Red]\-#,##0\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hape val="box"/>
        <c:axId val="96193152"/>
        <c:axId val="96203136"/>
        <c:axId val="0"/>
      </c:bar3DChart>
      <c:catAx>
        <c:axId val="961931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203136"/>
        <c:crosses val="autoZero"/>
        <c:auto val="1"/>
        <c:lblAlgn val="ctr"/>
        <c:lblOffset val="100"/>
        <c:tickLblSkip val="1"/>
        <c:tickMarkSkip val="1"/>
      </c:catAx>
      <c:valAx>
        <c:axId val="96203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FFD9D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193152"/>
        <c:crosses val="autoZero"/>
        <c:crossBetween val="between"/>
        <c:majorUnit val="202380.7243598261"/>
        <c:minorUnit val="202380.724359826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</c:dTable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3.0</a:t>
            </a:r>
          </a:p>
        </c:rich>
      </c:tx>
      <c:layout>
        <c:manualLayout>
          <c:xMode val="edge"/>
          <c:yMode val="edge"/>
          <c:x val="0.23750095558443882"/>
          <c:y val="3.3505087262498574E-2"/>
        </c:manualLayout>
      </c:layout>
      <c:spPr>
        <a:noFill/>
        <a:ln w="25400">
          <a:noFill/>
        </a:ln>
      </c:spPr>
    </c:title>
    <c:view3D>
      <c:hPercent val="25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6746"/>
          <c:y val="7.4742362101273191E-2"/>
          <c:w val="0.65000198364864681"/>
          <c:h val="0.85824850274911646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מזעור'!$C$56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96318976"/>
        <c:axId val="96320512"/>
        <c:axId val="0"/>
      </c:bar3DChart>
      <c:catAx>
        <c:axId val="96318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320512"/>
        <c:crosses val="autoZero"/>
        <c:auto val="1"/>
        <c:lblAlgn val="ctr"/>
        <c:lblOffset val="100"/>
        <c:tickLblSkip val="1"/>
        <c:tickMarkSkip val="1"/>
      </c:catAx>
      <c:valAx>
        <c:axId val="96320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31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4.0
</a:t>
            </a:r>
          </a:p>
        </c:rich>
      </c:tx>
      <c:layout>
        <c:manualLayout>
          <c:xMode val="edge"/>
          <c:yMode val="edge"/>
          <c:x val="0.23750095558443882"/>
          <c:y val="3.3505087262498574E-2"/>
        </c:manualLayout>
      </c:layout>
      <c:spPr>
        <a:noFill/>
        <a:ln w="25400">
          <a:noFill/>
        </a:ln>
      </c:spPr>
    </c:title>
    <c:view3D>
      <c:hPercent val="244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0471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96451200"/>
        <c:axId val="96461184"/>
        <c:axId val="0"/>
      </c:bar3DChart>
      <c:catAx>
        <c:axId val="964512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461184"/>
        <c:crosses val="autoZero"/>
        <c:auto val="1"/>
        <c:lblAlgn val="ctr"/>
        <c:lblOffset val="100"/>
        <c:tickLblSkip val="1"/>
        <c:tickMarkSkip val="1"/>
      </c:catAx>
      <c:valAx>
        <c:axId val="96461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9645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layout>
        <c:manualLayout>
          <c:xMode val="edge"/>
          <c:yMode val="edge"/>
          <c:x val="0.46864332899772959"/>
          <c:y val="3.266340493846035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he-IL"/>
        </a:p>
      </c:txPr>
    </c:title>
    <c:view3D>
      <c:hPercent val="4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174"/>
          <c:y val="0.13316582914572864"/>
          <c:w val="0.72976095362440985"/>
          <c:h val="0.71859296482412049"/>
        </c:manualLayout>
      </c:layout>
      <c:bar3DChart>
        <c:barDir val="col"/>
        <c:grouping val="stacked"/>
        <c:ser>
          <c:idx val="0"/>
          <c:order val="0"/>
          <c:tx>
            <c:strRef>
              <c:f>'השוואות מזעור'!$B$4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'השוואות מזעור'!$A$5:$A$8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מזעור'!$B$5:$B$8</c:f>
              <c:numCache>
                <c:formatCode>#,##0.00_ ;[Red]\-#,##0.00\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hape val="box"/>
        <c:axId val="139019776"/>
        <c:axId val="139021312"/>
        <c:axId val="0"/>
      </c:bar3DChart>
      <c:catAx>
        <c:axId val="1390197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9021312"/>
        <c:crosses val="autoZero"/>
        <c:auto val="1"/>
        <c:lblAlgn val="ctr"/>
        <c:lblOffset val="100"/>
        <c:tickLblSkip val="1"/>
        <c:tickMarkSkip val="1"/>
      </c:catAx>
      <c:valAx>
        <c:axId val="139021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901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3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he-IL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5275193875324778"/>
          <c:y val="5.0772620999168294E-2"/>
        </c:manualLayout>
      </c:layout>
      <c:spPr>
        <a:noFill/>
        <a:ln w="25400">
          <a:noFill/>
        </a:ln>
      </c:spPr>
    </c:title>
    <c:view3D>
      <c:hPercent val="139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1704"/>
          <c:y val="0.13245061665850708"/>
          <c:w val="0.47249340265158074"/>
          <c:h val="0.68874320662427124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5751552"/>
        <c:axId val="135761920"/>
        <c:axId val="0"/>
      </c:bar3DChart>
      <c:catAx>
        <c:axId val="13575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783375314862522"/>
              <c:y val="0.739515868963478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5761920"/>
        <c:crosses val="autoZero"/>
        <c:auto val="1"/>
        <c:lblAlgn val="ctr"/>
        <c:lblOffset val="100"/>
        <c:tickLblSkip val="1"/>
        <c:tickMarkSkip val="1"/>
      </c:catAx>
      <c:valAx>
        <c:axId val="135761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5751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99" r="0.75000000000001199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37071579556"/>
          <c:y val="2.4282470237295423E-2"/>
        </c:manualLayout>
      </c:layout>
      <c:spPr>
        <a:noFill/>
        <a:ln w="25400">
          <a:noFill/>
        </a:ln>
      </c:spPr>
    </c:title>
    <c:view3D>
      <c:hPercent val="10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984588387720588"/>
          <c:w val="0.29104548314453887"/>
          <c:h val="0.61368785718444874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29780736"/>
        <c:axId val="129795200"/>
        <c:axId val="0"/>
      </c:bar3DChart>
      <c:catAx>
        <c:axId val="1297807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756338710089198"/>
              <c:y val="0.73068604265763704"/>
            </c:manualLayout>
          </c:layout>
          <c:spPr>
            <a:noFill/>
            <a:ln w="25400">
              <a:noFill/>
            </a:ln>
          </c:spPr>
        </c:title>
        <c:tickLblPos val="none"/>
        <c:crossAx val="129795200"/>
        <c:crosses val="autoZero"/>
        <c:lblAlgn val="ctr"/>
        <c:lblOffset val="100"/>
      </c:catAx>
      <c:valAx>
        <c:axId val="129795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702851465088E-2"/>
              <c:y val="0.51876506051078075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29780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spPr>
        <a:noFill/>
        <a:ln w="25400">
          <a:noFill/>
        </a:ln>
      </c:spPr>
    </c:title>
    <c:view3D>
      <c:hPercent val="93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5658"/>
          <c:y val="9.6703296703296707E-2"/>
          <c:w val="0.46507076680773346"/>
          <c:h val="0.69890109890109964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אחרת'!$E$12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shape val="box"/>
        <c:axId val="129849984"/>
        <c:axId val="129859968"/>
        <c:axId val="0"/>
      </c:bar3DChart>
      <c:catAx>
        <c:axId val="1298499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29859968"/>
        <c:crosses val="autoZero"/>
        <c:lblAlgn val="ctr"/>
        <c:lblOffset val="100"/>
        <c:tickLblSkip val="1"/>
        <c:tickMarkSkip val="1"/>
      </c:catAx>
      <c:valAx>
        <c:axId val="129859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34"/>
              <c:y val="0.43516481068050361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2984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0466083356"/>
          <c:y val="3.09733719182546E-2"/>
        </c:manualLayout>
      </c:layout>
      <c:spPr>
        <a:noFill/>
        <a:ln w="25400">
          <a:noFill/>
        </a:ln>
      </c:spPr>
    </c:title>
    <c:view3D>
      <c:hPercent val="87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9810698187993435"/>
          <c:y val="0.18362831858407094"/>
          <c:w val="0.29734903481045138"/>
          <c:h val="0.59955752212389379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29992576"/>
        <c:axId val="130002944"/>
        <c:axId val="0"/>
      </c:bar3DChart>
      <c:catAx>
        <c:axId val="1299925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54545547943879014"/>
              <c:y val="0.71902662808174622"/>
            </c:manualLayout>
          </c:layout>
          <c:spPr>
            <a:noFill/>
            <a:ln w="25400">
              <a:noFill/>
            </a:ln>
          </c:spPr>
        </c:title>
        <c:tickLblPos val="none"/>
        <c:crossAx val="130002944"/>
        <c:crosses val="autoZero"/>
        <c:lblAlgn val="ctr"/>
        <c:lblOffset val="100"/>
      </c:catAx>
      <c:valAx>
        <c:axId val="130002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5909117342607262"/>
              <c:y val="0.50663727931444469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29992576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1.5</a:t>
            </a:r>
          </a:p>
        </c:rich>
      </c:tx>
      <c:layout>
        <c:manualLayout>
          <c:xMode val="edge"/>
          <c:yMode val="edge"/>
          <c:x val="0.2455092354109997"/>
          <c:y val="4.5918325169983683E-2"/>
        </c:manualLayout>
      </c:layout>
      <c:spPr>
        <a:noFill/>
        <a:ln w="25400">
          <a:noFill/>
        </a:ln>
      </c:spPr>
    </c:title>
    <c:view3D>
      <c:hPercent val="24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748502994011985"/>
          <c:y val="5.1020408163265286E-2"/>
          <c:w val="0.68263473053892265"/>
          <c:h val="0.8724489795918376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אחרת'!$A$62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אחרת'!$A$63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אחרת'!$A$64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0577920"/>
        <c:axId val="130579456"/>
        <c:axId val="0"/>
      </c:bar3DChart>
      <c:catAx>
        <c:axId val="1305779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579456"/>
        <c:crosses val="autoZero"/>
        <c:auto val="1"/>
        <c:lblAlgn val="ctr"/>
        <c:lblOffset val="100"/>
        <c:tickLblSkip val="1"/>
        <c:tickMarkSkip val="1"/>
      </c:catAx>
      <c:valAx>
        <c:axId val="130579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57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2.5</a:t>
            </a:r>
          </a:p>
        </c:rich>
      </c:tx>
      <c:layout>
        <c:manualLayout>
          <c:xMode val="edge"/>
          <c:yMode val="edge"/>
          <c:x val="0.2710848643919615"/>
          <c:y val="3.8363262892533688E-2"/>
        </c:manualLayout>
      </c:layout>
      <c:spPr>
        <a:noFill/>
        <a:ln w="25400">
          <a:noFill/>
        </a:ln>
      </c:spPr>
    </c:title>
    <c:view3D>
      <c:hPercent val="252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885028978466857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אחרת'!$B$64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0638208"/>
        <c:axId val="130639744"/>
        <c:axId val="0"/>
      </c:bar3DChart>
      <c:catAx>
        <c:axId val="130638208"/>
        <c:scaling>
          <c:orientation val="minMax"/>
        </c:scaling>
        <c:delete val="1"/>
        <c:axPos val="b"/>
        <c:tickLblPos val="none"/>
        <c:crossAx val="130639744"/>
        <c:crosses val="autoZero"/>
        <c:auto val="1"/>
        <c:lblAlgn val="ctr"/>
        <c:lblOffset val="100"/>
      </c:catAx>
      <c:valAx>
        <c:axId val="130639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63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3.5</a:t>
            </a:r>
          </a:p>
        </c:rich>
      </c:tx>
      <c:layout>
        <c:manualLayout>
          <c:xMode val="edge"/>
          <c:yMode val="edge"/>
          <c:x val="0.23750095558443879"/>
          <c:y val="3.3505267606956692E-2"/>
        </c:manualLayout>
      </c:layout>
      <c:spPr>
        <a:noFill/>
        <a:ln w="25400">
          <a:noFill/>
        </a:ln>
      </c:spPr>
    </c:title>
    <c:view3D>
      <c:hPercent val="249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4742362101273191E-2"/>
          <c:w val="0.65625200272217665"/>
          <c:h val="0.86082582558020448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אחרת'!$D$64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0690048"/>
        <c:axId val="130716416"/>
        <c:axId val="0"/>
      </c:bar3DChart>
      <c:catAx>
        <c:axId val="1306900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716416"/>
        <c:crosses val="autoZero"/>
        <c:auto val="1"/>
        <c:lblAlgn val="ctr"/>
        <c:lblOffset val="100"/>
        <c:tickLblSkip val="1"/>
        <c:tickMarkSkip val="1"/>
      </c:catAx>
      <c:valAx>
        <c:axId val="130716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69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spPr>
        <a:noFill/>
        <a:ln w="25400">
          <a:noFill/>
        </a:ln>
      </c:spPr>
    </c:title>
    <c:view3D>
      <c:hPercent val="225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4785"/>
          <c:h val="0.87628976256665114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אחרת'!$F$62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אחרת'!$F$63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אחרת'!$F$64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0770816"/>
        <c:axId val="130772352"/>
        <c:axId val="0"/>
      </c:bar3DChart>
      <c:catAx>
        <c:axId val="1307708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772352"/>
        <c:crosses val="autoZero"/>
        <c:auto val="1"/>
        <c:lblAlgn val="ctr"/>
        <c:lblOffset val="100"/>
        <c:tickLblSkip val="1"/>
        <c:tickMarkSkip val="1"/>
      </c:catAx>
      <c:valAx>
        <c:axId val="130772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77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5.5</a:t>
            </a:r>
          </a:p>
        </c:rich>
      </c:tx>
      <c:layout>
        <c:manualLayout>
          <c:xMode val="edge"/>
          <c:yMode val="edge"/>
          <c:x val="0.27071906959906378"/>
          <c:y val="3.367864337599083E-2"/>
        </c:manualLayout>
      </c:layout>
      <c:spPr>
        <a:noFill/>
        <a:ln w="25400">
          <a:noFill/>
        </a:ln>
      </c:spPr>
    </c:title>
    <c:view3D>
      <c:hPercent val="215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0892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אחרת'!$G$64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0822912"/>
        <c:axId val="130824448"/>
        <c:axId val="0"/>
      </c:bar3DChart>
      <c:catAx>
        <c:axId val="1308229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824448"/>
        <c:crosses val="autoZero"/>
        <c:auto val="1"/>
        <c:lblAlgn val="ctr"/>
        <c:lblOffset val="100"/>
        <c:tickLblSkip val="1"/>
        <c:tickMarkSkip val="1"/>
      </c:catAx>
      <c:valAx>
        <c:axId val="130824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822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6.5</a:t>
            </a:r>
          </a:p>
        </c:rich>
      </c:tx>
      <c:layout>
        <c:manualLayout>
          <c:xMode val="edge"/>
          <c:yMode val="edge"/>
          <c:x val="0.25581484132666144"/>
          <c:y val="3.3678740157480312E-2"/>
        </c:manualLayout>
      </c:layout>
      <c:spPr>
        <a:noFill/>
        <a:ln w="25400">
          <a:noFill/>
        </a:ln>
      </c:spPr>
    </c:title>
    <c:view3D>
      <c:hPercent val="228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766839378239932E-2"/>
          <c:w val="0.69767639919944369"/>
          <c:h val="0.87823834196891148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אחרת'!$H$62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אחרת'!$H$63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אחרת'!$H$64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0948480"/>
        <c:axId val="130970752"/>
        <c:axId val="0"/>
      </c:bar3DChart>
      <c:catAx>
        <c:axId val="1309484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970752"/>
        <c:crosses val="autoZero"/>
        <c:auto val="1"/>
        <c:lblAlgn val="ctr"/>
        <c:lblOffset val="100"/>
        <c:tickLblSkip val="1"/>
        <c:tickMarkSkip val="1"/>
      </c:catAx>
      <c:valAx>
        <c:axId val="130970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094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3.0</a:t>
            </a:r>
          </a:p>
        </c:rich>
      </c:tx>
      <c:layout>
        <c:manualLayout>
          <c:xMode val="edge"/>
          <c:yMode val="edge"/>
          <c:x val="0.23750080020485237"/>
          <c:y val="3.3505087262498574E-2"/>
        </c:manualLayout>
      </c:layout>
      <c:spPr>
        <a:noFill/>
        <a:ln w="25400">
          <a:noFill/>
        </a:ln>
      </c:spPr>
    </c:title>
    <c:view3D>
      <c:hPercent val="25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6741"/>
          <c:y val="7.2165039270194797E-2"/>
          <c:w val="0.65000198364864659"/>
          <c:h val="0.86082582558020448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אחרת'!$C$62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אחרת'!$C$63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אחרת'!$C$64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1016960"/>
        <c:axId val="131022848"/>
        <c:axId val="0"/>
      </c:bar3DChart>
      <c:catAx>
        <c:axId val="1310169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1022848"/>
        <c:crosses val="autoZero"/>
        <c:auto val="1"/>
        <c:lblAlgn val="ctr"/>
        <c:lblOffset val="100"/>
        <c:tickLblSkip val="1"/>
        <c:tickMarkSkip val="1"/>
      </c:catAx>
      <c:valAx>
        <c:axId val="131022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1016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spPr>
        <a:noFill/>
        <a:ln w="25400">
          <a:noFill/>
        </a:ln>
      </c:spPr>
    </c:title>
    <c:view3D>
      <c:hPercent val="163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452145849184463"/>
          <c:y val="0.14285729855924531"/>
          <c:w val="0.41780891783651786"/>
          <c:h val="0.743304381566054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5806976"/>
        <c:axId val="135808896"/>
        <c:axId val="0"/>
      </c:bar3DChart>
      <c:catAx>
        <c:axId val="13580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150789838272852"/>
              <c:y val="0.761161643587654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5808896"/>
        <c:crosses val="autoZero"/>
        <c:auto val="1"/>
        <c:lblAlgn val="ctr"/>
        <c:lblOffset val="100"/>
        <c:tickLblSkip val="1"/>
        <c:tickMarkSkip val="1"/>
      </c:catAx>
      <c:valAx>
        <c:axId val="135808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616449800538859"/>
              <c:y val="0.46875056566205836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580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99" r="0.75000000000001199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4.0
</a:t>
            </a:r>
          </a:p>
        </c:rich>
      </c:tx>
      <c:layout>
        <c:manualLayout>
          <c:xMode val="edge"/>
          <c:yMode val="edge"/>
          <c:x val="0.23750080020485237"/>
          <c:y val="3.3505267606956692E-2"/>
        </c:manualLayout>
      </c:layout>
      <c:spPr>
        <a:noFill/>
        <a:ln w="25400">
          <a:noFill/>
        </a:ln>
      </c:spPr>
    </c:title>
    <c:view3D>
      <c:hPercent val="244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0448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'כולל מקס אחרת'!$E$64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1081728"/>
        <c:axId val="131083264"/>
        <c:axId val="0"/>
      </c:bar3DChart>
      <c:catAx>
        <c:axId val="131081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1083264"/>
        <c:crosses val="autoZero"/>
        <c:auto val="1"/>
        <c:lblAlgn val="ctr"/>
        <c:lblOffset val="100"/>
        <c:tickLblSkip val="1"/>
        <c:tickMarkSkip val="1"/>
      </c:catAx>
      <c:valAx>
        <c:axId val="131083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108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layout>
        <c:manualLayout>
          <c:xMode val="edge"/>
          <c:yMode val="edge"/>
          <c:x val="0.46864332899772959"/>
          <c:y val="3.266340493846035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he-IL"/>
        </a:p>
      </c:txPr>
    </c:title>
    <c:view3D>
      <c:hPercent val="4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173"/>
          <c:y val="0.13316582914572864"/>
          <c:w val="0.72976095362440974"/>
          <c:h val="0.71859296482412049"/>
        </c:manualLayout>
      </c:layout>
      <c:bar3DChart>
        <c:barDir val="col"/>
        <c:grouping val="stacked"/>
        <c:ser>
          <c:idx val="0"/>
          <c:order val="0"/>
          <c:tx>
            <c:strRef>
              <c:f>'[1]השוואות מזעור'!$B$4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'[1]השוואות מזעור'!$A$5:$A$8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'[1]השוואות מזעור'!$B$5:$B$8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hape val="box"/>
        <c:axId val="131125632"/>
        <c:axId val="131127168"/>
        <c:axId val="0"/>
      </c:bar3DChart>
      <c:catAx>
        <c:axId val="1311256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1127168"/>
        <c:crosses val="autoZero"/>
        <c:auto val="1"/>
        <c:lblAlgn val="ctr"/>
        <c:lblOffset val="100"/>
        <c:tickLblSkip val="1"/>
        <c:tickMarkSkip val="1"/>
      </c:catAx>
      <c:valAx>
        <c:axId val="13112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112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3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he-IL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289"/>
          <c:y val="2.4390348038686949E-2"/>
        </c:manualLayout>
      </c:layout>
      <c:spPr>
        <a:noFill/>
        <a:ln w="25400">
          <a:noFill/>
        </a:ln>
      </c:spPr>
    </c:title>
    <c:view3D>
      <c:hPercent val="135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746013821403249"/>
          <c:y val="0.15521081105660794"/>
          <c:w val="0.42345344222923831"/>
          <c:h val="0.67627567674664946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6595328"/>
        <c:axId val="136609792"/>
        <c:axId val="0"/>
      </c:bar3DChart>
      <c:catAx>
        <c:axId val="13659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27"/>
              <c:y val="0.7294907057850645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6609792"/>
        <c:crosses val="autoZero"/>
        <c:auto val="1"/>
        <c:lblAlgn val="ctr"/>
        <c:lblOffset val="100"/>
        <c:tickLblSkip val="1"/>
        <c:tickMarkSkip val="1"/>
      </c:catAx>
      <c:valAx>
        <c:axId val="136609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726421253181199"/>
              <c:y val="0.394678972063434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6595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99" r="0.7500000000000119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6893300805913115"/>
          <c:y val="5.0772620999168294E-2"/>
        </c:manualLayout>
      </c:layout>
      <c:spPr>
        <a:noFill/>
        <a:ln w="25400">
          <a:noFill/>
        </a:ln>
      </c:spPr>
    </c:title>
    <c:view3D>
      <c:hPercent val="14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1704"/>
          <c:y val="0.13024310638086894"/>
          <c:w val="0.46925714646902922"/>
          <c:h val="0.69095071690190002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7781248"/>
        <c:axId val="137783168"/>
        <c:axId val="0"/>
      </c:bar3DChart>
      <c:catAx>
        <c:axId val="13778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4597539287438"/>
              <c:y val="0.739515868963478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7783168"/>
        <c:crosses val="autoZero"/>
        <c:auto val="1"/>
        <c:lblAlgn val="ctr"/>
        <c:lblOffset val="100"/>
        <c:tickLblSkip val="1"/>
        <c:tickMarkSkip val="1"/>
      </c:catAx>
      <c:valAx>
        <c:axId val="137783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77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99" r="0.7500000000000119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spPr>
        <a:noFill/>
        <a:ln w="25400">
          <a:noFill/>
        </a:ln>
      </c:spPr>
    </c:title>
    <c:view3D>
      <c:hPercent val="163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794612175279656"/>
          <c:y val="0.14955373442920641"/>
          <c:w val="0.41095959131461207"/>
          <c:h val="0.7343758004061190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'השוואה בחירתית'!$G$63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37820032"/>
        <c:axId val="144748544"/>
        <c:axId val="0"/>
      </c:bar3DChart>
      <c:catAx>
        <c:axId val="13782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493250346360002"/>
              <c:y val="0.75892954113494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44748544"/>
        <c:crosses val="autoZero"/>
        <c:auto val="1"/>
        <c:lblAlgn val="ctr"/>
        <c:lblOffset val="100"/>
        <c:tickLblSkip val="1"/>
        <c:tickMarkSkip val="1"/>
      </c:catAx>
      <c:valAx>
        <c:axId val="144748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958945118597577"/>
              <c:y val="0.46875056566205836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3782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99" r="0.75000000000001199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49368247573"/>
          <c:y val="2.4282470237295423E-2"/>
        </c:manualLayout>
      </c:layout>
      <c:spPr>
        <a:noFill/>
        <a:ln w="25400">
          <a:noFill/>
        </a:ln>
      </c:spPr>
    </c:title>
    <c:view3D>
      <c:hPercent val="10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763837359955676"/>
          <c:w val="0.29104548314453887"/>
          <c:h val="0.61810287773971662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46092416"/>
        <c:axId val="146094336"/>
        <c:axId val="0"/>
      </c:bar3DChart>
      <c:catAx>
        <c:axId val="1460924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507599340780994"/>
              <c:y val="0.73068604265763704"/>
            </c:manualLayout>
          </c:layout>
          <c:spPr>
            <a:noFill/>
            <a:ln w="25400">
              <a:noFill/>
            </a:ln>
          </c:spPr>
        </c:title>
        <c:tickLblPos val="none"/>
        <c:crossAx val="146094336"/>
        <c:crosses val="autoZero"/>
        <c:lblAlgn val="ctr"/>
        <c:lblOffset val="100"/>
      </c:catAx>
      <c:valAx>
        <c:axId val="146094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698406886598E-2"/>
              <c:y val="0.52097251708724057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4609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spPr>
        <a:noFill/>
        <a:ln w="25400">
          <a:noFill/>
        </a:ln>
      </c:spPr>
    </c:title>
    <c:view3D>
      <c:hPercent val="93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5669"/>
          <c:y val="9.6703296703296707E-2"/>
          <c:w val="0.46507076680773352"/>
          <c:h val="0.69890109890109964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146372864"/>
        <c:axId val="146382848"/>
        <c:axId val="0"/>
      </c:bar3DChart>
      <c:catAx>
        <c:axId val="1463728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46382848"/>
        <c:crosses val="autoZero"/>
        <c:lblAlgn val="ctr"/>
        <c:lblOffset val="100"/>
        <c:tickLblSkip val="1"/>
        <c:tickMarkSkip val="1"/>
      </c:catAx>
      <c:valAx>
        <c:axId val="146382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36"/>
              <c:y val="0.43956035631369988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14637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7413652937"/>
          <c:y val="3.0973371918254607E-2"/>
        </c:manualLayout>
      </c:layout>
      <c:spPr>
        <a:noFill/>
        <a:ln w="25400">
          <a:noFill/>
        </a:ln>
      </c:spPr>
    </c:title>
    <c:view3D>
      <c:hPercent val="74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7878857937637794"/>
          <c:y val="0.18141592920353983"/>
          <c:w val="0.41666743731401057"/>
          <c:h val="0.60176991150443748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'השוואות מזעור'!$G$10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hape val="box"/>
        <c:axId val="88420352"/>
        <c:axId val="88422272"/>
        <c:axId val="0"/>
      </c:bar3DChart>
      <c:catAx>
        <c:axId val="884203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47727355430128754"/>
              <c:y val="0.74557529667765965"/>
            </c:manualLayout>
          </c:layout>
          <c:spPr>
            <a:noFill/>
            <a:ln w="25400">
              <a:noFill/>
            </a:ln>
          </c:spPr>
        </c:title>
        <c:tickLblPos val="none"/>
        <c:crossAx val="88422272"/>
        <c:crosses val="autoZero"/>
        <c:lblAlgn val="ctr"/>
        <c:lblOffset val="100"/>
      </c:catAx>
      <c:valAx>
        <c:axId val="88422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3.9772683281846404E-2"/>
              <c:y val="0.51769903762031844"/>
            </c:manualLayout>
          </c:layout>
          <c:spPr>
            <a:noFill/>
            <a:ln w="25400">
              <a:noFill/>
            </a:ln>
          </c:spPr>
        </c:title>
        <c:numFmt formatCode="#,##0.00_ ;[Red]\-#,##0.00\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88420352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000000000001188" r="0.7500000000000118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2</xdr:col>
      <xdr:colOff>647700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771525</xdr:colOff>
      <xdr:row>12</xdr:row>
      <xdr:rowOff>28575</xdr:rowOff>
    </xdr:from>
    <xdr:to>
      <xdr:col>5</xdr:col>
      <xdr:colOff>333375</xdr:colOff>
      <xdr:row>38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12</xdr:row>
      <xdr:rowOff>28575</xdr:rowOff>
    </xdr:from>
    <xdr:to>
      <xdr:col>7</xdr:col>
      <xdr:colOff>742950</xdr:colOff>
      <xdr:row>38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2</xdr:col>
      <xdr:colOff>647700</xdr:colOff>
      <xdr:row>91</xdr:row>
      <xdr:rowOff>114300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771525</xdr:colOff>
      <xdr:row>65</xdr:row>
      <xdr:rowOff>28575</xdr:rowOff>
    </xdr:from>
    <xdr:to>
      <xdr:col>5</xdr:col>
      <xdr:colOff>333375</xdr:colOff>
      <xdr:row>91</xdr:row>
      <xdr:rowOff>133350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65</xdr:row>
      <xdr:rowOff>28575</xdr:rowOff>
    </xdr:from>
    <xdr:to>
      <xdr:col>7</xdr:col>
      <xdr:colOff>742950</xdr:colOff>
      <xdr:row>91</xdr:row>
      <xdr:rowOff>85725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180975</xdr:colOff>
      <xdr:row>3</xdr:row>
      <xdr:rowOff>238125</xdr:rowOff>
    </xdr:from>
    <xdr:to>
      <xdr:col>12</xdr:col>
      <xdr:colOff>190500</xdr:colOff>
      <xdr:row>65</xdr:row>
      <xdr:rowOff>38100</xdr:rowOff>
    </xdr:to>
    <xdr:sp macro="" textlink="">
      <xdr:nvSpPr>
        <xdr:cNvPr id="8" name="Line 21"/>
        <xdr:cNvSpPr>
          <a:spLocks noChangeShapeType="1"/>
        </xdr:cNvSpPr>
      </xdr:nvSpPr>
      <xdr:spPr bwMode="auto">
        <a:xfrm>
          <a:off x="9980180700" y="723900"/>
          <a:ext cx="3981450" cy="11153775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57150</xdr:colOff>
      <xdr:row>65</xdr:row>
      <xdr:rowOff>152400</xdr:rowOff>
    </xdr:from>
    <xdr:to>
      <xdr:col>9</xdr:col>
      <xdr:colOff>971550</xdr:colOff>
      <xdr:row>71</xdr:row>
      <xdr:rowOff>95250</xdr:rowOff>
    </xdr:to>
    <xdr:sp macro="" textlink="">
      <xdr:nvSpPr>
        <xdr:cNvPr id="9" name="AutoShape 22"/>
        <xdr:cNvSpPr>
          <a:spLocks noChangeArrowheads="1"/>
        </xdr:cNvSpPr>
      </xdr:nvSpPr>
      <xdr:spPr bwMode="auto">
        <a:xfrm>
          <a:off x="9983371575" y="11991975"/>
          <a:ext cx="914400" cy="914400"/>
        </a:xfrm>
        <a:prstGeom prst="smileyFace">
          <a:avLst>
            <a:gd name="adj" fmla="val 465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0</xdr:rowOff>
    </xdr:from>
    <xdr:to>
      <xdr:col>2</xdr:col>
      <xdr:colOff>409575</xdr:colOff>
      <xdr:row>38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11</xdr:row>
      <xdr:rowOff>133350</xdr:rowOff>
    </xdr:from>
    <xdr:to>
      <xdr:col>5</xdr:col>
      <xdr:colOff>247650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12</xdr:row>
      <xdr:rowOff>19050</xdr:rowOff>
    </xdr:from>
    <xdr:to>
      <xdr:col>8</xdr:col>
      <xdr:colOff>371475</xdr:colOff>
      <xdr:row>38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63</xdr:row>
      <xdr:rowOff>9525</xdr:rowOff>
    </xdr:from>
    <xdr:to>
      <xdr:col>0</xdr:col>
      <xdr:colOff>1657350</xdr:colOff>
      <xdr:row>86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152400</xdr:rowOff>
    </xdr:from>
    <xdr:to>
      <xdr:col>1</xdr:col>
      <xdr:colOff>1619250</xdr:colOff>
      <xdr:row>85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63</xdr:row>
      <xdr:rowOff>0</xdr:rowOff>
    </xdr:from>
    <xdr:to>
      <xdr:col>3</xdr:col>
      <xdr:colOff>1638300</xdr:colOff>
      <xdr:row>85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63</xdr:row>
      <xdr:rowOff>9525</xdr:rowOff>
    </xdr:from>
    <xdr:to>
      <xdr:col>5</xdr:col>
      <xdr:colOff>1657350</xdr:colOff>
      <xdr:row>85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1695450</xdr:colOff>
      <xdr:row>63</xdr:row>
      <xdr:rowOff>28575</xdr:rowOff>
    </xdr:from>
    <xdr:to>
      <xdr:col>6</xdr:col>
      <xdr:colOff>1704975</xdr:colOff>
      <xdr:row>85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</xdr:colOff>
      <xdr:row>63</xdr:row>
      <xdr:rowOff>28575</xdr:rowOff>
    </xdr:from>
    <xdr:to>
      <xdr:col>7</xdr:col>
      <xdr:colOff>1666875</xdr:colOff>
      <xdr:row>85</xdr:row>
      <xdr:rowOff>152400</xdr:rowOff>
    </xdr:to>
    <xdr:graphicFrame macro="">
      <xdr:nvGraphicFramePr>
        <xdr:cNvPr id="1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10</xdr:col>
      <xdr:colOff>66675</xdr:colOff>
      <xdr:row>12</xdr:row>
      <xdr:rowOff>133350</xdr:rowOff>
    </xdr:from>
    <xdr:to>
      <xdr:col>14</xdr:col>
      <xdr:colOff>1704975</xdr:colOff>
      <xdr:row>37</xdr:row>
      <xdr:rowOff>38100</xdr:rowOff>
    </xdr:to>
    <xdr:graphicFrame macro="">
      <xdr:nvGraphicFramePr>
        <xdr:cNvPr id="1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63</xdr:row>
      <xdr:rowOff>0</xdr:rowOff>
    </xdr:from>
    <xdr:to>
      <xdr:col>2</xdr:col>
      <xdr:colOff>1638300</xdr:colOff>
      <xdr:row>85</xdr:row>
      <xdr:rowOff>133350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114300</xdr:colOff>
      <xdr:row>63</xdr:row>
      <xdr:rowOff>0</xdr:rowOff>
    </xdr:from>
    <xdr:to>
      <xdr:col>4</xdr:col>
      <xdr:colOff>1638300</xdr:colOff>
      <xdr:row>85</xdr:row>
      <xdr:rowOff>133350</xdr:rowOff>
    </xdr:to>
    <xdr:graphicFrame macro="">
      <xdr:nvGraphicFramePr>
        <xdr:cNvPr id="1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276225</xdr:colOff>
      <xdr:row>71</xdr:row>
      <xdr:rowOff>85725</xdr:rowOff>
    </xdr:from>
    <xdr:to>
      <xdr:col>15</xdr:col>
      <xdr:colOff>57150</xdr:colOff>
      <xdr:row>94</xdr:row>
      <xdr:rowOff>152400</xdr:rowOff>
    </xdr:to>
    <xdr:graphicFrame macro="">
      <xdr:nvGraphicFramePr>
        <xdr:cNvPr id="1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28575</xdr:rowOff>
    </xdr:from>
    <xdr:to>
      <xdr:col>2</xdr:col>
      <xdr:colOff>485775</xdr:colOff>
      <xdr:row>40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14</xdr:row>
      <xdr:rowOff>9525</xdr:rowOff>
    </xdr:from>
    <xdr:to>
      <xdr:col>5</xdr:col>
      <xdr:colOff>276225</xdr:colOff>
      <xdr:row>40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14</xdr:row>
      <xdr:rowOff>28575</xdr:rowOff>
    </xdr:from>
    <xdr:to>
      <xdr:col>8</xdr:col>
      <xdr:colOff>485775</xdr:colOff>
      <xdr:row>40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66</xdr:row>
      <xdr:rowOff>142875</xdr:rowOff>
    </xdr:from>
    <xdr:to>
      <xdr:col>0</xdr:col>
      <xdr:colOff>1647825</xdr:colOff>
      <xdr:row>89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66</xdr:row>
      <xdr:rowOff>142875</xdr:rowOff>
    </xdr:from>
    <xdr:to>
      <xdr:col>1</xdr:col>
      <xdr:colOff>1628775</xdr:colOff>
      <xdr:row>89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66</xdr:row>
      <xdr:rowOff>142875</xdr:rowOff>
    </xdr:from>
    <xdr:to>
      <xdr:col>3</xdr:col>
      <xdr:colOff>1638300</xdr:colOff>
      <xdr:row>89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85725</xdr:colOff>
      <xdr:row>67</xdr:row>
      <xdr:rowOff>9525</xdr:rowOff>
    </xdr:from>
    <xdr:to>
      <xdr:col>5</xdr:col>
      <xdr:colOff>1704975</xdr:colOff>
      <xdr:row>89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67</xdr:row>
      <xdr:rowOff>28575</xdr:rowOff>
    </xdr:from>
    <xdr:to>
      <xdr:col>7</xdr:col>
      <xdr:colOff>104775</xdr:colOff>
      <xdr:row>89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67</xdr:row>
      <xdr:rowOff>9525</xdr:rowOff>
    </xdr:from>
    <xdr:to>
      <xdr:col>8</xdr:col>
      <xdr:colOff>180975</xdr:colOff>
      <xdr:row>89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66675</xdr:colOff>
      <xdr:row>66</xdr:row>
      <xdr:rowOff>152400</xdr:rowOff>
    </xdr:from>
    <xdr:to>
      <xdr:col>2</xdr:col>
      <xdr:colOff>1590675</xdr:colOff>
      <xdr:row>89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104775</xdr:colOff>
      <xdr:row>66</xdr:row>
      <xdr:rowOff>142875</xdr:rowOff>
    </xdr:from>
    <xdr:to>
      <xdr:col>4</xdr:col>
      <xdr:colOff>1628775</xdr:colOff>
      <xdr:row>89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276225</xdr:colOff>
      <xdr:row>72</xdr:row>
      <xdr:rowOff>85725</xdr:rowOff>
    </xdr:from>
    <xdr:to>
      <xdr:col>15</xdr:col>
      <xdr:colOff>57150</xdr:colOff>
      <xdr:row>95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33</xdr:row>
      <xdr:rowOff>114300</xdr:rowOff>
    </xdr:from>
    <xdr:to>
      <xdr:col>6</xdr:col>
      <xdr:colOff>723900</xdr:colOff>
      <xdr:row>46</xdr:row>
      <xdr:rowOff>47625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9988610325" y="7029450"/>
          <a:ext cx="0" cy="2962275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ropbox\insur\excel\simulator_new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11;&#1510;&#1489;&#1492;%20&#1508;&#1496;&#1493;&#1512;&#1492;%20&#1493;&#1511;&#1510;&#1489;&#1492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פתיחה"/>
      <sheetName val="נתוני יסוד"/>
      <sheetName val="ב.ל."/>
      <sheetName val="חישובי מקורות א"/>
      <sheetName val="גיליון2"/>
      <sheetName val="דווח ביטוחים"/>
      <sheetName val="הערות"/>
      <sheetName val="תחזית"/>
      <sheetName val="תחזית ה"/>
      <sheetName val="קה&quot;ש"/>
      <sheetName val="קצבה מזכה 2016"/>
      <sheetName val="סיכומי מקורות"/>
      <sheetName val="השוואה בחירתית"/>
      <sheetName val="השוואות מזעור"/>
      <sheetName val="כולל מקס אחרת"/>
      <sheetName val="זקיפות מס"/>
      <sheetName val="חישוב פתוח"/>
      <sheetName val="חישובי מיסוי פנסיה פתוחים"/>
      <sheetName val="קצבה מוכרת וקצבה"/>
      <sheetName val="מקסימום פנסיה עם קצבה פטורה"/>
      <sheetName val="קצבה פטורה וקצבה"/>
      <sheetName val="מקסימום הון"/>
      <sheetName val="פיצויים פטורים והוני"/>
      <sheetName val="פיצויים פטורים וקצבה"/>
      <sheetName val="פיצויים פטורים והוני מיכאל"/>
      <sheetName val="קצבה פטורה והוני"/>
      <sheetName val="מקס פטור וקצבה"/>
      <sheetName val="חישוביי ביניים"/>
      <sheetName val="מיסוי פנסיה"/>
      <sheetName val="פנסיות מול ח&quot;פ"/>
      <sheetName val="הדדית"/>
      <sheetName val="תוס' פיצויים"/>
      <sheetName val="הצעה לסיעוד"/>
      <sheetName val="תעריפי סיעוד"/>
      <sheetName val="תעריפי בריאות "/>
      <sheetName val="הצעה לבריאות "/>
      <sheetName val="יע"/>
    </sheetNames>
    <sheetDataSet>
      <sheetData sheetId="0"/>
      <sheetData sheetId="1">
        <row r="1">
          <cell r="B1">
            <v>0</v>
          </cell>
          <cell r="I1">
            <v>178</v>
          </cell>
          <cell r="L1">
            <v>4806</v>
          </cell>
        </row>
        <row r="2">
          <cell r="L2">
            <v>400.5</v>
          </cell>
        </row>
        <row r="4">
          <cell r="B4">
            <v>0</v>
          </cell>
          <cell r="I4">
            <v>3850</v>
          </cell>
        </row>
        <row r="5">
          <cell r="B5">
            <v>125.59842915811087</v>
          </cell>
        </row>
        <row r="6">
          <cell r="B6">
            <v>45874.826249999998</v>
          </cell>
          <cell r="E6">
            <v>0</v>
          </cell>
          <cell r="M6">
            <v>1318783.5061601643</v>
          </cell>
        </row>
        <row r="9">
          <cell r="E9">
            <v>7200</v>
          </cell>
        </row>
        <row r="10">
          <cell r="E10">
            <v>7400</v>
          </cell>
        </row>
        <row r="22">
          <cell r="B22">
            <v>90</v>
          </cell>
        </row>
        <row r="23">
          <cell r="B23">
            <v>2.5</v>
          </cell>
          <cell r="E23">
            <v>0</v>
          </cell>
        </row>
        <row r="24">
          <cell r="E24">
            <v>0</v>
          </cell>
        </row>
        <row r="26">
          <cell r="B26">
            <v>0</v>
          </cell>
        </row>
        <row r="27">
          <cell r="B27">
            <v>0</v>
          </cell>
          <cell r="E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8">
          <cell r="A38" t="str">
            <v>כספים ממקורות הפטורים במשיכה ח"פ בפרישה</v>
          </cell>
          <cell r="B38">
            <v>0</v>
          </cell>
        </row>
        <row r="40">
          <cell r="B40">
            <v>0</v>
          </cell>
        </row>
      </sheetData>
      <sheetData sheetId="2"/>
      <sheetData sheetId="3">
        <row r="1">
          <cell r="BZ1">
            <v>0</v>
          </cell>
        </row>
        <row r="3">
          <cell r="BW3">
            <v>0</v>
          </cell>
          <cell r="BZ3">
            <v>0</v>
          </cell>
        </row>
        <row r="6">
          <cell r="BC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</row>
        <row r="47">
          <cell r="A47">
            <v>0</v>
          </cell>
          <cell r="F47">
            <v>0</v>
          </cell>
        </row>
        <row r="48">
          <cell r="A48">
            <v>0</v>
          </cell>
          <cell r="F48">
            <v>0</v>
          </cell>
        </row>
        <row r="49">
          <cell r="A49">
            <v>0</v>
          </cell>
          <cell r="B49">
            <v>0</v>
          </cell>
          <cell r="D49">
            <v>0</v>
          </cell>
          <cell r="E49">
            <v>0</v>
          </cell>
          <cell r="F49">
            <v>0</v>
          </cell>
          <cell r="H49">
            <v>0</v>
          </cell>
        </row>
        <row r="50">
          <cell r="A50">
            <v>0</v>
          </cell>
          <cell r="B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</row>
        <row r="51">
          <cell r="A51">
            <v>0</v>
          </cell>
          <cell r="B51">
            <v>0</v>
          </cell>
          <cell r="D51">
            <v>0</v>
          </cell>
          <cell r="E51">
            <v>0</v>
          </cell>
          <cell r="F51">
            <v>0</v>
          </cell>
          <cell r="H51">
            <v>0</v>
          </cell>
        </row>
        <row r="53">
          <cell r="A53">
            <v>0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</sheetData>
      <sheetData sheetId="4"/>
      <sheetData sheetId="5">
        <row r="6">
          <cell r="B6" t="str">
            <v/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</sheetData>
      <sheetData sheetId="6"/>
      <sheetData sheetId="7"/>
      <sheetData sheetId="8"/>
      <sheetData sheetId="9"/>
      <sheetData sheetId="10">
        <row r="12">
          <cell r="D12">
            <v>0</v>
          </cell>
        </row>
      </sheetData>
      <sheetData sheetId="11">
        <row r="39">
          <cell r="B39" t="e">
            <v>#DIV/0!</v>
          </cell>
          <cell r="D39" t="e">
            <v>#DIV/0!</v>
          </cell>
        </row>
        <row r="49">
          <cell r="D49">
            <v>0</v>
          </cell>
        </row>
        <row r="51">
          <cell r="B51">
            <v>0</v>
          </cell>
        </row>
        <row r="52">
          <cell r="D52">
            <v>0</v>
          </cell>
        </row>
      </sheetData>
      <sheetData sheetId="12">
        <row r="54">
          <cell r="B54">
            <v>90</v>
          </cell>
        </row>
      </sheetData>
      <sheetData sheetId="13">
        <row r="4">
          <cell r="B4" t="str">
            <v>פיצויים נטו</v>
          </cell>
        </row>
        <row r="5">
          <cell r="A5" t="str">
            <v>פיצויים פטורים והוני</v>
          </cell>
          <cell r="B5" t="e">
            <v>#DIV/0!</v>
          </cell>
        </row>
        <row r="6">
          <cell r="A6" t="str">
            <v>פיצויים פטורים וקצבה</v>
          </cell>
          <cell r="B6" t="e">
            <v>#DIV/0!</v>
          </cell>
        </row>
        <row r="7">
          <cell r="A7" t="str">
            <v>קצבה פטורה והוני</v>
          </cell>
          <cell r="B7" t="e">
            <v>#DIV/0!</v>
          </cell>
        </row>
        <row r="8">
          <cell r="A8" t="str">
            <v>קצבה פטורה וקצבה</v>
          </cell>
          <cell r="B8" t="e">
            <v>#DIV/0!</v>
          </cell>
        </row>
      </sheetData>
      <sheetData sheetId="14"/>
      <sheetData sheetId="15"/>
      <sheetData sheetId="16"/>
      <sheetData sheetId="17">
        <row r="6">
          <cell r="B6">
            <v>5270</v>
          </cell>
          <cell r="C6">
            <v>0.1</v>
          </cell>
        </row>
        <row r="7">
          <cell r="B7">
            <v>3730</v>
          </cell>
          <cell r="C7">
            <v>0.14000000000000001</v>
          </cell>
        </row>
        <row r="8">
          <cell r="B8">
            <v>4990</v>
          </cell>
          <cell r="C8">
            <v>0.21</v>
          </cell>
        </row>
        <row r="9">
          <cell r="B9">
            <v>5990</v>
          </cell>
          <cell r="C9">
            <v>0.31</v>
          </cell>
        </row>
        <row r="10">
          <cell r="B10">
            <v>21810</v>
          </cell>
          <cell r="C10">
            <v>0.34</v>
          </cell>
        </row>
        <row r="11">
          <cell r="C11">
            <v>0.48</v>
          </cell>
        </row>
      </sheetData>
      <sheetData sheetId="18">
        <row r="20">
          <cell r="N20" t="e">
            <v>#DIV/0!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5">
          <cell r="D35" t="e">
            <v>#DIV/0!</v>
          </cell>
        </row>
      </sheetData>
      <sheetData sheetId="19">
        <row r="3">
          <cell r="B3">
            <v>0</v>
          </cell>
        </row>
        <row r="4">
          <cell r="B4">
            <v>0</v>
          </cell>
          <cell r="J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  <cell r="J8">
            <v>0</v>
          </cell>
        </row>
        <row r="11">
          <cell r="B11">
            <v>0</v>
          </cell>
        </row>
        <row r="12">
          <cell r="B12">
            <v>0</v>
          </cell>
        </row>
        <row r="30">
          <cell r="B30" t="e">
            <v>#DIV/0!</v>
          </cell>
        </row>
        <row r="31">
          <cell r="B31" t="e">
            <v>#DIV/0!</v>
          </cell>
        </row>
      </sheetData>
      <sheetData sheetId="20">
        <row r="34">
          <cell r="D34" t="e">
            <v>#DIV/0!</v>
          </cell>
        </row>
        <row r="35">
          <cell r="D35" t="e">
            <v>#DIV/0!</v>
          </cell>
          <cell r="E35" t="e">
            <v>#DIV/0!</v>
          </cell>
        </row>
        <row r="51">
          <cell r="N51">
            <v>0</v>
          </cell>
        </row>
      </sheetData>
      <sheetData sheetId="21">
        <row r="3">
          <cell r="B3">
            <v>0</v>
          </cell>
        </row>
        <row r="4">
          <cell r="B4">
            <v>0</v>
          </cell>
          <cell r="E4">
            <v>0</v>
          </cell>
          <cell r="J4">
            <v>0</v>
          </cell>
        </row>
        <row r="5">
          <cell r="B5">
            <v>0</v>
          </cell>
        </row>
        <row r="6">
          <cell r="J6">
            <v>0</v>
          </cell>
        </row>
        <row r="7">
          <cell r="J7" t="e">
            <v>#DIV/0!</v>
          </cell>
        </row>
        <row r="8">
          <cell r="B8">
            <v>0</v>
          </cell>
        </row>
        <row r="10">
          <cell r="J10">
            <v>0</v>
          </cell>
        </row>
        <row r="30">
          <cell r="B30" t="e">
            <v>#DIV/0!</v>
          </cell>
        </row>
      </sheetData>
      <sheetData sheetId="22">
        <row r="2">
          <cell r="H2">
            <v>0</v>
          </cell>
          <cell r="K2">
            <v>0</v>
          </cell>
        </row>
        <row r="3">
          <cell r="K3">
            <v>0</v>
          </cell>
        </row>
        <row r="4">
          <cell r="K4">
            <v>0</v>
          </cell>
        </row>
        <row r="5">
          <cell r="K5">
            <v>0</v>
          </cell>
        </row>
        <row r="10">
          <cell r="D10">
            <v>0</v>
          </cell>
        </row>
        <row r="12">
          <cell r="D12">
            <v>0</v>
          </cell>
        </row>
        <row r="16">
          <cell r="D16">
            <v>0</v>
          </cell>
        </row>
        <row r="19">
          <cell r="D19">
            <v>0</v>
          </cell>
        </row>
        <row r="21">
          <cell r="B21">
            <v>7200</v>
          </cell>
          <cell r="C21">
            <v>7400</v>
          </cell>
        </row>
        <row r="33">
          <cell r="D33">
            <v>0</v>
          </cell>
          <cell r="F33" t="e">
            <v>#DIV/0!</v>
          </cell>
        </row>
        <row r="34">
          <cell r="D34" t="e">
            <v>#DIV/0!</v>
          </cell>
        </row>
        <row r="35">
          <cell r="D35" t="e">
            <v>#DIV/0!</v>
          </cell>
        </row>
        <row r="44">
          <cell r="O44">
            <v>0</v>
          </cell>
        </row>
      </sheetData>
      <sheetData sheetId="23">
        <row r="4">
          <cell r="L4">
            <v>0</v>
          </cell>
        </row>
        <row r="13">
          <cell r="D13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F33" t="e">
            <v>#DIV/0!</v>
          </cell>
        </row>
        <row r="34">
          <cell r="D34" t="e">
            <v>#DIV/0!</v>
          </cell>
        </row>
        <row r="35">
          <cell r="D35" t="e">
            <v>#DIV/0!</v>
          </cell>
        </row>
        <row r="51">
          <cell r="N51">
            <v>0</v>
          </cell>
        </row>
      </sheetData>
      <sheetData sheetId="24"/>
      <sheetData sheetId="25">
        <row r="34">
          <cell r="D34" t="e">
            <v>#DIV/0!</v>
          </cell>
        </row>
        <row r="35">
          <cell r="D35" t="e">
            <v>#DIV/0!</v>
          </cell>
          <cell r="E35" t="e">
            <v>#DIV/0!</v>
          </cell>
        </row>
        <row r="57">
          <cell r="N57">
            <v>0</v>
          </cell>
        </row>
      </sheetData>
      <sheetData sheetId="26">
        <row r="35">
          <cell r="D35" t="e">
            <v>#DIV/0!</v>
          </cell>
        </row>
        <row r="50">
          <cell r="N50">
            <v>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קצבה פטורה וקצבה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593.580477314812" createdVersion="3" refreshedVersion="3" minRefreshableVersion="3" recordCount="1">
  <cacheSource type="worksheet">
    <worksheetSource ref="D5:AM100" sheet="PirteiKisuiBeMutzar"/>
  </cacheSource>
  <cacheFields count="37">
    <cacheField name="מספר פוליסה" numFmtId="0">
      <sharedItems containsNonDate="0" containsString="0" containsBlank="1" count="1">
        <m/>
      </sharedItems>
    </cacheField>
    <cacheField name="קוד יצרן" numFmtId="0">
      <sharedItems containsNonDate="0" containsString="0" containsBlank="1"/>
    </cacheField>
    <cacheField name="קוד מוצר" numFmtId="0">
      <sharedItems containsNonDate="0" containsString="0" containsBlank="1"/>
    </cacheField>
    <cacheField name="סכום ביטוח" numFmtId="0">
      <sharedItems containsNonDate="0" containsString="0" containsBlank="1"/>
    </cacheField>
    <cacheField name="סוג מבוטח" numFmtId="0">
      <sharedItems containsNonDate="0" containsString="0" containsBlank="1"/>
    </cacheField>
    <cacheField name="אופן התשלום" numFmtId="0">
      <sharedItems containsNonDate="0" containsString="0" containsBlank="1"/>
    </cacheField>
    <cacheField name="משלם הכיסוי" numFmtId="0">
      <sharedItems containsNonDate="0" containsString="0" containsBlank="1"/>
    </cacheField>
    <cacheField name="עישון" numFmtId="0">
      <sharedItems containsNonDate="0" containsString="0" containsBlank="1"/>
    </cacheField>
    <cacheField name="חיתום" numFmtId="0">
      <sharedItems containsNonDate="0" containsString="0" containsBlank="1"/>
    </cacheField>
    <cacheField name="החרגה" numFmtId="0">
      <sharedItems containsNonDate="0" containsString="0" containsBlank="1"/>
    </cacheField>
    <cacheField name="סוג החרגה" numFmtId="0">
      <sharedItems containsNonDate="0" containsString="0" containsBlank="1"/>
    </cacheField>
    <cacheField name="תאריך תחילת כיסוי" numFmtId="0">
      <sharedItems containsNonDate="0" containsString="0" containsBlank="1"/>
    </cacheField>
    <cacheField name="תאריך סיום כיסוי" numFmtId="0">
      <sharedItems containsNonDate="0" containsString="0" containsBlank="1"/>
    </cacheField>
    <cacheField name="תאריך הפסקת תשלום" numFmtId="0">
      <sharedItems containsNonDate="0" containsString="0" containsBlank="1"/>
    </cacheField>
    <cacheField name="אחוז מסכום ביטוח יסודי" numFmtId="0">
      <sharedItems containsNonDate="0" containsString="0" containsBlank="1"/>
    </cacheField>
    <cacheField name="אחוז משכר" numFmtId="0">
      <sharedItems containsNonDate="0" containsString="0" containsBlank="1"/>
    </cacheField>
    <cacheField name="תאריך חיתום" numFmtId="0">
      <sharedItems containsNonDate="0" containsString="0" containsBlank="1"/>
    </cacheField>
    <cacheField name="תקופת הכשרה" numFmtId="0">
      <sharedItems containsNonDate="0" containsString="0" containsBlank="1"/>
    </cacheField>
    <cacheField name="תקופת הכשרה בחודשים" numFmtId="0">
      <sharedItems containsNonDate="0" containsString="0" containsBlank="1"/>
    </cacheField>
    <cacheField name="דמי ביטוח ת" numFmtId="0">
      <sharedItems containsNonDate="0" containsString="0" containsBlank="1"/>
    </cacheField>
    <cacheField name="תדירות שינוי דמי הביטוח בשנים" numFmtId="0">
      <sharedItems containsNonDate="0" containsString="0" containsBlank="1"/>
    </cacheField>
    <cacheField name="תאריך עידכון הבא של דמי הביטוח" numFmtId="0">
      <sharedItems containsNonDate="0" containsString="0" containsBlank="1"/>
    </cacheField>
    <cacheField name="הנחה" numFmtId="0">
      <sharedItems containsNonDate="0" containsString="0" containsBlank="1"/>
    </cacheField>
    <cacheField name="התניה להנחה" numFmtId="0">
      <sharedItems containsNonDate="0" containsString="0" containsBlank="1"/>
    </cacheField>
    <cacheField name="שם הכיסוי" numFmtId="0">
      <sharedItems containsNonDate="0" containsString="0" containsBlank="1"/>
    </cacheField>
    <cacheField name="פנימי" numFmtId="0">
      <sharedItems containsNonDate="0" containsString="0" containsBlank="1"/>
    </cacheField>
    <cacheField name="פנימי (סוג מבוטח)" numFmtId="0">
      <sharedItems containsNonDate="0" containsString="0" containsBlank="1"/>
    </cacheField>
    <cacheField name="ערך הנחה" numFmtId="0">
      <sharedItems containsNonDate="0" containsString="0" containsBlank="1"/>
    </cacheField>
    <cacheField name="שיעור ההנחה" numFmtId="0">
      <sharedItems containsNonDate="0" containsString="0" containsBlank="1"/>
    </cacheField>
    <cacheField name="פנימי (סוג הנחה)" numFmtId="0">
      <sharedItems containsNonDate="0" containsString="0" containsBlank="1"/>
    </cacheField>
    <cacheField name="פנימי (פרנצ'יזה)" numFmtId="0">
      <sharedItems containsNonDate="0" containsString="0" containsBlank="1"/>
    </cacheField>
    <cacheField name="פנימי (עיסוק)" numFmtId="0">
      <sharedItems containsNonDate="0" containsString="0" containsBlank="1"/>
    </cacheField>
    <cacheField name="פנימי (קוד כיסוי)" numFmtId="0">
      <sharedItems containsNonDate="0" containsString="0" containsBlank="1"/>
    </cacheField>
    <cacheField name="פנימי (סוג כיסוי)" numFmtId="0">
      <sharedItems containsNonDate="0" containsString="0" containsBlank="1"/>
    </cacheField>
    <cacheField name="ת&quot;ז" numFmtId="0">
      <sharedItems containsNonDate="0" containsString="0" containsBlank="1"/>
    </cacheField>
    <cacheField name="נכון לתאריך" numFmtId="0">
      <sharedItems containsNonDate="0" containsString="0" containsBlank="1"/>
    </cacheField>
    <cacheField name="סוג ביטוח" numFmtId="0">
      <sharedItems containsNonDate="0"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2628.446280208336" createdVersion="3" refreshedVersion="3" minRefreshableVersion="3" recordCount="1">
  <cacheSource type="worksheet">
    <worksheetSource ref="D5:I154" sheet="PerutYitraLeTkufa"/>
  </cacheSource>
  <cacheFields count="6">
    <cacheField name="מספר פוליסה" numFmtId="0">
      <sharedItems containsNonDate="0" containsString="0" containsBlank="1" count="1">
        <m/>
      </sharedItems>
    </cacheField>
    <cacheField name="שם חברה" numFmtId="0">
      <sharedItems containsNonDate="0" containsString="0" containsBlank="1"/>
    </cacheField>
    <cacheField name="פנימי" numFmtId="0">
      <sharedItems containsNonDate="0" containsString="0" containsBlank="1"/>
    </cacheField>
    <cacheField name="שכבת ההפרשה" numFmtId="0">
      <sharedItems containsNonDate="0" containsString="0" containsBlank="1"/>
    </cacheField>
    <cacheField name="רכיב היתרה" numFmtId="0">
      <sharedItems containsNonDate="0" containsString="0" containsBlank="1" count="1">
        <m/>
      </sharedItems>
    </cacheField>
    <cacheField name="סכום יתרה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AT6:AV9" firstHeaderRow="1" firstDataRow="2" firstDataCol="1"/>
  <pivotFields count="37"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36"/>
  </colFields>
  <colItems count="2">
    <i>
      <x/>
    </i>
    <i t="grand">
      <x/>
    </i>
  </colItems>
  <dataFields count="1">
    <dataField name="סכום של סכום ביטוח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C6:E9" firstHeaderRow="1" firstDataRow="2" firstDataCol="1"/>
  <pivotFields count="6">
    <pivotField axis="axisRow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ספירה של סכום יתרה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Worksheet______10"/>
  <dimension ref="C1:L52"/>
  <sheetViews>
    <sheetView rightToLeft="1" topLeftCell="D31" workbookViewId="0">
      <selection activeCell="K49" sqref="K49:K52"/>
    </sheetView>
  </sheetViews>
  <sheetFormatPr defaultRowHeight="12.75"/>
  <cols>
    <col min="3" max="3" width="33.42578125" style="6" customWidth="1"/>
    <col min="4" max="5" width="29.7109375" customWidth="1"/>
    <col min="6" max="6" width="37.7109375" customWidth="1"/>
    <col min="11" max="11" width="43.42578125" customWidth="1"/>
  </cols>
  <sheetData>
    <row r="1" spans="3:9">
      <c r="C1" s="7" t="s">
        <v>115</v>
      </c>
      <c r="D1" s="5" t="s">
        <v>113</v>
      </c>
      <c r="E1" s="5"/>
      <c r="F1" s="5" t="s">
        <v>114</v>
      </c>
    </row>
    <row r="2" spans="3:9">
      <c r="C2" s="7" t="s">
        <v>157</v>
      </c>
      <c r="D2" s="5" t="s">
        <v>132</v>
      </c>
      <c r="E2" s="5" t="s">
        <v>1112</v>
      </c>
      <c r="F2" s="5" t="s">
        <v>110</v>
      </c>
      <c r="G2">
        <v>1</v>
      </c>
      <c r="I2" t="s">
        <v>116</v>
      </c>
    </row>
    <row r="3" spans="3:9">
      <c r="C3" s="7" t="s">
        <v>339</v>
      </c>
      <c r="D3" t="s">
        <v>1019</v>
      </c>
      <c r="E3" t="s">
        <v>1113</v>
      </c>
      <c r="F3" t="s">
        <v>1018</v>
      </c>
      <c r="G3">
        <f>G2+1</f>
        <v>2</v>
      </c>
    </row>
    <row r="4" spans="3:9">
      <c r="C4" s="7" t="s">
        <v>338</v>
      </c>
      <c r="D4" t="s">
        <v>1017</v>
      </c>
      <c r="E4" t="s">
        <v>1114</v>
      </c>
      <c r="F4" t="s">
        <v>1016</v>
      </c>
      <c r="G4">
        <f t="shared" ref="G4:G30" si="0">G3+1</f>
        <v>3</v>
      </c>
    </row>
    <row r="5" spans="3:9">
      <c r="C5" s="7" t="s">
        <v>339</v>
      </c>
      <c r="D5" t="s">
        <v>1089</v>
      </c>
      <c r="E5" t="s">
        <v>1115</v>
      </c>
      <c r="F5" t="s">
        <v>1088</v>
      </c>
      <c r="G5">
        <f t="shared" si="0"/>
        <v>4</v>
      </c>
    </row>
    <row r="6" spans="3:9">
      <c r="C6" s="7" t="s">
        <v>175</v>
      </c>
      <c r="D6" t="s">
        <v>176</v>
      </c>
      <c r="F6" t="s">
        <v>177</v>
      </c>
      <c r="G6">
        <f t="shared" si="0"/>
        <v>5</v>
      </c>
    </row>
    <row r="7" spans="3:9">
      <c r="C7" s="7" t="s">
        <v>1012</v>
      </c>
      <c r="D7" t="s">
        <v>1025</v>
      </c>
      <c r="E7" t="s">
        <v>1116</v>
      </c>
      <c r="F7" t="s">
        <v>1025</v>
      </c>
      <c r="G7">
        <f t="shared" si="0"/>
        <v>6</v>
      </c>
    </row>
    <row r="8" spans="3:9">
      <c r="C8" s="7" t="s">
        <v>161</v>
      </c>
      <c r="D8" s="5" t="s">
        <v>156</v>
      </c>
      <c r="E8" s="5" t="s">
        <v>1117</v>
      </c>
      <c r="F8" t="s">
        <v>153</v>
      </c>
      <c r="G8">
        <f t="shared" si="0"/>
        <v>7</v>
      </c>
    </row>
    <row r="9" spans="3:9">
      <c r="C9" s="6" t="s">
        <v>135</v>
      </c>
      <c r="D9" s="933" t="s">
        <v>134</v>
      </c>
      <c r="E9" s="933"/>
      <c r="F9" s="933" t="s">
        <v>133</v>
      </c>
      <c r="G9">
        <f t="shared" si="0"/>
        <v>8</v>
      </c>
    </row>
    <row r="10" spans="3:9">
      <c r="C10" s="7" t="s">
        <v>125</v>
      </c>
      <c r="D10" s="5" t="s">
        <v>126</v>
      </c>
      <c r="E10" s="5" t="s">
        <v>297</v>
      </c>
      <c r="F10" t="s">
        <v>104</v>
      </c>
      <c r="G10">
        <f t="shared" si="0"/>
        <v>9</v>
      </c>
    </row>
    <row r="11" spans="3:9">
      <c r="C11" s="7" t="s">
        <v>1103</v>
      </c>
      <c r="D11" s="5" t="s">
        <v>1105</v>
      </c>
      <c r="E11" s="5" t="s">
        <v>1118</v>
      </c>
      <c r="F11" t="s">
        <v>1104</v>
      </c>
      <c r="G11">
        <f t="shared" si="0"/>
        <v>10</v>
      </c>
    </row>
    <row r="12" spans="3:9">
      <c r="C12" s="7" t="s">
        <v>119</v>
      </c>
      <c r="D12" s="5" t="s">
        <v>120</v>
      </c>
      <c r="E12" s="5" t="s">
        <v>185</v>
      </c>
      <c r="F12" s="5" t="s">
        <v>112</v>
      </c>
      <c r="G12">
        <f t="shared" si="0"/>
        <v>11</v>
      </c>
    </row>
    <row r="13" spans="3:9">
      <c r="C13" s="7" t="s">
        <v>117</v>
      </c>
      <c r="D13" s="5" t="s">
        <v>118</v>
      </c>
      <c r="E13" s="5" t="s">
        <v>1119</v>
      </c>
      <c r="F13" s="5" t="s">
        <v>111</v>
      </c>
      <c r="G13">
        <f t="shared" si="0"/>
        <v>12</v>
      </c>
    </row>
    <row r="14" spans="3:9">
      <c r="C14" s="7" t="s">
        <v>121</v>
      </c>
      <c r="D14" s="5" t="s">
        <v>129</v>
      </c>
      <c r="E14" s="5" t="s">
        <v>1120</v>
      </c>
      <c r="F14" s="5" t="s">
        <v>105</v>
      </c>
      <c r="G14">
        <f t="shared" si="0"/>
        <v>13</v>
      </c>
    </row>
    <row r="15" spans="3:9">
      <c r="C15" s="7" t="s">
        <v>159</v>
      </c>
      <c r="D15" s="5" t="s">
        <v>142</v>
      </c>
      <c r="E15" s="5" t="s">
        <v>1121</v>
      </c>
      <c r="F15" t="s">
        <v>141</v>
      </c>
      <c r="G15">
        <f t="shared" si="0"/>
        <v>14</v>
      </c>
    </row>
    <row r="16" spans="3:9">
      <c r="C16" s="7" t="s">
        <v>121</v>
      </c>
      <c r="D16" s="5" t="s">
        <v>122</v>
      </c>
      <c r="E16" s="5" t="s">
        <v>1122</v>
      </c>
      <c r="F16" t="s">
        <v>106</v>
      </c>
      <c r="G16">
        <f t="shared" si="0"/>
        <v>15</v>
      </c>
    </row>
    <row r="17" spans="3:11">
      <c r="C17" s="7" t="s">
        <v>214</v>
      </c>
      <c r="D17" s="5" t="s">
        <v>215</v>
      </c>
      <c r="E17" s="5" t="s">
        <v>1123</v>
      </c>
      <c r="F17" s="5" t="s">
        <v>216</v>
      </c>
      <c r="G17">
        <f t="shared" si="0"/>
        <v>16</v>
      </c>
    </row>
    <row r="18" spans="3:11">
      <c r="C18" s="7" t="s">
        <v>343</v>
      </c>
      <c r="D18" s="5" t="s">
        <v>342</v>
      </c>
      <c r="E18" s="5" t="s">
        <v>1124</v>
      </c>
      <c r="F18" t="s">
        <v>341</v>
      </c>
      <c r="G18">
        <f t="shared" si="0"/>
        <v>17</v>
      </c>
      <c r="J18">
        <v>1</v>
      </c>
      <c r="K18" t="s">
        <v>190</v>
      </c>
    </row>
    <row r="19" spans="3:11">
      <c r="C19" s="7" t="s">
        <v>1012</v>
      </c>
      <c r="D19" s="5" t="s">
        <v>1014</v>
      </c>
      <c r="E19" s="5" t="s">
        <v>1125</v>
      </c>
      <c r="F19" t="s">
        <v>1013</v>
      </c>
      <c r="G19">
        <f t="shared" si="0"/>
        <v>18</v>
      </c>
      <c r="J19">
        <v>2</v>
      </c>
      <c r="K19" t="s">
        <v>191</v>
      </c>
    </row>
    <row r="20" spans="3:11">
      <c r="C20" s="7" t="s">
        <v>211</v>
      </c>
      <c r="D20" s="5" t="s">
        <v>212</v>
      </c>
      <c r="E20" s="5" t="s">
        <v>1126</v>
      </c>
      <c r="F20" t="s">
        <v>213</v>
      </c>
      <c r="G20">
        <f t="shared" si="0"/>
        <v>19</v>
      </c>
      <c r="J20">
        <v>3</v>
      </c>
      <c r="K20" t="s">
        <v>192</v>
      </c>
    </row>
    <row r="21" spans="3:11">
      <c r="C21" s="7" t="s">
        <v>158</v>
      </c>
      <c r="D21" s="5" t="s">
        <v>144</v>
      </c>
      <c r="E21" s="5" t="s">
        <v>181</v>
      </c>
      <c r="F21" t="s">
        <v>143</v>
      </c>
      <c r="G21">
        <f t="shared" si="0"/>
        <v>20</v>
      </c>
      <c r="J21">
        <v>4</v>
      </c>
      <c r="K21" t="s">
        <v>193</v>
      </c>
    </row>
    <row r="22" spans="3:11">
      <c r="C22" s="7" t="s">
        <v>338</v>
      </c>
      <c r="D22" s="5" t="s">
        <v>337</v>
      </c>
      <c r="E22" s="5" t="s">
        <v>1127</v>
      </c>
      <c r="F22" t="s">
        <v>336</v>
      </c>
      <c r="G22">
        <f t="shared" si="0"/>
        <v>21</v>
      </c>
      <c r="J22">
        <v>5</v>
      </c>
      <c r="K22" t="s">
        <v>194</v>
      </c>
    </row>
    <row r="23" spans="3:11">
      <c r="C23" s="7" t="s">
        <v>127</v>
      </c>
      <c r="D23" s="5" t="s">
        <v>128</v>
      </c>
      <c r="E23" s="5" t="s">
        <v>180</v>
      </c>
      <c r="F23" s="5" t="s">
        <v>107</v>
      </c>
      <c r="G23">
        <f t="shared" si="0"/>
        <v>22</v>
      </c>
      <c r="J23">
        <v>6</v>
      </c>
      <c r="K23" t="s">
        <v>195</v>
      </c>
    </row>
    <row r="24" spans="3:11">
      <c r="C24" s="7" t="s">
        <v>339</v>
      </c>
      <c r="D24" s="5" t="s">
        <v>335</v>
      </c>
      <c r="E24" s="5" t="s">
        <v>1128</v>
      </c>
      <c r="F24" s="5" t="s">
        <v>334</v>
      </c>
      <c r="G24">
        <f t="shared" si="0"/>
        <v>23</v>
      </c>
      <c r="J24">
        <v>7</v>
      </c>
      <c r="K24" t="s">
        <v>196</v>
      </c>
    </row>
    <row r="25" spans="3:11">
      <c r="C25" s="7" t="s">
        <v>348</v>
      </c>
      <c r="D25" s="5" t="s">
        <v>347</v>
      </c>
      <c r="E25" s="5" t="s">
        <v>1129</v>
      </c>
      <c r="F25" s="5" t="s">
        <v>346</v>
      </c>
      <c r="G25">
        <f t="shared" si="0"/>
        <v>24</v>
      </c>
      <c r="J25">
        <v>8</v>
      </c>
      <c r="K25" t="s">
        <v>197</v>
      </c>
    </row>
    <row r="26" spans="3:11">
      <c r="C26" s="7" t="s">
        <v>130</v>
      </c>
      <c r="D26" s="5" t="s">
        <v>131</v>
      </c>
      <c r="E26" s="5" t="s">
        <v>189</v>
      </c>
      <c r="F26" s="5" t="s">
        <v>108</v>
      </c>
      <c r="G26">
        <f t="shared" si="0"/>
        <v>25</v>
      </c>
      <c r="J26">
        <v>9</v>
      </c>
      <c r="K26" t="s">
        <v>16</v>
      </c>
    </row>
    <row r="27" spans="3:11">
      <c r="C27" s="7" t="s">
        <v>1021</v>
      </c>
      <c r="D27" s="5" t="s">
        <v>1026</v>
      </c>
      <c r="E27" s="5" t="s">
        <v>1130</v>
      </c>
      <c r="F27" t="s">
        <v>1020</v>
      </c>
      <c r="G27">
        <f t="shared" si="0"/>
        <v>26</v>
      </c>
      <c r="J27">
        <v>10</v>
      </c>
      <c r="K27" t="s">
        <v>198</v>
      </c>
    </row>
    <row r="28" spans="3:11">
      <c r="C28" s="7" t="s">
        <v>123</v>
      </c>
      <c r="D28" s="5" t="s">
        <v>109</v>
      </c>
      <c r="E28" s="5" t="s">
        <v>178</v>
      </c>
      <c r="F28" s="5" t="s">
        <v>124</v>
      </c>
      <c r="G28">
        <f t="shared" si="0"/>
        <v>27</v>
      </c>
      <c r="K28" t="s">
        <v>199</v>
      </c>
    </row>
    <row r="29" spans="3:11">
      <c r="C29" s="7" t="s">
        <v>340</v>
      </c>
      <c r="D29" s="5" t="s">
        <v>333</v>
      </c>
      <c r="E29" s="5" t="s">
        <v>1131</v>
      </c>
      <c r="F29" s="5" t="s">
        <v>332</v>
      </c>
      <c r="G29">
        <f t="shared" si="0"/>
        <v>28</v>
      </c>
    </row>
    <row r="30" spans="3:11">
      <c r="C30" s="7" t="s">
        <v>160</v>
      </c>
      <c r="D30" s="5" t="s">
        <v>155</v>
      </c>
      <c r="E30" s="5" t="s">
        <v>184</v>
      </c>
      <c r="F30" t="s">
        <v>154</v>
      </c>
      <c r="G30">
        <f t="shared" si="0"/>
        <v>29</v>
      </c>
    </row>
    <row r="32" spans="3:11">
      <c r="J32">
        <v>1</v>
      </c>
      <c r="K32" t="s">
        <v>308</v>
      </c>
    </row>
    <row r="33" spans="6:12">
      <c r="J33">
        <v>2</v>
      </c>
      <c r="K33" t="s">
        <v>309</v>
      </c>
    </row>
    <row r="34" spans="6:12">
      <c r="J34">
        <v>3</v>
      </c>
      <c r="K34" t="s">
        <v>310</v>
      </c>
    </row>
    <row r="35" spans="6:12">
      <c r="J35">
        <v>4</v>
      </c>
      <c r="K35" t="s">
        <v>311</v>
      </c>
    </row>
    <row r="36" spans="6:12">
      <c r="J36">
        <v>5</v>
      </c>
      <c r="K36" t="s">
        <v>312</v>
      </c>
    </row>
    <row r="37" spans="6:12" ht="15">
      <c r="H37" s="30"/>
      <c r="J37">
        <v>6</v>
      </c>
      <c r="K37" t="s">
        <v>313</v>
      </c>
    </row>
    <row r="38" spans="6:12">
      <c r="J38">
        <v>7</v>
      </c>
      <c r="K38" t="s">
        <v>314</v>
      </c>
    </row>
    <row r="39" spans="6:12">
      <c r="J39">
        <v>8</v>
      </c>
      <c r="K39" t="s">
        <v>315</v>
      </c>
    </row>
    <row r="40" spans="6:12">
      <c r="J40">
        <v>9</v>
      </c>
      <c r="K40" t="s">
        <v>316</v>
      </c>
      <c r="L40" t="s">
        <v>318</v>
      </c>
    </row>
    <row r="41" spans="6:12">
      <c r="J41">
        <v>10</v>
      </c>
      <c r="K41" t="s">
        <v>317</v>
      </c>
    </row>
    <row r="43" spans="6:12">
      <c r="J43" t="s">
        <v>317</v>
      </c>
      <c r="K43" t="s">
        <v>1023</v>
      </c>
    </row>
    <row r="44" spans="6:12">
      <c r="J44" t="s">
        <v>513</v>
      </c>
      <c r="K44" t="s">
        <v>623</v>
      </c>
    </row>
    <row r="45" spans="6:12">
      <c r="J45" t="s">
        <v>512</v>
      </c>
      <c r="K45" t="s">
        <v>616</v>
      </c>
    </row>
    <row r="46" spans="6:12">
      <c r="J46" t="s">
        <v>21</v>
      </c>
      <c r="K46" t="s">
        <v>610</v>
      </c>
    </row>
    <row r="47" spans="6:12">
      <c r="F47" t="s">
        <v>945</v>
      </c>
      <c r="J47" t="s">
        <v>511</v>
      </c>
      <c r="K47" t="s">
        <v>619</v>
      </c>
    </row>
    <row r="49" spans="10:11">
      <c r="J49" s="5" t="s">
        <v>878</v>
      </c>
      <c r="K49" s="5"/>
    </row>
    <row r="50" spans="10:11">
      <c r="J50" s="5" t="s">
        <v>615</v>
      </c>
      <c r="K50" s="5"/>
    </row>
    <row r="51" spans="10:11">
      <c r="J51" s="5" t="s">
        <v>1133</v>
      </c>
      <c r="K51" s="5"/>
    </row>
    <row r="52" spans="10:11">
      <c r="J52" s="5" t="s">
        <v>1134</v>
      </c>
      <c r="K52" s="5"/>
    </row>
  </sheetData>
  <sortState ref="C2:F29">
    <sortCondition ref="F2:F2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Worksheet______36"/>
  <dimension ref="A3:M275"/>
  <sheetViews>
    <sheetView rightToLeft="1" workbookViewId="0">
      <selection activeCell="M4" sqref="D4:M158"/>
    </sheetView>
  </sheetViews>
  <sheetFormatPr defaultRowHeight="12.75"/>
  <cols>
    <col min="1" max="1" width="17.42578125" customWidth="1"/>
    <col min="2" max="2" width="15.85546875" customWidth="1"/>
    <col min="3" max="3" width="14.42578125" customWidth="1"/>
    <col min="6" max="6" width="6.42578125" customWidth="1"/>
    <col min="7" max="7" width="8" customWidth="1"/>
    <col min="10" max="10" width="9.28515625" customWidth="1"/>
  </cols>
  <sheetData>
    <row r="3" spans="1:13" ht="78.75">
      <c r="A3" s="986" t="s">
        <v>2</v>
      </c>
      <c r="B3" s="986" t="s">
        <v>82</v>
      </c>
      <c r="C3" s="986" t="s">
        <v>59</v>
      </c>
      <c r="D3" s="986" t="s">
        <v>63</v>
      </c>
      <c r="E3" s="986" t="s">
        <v>85</v>
      </c>
      <c r="F3" s="986" t="s">
        <v>67</v>
      </c>
      <c r="G3" s="986" t="s">
        <v>69</v>
      </c>
      <c r="H3" s="986" t="s">
        <v>72</v>
      </c>
      <c r="I3" s="986" t="s">
        <v>86</v>
      </c>
      <c r="J3" s="986" t="s">
        <v>79</v>
      </c>
      <c r="K3" s="986" t="s">
        <v>3</v>
      </c>
      <c r="L3" s="986" t="s">
        <v>61</v>
      </c>
      <c r="M3" s="986" t="s">
        <v>89</v>
      </c>
    </row>
    <row r="4" spans="1:13">
      <c r="A4" s="178">
        <f>PirteiKisuiBeMutzar!D6</f>
        <v>0</v>
      </c>
      <c r="B4" s="178">
        <f>PirteiKisuiBeMutzar!AQ6</f>
        <v>0</v>
      </c>
      <c r="C4" s="178">
        <f>PirteiKisuiBeMutzar!AM6</f>
        <v>0</v>
      </c>
      <c r="D4" s="1008">
        <f>PirteiKisuiBeMutzar!G6</f>
        <v>0</v>
      </c>
      <c r="E4" s="1008">
        <f>PirteiKisuiBeMutzar!W6</f>
        <v>0</v>
      </c>
      <c r="F4" s="1008">
        <f>PirteiKisuiBeMutzar!K6</f>
        <v>0</v>
      </c>
      <c r="G4" s="1008">
        <f>PirteiKisuiBeMutzar!M6</f>
        <v>0</v>
      </c>
      <c r="H4" s="1008">
        <f>PirteiKisuiBeMutzar!P6</f>
        <v>0</v>
      </c>
      <c r="I4" s="1008">
        <f>PirteiKisuiBeMutzar!X6</f>
        <v>0</v>
      </c>
      <c r="J4" s="1008">
        <f>PirteiKisuiBeMutzar!Y6</f>
        <v>0</v>
      </c>
      <c r="K4" s="1008">
        <f>PirteiKisuiBeMutzar!AL6</f>
        <v>0</v>
      </c>
      <c r="L4" s="1008">
        <f>PirteiKisuiBeMutzar!AO6</f>
        <v>0</v>
      </c>
      <c r="M4" s="1008">
        <f>PirteiKisuiBeMutzar!AP6</f>
        <v>0</v>
      </c>
    </row>
    <row r="5" spans="1:13">
      <c r="A5" s="178">
        <f>PirteiKisuiBeMutzar!D7</f>
        <v>0</v>
      </c>
      <c r="B5" s="178">
        <f>PirteiKisuiBeMutzar!AQ7</f>
        <v>0</v>
      </c>
      <c r="C5" s="178">
        <f>PirteiKisuiBeMutzar!AM7</f>
        <v>0</v>
      </c>
      <c r="D5" s="1008">
        <f>PirteiKisuiBeMutzar!G7</f>
        <v>0</v>
      </c>
      <c r="E5" s="1008">
        <f>PirteiKisuiBeMutzar!W7</f>
        <v>0</v>
      </c>
      <c r="F5" s="1008">
        <f>PirteiKisuiBeMutzar!K7</f>
        <v>0</v>
      </c>
      <c r="G5" s="1008">
        <f>PirteiKisuiBeMutzar!M7</f>
        <v>0</v>
      </c>
      <c r="H5" s="1008">
        <f>PirteiKisuiBeMutzar!P7</f>
        <v>0</v>
      </c>
      <c r="I5" s="1008">
        <f>PirteiKisuiBeMutzar!X7</f>
        <v>0</v>
      </c>
      <c r="J5" s="1008">
        <f>PirteiKisuiBeMutzar!Y7</f>
        <v>0</v>
      </c>
      <c r="K5" s="1008">
        <f>PirteiKisuiBeMutzar!AL7</f>
        <v>0</v>
      </c>
      <c r="L5" s="1008">
        <f>PirteiKisuiBeMutzar!AO7</f>
        <v>0</v>
      </c>
      <c r="M5" s="1008">
        <f>PirteiKisuiBeMutzar!AP7</f>
        <v>0</v>
      </c>
    </row>
    <row r="6" spans="1:13">
      <c r="A6" s="178">
        <f>PirteiKisuiBeMutzar!D8</f>
        <v>0</v>
      </c>
      <c r="B6" s="178">
        <f>PirteiKisuiBeMutzar!AQ8</f>
        <v>0</v>
      </c>
      <c r="C6" s="178">
        <f>PirteiKisuiBeMutzar!AM8</f>
        <v>0</v>
      </c>
      <c r="D6" s="1008">
        <f>PirteiKisuiBeMutzar!G8</f>
        <v>0</v>
      </c>
      <c r="E6" s="1008">
        <f>PirteiKisuiBeMutzar!W8</f>
        <v>0</v>
      </c>
      <c r="F6" s="1008">
        <f>PirteiKisuiBeMutzar!K8</f>
        <v>0</v>
      </c>
      <c r="G6" s="1008">
        <f>PirteiKisuiBeMutzar!M8</f>
        <v>0</v>
      </c>
      <c r="H6" s="1008">
        <f>PirteiKisuiBeMutzar!P8</f>
        <v>0</v>
      </c>
      <c r="I6" s="1008">
        <f>PirteiKisuiBeMutzar!X8</f>
        <v>0</v>
      </c>
      <c r="J6" s="1008">
        <f>PirteiKisuiBeMutzar!Y8</f>
        <v>0</v>
      </c>
      <c r="K6" s="1008">
        <f>PirteiKisuiBeMutzar!AL8</f>
        <v>0</v>
      </c>
      <c r="L6" s="1008">
        <f>PirteiKisuiBeMutzar!AO8</f>
        <v>0</v>
      </c>
      <c r="M6" s="1008">
        <f>PirteiKisuiBeMutzar!AP8</f>
        <v>0</v>
      </c>
    </row>
    <row r="7" spans="1:13">
      <c r="A7" s="178">
        <f>PirteiKisuiBeMutzar!D9</f>
        <v>0</v>
      </c>
      <c r="B7" s="178">
        <f>PirteiKisuiBeMutzar!AQ9</f>
        <v>0</v>
      </c>
      <c r="C7" s="178">
        <f>PirteiKisuiBeMutzar!AM9</f>
        <v>0</v>
      </c>
      <c r="D7" s="1008">
        <f>PirteiKisuiBeMutzar!G9</f>
        <v>0</v>
      </c>
      <c r="E7" s="1008">
        <f>PirteiKisuiBeMutzar!W9</f>
        <v>0</v>
      </c>
      <c r="F7" s="1008">
        <f>PirteiKisuiBeMutzar!K9</f>
        <v>0</v>
      </c>
      <c r="G7" s="1008">
        <f>PirteiKisuiBeMutzar!M9</f>
        <v>0</v>
      </c>
      <c r="H7" s="1008">
        <f>PirteiKisuiBeMutzar!P9</f>
        <v>0</v>
      </c>
      <c r="I7" s="1008">
        <f>PirteiKisuiBeMutzar!X9</f>
        <v>0</v>
      </c>
      <c r="J7" s="1008">
        <f>PirteiKisuiBeMutzar!Y9</f>
        <v>0</v>
      </c>
      <c r="K7" s="1008">
        <f>PirteiKisuiBeMutzar!AL9</f>
        <v>0</v>
      </c>
      <c r="L7" s="1008">
        <f>PirteiKisuiBeMutzar!AO9</f>
        <v>0</v>
      </c>
      <c r="M7" s="1008">
        <f>PirteiKisuiBeMutzar!AP9</f>
        <v>0</v>
      </c>
    </row>
    <row r="8" spans="1:13">
      <c r="A8" s="178">
        <f>PirteiKisuiBeMutzar!D10</f>
        <v>0</v>
      </c>
      <c r="B8" s="178">
        <f>PirteiKisuiBeMutzar!AQ10</f>
        <v>0</v>
      </c>
      <c r="C8" s="178">
        <f>PirteiKisuiBeMutzar!AM10</f>
        <v>0</v>
      </c>
      <c r="D8" s="1008">
        <f>PirteiKisuiBeMutzar!G10</f>
        <v>0</v>
      </c>
      <c r="E8" s="1008">
        <f>PirteiKisuiBeMutzar!W10</f>
        <v>0</v>
      </c>
      <c r="F8" s="1008">
        <f>PirteiKisuiBeMutzar!K10</f>
        <v>0</v>
      </c>
      <c r="G8" s="1008">
        <f>PirteiKisuiBeMutzar!M10</f>
        <v>0</v>
      </c>
      <c r="H8" s="1008">
        <f>PirteiKisuiBeMutzar!P10</f>
        <v>0</v>
      </c>
      <c r="I8" s="1008">
        <f>PirteiKisuiBeMutzar!X10</f>
        <v>0</v>
      </c>
      <c r="J8" s="1008">
        <f>PirteiKisuiBeMutzar!Y10</f>
        <v>0</v>
      </c>
      <c r="K8" s="1008">
        <f>PirteiKisuiBeMutzar!AL10</f>
        <v>0</v>
      </c>
      <c r="L8" s="1008">
        <f>PirteiKisuiBeMutzar!AO10</f>
        <v>0</v>
      </c>
      <c r="M8" s="1008">
        <f>PirteiKisuiBeMutzar!AP10</f>
        <v>0</v>
      </c>
    </row>
    <row r="9" spans="1:13">
      <c r="A9" s="178">
        <f>PirteiKisuiBeMutzar!D11</f>
        <v>0</v>
      </c>
      <c r="B9" s="178">
        <f>PirteiKisuiBeMutzar!AQ11</f>
        <v>0</v>
      </c>
      <c r="C9" s="178">
        <f>PirteiKisuiBeMutzar!AM11</f>
        <v>0</v>
      </c>
      <c r="D9" s="1008">
        <f>PirteiKisuiBeMutzar!G11</f>
        <v>0</v>
      </c>
      <c r="E9" s="1008">
        <f>PirteiKisuiBeMutzar!W11</f>
        <v>0</v>
      </c>
      <c r="F9" s="1008">
        <f>PirteiKisuiBeMutzar!K11</f>
        <v>0</v>
      </c>
      <c r="G9" s="1008">
        <f>PirteiKisuiBeMutzar!M11</f>
        <v>0</v>
      </c>
      <c r="H9" s="1008">
        <f>PirteiKisuiBeMutzar!P11</f>
        <v>0</v>
      </c>
      <c r="I9" s="1008">
        <f>PirteiKisuiBeMutzar!X11</f>
        <v>0</v>
      </c>
      <c r="J9" s="1008">
        <f>PirteiKisuiBeMutzar!Y11</f>
        <v>0</v>
      </c>
      <c r="K9" s="1008">
        <f>PirteiKisuiBeMutzar!AL11</f>
        <v>0</v>
      </c>
      <c r="L9" s="1008">
        <f>PirteiKisuiBeMutzar!AO11</f>
        <v>0</v>
      </c>
      <c r="M9" s="1008">
        <f>PirteiKisuiBeMutzar!AP11</f>
        <v>0</v>
      </c>
    </row>
    <row r="10" spans="1:13">
      <c r="A10" s="178">
        <f>PirteiKisuiBeMutzar!D12</f>
        <v>0</v>
      </c>
      <c r="B10" s="178">
        <f>PirteiKisuiBeMutzar!AQ12</f>
        <v>0</v>
      </c>
      <c r="C10" s="178">
        <f>PirteiKisuiBeMutzar!AM12</f>
        <v>0</v>
      </c>
      <c r="D10" s="1008">
        <f>PirteiKisuiBeMutzar!G12</f>
        <v>0</v>
      </c>
      <c r="E10" s="1008">
        <f>PirteiKisuiBeMutzar!W12</f>
        <v>0</v>
      </c>
      <c r="F10" s="1008">
        <f>PirteiKisuiBeMutzar!K12</f>
        <v>0</v>
      </c>
      <c r="G10" s="1008">
        <f>PirteiKisuiBeMutzar!M12</f>
        <v>0</v>
      </c>
      <c r="H10" s="1008">
        <f>PirteiKisuiBeMutzar!P12</f>
        <v>0</v>
      </c>
      <c r="I10" s="1008">
        <f>PirteiKisuiBeMutzar!X12</f>
        <v>0</v>
      </c>
      <c r="J10" s="1008">
        <f>PirteiKisuiBeMutzar!Y12</f>
        <v>0</v>
      </c>
      <c r="K10" s="1008">
        <f>PirteiKisuiBeMutzar!AL12</f>
        <v>0</v>
      </c>
      <c r="L10" s="1008">
        <f>PirteiKisuiBeMutzar!AO12</f>
        <v>0</v>
      </c>
      <c r="M10" s="1008">
        <f>PirteiKisuiBeMutzar!AP12</f>
        <v>0</v>
      </c>
    </row>
    <row r="11" spans="1:13">
      <c r="A11" s="178">
        <f>PirteiKisuiBeMutzar!D13</f>
        <v>0</v>
      </c>
      <c r="B11" s="178">
        <f>PirteiKisuiBeMutzar!AQ13</f>
        <v>0</v>
      </c>
      <c r="C11" s="178">
        <f>PirteiKisuiBeMutzar!AM13</f>
        <v>0</v>
      </c>
      <c r="D11" s="1008">
        <f>PirteiKisuiBeMutzar!G13</f>
        <v>0</v>
      </c>
      <c r="E11" s="1008">
        <f>PirteiKisuiBeMutzar!W13</f>
        <v>0</v>
      </c>
      <c r="F11" s="1008">
        <f>PirteiKisuiBeMutzar!K13</f>
        <v>0</v>
      </c>
      <c r="G11" s="1008">
        <f>PirteiKisuiBeMutzar!M13</f>
        <v>0</v>
      </c>
      <c r="H11" s="1008">
        <f>PirteiKisuiBeMutzar!P13</f>
        <v>0</v>
      </c>
      <c r="I11" s="1008">
        <f>PirteiKisuiBeMutzar!X13</f>
        <v>0</v>
      </c>
      <c r="J11" s="1008">
        <f>PirteiKisuiBeMutzar!Y13</f>
        <v>0</v>
      </c>
      <c r="K11" s="1008">
        <f>PirteiKisuiBeMutzar!AL13</f>
        <v>0</v>
      </c>
      <c r="L11" s="1008">
        <f>PirteiKisuiBeMutzar!AO13</f>
        <v>0</v>
      </c>
      <c r="M11" s="1008">
        <f>PirteiKisuiBeMutzar!AP13</f>
        <v>0</v>
      </c>
    </row>
    <row r="12" spans="1:13">
      <c r="A12" s="178">
        <f>PirteiKisuiBeMutzar!D14</f>
        <v>0</v>
      </c>
      <c r="B12" s="178">
        <f>PirteiKisuiBeMutzar!AQ14</f>
        <v>0</v>
      </c>
      <c r="C12" s="178">
        <f>PirteiKisuiBeMutzar!AM14</f>
        <v>0</v>
      </c>
      <c r="D12" s="1008">
        <f>PirteiKisuiBeMutzar!G14</f>
        <v>0</v>
      </c>
      <c r="E12" s="1008">
        <f>PirteiKisuiBeMutzar!W14</f>
        <v>0</v>
      </c>
      <c r="F12" s="1008">
        <f>PirteiKisuiBeMutzar!K14</f>
        <v>0</v>
      </c>
      <c r="G12" s="1008">
        <f>PirteiKisuiBeMutzar!M14</f>
        <v>0</v>
      </c>
      <c r="H12" s="1008">
        <f>PirteiKisuiBeMutzar!P14</f>
        <v>0</v>
      </c>
      <c r="I12" s="1008">
        <f>PirteiKisuiBeMutzar!X14</f>
        <v>0</v>
      </c>
      <c r="J12" s="1008">
        <f>PirteiKisuiBeMutzar!Y14</f>
        <v>0</v>
      </c>
      <c r="K12" s="1008">
        <f>PirteiKisuiBeMutzar!AL14</f>
        <v>0</v>
      </c>
      <c r="L12" s="1008">
        <f>PirteiKisuiBeMutzar!AO14</f>
        <v>0</v>
      </c>
      <c r="M12" s="1008">
        <f>PirteiKisuiBeMutzar!AP14</f>
        <v>0</v>
      </c>
    </row>
    <row r="13" spans="1:13">
      <c r="A13" s="178">
        <f>PirteiKisuiBeMutzar!D15</f>
        <v>0</v>
      </c>
      <c r="B13" s="178">
        <f>PirteiKisuiBeMutzar!AQ15</f>
        <v>0</v>
      </c>
      <c r="C13" s="178">
        <f>PirteiKisuiBeMutzar!AM15</f>
        <v>0</v>
      </c>
      <c r="D13" s="1008">
        <f>PirteiKisuiBeMutzar!G15</f>
        <v>0</v>
      </c>
      <c r="E13" s="1008">
        <f>PirteiKisuiBeMutzar!W15</f>
        <v>0</v>
      </c>
      <c r="F13" s="1008">
        <f>PirteiKisuiBeMutzar!K15</f>
        <v>0</v>
      </c>
      <c r="G13" s="1008">
        <f>PirteiKisuiBeMutzar!M15</f>
        <v>0</v>
      </c>
      <c r="H13" s="1008">
        <f>PirteiKisuiBeMutzar!P15</f>
        <v>0</v>
      </c>
      <c r="I13" s="1008">
        <f>PirteiKisuiBeMutzar!X15</f>
        <v>0</v>
      </c>
      <c r="J13" s="1008">
        <f>PirteiKisuiBeMutzar!Y15</f>
        <v>0</v>
      </c>
      <c r="K13" s="1008">
        <f>PirteiKisuiBeMutzar!AL15</f>
        <v>0</v>
      </c>
      <c r="L13" s="1008">
        <f>PirteiKisuiBeMutzar!AO15</f>
        <v>0</v>
      </c>
      <c r="M13" s="1008">
        <f>PirteiKisuiBeMutzar!AP15</f>
        <v>0</v>
      </c>
    </row>
    <row r="14" spans="1:13">
      <c r="A14" s="178">
        <f>PirteiKisuiBeMutzar!D16</f>
        <v>0</v>
      </c>
      <c r="B14" s="178">
        <f>PirteiKisuiBeMutzar!AQ16</f>
        <v>0</v>
      </c>
      <c r="C14" s="178">
        <f>PirteiKisuiBeMutzar!AM16</f>
        <v>0</v>
      </c>
      <c r="D14" s="1008">
        <f>PirteiKisuiBeMutzar!G16</f>
        <v>0</v>
      </c>
      <c r="E14" s="1008">
        <f>PirteiKisuiBeMutzar!W16</f>
        <v>0</v>
      </c>
      <c r="F14" s="1008">
        <f>PirteiKisuiBeMutzar!K16</f>
        <v>0</v>
      </c>
      <c r="G14" s="1008">
        <f>PirteiKisuiBeMutzar!M16</f>
        <v>0</v>
      </c>
      <c r="H14" s="1008">
        <f>PirteiKisuiBeMutzar!P16</f>
        <v>0</v>
      </c>
      <c r="I14" s="1008">
        <f>PirteiKisuiBeMutzar!X16</f>
        <v>0</v>
      </c>
      <c r="J14" s="1008">
        <f>PirteiKisuiBeMutzar!Y16</f>
        <v>0</v>
      </c>
      <c r="K14" s="1008">
        <f>PirteiKisuiBeMutzar!AL16</f>
        <v>0</v>
      </c>
      <c r="L14" s="1008">
        <f>PirteiKisuiBeMutzar!AO16</f>
        <v>0</v>
      </c>
      <c r="M14" s="1008">
        <f>PirteiKisuiBeMutzar!AP16</f>
        <v>0</v>
      </c>
    </row>
    <row r="15" spans="1:13">
      <c r="A15" s="178">
        <f>PirteiKisuiBeMutzar!D17</f>
        <v>0</v>
      </c>
      <c r="B15" s="178">
        <f>PirteiKisuiBeMutzar!AQ17</f>
        <v>0</v>
      </c>
      <c r="C15" s="178">
        <f>PirteiKisuiBeMutzar!AM17</f>
        <v>0</v>
      </c>
      <c r="D15" s="1008">
        <f>PirteiKisuiBeMutzar!G17</f>
        <v>0</v>
      </c>
      <c r="E15" s="1008">
        <f>PirteiKisuiBeMutzar!W17</f>
        <v>0</v>
      </c>
      <c r="F15" s="1008">
        <f>PirteiKisuiBeMutzar!K17</f>
        <v>0</v>
      </c>
      <c r="G15" s="1008">
        <f>PirteiKisuiBeMutzar!M17</f>
        <v>0</v>
      </c>
      <c r="H15" s="1008">
        <f>PirteiKisuiBeMutzar!P17</f>
        <v>0</v>
      </c>
      <c r="I15" s="1008">
        <f>PirteiKisuiBeMutzar!X17</f>
        <v>0</v>
      </c>
      <c r="J15" s="1008">
        <f>PirteiKisuiBeMutzar!Y17</f>
        <v>0</v>
      </c>
      <c r="K15" s="1008">
        <f>PirteiKisuiBeMutzar!AL17</f>
        <v>0</v>
      </c>
      <c r="L15" s="1008">
        <f>PirteiKisuiBeMutzar!AO17</f>
        <v>0</v>
      </c>
      <c r="M15" s="1008">
        <f>PirteiKisuiBeMutzar!AP17</f>
        <v>0</v>
      </c>
    </row>
    <row r="16" spans="1:13">
      <c r="A16" s="178">
        <f>PirteiKisuiBeMutzar!D18</f>
        <v>0</v>
      </c>
      <c r="B16" s="178">
        <f>PirteiKisuiBeMutzar!AQ18</f>
        <v>0</v>
      </c>
      <c r="C16" s="178">
        <f>PirteiKisuiBeMutzar!AM18</f>
        <v>0</v>
      </c>
      <c r="D16" s="1008">
        <f>PirteiKisuiBeMutzar!G18</f>
        <v>0</v>
      </c>
      <c r="E16" s="1008">
        <f>PirteiKisuiBeMutzar!W18</f>
        <v>0</v>
      </c>
      <c r="F16" s="1008">
        <f>PirteiKisuiBeMutzar!K18</f>
        <v>0</v>
      </c>
      <c r="G16" s="1008">
        <f>PirteiKisuiBeMutzar!M18</f>
        <v>0</v>
      </c>
      <c r="H16" s="1008">
        <f>PirteiKisuiBeMutzar!P18</f>
        <v>0</v>
      </c>
      <c r="I16" s="1008">
        <f>PirteiKisuiBeMutzar!X18</f>
        <v>0</v>
      </c>
      <c r="J16" s="1008">
        <f>PirteiKisuiBeMutzar!Y18</f>
        <v>0</v>
      </c>
      <c r="K16" s="1008">
        <f>PirteiKisuiBeMutzar!AL18</f>
        <v>0</v>
      </c>
      <c r="L16" s="1008">
        <f>PirteiKisuiBeMutzar!AO18</f>
        <v>0</v>
      </c>
      <c r="M16" s="1008">
        <f>PirteiKisuiBeMutzar!AP18</f>
        <v>0</v>
      </c>
    </row>
    <row r="17" spans="1:13">
      <c r="A17" s="178">
        <f>PirteiKisuiBeMutzar!D19</f>
        <v>0</v>
      </c>
      <c r="B17" s="178">
        <f>PirteiKisuiBeMutzar!AQ19</f>
        <v>0</v>
      </c>
      <c r="C17" s="178">
        <f>PirteiKisuiBeMutzar!AM19</f>
        <v>0</v>
      </c>
      <c r="D17" s="1008">
        <f>PirteiKisuiBeMutzar!G19</f>
        <v>0</v>
      </c>
      <c r="E17" s="1008">
        <f>PirteiKisuiBeMutzar!W19</f>
        <v>0</v>
      </c>
      <c r="F17" s="1008">
        <f>PirteiKisuiBeMutzar!K19</f>
        <v>0</v>
      </c>
      <c r="G17" s="1008">
        <f>PirteiKisuiBeMutzar!M19</f>
        <v>0</v>
      </c>
      <c r="H17" s="1008">
        <f>PirteiKisuiBeMutzar!P19</f>
        <v>0</v>
      </c>
      <c r="I17" s="1008">
        <f>PirteiKisuiBeMutzar!X19</f>
        <v>0</v>
      </c>
      <c r="J17" s="1008">
        <f>PirteiKisuiBeMutzar!Y19</f>
        <v>0</v>
      </c>
      <c r="K17" s="1008">
        <f>PirteiKisuiBeMutzar!AL19</f>
        <v>0</v>
      </c>
      <c r="L17" s="1008">
        <f>PirteiKisuiBeMutzar!AO19</f>
        <v>0</v>
      </c>
      <c r="M17" s="1008">
        <f>PirteiKisuiBeMutzar!AP19</f>
        <v>0</v>
      </c>
    </row>
    <row r="18" spans="1:13">
      <c r="A18" s="178">
        <f>PirteiKisuiBeMutzar!D20</f>
        <v>0</v>
      </c>
      <c r="B18" s="178">
        <f>PirteiKisuiBeMutzar!AQ20</f>
        <v>0</v>
      </c>
      <c r="C18" s="178">
        <f>PirteiKisuiBeMutzar!AM20</f>
        <v>0</v>
      </c>
      <c r="D18" s="1008">
        <f>PirteiKisuiBeMutzar!G20</f>
        <v>0</v>
      </c>
      <c r="E18" s="1008">
        <f>PirteiKisuiBeMutzar!W20</f>
        <v>0</v>
      </c>
      <c r="F18" s="1008">
        <f>PirteiKisuiBeMutzar!K20</f>
        <v>0</v>
      </c>
      <c r="G18" s="1008">
        <f>PirteiKisuiBeMutzar!M20</f>
        <v>0</v>
      </c>
      <c r="H18" s="1008">
        <f>PirteiKisuiBeMutzar!P20</f>
        <v>0</v>
      </c>
      <c r="I18" s="1008">
        <f>PirteiKisuiBeMutzar!X20</f>
        <v>0</v>
      </c>
      <c r="J18" s="1008">
        <f>PirteiKisuiBeMutzar!Y20</f>
        <v>0</v>
      </c>
      <c r="K18" s="1008">
        <f>PirteiKisuiBeMutzar!AL20</f>
        <v>0</v>
      </c>
      <c r="L18" s="1008">
        <f>PirteiKisuiBeMutzar!AO20</f>
        <v>0</v>
      </c>
      <c r="M18" s="1008">
        <f>PirteiKisuiBeMutzar!AP20</f>
        <v>0</v>
      </c>
    </row>
    <row r="19" spans="1:13">
      <c r="A19" s="178">
        <f>PirteiKisuiBeMutzar!D21</f>
        <v>0</v>
      </c>
      <c r="B19" s="178">
        <f>PirteiKisuiBeMutzar!AQ21</f>
        <v>0</v>
      </c>
      <c r="C19" s="178">
        <f>PirteiKisuiBeMutzar!AM21</f>
        <v>0</v>
      </c>
      <c r="D19" s="1008">
        <f>PirteiKisuiBeMutzar!G21</f>
        <v>0</v>
      </c>
      <c r="E19" s="1008">
        <f>PirteiKisuiBeMutzar!W21</f>
        <v>0</v>
      </c>
      <c r="F19" s="1008">
        <f>PirteiKisuiBeMutzar!K21</f>
        <v>0</v>
      </c>
      <c r="G19" s="1008">
        <f>PirteiKisuiBeMutzar!M21</f>
        <v>0</v>
      </c>
      <c r="H19" s="1008">
        <f>PirteiKisuiBeMutzar!P21</f>
        <v>0</v>
      </c>
      <c r="I19" s="1008">
        <f>PirteiKisuiBeMutzar!X21</f>
        <v>0</v>
      </c>
      <c r="J19" s="1008">
        <f>PirteiKisuiBeMutzar!Y21</f>
        <v>0</v>
      </c>
      <c r="K19" s="1008">
        <f>PirteiKisuiBeMutzar!AL21</f>
        <v>0</v>
      </c>
      <c r="L19" s="1008">
        <f>PirteiKisuiBeMutzar!AO21</f>
        <v>0</v>
      </c>
      <c r="M19" s="1008">
        <f>PirteiKisuiBeMutzar!AP21</f>
        <v>0</v>
      </c>
    </row>
    <row r="20" spans="1:13">
      <c r="A20" s="178">
        <f>PirteiKisuiBeMutzar!D22</f>
        <v>0</v>
      </c>
      <c r="B20" s="178">
        <f>PirteiKisuiBeMutzar!AQ22</f>
        <v>0</v>
      </c>
      <c r="C20" s="178">
        <f>PirteiKisuiBeMutzar!AM22</f>
        <v>0</v>
      </c>
      <c r="D20" s="1008">
        <f>PirteiKisuiBeMutzar!G22</f>
        <v>0</v>
      </c>
      <c r="E20" s="1008">
        <f>PirteiKisuiBeMutzar!W22</f>
        <v>0</v>
      </c>
      <c r="F20" s="1008">
        <f>PirteiKisuiBeMutzar!K22</f>
        <v>0</v>
      </c>
      <c r="G20" s="1008">
        <f>PirteiKisuiBeMutzar!M22</f>
        <v>0</v>
      </c>
      <c r="H20" s="1008">
        <f>PirteiKisuiBeMutzar!P22</f>
        <v>0</v>
      </c>
      <c r="I20" s="1008">
        <f>PirteiKisuiBeMutzar!X22</f>
        <v>0</v>
      </c>
      <c r="J20" s="1008">
        <f>PirteiKisuiBeMutzar!Y22</f>
        <v>0</v>
      </c>
      <c r="K20" s="1008">
        <f>PirteiKisuiBeMutzar!AL22</f>
        <v>0</v>
      </c>
      <c r="L20" s="1008">
        <f>PirteiKisuiBeMutzar!AO22</f>
        <v>0</v>
      </c>
      <c r="M20" s="1008">
        <f>PirteiKisuiBeMutzar!AP22</f>
        <v>0</v>
      </c>
    </row>
    <row r="21" spans="1:13">
      <c r="A21" s="178">
        <f>PirteiKisuiBeMutzar!D23</f>
        <v>0</v>
      </c>
      <c r="B21" s="178">
        <f>PirteiKisuiBeMutzar!AQ23</f>
        <v>0</v>
      </c>
      <c r="C21" s="178">
        <f>PirteiKisuiBeMutzar!AM23</f>
        <v>0</v>
      </c>
      <c r="D21" s="1008">
        <f>PirteiKisuiBeMutzar!G23</f>
        <v>0</v>
      </c>
      <c r="E21" s="1008">
        <f>PirteiKisuiBeMutzar!W23</f>
        <v>0</v>
      </c>
      <c r="F21" s="1008">
        <f>PirteiKisuiBeMutzar!K23</f>
        <v>0</v>
      </c>
      <c r="G21" s="1008">
        <f>PirteiKisuiBeMutzar!M23</f>
        <v>0</v>
      </c>
      <c r="H21" s="1008">
        <f>PirteiKisuiBeMutzar!P23</f>
        <v>0</v>
      </c>
      <c r="I21" s="1008">
        <f>PirteiKisuiBeMutzar!X23</f>
        <v>0</v>
      </c>
      <c r="J21" s="1008">
        <f>PirteiKisuiBeMutzar!Y23</f>
        <v>0</v>
      </c>
      <c r="K21" s="1008">
        <f>PirteiKisuiBeMutzar!AL23</f>
        <v>0</v>
      </c>
      <c r="L21" s="1008">
        <f>PirteiKisuiBeMutzar!AO23</f>
        <v>0</v>
      </c>
      <c r="M21" s="1008">
        <f>PirteiKisuiBeMutzar!AP23</f>
        <v>0</v>
      </c>
    </row>
    <row r="22" spans="1:13">
      <c r="A22" s="178">
        <f>PirteiKisuiBeMutzar!D24</f>
        <v>0</v>
      </c>
      <c r="B22" s="178">
        <f>PirteiKisuiBeMutzar!AQ24</f>
        <v>0</v>
      </c>
      <c r="C22" s="178">
        <f>PirteiKisuiBeMutzar!AM24</f>
        <v>0</v>
      </c>
      <c r="D22" s="1008">
        <f>PirteiKisuiBeMutzar!G24</f>
        <v>0</v>
      </c>
      <c r="E22" s="1008">
        <f>PirteiKisuiBeMutzar!W24</f>
        <v>0</v>
      </c>
      <c r="F22" s="1008">
        <f>PirteiKisuiBeMutzar!K24</f>
        <v>0</v>
      </c>
      <c r="G22" s="1008">
        <f>PirteiKisuiBeMutzar!M24</f>
        <v>0</v>
      </c>
      <c r="H22" s="1008">
        <f>PirteiKisuiBeMutzar!P24</f>
        <v>0</v>
      </c>
      <c r="I22" s="1008">
        <f>PirteiKisuiBeMutzar!X24</f>
        <v>0</v>
      </c>
      <c r="J22" s="1008">
        <f>PirteiKisuiBeMutzar!Y24</f>
        <v>0</v>
      </c>
      <c r="K22" s="1008">
        <f>PirteiKisuiBeMutzar!AL24</f>
        <v>0</v>
      </c>
      <c r="L22" s="1008">
        <f>PirteiKisuiBeMutzar!AO24</f>
        <v>0</v>
      </c>
      <c r="M22" s="1008">
        <f>PirteiKisuiBeMutzar!AP24</f>
        <v>0</v>
      </c>
    </row>
    <row r="23" spans="1:13">
      <c r="A23" s="178">
        <f>PirteiKisuiBeMutzar!D25</f>
        <v>0</v>
      </c>
      <c r="B23" s="178">
        <f>PirteiKisuiBeMutzar!AQ25</f>
        <v>0</v>
      </c>
      <c r="C23" s="178">
        <f>PirteiKisuiBeMutzar!AM25</f>
        <v>0</v>
      </c>
      <c r="D23" s="1008">
        <f>PirteiKisuiBeMutzar!G25</f>
        <v>0</v>
      </c>
      <c r="E23" s="1008">
        <f>PirteiKisuiBeMutzar!W25</f>
        <v>0</v>
      </c>
      <c r="F23" s="1008">
        <f>PirteiKisuiBeMutzar!K25</f>
        <v>0</v>
      </c>
      <c r="G23" s="1008">
        <f>PirteiKisuiBeMutzar!M25</f>
        <v>0</v>
      </c>
      <c r="H23" s="1008">
        <f>PirteiKisuiBeMutzar!P25</f>
        <v>0</v>
      </c>
      <c r="I23" s="1008">
        <f>PirteiKisuiBeMutzar!X25</f>
        <v>0</v>
      </c>
      <c r="J23" s="1008">
        <f>PirteiKisuiBeMutzar!Y25</f>
        <v>0</v>
      </c>
      <c r="K23" s="1008">
        <f>PirteiKisuiBeMutzar!AL25</f>
        <v>0</v>
      </c>
      <c r="L23" s="1008">
        <f>PirteiKisuiBeMutzar!AO25</f>
        <v>0</v>
      </c>
      <c r="M23" s="1008">
        <f>PirteiKisuiBeMutzar!AP25</f>
        <v>0</v>
      </c>
    </row>
    <row r="24" spans="1:13">
      <c r="A24" s="178">
        <f>PirteiKisuiBeMutzar!D26</f>
        <v>0</v>
      </c>
      <c r="B24" s="178">
        <f>PirteiKisuiBeMutzar!AQ26</f>
        <v>0</v>
      </c>
      <c r="C24" s="178">
        <f>PirteiKisuiBeMutzar!AM26</f>
        <v>0</v>
      </c>
      <c r="D24" s="1008">
        <f>PirteiKisuiBeMutzar!G26</f>
        <v>0</v>
      </c>
      <c r="E24" s="1008">
        <f>PirteiKisuiBeMutzar!W26</f>
        <v>0</v>
      </c>
      <c r="F24" s="1008">
        <f>PirteiKisuiBeMutzar!K26</f>
        <v>0</v>
      </c>
      <c r="G24" s="1008">
        <f>PirteiKisuiBeMutzar!M26</f>
        <v>0</v>
      </c>
      <c r="H24" s="1008">
        <f>PirteiKisuiBeMutzar!P26</f>
        <v>0</v>
      </c>
      <c r="I24" s="1008">
        <f>PirteiKisuiBeMutzar!X26</f>
        <v>0</v>
      </c>
      <c r="J24" s="1008">
        <f>PirteiKisuiBeMutzar!Y26</f>
        <v>0</v>
      </c>
      <c r="K24" s="1008">
        <f>PirteiKisuiBeMutzar!AL26</f>
        <v>0</v>
      </c>
      <c r="L24" s="1008">
        <f>PirteiKisuiBeMutzar!AO26</f>
        <v>0</v>
      </c>
      <c r="M24" s="1008">
        <f>PirteiKisuiBeMutzar!AP26</f>
        <v>0</v>
      </c>
    </row>
    <row r="25" spans="1:13">
      <c r="A25" s="178">
        <f>PirteiKisuiBeMutzar!D27</f>
        <v>0</v>
      </c>
      <c r="B25" s="178">
        <f>PirteiKisuiBeMutzar!AQ27</f>
        <v>0</v>
      </c>
      <c r="C25" s="178">
        <f>PirteiKisuiBeMutzar!AM27</f>
        <v>0</v>
      </c>
      <c r="D25" s="1008">
        <f>PirteiKisuiBeMutzar!G27</f>
        <v>0</v>
      </c>
      <c r="E25" s="1008">
        <f>PirteiKisuiBeMutzar!W27</f>
        <v>0</v>
      </c>
      <c r="F25" s="1008">
        <f>PirteiKisuiBeMutzar!K27</f>
        <v>0</v>
      </c>
      <c r="G25" s="1008">
        <f>PirteiKisuiBeMutzar!M27</f>
        <v>0</v>
      </c>
      <c r="H25" s="1008">
        <f>PirteiKisuiBeMutzar!P27</f>
        <v>0</v>
      </c>
      <c r="I25" s="1008">
        <f>PirteiKisuiBeMutzar!X27</f>
        <v>0</v>
      </c>
      <c r="J25" s="1008">
        <f>PirteiKisuiBeMutzar!Y27</f>
        <v>0</v>
      </c>
      <c r="K25" s="1008">
        <f>PirteiKisuiBeMutzar!AL27</f>
        <v>0</v>
      </c>
      <c r="L25" s="1008">
        <f>PirteiKisuiBeMutzar!AO27</f>
        <v>0</v>
      </c>
      <c r="M25" s="1008">
        <f>PirteiKisuiBeMutzar!AP27</f>
        <v>0</v>
      </c>
    </row>
    <row r="26" spans="1:13">
      <c r="A26" s="178">
        <f>PirteiKisuiBeMutzar!D28</f>
        <v>0</v>
      </c>
      <c r="B26" s="178">
        <f>PirteiKisuiBeMutzar!AQ28</f>
        <v>0</v>
      </c>
      <c r="C26" s="178">
        <f>PirteiKisuiBeMutzar!AM28</f>
        <v>0</v>
      </c>
      <c r="D26" s="1008">
        <f>PirteiKisuiBeMutzar!G28</f>
        <v>0</v>
      </c>
      <c r="E26" s="1008">
        <f>PirteiKisuiBeMutzar!W28</f>
        <v>0</v>
      </c>
      <c r="F26" s="1008">
        <f>PirteiKisuiBeMutzar!K28</f>
        <v>0</v>
      </c>
      <c r="G26" s="1008">
        <f>PirteiKisuiBeMutzar!M28</f>
        <v>0</v>
      </c>
      <c r="H26" s="1008">
        <f>PirteiKisuiBeMutzar!P28</f>
        <v>0</v>
      </c>
      <c r="I26" s="1008">
        <f>PirteiKisuiBeMutzar!X28</f>
        <v>0</v>
      </c>
      <c r="J26" s="1008">
        <f>PirteiKisuiBeMutzar!Y28</f>
        <v>0</v>
      </c>
      <c r="K26" s="1008">
        <f>PirteiKisuiBeMutzar!AL28</f>
        <v>0</v>
      </c>
      <c r="L26" s="1008">
        <f>PirteiKisuiBeMutzar!AO28</f>
        <v>0</v>
      </c>
      <c r="M26" s="1008">
        <f>PirteiKisuiBeMutzar!AP28</f>
        <v>0</v>
      </c>
    </row>
    <row r="27" spans="1:13">
      <c r="A27" s="178">
        <f>PirteiKisuiBeMutzar!D29</f>
        <v>0</v>
      </c>
      <c r="B27" s="178">
        <f>PirteiKisuiBeMutzar!AQ29</f>
        <v>0</v>
      </c>
      <c r="C27" s="178">
        <f>PirteiKisuiBeMutzar!AM29</f>
        <v>0</v>
      </c>
      <c r="D27" s="1008">
        <f>PirteiKisuiBeMutzar!G29</f>
        <v>0</v>
      </c>
      <c r="E27" s="1008">
        <f>PirteiKisuiBeMutzar!W29</f>
        <v>0</v>
      </c>
      <c r="F27" s="1008">
        <f>PirteiKisuiBeMutzar!K29</f>
        <v>0</v>
      </c>
      <c r="G27" s="1008">
        <f>PirteiKisuiBeMutzar!M29</f>
        <v>0</v>
      </c>
      <c r="H27" s="1008">
        <f>PirteiKisuiBeMutzar!P29</f>
        <v>0</v>
      </c>
      <c r="I27" s="1008">
        <f>PirteiKisuiBeMutzar!X29</f>
        <v>0</v>
      </c>
      <c r="J27" s="1008">
        <f>PirteiKisuiBeMutzar!Y29</f>
        <v>0</v>
      </c>
      <c r="K27" s="1008">
        <f>PirteiKisuiBeMutzar!AL29</f>
        <v>0</v>
      </c>
      <c r="L27" s="1008">
        <f>PirteiKisuiBeMutzar!AO29</f>
        <v>0</v>
      </c>
      <c r="M27" s="1008">
        <f>PirteiKisuiBeMutzar!AP29</f>
        <v>0</v>
      </c>
    </row>
    <row r="28" spans="1:13">
      <c r="A28" s="178">
        <f>PirteiKisuiBeMutzar!D30</f>
        <v>0</v>
      </c>
      <c r="B28" s="178">
        <f>PirteiKisuiBeMutzar!AQ30</f>
        <v>0</v>
      </c>
      <c r="C28" s="178">
        <f>PirteiKisuiBeMutzar!AM30</f>
        <v>0</v>
      </c>
      <c r="D28" s="1008">
        <f>PirteiKisuiBeMutzar!G30</f>
        <v>0</v>
      </c>
      <c r="E28" s="1008">
        <f>PirteiKisuiBeMutzar!W30</f>
        <v>0</v>
      </c>
      <c r="F28" s="1008">
        <f>PirteiKisuiBeMutzar!K30</f>
        <v>0</v>
      </c>
      <c r="G28" s="1008">
        <f>PirteiKisuiBeMutzar!M30</f>
        <v>0</v>
      </c>
      <c r="H28" s="1008">
        <f>PirteiKisuiBeMutzar!P30</f>
        <v>0</v>
      </c>
      <c r="I28" s="1008">
        <f>PirteiKisuiBeMutzar!X30</f>
        <v>0</v>
      </c>
      <c r="J28" s="1008">
        <f>PirteiKisuiBeMutzar!Y30</f>
        <v>0</v>
      </c>
      <c r="K28" s="1008">
        <f>PirteiKisuiBeMutzar!AL30</f>
        <v>0</v>
      </c>
      <c r="L28" s="1008">
        <f>PirteiKisuiBeMutzar!AO30</f>
        <v>0</v>
      </c>
      <c r="M28" s="1008">
        <f>PirteiKisuiBeMutzar!AP30</f>
        <v>0</v>
      </c>
    </row>
    <row r="29" spans="1:13">
      <c r="A29" s="178">
        <f>PirteiKisuiBeMutzar!D31</f>
        <v>0</v>
      </c>
      <c r="B29" s="178">
        <f>PirteiKisuiBeMutzar!AQ31</f>
        <v>0</v>
      </c>
      <c r="C29" s="178">
        <f>PirteiKisuiBeMutzar!AM31</f>
        <v>0</v>
      </c>
      <c r="D29" s="1008">
        <f>PirteiKisuiBeMutzar!G31</f>
        <v>0</v>
      </c>
      <c r="E29" s="1008">
        <f>PirteiKisuiBeMutzar!W31</f>
        <v>0</v>
      </c>
      <c r="F29" s="1008">
        <f>PirteiKisuiBeMutzar!K31</f>
        <v>0</v>
      </c>
      <c r="G29" s="1008">
        <f>PirteiKisuiBeMutzar!M31</f>
        <v>0</v>
      </c>
      <c r="H29" s="1008">
        <f>PirteiKisuiBeMutzar!P31</f>
        <v>0</v>
      </c>
      <c r="I29" s="1008">
        <f>PirteiKisuiBeMutzar!X31</f>
        <v>0</v>
      </c>
      <c r="J29" s="1008">
        <f>PirteiKisuiBeMutzar!Y31</f>
        <v>0</v>
      </c>
      <c r="K29" s="1008">
        <f>PirteiKisuiBeMutzar!AL31</f>
        <v>0</v>
      </c>
      <c r="L29" s="1008">
        <f>PirteiKisuiBeMutzar!AO31</f>
        <v>0</v>
      </c>
      <c r="M29" s="1008">
        <f>PirteiKisuiBeMutzar!AP31</f>
        <v>0</v>
      </c>
    </row>
    <row r="30" spans="1:13">
      <c r="A30" s="178">
        <f>PirteiKisuiBeMutzar!D32</f>
        <v>0</v>
      </c>
      <c r="B30" s="178">
        <f>PirteiKisuiBeMutzar!AQ32</f>
        <v>0</v>
      </c>
      <c r="C30" s="178">
        <f>PirteiKisuiBeMutzar!AM32</f>
        <v>0</v>
      </c>
      <c r="D30" s="1008">
        <f>PirteiKisuiBeMutzar!G32</f>
        <v>0</v>
      </c>
      <c r="E30" s="1008">
        <f>PirteiKisuiBeMutzar!W32</f>
        <v>0</v>
      </c>
      <c r="F30" s="1008">
        <f>PirteiKisuiBeMutzar!K32</f>
        <v>0</v>
      </c>
      <c r="G30" s="1008">
        <f>PirteiKisuiBeMutzar!M32</f>
        <v>0</v>
      </c>
      <c r="H30" s="1008">
        <f>PirteiKisuiBeMutzar!P32</f>
        <v>0</v>
      </c>
      <c r="I30" s="1008">
        <f>PirteiKisuiBeMutzar!X32</f>
        <v>0</v>
      </c>
      <c r="J30" s="1008">
        <f>PirteiKisuiBeMutzar!Y32</f>
        <v>0</v>
      </c>
      <c r="K30" s="1008">
        <f>PirteiKisuiBeMutzar!AL32</f>
        <v>0</v>
      </c>
      <c r="L30" s="1008">
        <f>PirteiKisuiBeMutzar!AO32</f>
        <v>0</v>
      </c>
      <c r="M30" s="1008">
        <f>PirteiKisuiBeMutzar!AP32</f>
        <v>0</v>
      </c>
    </row>
    <row r="31" spans="1:13">
      <c r="A31" s="178">
        <f>PirteiKisuiBeMutzar!D33</f>
        <v>0</v>
      </c>
      <c r="B31" s="178">
        <f>PirteiKisuiBeMutzar!AQ33</f>
        <v>0</v>
      </c>
      <c r="C31" s="178">
        <f>PirteiKisuiBeMutzar!AM33</f>
        <v>0</v>
      </c>
      <c r="D31" s="1008">
        <f>PirteiKisuiBeMutzar!G33</f>
        <v>0</v>
      </c>
      <c r="E31" s="1008">
        <f>PirteiKisuiBeMutzar!W33</f>
        <v>0</v>
      </c>
      <c r="F31" s="1008">
        <f>PirteiKisuiBeMutzar!K33</f>
        <v>0</v>
      </c>
      <c r="G31" s="1008">
        <f>PirteiKisuiBeMutzar!M33</f>
        <v>0</v>
      </c>
      <c r="H31" s="1008">
        <f>PirteiKisuiBeMutzar!P33</f>
        <v>0</v>
      </c>
      <c r="I31" s="1008">
        <f>PirteiKisuiBeMutzar!X33</f>
        <v>0</v>
      </c>
      <c r="J31" s="1008">
        <f>PirteiKisuiBeMutzar!Y33</f>
        <v>0</v>
      </c>
      <c r="K31" s="1008">
        <f>PirteiKisuiBeMutzar!AL33</f>
        <v>0</v>
      </c>
      <c r="L31" s="1008">
        <f>PirteiKisuiBeMutzar!AO33</f>
        <v>0</v>
      </c>
      <c r="M31" s="1008">
        <f>PirteiKisuiBeMutzar!AP33</f>
        <v>0</v>
      </c>
    </row>
    <row r="32" spans="1:13">
      <c r="A32" s="178">
        <f>PirteiKisuiBeMutzar!D34</f>
        <v>0</v>
      </c>
      <c r="B32" s="178">
        <f>PirteiKisuiBeMutzar!AQ34</f>
        <v>0</v>
      </c>
      <c r="C32" s="178">
        <f>PirteiKisuiBeMutzar!AM34</f>
        <v>0</v>
      </c>
      <c r="D32" s="1008">
        <f>PirteiKisuiBeMutzar!G34</f>
        <v>0</v>
      </c>
      <c r="E32" s="1008">
        <f>PirteiKisuiBeMutzar!W34</f>
        <v>0</v>
      </c>
      <c r="F32" s="1008">
        <f>PirteiKisuiBeMutzar!K34</f>
        <v>0</v>
      </c>
      <c r="G32" s="1008">
        <f>PirteiKisuiBeMutzar!M34</f>
        <v>0</v>
      </c>
      <c r="H32" s="1008">
        <f>PirteiKisuiBeMutzar!P34</f>
        <v>0</v>
      </c>
      <c r="I32" s="1008">
        <f>PirteiKisuiBeMutzar!X34</f>
        <v>0</v>
      </c>
      <c r="J32" s="1008">
        <f>PirteiKisuiBeMutzar!Y34</f>
        <v>0</v>
      </c>
      <c r="K32" s="1008">
        <f>PirteiKisuiBeMutzar!AL34</f>
        <v>0</v>
      </c>
      <c r="L32" s="1008">
        <f>PirteiKisuiBeMutzar!AO34</f>
        <v>0</v>
      </c>
      <c r="M32" s="1008">
        <f>PirteiKisuiBeMutzar!AP34</f>
        <v>0</v>
      </c>
    </row>
    <row r="33" spans="1:13">
      <c r="A33" s="178">
        <f>PirteiKisuiBeMutzar!D35</f>
        <v>0</v>
      </c>
      <c r="B33" s="178">
        <f>PirteiKisuiBeMutzar!AQ35</f>
        <v>0</v>
      </c>
      <c r="C33" s="178">
        <f>PirteiKisuiBeMutzar!AM35</f>
        <v>0</v>
      </c>
      <c r="D33" s="1008">
        <f>PirteiKisuiBeMutzar!G35</f>
        <v>0</v>
      </c>
      <c r="E33" s="1008">
        <f>PirteiKisuiBeMutzar!W35</f>
        <v>0</v>
      </c>
      <c r="F33" s="1008">
        <f>PirteiKisuiBeMutzar!K35</f>
        <v>0</v>
      </c>
      <c r="G33" s="1008">
        <f>PirteiKisuiBeMutzar!M35</f>
        <v>0</v>
      </c>
      <c r="H33" s="1008">
        <f>PirteiKisuiBeMutzar!P35</f>
        <v>0</v>
      </c>
      <c r="I33" s="1008">
        <f>PirteiKisuiBeMutzar!X35</f>
        <v>0</v>
      </c>
      <c r="J33" s="1008">
        <f>PirteiKisuiBeMutzar!Y35</f>
        <v>0</v>
      </c>
      <c r="K33" s="1008">
        <f>PirteiKisuiBeMutzar!AL35</f>
        <v>0</v>
      </c>
      <c r="L33" s="1008">
        <f>PirteiKisuiBeMutzar!AO35</f>
        <v>0</v>
      </c>
      <c r="M33" s="1008">
        <f>PirteiKisuiBeMutzar!AP35</f>
        <v>0</v>
      </c>
    </row>
    <row r="34" spans="1:13">
      <c r="A34" s="178">
        <f>PirteiKisuiBeMutzar!D36</f>
        <v>0</v>
      </c>
      <c r="B34" s="178">
        <f>PirteiKisuiBeMutzar!AQ36</f>
        <v>0</v>
      </c>
      <c r="C34" s="178">
        <f>PirteiKisuiBeMutzar!AM36</f>
        <v>0</v>
      </c>
      <c r="D34" s="1008">
        <f>PirteiKisuiBeMutzar!G36</f>
        <v>0</v>
      </c>
      <c r="E34" s="1008">
        <f>PirteiKisuiBeMutzar!W36</f>
        <v>0</v>
      </c>
      <c r="F34" s="1008">
        <f>PirteiKisuiBeMutzar!K36</f>
        <v>0</v>
      </c>
      <c r="G34" s="1008">
        <f>PirteiKisuiBeMutzar!M36</f>
        <v>0</v>
      </c>
      <c r="H34" s="1008">
        <f>PirteiKisuiBeMutzar!P36</f>
        <v>0</v>
      </c>
      <c r="I34" s="1008">
        <f>PirteiKisuiBeMutzar!X36</f>
        <v>0</v>
      </c>
      <c r="J34" s="1008">
        <f>PirteiKisuiBeMutzar!Y36</f>
        <v>0</v>
      </c>
      <c r="K34" s="1008">
        <f>PirteiKisuiBeMutzar!AL36</f>
        <v>0</v>
      </c>
      <c r="L34" s="1008">
        <f>PirteiKisuiBeMutzar!AO36</f>
        <v>0</v>
      </c>
      <c r="M34" s="1008">
        <f>PirteiKisuiBeMutzar!AP36</f>
        <v>0</v>
      </c>
    </row>
    <row r="35" spans="1:13">
      <c r="A35" s="178">
        <f>PirteiKisuiBeMutzar!D37</f>
        <v>0</v>
      </c>
      <c r="B35" s="178">
        <f>PirteiKisuiBeMutzar!AQ37</f>
        <v>0</v>
      </c>
      <c r="C35" s="178">
        <f>PirteiKisuiBeMutzar!AM37</f>
        <v>0</v>
      </c>
      <c r="D35" s="1008">
        <f>PirteiKisuiBeMutzar!G37</f>
        <v>0</v>
      </c>
      <c r="E35" s="1008">
        <f>PirteiKisuiBeMutzar!W37</f>
        <v>0</v>
      </c>
      <c r="F35" s="1008">
        <f>PirteiKisuiBeMutzar!K37</f>
        <v>0</v>
      </c>
      <c r="G35" s="1008">
        <f>PirteiKisuiBeMutzar!M37</f>
        <v>0</v>
      </c>
      <c r="H35" s="1008">
        <f>PirteiKisuiBeMutzar!P37</f>
        <v>0</v>
      </c>
      <c r="I35" s="1008">
        <f>PirteiKisuiBeMutzar!X37</f>
        <v>0</v>
      </c>
      <c r="J35" s="1008">
        <f>PirteiKisuiBeMutzar!Y37</f>
        <v>0</v>
      </c>
      <c r="K35" s="1008">
        <f>PirteiKisuiBeMutzar!AL37</f>
        <v>0</v>
      </c>
      <c r="L35" s="1008">
        <f>PirteiKisuiBeMutzar!AO37</f>
        <v>0</v>
      </c>
      <c r="M35" s="1008">
        <f>PirteiKisuiBeMutzar!AP37</f>
        <v>0</v>
      </c>
    </row>
    <row r="36" spans="1:13">
      <c r="A36" s="178">
        <f>PirteiKisuiBeMutzar!D38</f>
        <v>0</v>
      </c>
      <c r="B36" s="178">
        <f>PirteiKisuiBeMutzar!AQ38</f>
        <v>0</v>
      </c>
      <c r="C36" s="178">
        <f>PirteiKisuiBeMutzar!AM38</f>
        <v>0</v>
      </c>
      <c r="D36" s="1008">
        <f>PirteiKisuiBeMutzar!G38</f>
        <v>0</v>
      </c>
      <c r="E36" s="1008">
        <f>PirteiKisuiBeMutzar!W38</f>
        <v>0</v>
      </c>
      <c r="F36" s="1008">
        <f>PirteiKisuiBeMutzar!K38</f>
        <v>0</v>
      </c>
      <c r="G36" s="1008">
        <f>PirteiKisuiBeMutzar!M38</f>
        <v>0</v>
      </c>
      <c r="H36" s="1008">
        <f>PirteiKisuiBeMutzar!P38</f>
        <v>0</v>
      </c>
      <c r="I36" s="1008">
        <f>PirteiKisuiBeMutzar!X38</f>
        <v>0</v>
      </c>
      <c r="J36" s="1008">
        <f>PirteiKisuiBeMutzar!Y38</f>
        <v>0</v>
      </c>
      <c r="K36" s="1008">
        <f>PirteiKisuiBeMutzar!AL38</f>
        <v>0</v>
      </c>
      <c r="L36" s="1008">
        <f>PirteiKisuiBeMutzar!AO38</f>
        <v>0</v>
      </c>
      <c r="M36" s="1008">
        <f>PirteiKisuiBeMutzar!AP38</f>
        <v>0</v>
      </c>
    </row>
    <row r="37" spans="1:13">
      <c r="A37" s="178">
        <f>PirteiKisuiBeMutzar!D39</f>
        <v>0</v>
      </c>
      <c r="B37" s="178">
        <f>PirteiKisuiBeMutzar!AQ39</f>
        <v>0</v>
      </c>
      <c r="C37" s="178">
        <f>PirteiKisuiBeMutzar!AM39</f>
        <v>0</v>
      </c>
      <c r="D37" s="1008">
        <f>PirteiKisuiBeMutzar!G39</f>
        <v>0</v>
      </c>
      <c r="E37" s="1008">
        <f>PirteiKisuiBeMutzar!W39</f>
        <v>0</v>
      </c>
      <c r="F37" s="1008">
        <f>PirteiKisuiBeMutzar!K39</f>
        <v>0</v>
      </c>
      <c r="G37" s="1008">
        <f>PirteiKisuiBeMutzar!M39</f>
        <v>0</v>
      </c>
      <c r="H37" s="1008">
        <f>PirteiKisuiBeMutzar!P39</f>
        <v>0</v>
      </c>
      <c r="I37" s="1008">
        <f>PirteiKisuiBeMutzar!X39</f>
        <v>0</v>
      </c>
      <c r="J37" s="1008">
        <f>PirteiKisuiBeMutzar!Y39</f>
        <v>0</v>
      </c>
      <c r="K37" s="1008">
        <f>PirteiKisuiBeMutzar!AL39</f>
        <v>0</v>
      </c>
      <c r="L37" s="1008">
        <f>PirteiKisuiBeMutzar!AO39</f>
        <v>0</v>
      </c>
      <c r="M37" s="1008">
        <f>PirteiKisuiBeMutzar!AP39</f>
        <v>0</v>
      </c>
    </row>
    <row r="38" spans="1:13">
      <c r="A38" s="178">
        <f>PirteiKisuiBeMutzar!D40</f>
        <v>0</v>
      </c>
      <c r="B38" s="178">
        <f>PirteiKisuiBeMutzar!AQ40</f>
        <v>0</v>
      </c>
      <c r="C38" s="178">
        <f>PirteiKisuiBeMutzar!AM40</f>
        <v>0</v>
      </c>
      <c r="D38" s="1008">
        <f>PirteiKisuiBeMutzar!G40</f>
        <v>0</v>
      </c>
      <c r="E38" s="1008">
        <f>PirteiKisuiBeMutzar!W40</f>
        <v>0</v>
      </c>
      <c r="F38" s="1008">
        <f>PirteiKisuiBeMutzar!K40</f>
        <v>0</v>
      </c>
      <c r="G38" s="1008">
        <f>PirteiKisuiBeMutzar!M40</f>
        <v>0</v>
      </c>
      <c r="H38" s="1008">
        <f>PirteiKisuiBeMutzar!P40</f>
        <v>0</v>
      </c>
      <c r="I38" s="1008">
        <f>PirteiKisuiBeMutzar!X40</f>
        <v>0</v>
      </c>
      <c r="J38" s="1008">
        <f>PirteiKisuiBeMutzar!Y40</f>
        <v>0</v>
      </c>
      <c r="K38" s="1008">
        <f>PirteiKisuiBeMutzar!AL40</f>
        <v>0</v>
      </c>
      <c r="L38" s="1008">
        <f>PirteiKisuiBeMutzar!AO40</f>
        <v>0</v>
      </c>
      <c r="M38" s="1008">
        <f>PirteiKisuiBeMutzar!AP40</f>
        <v>0</v>
      </c>
    </row>
    <row r="39" spans="1:13">
      <c r="A39" s="178">
        <f>PirteiKisuiBeMutzar!D41</f>
        <v>0</v>
      </c>
      <c r="B39" s="178">
        <f>PirteiKisuiBeMutzar!AQ41</f>
        <v>0</v>
      </c>
      <c r="C39" s="178">
        <f>PirteiKisuiBeMutzar!AM41</f>
        <v>0</v>
      </c>
      <c r="D39" s="1008">
        <f>PirteiKisuiBeMutzar!G41</f>
        <v>0</v>
      </c>
      <c r="E39" s="1008">
        <f>PirteiKisuiBeMutzar!W41</f>
        <v>0</v>
      </c>
      <c r="F39" s="1008">
        <f>PirteiKisuiBeMutzar!K41</f>
        <v>0</v>
      </c>
      <c r="G39" s="1008">
        <f>PirteiKisuiBeMutzar!M41</f>
        <v>0</v>
      </c>
      <c r="H39" s="1008">
        <f>PirteiKisuiBeMutzar!P41</f>
        <v>0</v>
      </c>
      <c r="I39" s="1008">
        <f>PirteiKisuiBeMutzar!X41</f>
        <v>0</v>
      </c>
      <c r="J39" s="1008">
        <f>PirteiKisuiBeMutzar!Y41</f>
        <v>0</v>
      </c>
      <c r="K39" s="1008">
        <f>PirteiKisuiBeMutzar!AL41</f>
        <v>0</v>
      </c>
      <c r="L39" s="1008">
        <f>PirteiKisuiBeMutzar!AO41</f>
        <v>0</v>
      </c>
      <c r="M39" s="1008">
        <f>PirteiKisuiBeMutzar!AP41</f>
        <v>0</v>
      </c>
    </row>
    <row r="40" spans="1:13">
      <c r="A40" s="178">
        <f>PirteiKisuiBeMutzar!D42</f>
        <v>0</v>
      </c>
      <c r="B40" s="178">
        <f>PirteiKisuiBeMutzar!AQ42</f>
        <v>0</v>
      </c>
      <c r="C40" s="178">
        <f>PirteiKisuiBeMutzar!AM42</f>
        <v>0</v>
      </c>
      <c r="D40" s="1008">
        <f>PirteiKisuiBeMutzar!G42</f>
        <v>0</v>
      </c>
      <c r="E40" s="1008">
        <f>PirteiKisuiBeMutzar!W42</f>
        <v>0</v>
      </c>
      <c r="F40" s="1008">
        <f>PirteiKisuiBeMutzar!K42</f>
        <v>0</v>
      </c>
      <c r="G40" s="1008">
        <f>PirteiKisuiBeMutzar!M42</f>
        <v>0</v>
      </c>
      <c r="H40" s="1008">
        <f>PirteiKisuiBeMutzar!P42</f>
        <v>0</v>
      </c>
      <c r="I40" s="1008">
        <f>PirteiKisuiBeMutzar!X42</f>
        <v>0</v>
      </c>
      <c r="J40" s="1008">
        <f>PirteiKisuiBeMutzar!Y42</f>
        <v>0</v>
      </c>
      <c r="K40" s="1008">
        <f>PirteiKisuiBeMutzar!AL42</f>
        <v>0</v>
      </c>
      <c r="L40" s="1008">
        <f>PirteiKisuiBeMutzar!AO42</f>
        <v>0</v>
      </c>
      <c r="M40" s="1008">
        <f>PirteiKisuiBeMutzar!AP42</f>
        <v>0</v>
      </c>
    </row>
    <row r="41" spans="1:13">
      <c r="A41" s="178">
        <f>PirteiKisuiBeMutzar!D43</f>
        <v>0</v>
      </c>
      <c r="B41" s="178">
        <f>PirteiKisuiBeMutzar!AQ43</f>
        <v>0</v>
      </c>
      <c r="C41" s="178">
        <f>PirteiKisuiBeMutzar!AM43</f>
        <v>0</v>
      </c>
      <c r="D41" s="1008">
        <f>PirteiKisuiBeMutzar!G43</f>
        <v>0</v>
      </c>
      <c r="E41" s="1008">
        <f>PirteiKisuiBeMutzar!W43</f>
        <v>0</v>
      </c>
      <c r="F41" s="1008">
        <f>PirteiKisuiBeMutzar!K43</f>
        <v>0</v>
      </c>
      <c r="G41" s="1008">
        <f>PirteiKisuiBeMutzar!M43</f>
        <v>0</v>
      </c>
      <c r="H41" s="1008">
        <f>PirteiKisuiBeMutzar!P43</f>
        <v>0</v>
      </c>
      <c r="I41" s="1008">
        <f>PirteiKisuiBeMutzar!X43</f>
        <v>0</v>
      </c>
      <c r="J41" s="1008">
        <f>PirteiKisuiBeMutzar!Y43</f>
        <v>0</v>
      </c>
      <c r="K41" s="1008">
        <f>PirteiKisuiBeMutzar!AL43</f>
        <v>0</v>
      </c>
      <c r="L41" s="1008">
        <f>PirteiKisuiBeMutzar!AO43</f>
        <v>0</v>
      </c>
      <c r="M41" s="1008">
        <f>PirteiKisuiBeMutzar!AP43</f>
        <v>0</v>
      </c>
    </row>
    <row r="42" spans="1:13">
      <c r="A42" s="178">
        <f>PirteiKisuiBeMutzar!D44</f>
        <v>0</v>
      </c>
      <c r="B42" s="178">
        <f>PirteiKisuiBeMutzar!AQ44</f>
        <v>0</v>
      </c>
      <c r="C42" s="178">
        <f>PirteiKisuiBeMutzar!AM44</f>
        <v>0</v>
      </c>
      <c r="D42" s="1008">
        <f>PirteiKisuiBeMutzar!G44</f>
        <v>0</v>
      </c>
      <c r="E42" s="1008">
        <f>PirteiKisuiBeMutzar!W44</f>
        <v>0</v>
      </c>
      <c r="F42" s="1008">
        <f>PirteiKisuiBeMutzar!K44</f>
        <v>0</v>
      </c>
      <c r="G42" s="1008">
        <f>PirteiKisuiBeMutzar!M44</f>
        <v>0</v>
      </c>
      <c r="H42" s="1008">
        <f>PirteiKisuiBeMutzar!P44</f>
        <v>0</v>
      </c>
      <c r="I42" s="1008">
        <f>PirteiKisuiBeMutzar!X44</f>
        <v>0</v>
      </c>
      <c r="J42" s="1008">
        <f>PirteiKisuiBeMutzar!Y44</f>
        <v>0</v>
      </c>
      <c r="K42" s="1008">
        <f>PirteiKisuiBeMutzar!AL44</f>
        <v>0</v>
      </c>
      <c r="L42" s="1008">
        <f>PirteiKisuiBeMutzar!AO44</f>
        <v>0</v>
      </c>
      <c r="M42" s="1008">
        <f>PirteiKisuiBeMutzar!AP44</f>
        <v>0</v>
      </c>
    </row>
    <row r="43" spans="1:13">
      <c r="A43" s="178">
        <f>PirteiKisuiBeMutzar!D45</f>
        <v>0</v>
      </c>
      <c r="B43" s="178">
        <f>PirteiKisuiBeMutzar!AQ45</f>
        <v>0</v>
      </c>
      <c r="C43" s="178">
        <f>PirteiKisuiBeMutzar!AM45</f>
        <v>0</v>
      </c>
      <c r="D43" s="1008">
        <f>PirteiKisuiBeMutzar!G45</f>
        <v>0</v>
      </c>
      <c r="E43" s="1008">
        <f>PirteiKisuiBeMutzar!W45</f>
        <v>0</v>
      </c>
      <c r="F43" s="1008">
        <f>PirteiKisuiBeMutzar!K45</f>
        <v>0</v>
      </c>
      <c r="G43" s="1008">
        <f>PirteiKisuiBeMutzar!M45</f>
        <v>0</v>
      </c>
      <c r="H43" s="1008">
        <f>PirteiKisuiBeMutzar!P45</f>
        <v>0</v>
      </c>
      <c r="I43" s="1008">
        <f>PirteiKisuiBeMutzar!X45</f>
        <v>0</v>
      </c>
      <c r="J43" s="1008">
        <f>PirteiKisuiBeMutzar!Y45</f>
        <v>0</v>
      </c>
      <c r="K43" s="1008">
        <f>PirteiKisuiBeMutzar!AL45</f>
        <v>0</v>
      </c>
      <c r="L43" s="1008">
        <f>PirteiKisuiBeMutzar!AO45</f>
        <v>0</v>
      </c>
      <c r="M43" s="1008">
        <f>PirteiKisuiBeMutzar!AP45</f>
        <v>0</v>
      </c>
    </row>
    <row r="44" spans="1:13">
      <c r="A44" s="178">
        <f>PirteiKisuiBeMutzar!D46</f>
        <v>0</v>
      </c>
      <c r="B44" s="178">
        <f>PirteiKisuiBeMutzar!AQ46</f>
        <v>0</v>
      </c>
      <c r="C44" s="178">
        <f>PirteiKisuiBeMutzar!AM46</f>
        <v>0</v>
      </c>
      <c r="D44" s="1008">
        <f>PirteiKisuiBeMutzar!G46</f>
        <v>0</v>
      </c>
      <c r="E44" s="1008">
        <f>PirteiKisuiBeMutzar!W46</f>
        <v>0</v>
      </c>
      <c r="F44" s="1008">
        <f>PirteiKisuiBeMutzar!K46</f>
        <v>0</v>
      </c>
      <c r="G44" s="1008">
        <f>PirteiKisuiBeMutzar!M46</f>
        <v>0</v>
      </c>
      <c r="H44" s="1008">
        <f>PirteiKisuiBeMutzar!P46</f>
        <v>0</v>
      </c>
      <c r="I44" s="1008">
        <f>PirteiKisuiBeMutzar!X46</f>
        <v>0</v>
      </c>
      <c r="J44" s="1008">
        <f>PirteiKisuiBeMutzar!Y46</f>
        <v>0</v>
      </c>
      <c r="K44" s="1008">
        <f>PirteiKisuiBeMutzar!AL46</f>
        <v>0</v>
      </c>
      <c r="L44" s="1008">
        <f>PirteiKisuiBeMutzar!AO46</f>
        <v>0</v>
      </c>
      <c r="M44" s="1008">
        <f>PirteiKisuiBeMutzar!AP46</f>
        <v>0</v>
      </c>
    </row>
    <row r="45" spans="1:13">
      <c r="A45" s="178">
        <f>PirteiKisuiBeMutzar!D47</f>
        <v>0</v>
      </c>
      <c r="B45" s="178">
        <f>PirteiKisuiBeMutzar!AQ47</f>
        <v>0</v>
      </c>
      <c r="C45" s="178">
        <f>PirteiKisuiBeMutzar!AM47</f>
        <v>0</v>
      </c>
      <c r="D45" s="1008">
        <f>PirteiKisuiBeMutzar!G47</f>
        <v>0</v>
      </c>
      <c r="E45" s="1008">
        <f>PirteiKisuiBeMutzar!W47</f>
        <v>0</v>
      </c>
      <c r="F45" s="1008">
        <f>PirteiKisuiBeMutzar!K47</f>
        <v>0</v>
      </c>
      <c r="G45" s="1008">
        <f>PirteiKisuiBeMutzar!M47</f>
        <v>0</v>
      </c>
      <c r="H45" s="1008">
        <f>PirteiKisuiBeMutzar!P47</f>
        <v>0</v>
      </c>
      <c r="I45" s="1008">
        <f>PirteiKisuiBeMutzar!X47</f>
        <v>0</v>
      </c>
      <c r="J45" s="1008">
        <f>PirteiKisuiBeMutzar!Y47</f>
        <v>0</v>
      </c>
      <c r="K45" s="1008">
        <f>PirteiKisuiBeMutzar!AL47</f>
        <v>0</v>
      </c>
      <c r="L45" s="1008">
        <f>PirteiKisuiBeMutzar!AO47</f>
        <v>0</v>
      </c>
      <c r="M45" s="1008">
        <f>PirteiKisuiBeMutzar!AP47</f>
        <v>0</v>
      </c>
    </row>
    <row r="46" spans="1:13">
      <c r="A46" s="178">
        <f>PirteiKisuiBeMutzar!D48</f>
        <v>0</v>
      </c>
      <c r="B46" s="178">
        <f>PirteiKisuiBeMutzar!AQ48</f>
        <v>0</v>
      </c>
      <c r="C46" s="178">
        <f>PirteiKisuiBeMutzar!AM48</f>
        <v>0</v>
      </c>
      <c r="D46" s="1008">
        <f>PirteiKisuiBeMutzar!G48</f>
        <v>0</v>
      </c>
      <c r="E46" s="1008">
        <f>PirteiKisuiBeMutzar!W48</f>
        <v>0</v>
      </c>
      <c r="F46" s="1008">
        <f>PirteiKisuiBeMutzar!K48</f>
        <v>0</v>
      </c>
      <c r="G46" s="1008">
        <f>PirteiKisuiBeMutzar!M48</f>
        <v>0</v>
      </c>
      <c r="H46" s="1008">
        <f>PirteiKisuiBeMutzar!P48</f>
        <v>0</v>
      </c>
      <c r="I46" s="1008">
        <f>PirteiKisuiBeMutzar!X48</f>
        <v>0</v>
      </c>
      <c r="J46" s="1008">
        <f>PirteiKisuiBeMutzar!Y48</f>
        <v>0</v>
      </c>
      <c r="K46" s="1008">
        <f>PirteiKisuiBeMutzar!AL48</f>
        <v>0</v>
      </c>
      <c r="L46" s="1008">
        <f>PirteiKisuiBeMutzar!AO48</f>
        <v>0</v>
      </c>
      <c r="M46" s="1008">
        <f>PirteiKisuiBeMutzar!AP48</f>
        <v>0</v>
      </c>
    </row>
    <row r="47" spans="1:13">
      <c r="A47" s="178">
        <f>PirteiKisuiBeMutzar!D49</f>
        <v>0</v>
      </c>
      <c r="B47" s="178">
        <f>PirteiKisuiBeMutzar!AQ49</f>
        <v>0</v>
      </c>
      <c r="C47" s="178">
        <f>PirteiKisuiBeMutzar!AM49</f>
        <v>0</v>
      </c>
      <c r="D47" s="1008">
        <f>PirteiKisuiBeMutzar!G49</f>
        <v>0</v>
      </c>
      <c r="E47" s="1008">
        <f>PirteiKisuiBeMutzar!W49</f>
        <v>0</v>
      </c>
      <c r="F47" s="1008">
        <f>PirteiKisuiBeMutzar!K49</f>
        <v>0</v>
      </c>
      <c r="G47" s="1008">
        <f>PirteiKisuiBeMutzar!M49</f>
        <v>0</v>
      </c>
      <c r="H47" s="1008">
        <f>PirteiKisuiBeMutzar!P49</f>
        <v>0</v>
      </c>
      <c r="I47" s="1008">
        <f>PirteiKisuiBeMutzar!X49</f>
        <v>0</v>
      </c>
      <c r="J47" s="1008">
        <f>PirteiKisuiBeMutzar!Y49</f>
        <v>0</v>
      </c>
      <c r="K47" s="1008">
        <f>PirteiKisuiBeMutzar!AL49</f>
        <v>0</v>
      </c>
      <c r="L47" s="1008">
        <f>PirteiKisuiBeMutzar!AO49</f>
        <v>0</v>
      </c>
      <c r="M47" s="1008">
        <f>PirteiKisuiBeMutzar!AP49</f>
        <v>0</v>
      </c>
    </row>
    <row r="48" spans="1:13">
      <c r="A48" s="178">
        <f>PirteiKisuiBeMutzar!D50</f>
        <v>0</v>
      </c>
      <c r="B48" s="178">
        <f>PirteiKisuiBeMutzar!AQ50</f>
        <v>0</v>
      </c>
      <c r="C48" s="178">
        <f>PirteiKisuiBeMutzar!AM50</f>
        <v>0</v>
      </c>
      <c r="D48" s="1008">
        <f>PirteiKisuiBeMutzar!G50</f>
        <v>0</v>
      </c>
      <c r="E48" s="1008">
        <f>PirteiKisuiBeMutzar!W50</f>
        <v>0</v>
      </c>
      <c r="F48" s="1008">
        <f>PirteiKisuiBeMutzar!K50</f>
        <v>0</v>
      </c>
      <c r="G48" s="1008">
        <f>PirteiKisuiBeMutzar!M50</f>
        <v>0</v>
      </c>
      <c r="H48" s="1008">
        <f>PirteiKisuiBeMutzar!P50</f>
        <v>0</v>
      </c>
      <c r="I48" s="1008">
        <f>PirteiKisuiBeMutzar!X50</f>
        <v>0</v>
      </c>
      <c r="J48" s="1008">
        <f>PirteiKisuiBeMutzar!Y50</f>
        <v>0</v>
      </c>
      <c r="K48" s="1008">
        <f>PirteiKisuiBeMutzar!AL50</f>
        <v>0</v>
      </c>
      <c r="L48" s="1008">
        <f>PirteiKisuiBeMutzar!AO50</f>
        <v>0</v>
      </c>
      <c r="M48" s="1008">
        <f>PirteiKisuiBeMutzar!AP50</f>
        <v>0</v>
      </c>
    </row>
    <row r="49" spans="1:13">
      <c r="A49" s="178">
        <f>PirteiKisuiBeMutzar!D51</f>
        <v>0</v>
      </c>
      <c r="B49" s="178">
        <f>PirteiKisuiBeMutzar!AQ51</f>
        <v>0</v>
      </c>
      <c r="C49" s="178">
        <f>PirteiKisuiBeMutzar!AM51</f>
        <v>0</v>
      </c>
      <c r="D49" s="1008">
        <f>PirteiKisuiBeMutzar!G51</f>
        <v>0</v>
      </c>
      <c r="E49" s="1008">
        <f>PirteiKisuiBeMutzar!W51</f>
        <v>0</v>
      </c>
      <c r="F49" s="1008">
        <f>PirteiKisuiBeMutzar!K51</f>
        <v>0</v>
      </c>
      <c r="G49" s="1008">
        <f>PirteiKisuiBeMutzar!M51</f>
        <v>0</v>
      </c>
      <c r="H49" s="1008">
        <f>PirteiKisuiBeMutzar!P51</f>
        <v>0</v>
      </c>
      <c r="I49" s="1008">
        <f>PirteiKisuiBeMutzar!X51</f>
        <v>0</v>
      </c>
      <c r="J49" s="1008">
        <f>PirteiKisuiBeMutzar!Y51</f>
        <v>0</v>
      </c>
      <c r="K49" s="1008">
        <f>PirteiKisuiBeMutzar!AL51</f>
        <v>0</v>
      </c>
      <c r="L49" s="1008">
        <f>PirteiKisuiBeMutzar!AO51</f>
        <v>0</v>
      </c>
      <c r="M49" s="1008">
        <f>PirteiKisuiBeMutzar!AP51</f>
        <v>0</v>
      </c>
    </row>
    <row r="50" spans="1:13">
      <c r="A50" s="178">
        <f>PirteiKisuiBeMutzar!D52</f>
        <v>0</v>
      </c>
      <c r="B50" s="178">
        <f>PirteiKisuiBeMutzar!AQ52</f>
        <v>0</v>
      </c>
      <c r="C50" s="178">
        <f>PirteiKisuiBeMutzar!AM52</f>
        <v>0</v>
      </c>
      <c r="D50" s="1008">
        <f>PirteiKisuiBeMutzar!G52</f>
        <v>0</v>
      </c>
      <c r="E50" s="1008">
        <f>PirteiKisuiBeMutzar!W52</f>
        <v>0</v>
      </c>
      <c r="F50" s="1008">
        <f>PirteiKisuiBeMutzar!K52</f>
        <v>0</v>
      </c>
      <c r="G50" s="1008">
        <f>PirteiKisuiBeMutzar!M52</f>
        <v>0</v>
      </c>
      <c r="H50" s="1008">
        <f>PirteiKisuiBeMutzar!P52</f>
        <v>0</v>
      </c>
      <c r="I50" s="1008">
        <f>PirteiKisuiBeMutzar!X52</f>
        <v>0</v>
      </c>
      <c r="J50" s="1008">
        <f>PirteiKisuiBeMutzar!Y52</f>
        <v>0</v>
      </c>
      <c r="K50" s="1008">
        <f>PirteiKisuiBeMutzar!AL52</f>
        <v>0</v>
      </c>
      <c r="L50" s="1008">
        <f>PirteiKisuiBeMutzar!AO52</f>
        <v>0</v>
      </c>
      <c r="M50" s="1008">
        <f>PirteiKisuiBeMutzar!AP52</f>
        <v>0</v>
      </c>
    </row>
    <row r="51" spans="1:13">
      <c r="A51" s="178">
        <f>PirteiKisuiBeMutzar!D53</f>
        <v>0</v>
      </c>
      <c r="B51" s="178">
        <f>PirteiKisuiBeMutzar!AQ53</f>
        <v>0</v>
      </c>
      <c r="C51" s="178">
        <f>PirteiKisuiBeMutzar!AM53</f>
        <v>0</v>
      </c>
      <c r="D51" s="1008">
        <f>PirteiKisuiBeMutzar!G53</f>
        <v>0</v>
      </c>
      <c r="E51" s="1008">
        <f>PirteiKisuiBeMutzar!W53</f>
        <v>0</v>
      </c>
      <c r="F51" s="1008">
        <f>PirteiKisuiBeMutzar!K53</f>
        <v>0</v>
      </c>
      <c r="G51" s="1008">
        <f>PirteiKisuiBeMutzar!M53</f>
        <v>0</v>
      </c>
      <c r="H51" s="1008">
        <f>PirteiKisuiBeMutzar!P53</f>
        <v>0</v>
      </c>
      <c r="I51" s="1008">
        <f>PirteiKisuiBeMutzar!X53</f>
        <v>0</v>
      </c>
      <c r="J51" s="1008">
        <f>PirteiKisuiBeMutzar!Y53</f>
        <v>0</v>
      </c>
      <c r="K51" s="1008">
        <f>PirteiKisuiBeMutzar!AL53</f>
        <v>0</v>
      </c>
      <c r="L51" s="1008">
        <f>PirteiKisuiBeMutzar!AO53</f>
        <v>0</v>
      </c>
      <c r="M51" s="1008">
        <f>PirteiKisuiBeMutzar!AP53</f>
        <v>0</v>
      </c>
    </row>
    <row r="52" spans="1:13">
      <c r="A52" s="178">
        <f>PirteiKisuiBeMutzar!D54</f>
        <v>0</v>
      </c>
      <c r="B52" s="178">
        <f>PirteiKisuiBeMutzar!AQ54</f>
        <v>0</v>
      </c>
      <c r="C52" s="178">
        <f>PirteiKisuiBeMutzar!AM54</f>
        <v>0</v>
      </c>
      <c r="D52" s="1008">
        <f>PirteiKisuiBeMutzar!G54</f>
        <v>0</v>
      </c>
      <c r="E52" s="1008">
        <f>PirteiKisuiBeMutzar!W54</f>
        <v>0</v>
      </c>
      <c r="F52" s="1008">
        <f>PirteiKisuiBeMutzar!K54</f>
        <v>0</v>
      </c>
      <c r="G52" s="1008">
        <f>PirteiKisuiBeMutzar!M54</f>
        <v>0</v>
      </c>
      <c r="H52" s="1008">
        <f>PirteiKisuiBeMutzar!P54</f>
        <v>0</v>
      </c>
      <c r="I52" s="1008">
        <f>PirteiKisuiBeMutzar!X54</f>
        <v>0</v>
      </c>
      <c r="J52" s="1008">
        <f>PirteiKisuiBeMutzar!Y54</f>
        <v>0</v>
      </c>
      <c r="K52" s="1008">
        <f>PirteiKisuiBeMutzar!AL54</f>
        <v>0</v>
      </c>
      <c r="L52" s="1008">
        <f>PirteiKisuiBeMutzar!AO54</f>
        <v>0</v>
      </c>
      <c r="M52" s="1008">
        <f>PirteiKisuiBeMutzar!AP54</f>
        <v>0</v>
      </c>
    </row>
    <row r="53" spans="1:13">
      <c r="A53" s="178">
        <f>PirteiKisuiBeMutzar!D55</f>
        <v>0</v>
      </c>
      <c r="B53" s="178">
        <f>PirteiKisuiBeMutzar!AQ55</f>
        <v>0</v>
      </c>
      <c r="C53" s="178">
        <f>PirteiKisuiBeMutzar!AM55</f>
        <v>0</v>
      </c>
      <c r="D53" s="1008">
        <f>PirteiKisuiBeMutzar!G55</f>
        <v>0</v>
      </c>
      <c r="E53" s="1008">
        <f>PirteiKisuiBeMutzar!W55</f>
        <v>0</v>
      </c>
      <c r="F53" s="1008">
        <f>PirteiKisuiBeMutzar!K55</f>
        <v>0</v>
      </c>
      <c r="G53" s="1008">
        <f>PirteiKisuiBeMutzar!M55</f>
        <v>0</v>
      </c>
      <c r="H53" s="1008">
        <f>PirteiKisuiBeMutzar!P55</f>
        <v>0</v>
      </c>
      <c r="I53" s="1008">
        <f>PirteiKisuiBeMutzar!X55</f>
        <v>0</v>
      </c>
      <c r="J53" s="1008">
        <f>PirteiKisuiBeMutzar!Y55</f>
        <v>0</v>
      </c>
      <c r="K53" s="1008">
        <f>PirteiKisuiBeMutzar!AL55</f>
        <v>0</v>
      </c>
      <c r="L53" s="1008">
        <f>PirteiKisuiBeMutzar!AO55</f>
        <v>0</v>
      </c>
      <c r="M53" s="1008">
        <f>PirteiKisuiBeMutzar!AP55</f>
        <v>0</v>
      </c>
    </row>
    <row r="54" spans="1:13">
      <c r="A54" s="178">
        <f>PirteiKisuiBeMutzar!D56</f>
        <v>0</v>
      </c>
      <c r="B54" s="178">
        <f>PirteiKisuiBeMutzar!AQ56</f>
        <v>0</v>
      </c>
      <c r="C54" s="178">
        <f>PirteiKisuiBeMutzar!AM56</f>
        <v>0</v>
      </c>
      <c r="D54" s="1008">
        <f>PirteiKisuiBeMutzar!G56</f>
        <v>0</v>
      </c>
      <c r="E54" s="1008">
        <f>PirteiKisuiBeMutzar!W56</f>
        <v>0</v>
      </c>
      <c r="F54" s="1008">
        <f>PirteiKisuiBeMutzar!K56</f>
        <v>0</v>
      </c>
      <c r="G54" s="1008">
        <f>PirteiKisuiBeMutzar!M56</f>
        <v>0</v>
      </c>
      <c r="H54" s="1008">
        <f>PirteiKisuiBeMutzar!P56</f>
        <v>0</v>
      </c>
      <c r="I54" s="1008">
        <f>PirteiKisuiBeMutzar!X56</f>
        <v>0</v>
      </c>
      <c r="J54" s="1008">
        <f>PirteiKisuiBeMutzar!Y56</f>
        <v>0</v>
      </c>
      <c r="K54" s="1008">
        <f>PirteiKisuiBeMutzar!AL56</f>
        <v>0</v>
      </c>
      <c r="L54" s="1008">
        <f>PirteiKisuiBeMutzar!AO56</f>
        <v>0</v>
      </c>
      <c r="M54" s="1008">
        <f>PirteiKisuiBeMutzar!AP56</f>
        <v>0</v>
      </c>
    </row>
    <row r="55" spans="1:13">
      <c r="A55" s="178">
        <f>PirteiKisuiBeMutzar!D57</f>
        <v>0</v>
      </c>
      <c r="B55" s="178">
        <f>PirteiKisuiBeMutzar!AQ57</f>
        <v>0</v>
      </c>
      <c r="C55" s="178">
        <f>PirteiKisuiBeMutzar!AM57</f>
        <v>0</v>
      </c>
      <c r="D55" s="1008">
        <f>PirteiKisuiBeMutzar!G57</f>
        <v>0</v>
      </c>
      <c r="E55" s="1008">
        <f>PirteiKisuiBeMutzar!W57</f>
        <v>0</v>
      </c>
      <c r="F55" s="1008">
        <f>PirteiKisuiBeMutzar!K57</f>
        <v>0</v>
      </c>
      <c r="G55" s="1008">
        <f>PirteiKisuiBeMutzar!M57</f>
        <v>0</v>
      </c>
      <c r="H55" s="1008">
        <f>PirteiKisuiBeMutzar!P57</f>
        <v>0</v>
      </c>
      <c r="I55" s="1008">
        <f>PirteiKisuiBeMutzar!X57</f>
        <v>0</v>
      </c>
      <c r="J55" s="1008">
        <f>PirteiKisuiBeMutzar!Y57</f>
        <v>0</v>
      </c>
      <c r="K55" s="1008">
        <f>PirteiKisuiBeMutzar!AL57</f>
        <v>0</v>
      </c>
      <c r="L55" s="1008">
        <f>PirteiKisuiBeMutzar!AO57</f>
        <v>0</v>
      </c>
      <c r="M55" s="1008">
        <f>PirteiKisuiBeMutzar!AP57</f>
        <v>0</v>
      </c>
    </row>
    <row r="56" spans="1:13">
      <c r="A56" s="178">
        <f>PirteiKisuiBeMutzar!D58</f>
        <v>0</v>
      </c>
      <c r="B56" s="178">
        <f>PirteiKisuiBeMutzar!AQ58</f>
        <v>0</v>
      </c>
      <c r="C56" s="178">
        <f>PirteiKisuiBeMutzar!AM58</f>
        <v>0</v>
      </c>
      <c r="D56" s="1008">
        <f>PirteiKisuiBeMutzar!G58</f>
        <v>0</v>
      </c>
      <c r="E56" s="1008">
        <f>PirteiKisuiBeMutzar!W58</f>
        <v>0</v>
      </c>
      <c r="F56" s="1008">
        <f>PirteiKisuiBeMutzar!K58</f>
        <v>0</v>
      </c>
      <c r="G56" s="1008">
        <f>PirteiKisuiBeMutzar!M58</f>
        <v>0</v>
      </c>
      <c r="H56" s="1008">
        <f>PirteiKisuiBeMutzar!P58</f>
        <v>0</v>
      </c>
      <c r="I56" s="1008">
        <f>PirteiKisuiBeMutzar!X58</f>
        <v>0</v>
      </c>
      <c r="J56" s="1008">
        <f>PirteiKisuiBeMutzar!Y58</f>
        <v>0</v>
      </c>
      <c r="K56" s="1008">
        <f>PirteiKisuiBeMutzar!AL58</f>
        <v>0</v>
      </c>
      <c r="L56" s="1008">
        <f>PirteiKisuiBeMutzar!AO58</f>
        <v>0</v>
      </c>
      <c r="M56" s="1008">
        <f>PirteiKisuiBeMutzar!AP58</f>
        <v>0</v>
      </c>
    </row>
    <row r="57" spans="1:13">
      <c r="A57" s="178">
        <f>PirteiKisuiBeMutzar!D59</f>
        <v>0</v>
      </c>
      <c r="B57" s="178">
        <f>PirteiKisuiBeMutzar!AQ59</f>
        <v>0</v>
      </c>
      <c r="C57" s="178">
        <f>PirteiKisuiBeMutzar!AM59</f>
        <v>0</v>
      </c>
      <c r="D57" s="1008">
        <f>PirteiKisuiBeMutzar!G59</f>
        <v>0</v>
      </c>
      <c r="E57" s="1008">
        <f>PirteiKisuiBeMutzar!W59</f>
        <v>0</v>
      </c>
      <c r="F57" s="1008">
        <f>PirteiKisuiBeMutzar!K59</f>
        <v>0</v>
      </c>
      <c r="G57" s="1008">
        <f>PirteiKisuiBeMutzar!M59</f>
        <v>0</v>
      </c>
      <c r="H57" s="1008">
        <f>PirteiKisuiBeMutzar!P59</f>
        <v>0</v>
      </c>
      <c r="I57" s="1008">
        <f>PirteiKisuiBeMutzar!X59</f>
        <v>0</v>
      </c>
      <c r="J57" s="1008">
        <f>PirteiKisuiBeMutzar!Y59</f>
        <v>0</v>
      </c>
      <c r="K57" s="1008">
        <f>PirteiKisuiBeMutzar!AL59</f>
        <v>0</v>
      </c>
      <c r="L57" s="1008">
        <f>PirteiKisuiBeMutzar!AO59</f>
        <v>0</v>
      </c>
      <c r="M57" s="1008">
        <f>PirteiKisuiBeMutzar!AP59</f>
        <v>0</v>
      </c>
    </row>
    <row r="58" spans="1:13">
      <c r="A58" s="178">
        <f>PirteiKisuiBeMutzar!D60</f>
        <v>0</v>
      </c>
      <c r="B58" s="178">
        <f>PirteiKisuiBeMutzar!AQ60</f>
        <v>0</v>
      </c>
      <c r="C58" s="178">
        <f>PirteiKisuiBeMutzar!AM60</f>
        <v>0</v>
      </c>
      <c r="D58" s="1008">
        <f>PirteiKisuiBeMutzar!G60</f>
        <v>0</v>
      </c>
      <c r="E58" s="1008">
        <f>PirteiKisuiBeMutzar!W60</f>
        <v>0</v>
      </c>
      <c r="F58" s="1008">
        <f>PirteiKisuiBeMutzar!K60</f>
        <v>0</v>
      </c>
      <c r="G58" s="1008">
        <f>PirteiKisuiBeMutzar!M60</f>
        <v>0</v>
      </c>
      <c r="H58" s="1008">
        <f>PirteiKisuiBeMutzar!P60</f>
        <v>0</v>
      </c>
      <c r="I58" s="1008">
        <f>PirteiKisuiBeMutzar!X60</f>
        <v>0</v>
      </c>
      <c r="J58" s="1008">
        <f>PirteiKisuiBeMutzar!Y60</f>
        <v>0</v>
      </c>
      <c r="K58" s="1008">
        <f>PirteiKisuiBeMutzar!AL60</f>
        <v>0</v>
      </c>
      <c r="L58" s="1008">
        <f>PirteiKisuiBeMutzar!AO60</f>
        <v>0</v>
      </c>
      <c r="M58" s="1008">
        <f>PirteiKisuiBeMutzar!AP60</f>
        <v>0</v>
      </c>
    </row>
    <row r="59" spans="1:13">
      <c r="A59" s="178">
        <f>PirteiKisuiBeMutzar!D61</f>
        <v>0</v>
      </c>
      <c r="B59" s="178">
        <f>PirteiKisuiBeMutzar!AQ61</f>
        <v>0</v>
      </c>
      <c r="C59" s="178">
        <f>PirteiKisuiBeMutzar!AM61</f>
        <v>0</v>
      </c>
      <c r="D59" s="1008">
        <f>PirteiKisuiBeMutzar!G61</f>
        <v>0</v>
      </c>
      <c r="E59" s="1008">
        <f>PirteiKisuiBeMutzar!W61</f>
        <v>0</v>
      </c>
      <c r="F59" s="1008">
        <f>PirteiKisuiBeMutzar!K61</f>
        <v>0</v>
      </c>
      <c r="G59" s="1008">
        <f>PirteiKisuiBeMutzar!M61</f>
        <v>0</v>
      </c>
      <c r="H59" s="1008">
        <f>PirteiKisuiBeMutzar!P61</f>
        <v>0</v>
      </c>
      <c r="I59" s="1008">
        <f>PirteiKisuiBeMutzar!X61</f>
        <v>0</v>
      </c>
      <c r="J59" s="1008">
        <f>PirteiKisuiBeMutzar!Y61</f>
        <v>0</v>
      </c>
      <c r="K59" s="1008">
        <f>PirteiKisuiBeMutzar!AL61</f>
        <v>0</v>
      </c>
      <c r="L59" s="1008">
        <f>PirteiKisuiBeMutzar!AO61</f>
        <v>0</v>
      </c>
      <c r="M59" s="1008">
        <f>PirteiKisuiBeMutzar!AP61</f>
        <v>0</v>
      </c>
    </row>
    <row r="60" spans="1:13">
      <c r="A60" s="178">
        <f>PirteiKisuiBeMutzar!D62</f>
        <v>0</v>
      </c>
      <c r="B60" s="178">
        <f>PirteiKisuiBeMutzar!AQ62</f>
        <v>0</v>
      </c>
      <c r="C60" s="178">
        <f>PirteiKisuiBeMutzar!AM62</f>
        <v>0</v>
      </c>
      <c r="D60" s="1008">
        <f>PirteiKisuiBeMutzar!G62</f>
        <v>0</v>
      </c>
      <c r="E60" s="1008">
        <f>PirteiKisuiBeMutzar!W62</f>
        <v>0</v>
      </c>
      <c r="F60" s="1008">
        <f>PirteiKisuiBeMutzar!K62</f>
        <v>0</v>
      </c>
      <c r="G60" s="1008">
        <f>PirteiKisuiBeMutzar!M62</f>
        <v>0</v>
      </c>
      <c r="H60" s="1008">
        <f>PirteiKisuiBeMutzar!P62</f>
        <v>0</v>
      </c>
      <c r="I60" s="1008">
        <f>PirteiKisuiBeMutzar!X62</f>
        <v>0</v>
      </c>
      <c r="J60" s="1008">
        <f>PirteiKisuiBeMutzar!Y62</f>
        <v>0</v>
      </c>
      <c r="K60" s="1008">
        <f>PirteiKisuiBeMutzar!AL62</f>
        <v>0</v>
      </c>
      <c r="L60" s="1008">
        <f>PirteiKisuiBeMutzar!AO62</f>
        <v>0</v>
      </c>
      <c r="M60" s="1008">
        <f>PirteiKisuiBeMutzar!AP62</f>
        <v>0</v>
      </c>
    </row>
    <row r="61" spans="1:13">
      <c r="A61" s="178">
        <f>PirteiKisuiBeMutzar!D63</f>
        <v>0</v>
      </c>
      <c r="B61" s="178">
        <f>PirteiKisuiBeMutzar!AQ63</f>
        <v>0</v>
      </c>
      <c r="C61" s="178">
        <f>PirteiKisuiBeMutzar!AM63</f>
        <v>0</v>
      </c>
      <c r="D61" s="1008">
        <f>PirteiKisuiBeMutzar!G63</f>
        <v>0</v>
      </c>
      <c r="E61" s="1008">
        <f>PirteiKisuiBeMutzar!W63</f>
        <v>0</v>
      </c>
      <c r="F61" s="1008">
        <f>PirteiKisuiBeMutzar!K63</f>
        <v>0</v>
      </c>
      <c r="G61" s="1008">
        <f>PirteiKisuiBeMutzar!M63</f>
        <v>0</v>
      </c>
      <c r="H61" s="1008">
        <f>PirteiKisuiBeMutzar!P63</f>
        <v>0</v>
      </c>
      <c r="I61" s="1008">
        <f>PirteiKisuiBeMutzar!X63</f>
        <v>0</v>
      </c>
      <c r="J61" s="1008">
        <f>PirteiKisuiBeMutzar!Y63</f>
        <v>0</v>
      </c>
      <c r="K61" s="1008">
        <f>PirteiKisuiBeMutzar!AL63</f>
        <v>0</v>
      </c>
      <c r="L61" s="1008">
        <f>PirteiKisuiBeMutzar!AO63</f>
        <v>0</v>
      </c>
      <c r="M61" s="1008">
        <f>PirteiKisuiBeMutzar!AP63</f>
        <v>0</v>
      </c>
    </row>
    <row r="62" spans="1:13">
      <c r="A62" s="178">
        <f>PirteiKisuiBeMutzar!D64</f>
        <v>0</v>
      </c>
      <c r="B62" s="178">
        <f>PirteiKisuiBeMutzar!AQ64</f>
        <v>0</v>
      </c>
      <c r="C62" s="178">
        <f>PirteiKisuiBeMutzar!AM64</f>
        <v>0</v>
      </c>
      <c r="D62" s="1008">
        <f>PirteiKisuiBeMutzar!G64</f>
        <v>0</v>
      </c>
      <c r="E62" s="1008">
        <f>PirteiKisuiBeMutzar!W64</f>
        <v>0</v>
      </c>
      <c r="F62" s="1008">
        <f>PirteiKisuiBeMutzar!K64</f>
        <v>0</v>
      </c>
      <c r="G62" s="1008">
        <f>PirteiKisuiBeMutzar!M64</f>
        <v>0</v>
      </c>
      <c r="H62" s="1008">
        <f>PirteiKisuiBeMutzar!P64</f>
        <v>0</v>
      </c>
      <c r="I62" s="1008">
        <f>PirteiKisuiBeMutzar!X64</f>
        <v>0</v>
      </c>
      <c r="J62" s="1008">
        <f>PirteiKisuiBeMutzar!Y64</f>
        <v>0</v>
      </c>
      <c r="K62" s="1008">
        <f>PirteiKisuiBeMutzar!AL64</f>
        <v>0</v>
      </c>
      <c r="L62" s="1008">
        <f>PirteiKisuiBeMutzar!AO64</f>
        <v>0</v>
      </c>
      <c r="M62" s="1008">
        <f>PirteiKisuiBeMutzar!AP64</f>
        <v>0</v>
      </c>
    </row>
    <row r="63" spans="1:13">
      <c r="A63" s="178">
        <f>PirteiKisuiBeMutzar!D65</f>
        <v>0</v>
      </c>
      <c r="B63" s="178">
        <f>PirteiKisuiBeMutzar!AQ65</f>
        <v>0</v>
      </c>
      <c r="C63" s="178">
        <f>PirteiKisuiBeMutzar!AM65</f>
        <v>0</v>
      </c>
      <c r="D63" s="1008">
        <f>PirteiKisuiBeMutzar!G65</f>
        <v>0</v>
      </c>
      <c r="E63" s="1008">
        <f>PirteiKisuiBeMutzar!W65</f>
        <v>0</v>
      </c>
      <c r="F63" s="1008">
        <f>PirteiKisuiBeMutzar!K65</f>
        <v>0</v>
      </c>
      <c r="G63" s="1008">
        <f>PirteiKisuiBeMutzar!M65</f>
        <v>0</v>
      </c>
      <c r="H63" s="1008">
        <f>PirteiKisuiBeMutzar!P65</f>
        <v>0</v>
      </c>
      <c r="I63" s="1008">
        <f>PirteiKisuiBeMutzar!X65</f>
        <v>0</v>
      </c>
      <c r="J63" s="1008">
        <f>PirteiKisuiBeMutzar!Y65</f>
        <v>0</v>
      </c>
      <c r="K63" s="1008">
        <f>PirteiKisuiBeMutzar!AL65</f>
        <v>0</v>
      </c>
      <c r="L63" s="1008">
        <f>PirteiKisuiBeMutzar!AO65</f>
        <v>0</v>
      </c>
      <c r="M63" s="1008">
        <f>PirteiKisuiBeMutzar!AP65</f>
        <v>0</v>
      </c>
    </row>
    <row r="64" spans="1:13">
      <c r="A64" s="178">
        <f>PirteiKisuiBeMutzar!D66</f>
        <v>0</v>
      </c>
      <c r="B64" s="178">
        <f>PirteiKisuiBeMutzar!AQ66</f>
        <v>0</v>
      </c>
      <c r="C64" s="178">
        <f>PirteiKisuiBeMutzar!AM66</f>
        <v>0</v>
      </c>
      <c r="D64" s="1008">
        <f>PirteiKisuiBeMutzar!G66</f>
        <v>0</v>
      </c>
      <c r="E64" s="1008">
        <f>PirteiKisuiBeMutzar!W66</f>
        <v>0</v>
      </c>
      <c r="F64" s="1008">
        <f>PirteiKisuiBeMutzar!K66</f>
        <v>0</v>
      </c>
      <c r="G64" s="1008">
        <f>PirteiKisuiBeMutzar!M66</f>
        <v>0</v>
      </c>
      <c r="H64" s="1008">
        <f>PirteiKisuiBeMutzar!P66</f>
        <v>0</v>
      </c>
      <c r="I64" s="1008">
        <f>PirteiKisuiBeMutzar!X66</f>
        <v>0</v>
      </c>
      <c r="J64" s="1008">
        <f>PirteiKisuiBeMutzar!Y66</f>
        <v>0</v>
      </c>
      <c r="K64" s="1008">
        <f>PirteiKisuiBeMutzar!AL66</f>
        <v>0</v>
      </c>
      <c r="L64" s="1008">
        <f>PirteiKisuiBeMutzar!AO66</f>
        <v>0</v>
      </c>
      <c r="M64" s="1008">
        <f>PirteiKisuiBeMutzar!AP66</f>
        <v>0</v>
      </c>
    </row>
    <row r="65" spans="1:13">
      <c r="A65" s="178">
        <f>PirteiKisuiBeMutzar!D67</f>
        <v>0</v>
      </c>
      <c r="B65" s="178">
        <f>PirteiKisuiBeMutzar!AQ67</f>
        <v>0</v>
      </c>
      <c r="C65" s="178">
        <f>PirteiKisuiBeMutzar!AM67</f>
        <v>0</v>
      </c>
      <c r="D65" s="1008">
        <f>PirteiKisuiBeMutzar!G67</f>
        <v>0</v>
      </c>
      <c r="E65" s="1008">
        <f>PirteiKisuiBeMutzar!W67</f>
        <v>0</v>
      </c>
      <c r="F65" s="1008">
        <f>PirteiKisuiBeMutzar!K67</f>
        <v>0</v>
      </c>
      <c r="G65" s="1008">
        <f>PirteiKisuiBeMutzar!M67</f>
        <v>0</v>
      </c>
      <c r="H65" s="1008">
        <f>PirteiKisuiBeMutzar!P67</f>
        <v>0</v>
      </c>
      <c r="I65" s="1008">
        <f>PirteiKisuiBeMutzar!X67</f>
        <v>0</v>
      </c>
      <c r="J65" s="1008">
        <f>PirteiKisuiBeMutzar!Y67</f>
        <v>0</v>
      </c>
      <c r="K65" s="1008">
        <f>PirteiKisuiBeMutzar!AL67</f>
        <v>0</v>
      </c>
      <c r="L65" s="1008">
        <f>PirteiKisuiBeMutzar!AO67</f>
        <v>0</v>
      </c>
      <c r="M65" s="1008">
        <f>PirteiKisuiBeMutzar!AP67</f>
        <v>0</v>
      </c>
    </row>
    <row r="66" spans="1:13">
      <c r="A66" s="178">
        <f>PirteiKisuiBeMutzar!D68</f>
        <v>0</v>
      </c>
      <c r="B66" s="178">
        <f>PirteiKisuiBeMutzar!AQ68</f>
        <v>0</v>
      </c>
      <c r="C66" s="178">
        <f>PirteiKisuiBeMutzar!AM68</f>
        <v>0</v>
      </c>
      <c r="D66" s="1008">
        <f>PirteiKisuiBeMutzar!G68</f>
        <v>0</v>
      </c>
      <c r="E66" s="1008">
        <f>PirteiKisuiBeMutzar!W68</f>
        <v>0</v>
      </c>
      <c r="F66" s="1008">
        <f>PirteiKisuiBeMutzar!K68</f>
        <v>0</v>
      </c>
      <c r="G66" s="1008">
        <f>PirteiKisuiBeMutzar!M68</f>
        <v>0</v>
      </c>
      <c r="H66" s="1008">
        <f>PirteiKisuiBeMutzar!P68</f>
        <v>0</v>
      </c>
      <c r="I66" s="1008">
        <f>PirteiKisuiBeMutzar!X68</f>
        <v>0</v>
      </c>
      <c r="J66" s="1008">
        <f>PirteiKisuiBeMutzar!Y68</f>
        <v>0</v>
      </c>
      <c r="K66" s="1008">
        <f>PirteiKisuiBeMutzar!AL68</f>
        <v>0</v>
      </c>
      <c r="L66" s="1008">
        <f>PirteiKisuiBeMutzar!AO68</f>
        <v>0</v>
      </c>
      <c r="M66" s="1008">
        <f>PirteiKisuiBeMutzar!AP68</f>
        <v>0</v>
      </c>
    </row>
    <row r="67" spans="1:13">
      <c r="A67" s="178">
        <f>PirteiKisuiBeMutzar!D69</f>
        <v>0</v>
      </c>
      <c r="B67" s="178">
        <f>PirteiKisuiBeMutzar!AQ69</f>
        <v>0</v>
      </c>
      <c r="C67" s="178">
        <f>PirteiKisuiBeMutzar!AM69</f>
        <v>0</v>
      </c>
      <c r="D67" s="1008">
        <f>PirteiKisuiBeMutzar!G69</f>
        <v>0</v>
      </c>
      <c r="E67" s="1008">
        <f>PirteiKisuiBeMutzar!W69</f>
        <v>0</v>
      </c>
      <c r="F67" s="1008">
        <f>PirteiKisuiBeMutzar!K69</f>
        <v>0</v>
      </c>
      <c r="G67" s="1008">
        <f>PirteiKisuiBeMutzar!M69</f>
        <v>0</v>
      </c>
      <c r="H67" s="1008">
        <f>PirteiKisuiBeMutzar!P69</f>
        <v>0</v>
      </c>
      <c r="I67" s="1008">
        <f>PirteiKisuiBeMutzar!X69</f>
        <v>0</v>
      </c>
      <c r="J67" s="1008">
        <f>PirteiKisuiBeMutzar!Y69</f>
        <v>0</v>
      </c>
      <c r="K67" s="1008">
        <f>PirteiKisuiBeMutzar!AL69</f>
        <v>0</v>
      </c>
      <c r="L67" s="1008">
        <f>PirteiKisuiBeMutzar!AO69</f>
        <v>0</v>
      </c>
      <c r="M67" s="1008">
        <f>PirteiKisuiBeMutzar!AP69</f>
        <v>0</v>
      </c>
    </row>
    <row r="68" spans="1:13">
      <c r="A68" s="178">
        <f>PirteiKisuiBeMutzar!D70</f>
        <v>0</v>
      </c>
      <c r="B68" s="178">
        <f>PirteiKisuiBeMutzar!AQ70</f>
        <v>0</v>
      </c>
      <c r="C68" s="178">
        <f>PirteiKisuiBeMutzar!AM70</f>
        <v>0</v>
      </c>
      <c r="D68" s="1008">
        <f>PirteiKisuiBeMutzar!G70</f>
        <v>0</v>
      </c>
      <c r="E68" s="1008">
        <f>PirteiKisuiBeMutzar!W70</f>
        <v>0</v>
      </c>
      <c r="F68" s="1008">
        <f>PirteiKisuiBeMutzar!K70</f>
        <v>0</v>
      </c>
      <c r="G68" s="1008">
        <f>PirteiKisuiBeMutzar!M70</f>
        <v>0</v>
      </c>
      <c r="H68" s="1008">
        <f>PirteiKisuiBeMutzar!P70</f>
        <v>0</v>
      </c>
      <c r="I68" s="1008">
        <f>PirteiKisuiBeMutzar!X70</f>
        <v>0</v>
      </c>
      <c r="J68" s="1008">
        <f>PirteiKisuiBeMutzar!Y70</f>
        <v>0</v>
      </c>
      <c r="K68" s="1008">
        <f>PirteiKisuiBeMutzar!AL70</f>
        <v>0</v>
      </c>
      <c r="L68" s="1008">
        <f>PirteiKisuiBeMutzar!AO70</f>
        <v>0</v>
      </c>
      <c r="M68" s="1008">
        <f>PirteiKisuiBeMutzar!AP70</f>
        <v>0</v>
      </c>
    </row>
    <row r="69" spans="1:13">
      <c r="A69" s="178">
        <f>PirteiKisuiBeMutzar!D71</f>
        <v>0</v>
      </c>
      <c r="B69" s="178">
        <f>PirteiKisuiBeMutzar!AQ71</f>
        <v>0</v>
      </c>
      <c r="C69" s="178">
        <f>PirteiKisuiBeMutzar!AM71</f>
        <v>0</v>
      </c>
      <c r="D69" s="1008">
        <f>PirteiKisuiBeMutzar!G71</f>
        <v>0</v>
      </c>
      <c r="E69" s="1008">
        <f>PirteiKisuiBeMutzar!W71</f>
        <v>0</v>
      </c>
      <c r="F69" s="1008">
        <f>PirteiKisuiBeMutzar!K71</f>
        <v>0</v>
      </c>
      <c r="G69" s="1008">
        <f>PirteiKisuiBeMutzar!M71</f>
        <v>0</v>
      </c>
      <c r="H69" s="1008">
        <f>PirteiKisuiBeMutzar!P71</f>
        <v>0</v>
      </c>
      <c r="I69" s="1008">
        <f>PirteiKisuiBeMutzar!X71</f>
        <v>0</v>
      </c>
      <c r="J69" s="1008">
        <f>PirteiKisuiBeMutzar!Y71</f>
        <v>0</v>
      </c>
      <c r="K69" s="1008">
        <f>PirteiKisuiBeMutzar!AL71</f>
        <v>0</v>
      </c>
      <c r="L69" s="1008">
        <f>PirteiKisuiBeMutzar!AO71</f>
        <v>0</v>
      </c>
      <c r="M69" s="1008">
        <f>PirteiKisuiBeMutzar!AP71</f>
        <v>0</v>
      </c>
    </row>
    <row r="70" spans="1:13">
      <c r="A70" s="178">
        <f>PirteiKisuiBeMutzar!D72</f>
        <v>0</v>
      </c>
      <c r="B70" s="178">
        <f>PirteiKisuiBeMutzar!AQ72</f>
        <v>0</v>
      </c>
      <c r="C70" s="178">
        <f>PirteiKisuiBeMutzar!AM72</f>
        <v>0</v>
      </c>
      <c r="D70" s="1008">
        <f>PirteiKisuiBeMutzar!G72</f>
        <v>0</v>
      </c>
      <c r="E70" s="1008">
        <f>PirteiKisuiBeMutzar!W72</f>
        <v>0</v>
      </c>
      <c r="F70" s="1008">
        <f>PirteiKisuiBeMutzar!K72</f>
        <v>0</v>
      </c>
      <c r="G70" s="1008">
        <f>PirteiKisuiBeMutzar!M72</f>
        <v>0</v>
      </c>
      <c r="H70" s="1008">
        <f>PirteiKisuiBeMutzar!P72</f>
        <v>0</v>
      </c>
      <c r="I70" s="1008">
        <f>PirteiKisuiBeMutzar!X72</f>
        <v>0</v>
      </c>
      <c r="J70" s="1008">
        <f>PirteiKisuiBeMutzar!Y72</f>
        <v>0</v>
      </c>
      <c r="K70" s="1008">
        <f>PirteiKisuiBeMutzar!AL72</f>
        <v>0</v>
      </c>
      <c r="L70" s="1008">
        <f>PirteiKisuiBeMutzar!AO72</f>
        <v>0</v>
      </c>
      <c r="M70" s="1008">
        <f>PirteiKisuiBeMutzar!AP72</f>
        <v>0</v>
      </c>
    </row>
    <row r="71" spans="1:13">
      <c r="A71" s="178">
        <f>PirteiKisuiBeMutzar!D73</f>
        <v>0</v>
      </c>
      <c r="B71" s="178">
        <f>PirteiKisuiBeMutzar!AQ73</f>
        <v>0</v>
      </c>
      <c r="C71" s="178">
        <f>PirteiKisuiBeMutzar!AM73</f>
        <v>0</v>
      </c>
      <c r="D71" s="1008">
        <f>PirteiKisuiBeMutzar!G73</f>
        <v>0</v>
      </c>
      <c r="E71" s="1008">
        <f>PirteiKisuiBeMutzar!W73</f>
        <v>0</v>
      </c>
      <c r="F71" s="1008">
        <f>PirteiKisuiBeMutzar!K73</f>
        <v>0</v>
      </c>
      <c r="G71" s="1008">
        <f>PirteiKisuiBeMutzar!M73</f>
        <v>0</v>
      </c>
      <c r="H71" s="1008">
        <f>PirteiKisuiBeMutzar!P73</f>
        <v>0</v>
      </c>
      <c r="I71" s="1008">
        <f>PirteiKisuiBeMutzar!X73</f>
        <v>0</v>
      </c>
      <c r="J71" s="1008">
        <f>PirteiKisuiBeMutzar!Y73</f>
        <v>0</v>
      </c>
      <c r="K71" s="1008">
        <f>PirteiKisuiBeMutzar!AL73</f>
        <v>0</v>
      </c>
      <c r="L71" s="1008">
        <f>PirteiKisuiBeMutzar!AO73</f>
        <v>0</v>
      </c>
      <c r="M71" s="1008">
        <f>PirteiKisuiBeMutzar!AP73</f>
        <v>0</v>
      </c>
    </row>
    <row r="72" spans="1:13">
      <c r="A72" s="178">
        <f>PirteiKisuiBeMutzar!D74</f>
        <v>0</v>
      </c>
      <c r="B72" s="178">
        <f>PirteiKisuiBeMutzar!AQ74</f>
        <v>0</v>
      </c>
      <c r="C72" s="178">
        <f>PirteiKisuiBeMutzar!AM74</f>
        <v>0</v>
      </c>
      <c r="D72" s="1008">
        <f>PirteiKisuiBeMutzar!G74</f>
        <v>0</v>
      </c>
      <c r="E72" s="1008">
        <f>PirteiKisuiBeMutzar!W74</f>
        <v>0</v>
      </c>
      <c r="F72" s="1008">
        <f>PirteiKisuiBeMutzar!K74</f>
        <v>0</v>
      </c>
      <c r="G72" s="1008">
        <f>PirteiKisuiBeMutzar!M74</f>
        <v>0</v>
      </c>
      <c r="H72" s="1008">
        <f>PirteiKisuiBeMutzar!P74</f>
        <v>0</v>
      </c>
      <c r="I72" s="1008">
        <f>PirteiKisuiBeMutzar!X74</f>
        <v>0</v>
      </c>
      <c r="J72" s="1008">
        <f>PirteiKisuiBeMutzar!Y74</f>
        <v>0</v>
      </c>
      <c r="K72" s="1008">
        <f>PirteiKisuiBeMutzar!AL74</f>
        <v>0</v>
      </c>
      <c r="L72" s="1008">
        <f>PirteiKisuiBeMutzar!AO74</f>
        <v>0</v>
      </c>
      <c r="M72" s="1008">
        <f>PirteiKisuiBeMutzar!AP74</f>
        <v>0</v>
      </c>
    </row>
    <row r="73" spans="1:13">
      <c r="A73" s="178">
        <f>PirteiKisuiBeMutzar!D75</f>
        <v>0</v>
      </c>
      <c r="B73" s="178">
        <f>PirteiKisuiBeMutzar!AQ75</f>
        <v>0</v>
      </c>
      <c r="C73" s="178">
        <f>PirteiKisuiBeMutzar!AM75</f>
        <v>0</v>
      </c>
      <c r="D73" s="1008">
        <f>PirteiKisuiBeMutzar!G75</f>
        <v>0</v>
      </c>
      <c r="E73" s="1008">
        <f>PirteiKisuiBeMutzar!W75</f>
        <v>0</v>
      </c>
      <c r="F73" s="1008">
        <f>PirteiKisuiBeMutzar!K75</f>
        <v>0</v>
      </c>
      <c r="G73" s="1008">
        <f>PirteiKisuiBeMutzar!M75</f>
        <v>0</v>
      </c>
      <c r="H73" s="1008">
        <f>PirteiKisuiBeMutzar!P75</f>
        <v>0</v>
      </c>
      <c r="I73" s="1008">
        <f>PirteiKisuiBeMutzar!X75</f>
        <v>0</v>
      </c>
      <c r="J73" s="1008">
        <f>PirteiKisuiBeMutzar!Y75</f>
        <v>0</v>
      </c>
      <c r="K73" s="1008">
        <f>PirteiKisuiBeMutzar!AL75</f>
        <v>0</v>
      </c>
      <c r="L73" s="1008">
        <f>PirteiKisuiBeMutzar!AO75</f>
        <v>0</v>
      </c>
      <c r="M73" s="1008">
        <f>PirteiKisuiBeMutzar!AP75</f>
        <v>0</v>
      </c>
    </row>
    <row r="74" spans="1:13">
      <c r="A74" s="178">
        <f>PirteiKisuiBeMutzar!D76</f>
        <v>0</v>
      </c>
      <c r="B74" s="178">
        <f>PirteiKisuiBeMutzar!AQ76</f>
        <v>0</v>
      </c>
      <c r="C74" s="178">
        <f>PirteiKisuiBeMutzar!AM76</f>
        <v>0</v>
      </c>
      <c r="D74" s="1008">
        <f>PirteiKisuiBeMutzar!G76</f>
        <v>0</v>
      </c>
      <c r="E74" s="1008">
        <f>PirteiKisuiBeMutzar!W76</f>
        <v>0</v>
      </c>
      <c r="F74" s="1008">
        <f>PirteiKisuiBeMutzar!K76</f>
        <v>0</v>
      </c>
      <c r="G74" s="1008">
        <f>PirteiKisuiBeMutzar!M76</f>
        <v>0</v>
      </c>
      <c r="H74" s="1008">
        <f>PirteiKisuiBeMutzar!P76</f>
        <v>0</v>
      </c>
      <c r="I74" s="1008">
        <f>PirteiKisuiBeMutzar!X76</f>
        <v>0</v>
      </c>
      <c r="J74" s="1008">
        <f>PirteiKisuiBeMutzar!Y76</f>
        <v>0</v>
      </c>
      <c r="K74" s="1008">
        <f>PirteiKisuiBeMutzar!AL76</f>
        <v>0</v>
      </c>
      <c r="L74" s="1008">
        <f>PirteiKisuiBeMutzar!AO76</f>
        <v>0</v>
      </c>
      <c r="M74" s="1008">
        <f>PirteiKisuiBeMutzar!AP76</f>
        <v>0</v>
      </c>
    </row>
    <row r="75" spans="1:13">
      <c r="A75" s="178">
        <f>PirteiKisuiBeMutzar!D77</f>
        <v>0</v>
      </c>
      <c r="B75" s="178">
        <f>PirteiKisuiBeMutzar!AQ77</f>
        <v>0</v>
      </c>
      <c r="C75" s="178">
        <f>PirteiKisuiBeMutzar!AM77</f>
        <v>0</v>
      </c>
      <c r="D75" s="1008">
        <f>PirteiKisuiBeMutzar!G77</f>
        <v>0</v>
      </c>
      <c r="E75" s="1008">
        <f>PirteiKisuiBeMutzar!W77</f>
        <v>0</v>
      </c>
      <c r="F75" s="1008">
        <f>PirteiKisuiBeMutzar!K77</f>
        <v>0</v>
      </c>
      <c r="G75" s="1008">
        <f>PirteiKisuiBeMutzar!M77</f>
        <v>0</v>
      </c>
      <c r="H75" s="1008">
        <f>PirteiKisuiBeMutzar!P77</f>
        <v>0</v>
      </c>
      <c r="I75" s="1008">
        <f>PirteiKisuiBeMutzar!X77</f>
        <v>0</v>
      </c>
      <c r="J75" s="1008">
        <f>PirteiKisuiBeMutzar!Y77</f>
        <v>0</v>
      </c>
      <c r="K75" s="1008">
        <f>PirteiKisuiBeMutzar!AL77</f>
        <v>0</v>
      </c>
      <c r="L75" s="1008">
        <f>PirteiKisuiBeMutzar!AO77</f>
        <v>0</v>
      </c>
      <c r="M75" s="1008">
        <f>PirteiKisuiBeMutzar!AP77</f>
        <v>0</v>
      </c>
    </row>
    <row r="76" spans="1:13">
      <c r="A76" s="178">
        <f>PirteiKisuiBeMutzar!D78</f>
        <v>0</v>
      </c>
      <c r="B76" s="178">
        <f>PirteiKisuiBeMutzar!AQ78</f>
        <v>0</v>
      </c>
      <c r="C76" s="178">
        <f>PirteiKisuiBeMutzar!AM78</f>
        <v>0</v>
      </c>
      <c r="D76" s="1008">
        <f>PirteiKisuiBeMutzar!G78</f>
        <v>0</v>
      </c>
      <c r="E76" s="1008">
        <f>PirteiKisuiBeMutzar!W78</f>
        <v>0</v>
      </c>
      <c r="F76" s="1008">
        <f>PirteiKisuiBeMutzar!K78</f>
        <v>0</v>
      </c>
      <c r="G76" s="1008">
        <f>PirteiKisuiBeMutzar!M78</f>
        <v>0</v>
      </c>
      <c r="H76" s="1008">
        <f>PirteiKisuiBeMutzar!P78</f>
        <v>0</v>
      </c>
      <c r="I76" s="1008">
        <f>PirteiKisuiBeMutzar!X78</f>
        <v>0</v>
      </c>
      <c r="J76" s="1008">
        <f>PirteiKisuiBeMutzar!Y78</f>
        <v>0</v>
      </c>
      <c r="K76" s="1008">
        <f>PirteiKisuiBeMutzar!AL78</f>
        <v>0</v>
      </c>
      <c r="L76" s="1008">
        <f>PirteiKisuiBeMutzar!AO78</f>
        <v>0</v>
      </c>
      <c r="M76" s="1008">
        <f>PirteiKisuiBeMutzar!AP78</f>
        <v>0</v>
      </c>
    </row>
    <row r="77" spans="1:13">
      <c r="A77" s="178">
        <f>PirteiKisuiBeMutzar!D79</f>
        <v>0</v>
      </c>
      <c r="B77" s="178">
        <f>PirteiKisuiBeMutzar!AQ79</f>
        <v>0</v>
      </c>
      <c r="C77" s="178">
        <f>PirteiKisuiBeMutzar!AM79</f>
        <v>0</v>
      </c>
      <c r="D77" s="1008">
        <f>PirteiKisuiBeMutzar!G79</f>
        <v>0</v>
      </c>
      <c r="E77" s="1008">
        <f>PirteiKisuiBeMutzar!W79</f>
        <v>0</v>
      </c>
      <c r="F77" s="1008">
        <f>PirteiKisuiBeMutzar!K79</f>
        <v>0</v>
      </c>
      <c r="G77" s="1008">
        <f>PirteiKisuiBeMutzar!M79</f>
        <v>0</v>
      </c>
      <c r="H77" s="1008">
        <f>PirteiKisuiBeMutzar!P79</f>
        <v>0</v>
      </c>
      <c r="I77" s="1008">
        <f>PirteiKisuiBeMutzar!X79</f>
        <v>0</v>
      </c>
      <c r="J77" s="1008">
        <f>PirteiKisuiBeMutzar!Y79</f>
        <v>0</v>
      </c>
      <c r="K77" s="1008">
        <f>PirteiKisuiBeMutzar!AL79</f>
        <v>0</v>
      </c>
      <c r="L77" s="1008">
        <f>PirteiKisuiBeMutzar!AO79</f>
        <v>0</v>
      </c>
      <c r="M77" s="1008">
        <f>PirteiKisuiBeMutzar!AP79</f>
        <v>0</v>
      </c>
    </row>
    <row r="78" spans="1:13">
      <c r="A78" s="178">
        <f>PirteiKisuiBeMutzar!D80</f>
        <v>0</v>
      </c>
      <c r="B78" s="178">
        <f>PirteiKisuiBeMutzar!AQ80</f>
        <v>0</v>
      </c>
      <c r="C78" s="178">
        <f>PirteiKisuiBeMutzar!AM80</f>
        <v>0</v>
      </c>
      <c r="D78" s="1008">
        <f>PirteiKisuiBeMutzar!G80</f>
        <v>0</v>
      </c>
      <c r="E78" s="1008">
        <f>PirteiKisuiBeMutzar!W80</f>
        <v>0</v>
      </c>
      <c r="F78" s="1008">
        <f>PirteiKisuiBeMutzar!K80</f>
        <v>0</v>
      </c>
      <c r="G78" s="1008">
        <f>PirteiKisuiBeMutzar!M80</f>
        <v>0</v>
      </c>
      <c r="H78" s="1008">
        <f>PirteiKisuiBeMutzar!P80</f>
        <v>0</v>
      </c>
      <c r="I78" s="1008">
        <f>PirteiKisuiBeMutzar!X80</f>
        <v>0</v>
      </c>
      <c r="J78" s="1008">
        <f>PirteiKisuiBeMutzar!Y80</f>
        <v>0</v>
      </c>
      <c r="K78" s="1008">
        <f>PirteiKisuiBeMutzar!AL80</f>
        <v>0</v>
      </c>
      <c r="L78" s="1008">
        <f>PirteiKisuiBeMutzar!AO80</f>
        <v>0</v>
      </c>
      <c r="M78" s="1008">
        <f>PirteiKisuiBeMutzar!AP80</f>
        <v>0</v>
      </c>
    </row>
    <row r="79" spans="1:13">
      <c r="A79" s="178">
        <f>PirteiKisuiBeMutzar!D81</f>
        <v>0</v>
      </c>
      <c r="B79" s="178">
        <f>PirteiKisuiBeMutzar!AQ81</f>
        <v>0</v>
      </c>
      <c r="C79" s="178">
        <f>PirteiKisuiBeMutzar!AM81</f>
        <v>0</v>
      </c>
      <c r="D79" s="1008">
        <f>PirteiKisuiBeMutzar!G81</f>
        <v>0</v>
      </c>
      <c r="E79" s="1008">
        <f>PirteiKisuiBeMutzar!W81</f>
        <v>0</v>
      </c>
      <c r="F79" s="1008">
        <f>PirteiKisuiBeMutzar!K81</f>
        <v>0</v>
      </c>
      <c r="G79" s="1008">
        <f>PirteiKisuiBeMutzar!M81</f>
        <v>0</v>
      </c>
      <c r="H79" s="1008">
        <f>PirteiKisuiBeMutzar!P81</f>
        <v>0</v>
      </c>
      <c r="I79" s="1008">
        <f>PirteiKisuiBeMutzar!X81</f>
        <v>0</v>
      </c>
      <c r="J79" s="1008">
        <f>PirteiKisuiBeMutzar!Y81</f>
        <v>0</v>
      </c>
      <c r="K79" s="1008">
        <f>PirteiKisuiBeMutzar!AL81</f>
        <v>0</v>
      </c>
      <c r="L79" s="1008">
        <f>PirteiKisuiBeMutzar!AO81</f>
        <v>0</v>
      </c>
      <c r="M79" s="1008">
        <f>PirteiKisuiBeMutzar!AP81</f>
        <v>0</v>
      </c>
    </row>
    <row r="80" spans="1:13">
      <c r="A80" s="178">
        <f>PirteiKisuiBeMutzar!D82</f>
        <v>0</v>
      </c>
      <c r="B80" s="178">
        <f>PirteiKisuiBeMutzar!AQ82</f>
        <v>0</v>
      </c>
      <c r="C80" s="178">
        <f>PirteiKisuiBeMutzar!AM82</f>
        <v>0</v>
      </c>
      <c r="D80" s="1008">
        <f>PirteiKisuiBeMutzar!G82</f>
        <v>0</v>
      </c>
      <c r="E80" s="1008">
        <f>PirteiKisuiBeMutzar!W82</f>
        <v>0</v>
      </c>
      <c r="F80" s="1008">
        <f>PirteiKisuiBeMutzar!K82</f>
        <v>0</v>
      </c>
      <c r="G80" s="1008">
        <f>PirteiKisuiBeMutzar!M82</f>
        <v>0</v>
      </c>
      <c r="H80" s="1008">
        <f>PirteiKisuiBeMutzar!P82</f>
        <v>0</v>
      </c>
      <c r="I80" s="1008">
        <f>PirteiKisuiBeMutzar!X82</f>
        <v>0</v>
      </c>
      <c r="J80" s="1008">
        <f>PirteiKisuiBeMutzar!Y82</f>
        <v>0</v>
      </c>
      <c r="K80" s="1008">
        <f>PirteiKisuiBeMutzar!AL82</f>
        <v>0</v>
      </c>
      <c r="L80" s="1008">
        <f>PirteiKisuiBeMutzar!AO82</f>
        <v>0</v>
      </c>
      <c r="M80" s="1008">
        <f>PirteiKisuiBeMutzar!AP82</f>
        <v>0</v>
      </c>
    </row>
    <row r="81" spans="1:13">
      <c r="A81" s="178">
        <f>PirteiKisuiBeMutzar!D83</f>
        <v>0</v>
      </c>
      <c r="B81" s="178">
        <f>PirteiKisuiBeMutzar!AQ83</f>
        <v>0</v>
      </c>
      <c r="C81" s="178">
        <f>PirteiKisuiBeMutzar!AM83</f>
        <v>0</v>
      </c>
      <c r="D81" s="1008">
        <f>PirteiKisuiBeMutzar!G83</f>
        <v>0</v>
      </c>
      <c r="E81" s="1008">
        <f>PirteiKisuiBeMutzar!W83</f>
        <v>0</v>
      </c>
      <c r="F81" s="1008">
        <f>PirteiKisuiBeMutzar!K83</f>
        <v>0</v>
      </c>
      <c r="G81" s="1008">
        <f>PirteiKisuiBeMutzar!M83</f>
        <v>0</v>
      </c>
      <c r="H81" s="1008">
        <f>PirteiKisuiBeMutzar!P83</f>
        <v>0</v>
      </c>
      <c r="I81" s="1008">
        <f>PirteiKisuiBeMutzar!X83</f>
        <v>0</v>
      </c>
      <c r="J81" s="1008">
        <f>PirteiKisuiBeMutzar!Y83</f>
        <v>0</v>
      </c>
      <c r="K81" s="1008">
        <f>PirteiKisuiBeMutzar!AL83</f>
        <v>0</v>
      </c>
      <c r="L81" s="1008">
        <f>PirteiKisuiBeMutzar!AO83</f>
        <v>0</v>
      </c>
      <c r="M81" s="1008">
        <f>PirteiKisuiBeMutzar!AP83</f>
        <v>0</v>
      </c>
    </row>
    <row r="82" spans="1:13">
      <c r="A82" s="178">
        <f>PirteiKisuiBeMutzar!D84</f>
        <v>0</v>
      </c>
      <c r="B82" s="178">
        <f>PirteiKisuiBeMutzar!AQ84</f>
        <v>0</v>
      </c>
      <c r="C82" s="178">
        <f>PirteiKisuiBeMutzar!AM84</f>
        <v>0</v>
      </c>
      <c r="D82" s="1008">
        <f>PirteiKisuiBeMutzar!G84</f>
        <v>0</v>
      </c>
      <c r="E82" s="1008">
        <f>PirteiKisuiBeMutzar!W84</f>
        <v>0</v>
      </c>
      <c r="F82" s="1008">
        <f>PirteiKisuiBeMutzar!K84</f>
        <v>0</v>
      </c>
      <c r="G82" s="1008">
        <f>PirteiKisuiBeMutzar!M84</f>
        <v>0</v>
      </c>
      <c r="H82" s="1008">
        <f>PirteiKisuiBeMutzar!P84</f>
        <v>0</v>
      </c>
      <c r="I82" s="1008">
        <f>PirteiKisuiBeMutzar!X84</f>
        <v>0</v>
      </c>
      <c r="J82" s="1008">
        <f>PirteiKisuiBeMutzar!Y84</f>
        <v>0</v>
      </c>
      <c r="K82" s="1008">
        <f>PirteiKisuiBeMutzar!AL84</f>
        <v>0</v>
      </c>
      <c r="L82" s="1008">
        <f>PirteiKisuiBeMutzar!AO84</f>
        <v>0</v>
      </c>
      <c r="M82" s="1008">
        <f>PirteiKisuiBeMutzar!AP84</f>
        <v>0</v>
      </c>
    </row>
    <row r="83" spans="1:13">
      <c r="A83" s="178">
        <f>PirteiKisuiBeMutzar!D85</f>
        <v>0</v>
      </c>
      <c r="B83" s="178">
        <f>PirteiKisuiBeMutzar!AQ85</f>
        <v>0</v>
      </c>
      <c r="C83" s="178">
        <f>PirteiKisuiBeMutzar!AM85</f>
        <v>0</v>
      </c>
      <c r="D83" s="1008">
        <f>PirteiKisuiBeMutzar!G85</f>
        <v>0</v>
      </c>
      <c r="E83" s="1008">
        <f>PirteiKisuiBeMutzar!W85</f>
        <v>0</v>
      </c>
      <c r="F83" s="1008">
        <f>PirteiKisuiBeMutzar!K85</f>
        <v>0</v>
      </c>
      <c r="G83" s="1008">
        <f>PirteiKisuiBeMutzar!M85</f>
        <v>0</v>
      </c>
      <c r="H83" s="1008">
        <f>PirteiKisuiBeMutzar!P85</f>
        <v>0</v>
      </c>
      <c r="I83" s="1008">
        <f>PirteiKisuiBeMutzar!X85</f>
        <v>0</v>
      </c>
      <c r="J83" s="1008">
        <f>PirteiKisuiBeMutzar!Y85</f>
        <v>0</v>
      </c>
      <c r="K83" s="1008">
        <f>PirteiKisuiBeMutzar!AL85</f>
        <v>0</v>
      </c>
      <c r="L83" s="1008">
        <f>PirteiKisuiBeMutzar!AO85</f>
        <v>0</v>
      </c>
      <c r="M83" s="1008">
        <f>PirteiKisuiBeMutzar!AP85</f>
        <v>0</v>
      </c>
    </row>
    <row r="84" spans="1:13">
      <c r="A84" s="178">
        <f>PirteiKisuiBeMutzar!D86</f>
        <v>0</v>
      </c>
      <c r="B84" s="178">
        <f>PirteiKisuiBeMutzar!AQ86</f>
        <v>0</v>
      </c>
      <c r="C84" s="178">
        <f>PirteiKisuiBeMutzar!AM86</f>
        <v>0</v>
      </c>
      <c r="D84" s="1008">
        <f>PirteiKisuiBeMutzar!G86</f>
        <v>0</v>
      </c>
      <c r="E84" s="1008">
        <f>PirteiKisuiBeMutzar!W86</f>
        <v>0</v>
      </c>
      <c r="F84" s="1008">
        <f>PirteiKisuiBeMutzar!K86</f>
        <v>0</v>
      </c>
      <c r="G84" s="1008">
        <f>PirteiKisuiBeMutzar!M86</f>
        <v>0</v>
      </c>
      <c r="H84" s="1008">
        <f>PirteiKisuiBeMutzar!P86</f>
        <v>0</v>
      </c>
      <c r="I84" s="1008">
        <f>PirteiKisuiBeMutzar!X86</f>
        <v>0</v>
      </c>
      <c r="J84" s="1008">
        <f>PirteiKisuiBeMutzar!Y86</f>
        <v>0</v>
      </c>
      <c r="K84" s="1008">
        <f>PirteiKisuiBeMutzar!AL86</f>
        <v>0</v>
      </c>
      <c r="L84" s="1008">
        <f>PirteiKisuiBeMutzar!AO86</f>
        <v>0</v>
      </c>
      <c r="M84" s="1008">
        <f>PirteiKisuiBeMutzar!AP86</f>
        <v>0</v>
      </c>
    </row>
    <row r="85" spans="1:13">
      <c r="A85" s="178">
        <f>PirteiKisuiBeMutzar!D87</f>
        <v>0</v>
      </c>
      <c r="B85" s="178">
        <f>PirteiKisuiBeMutzar!AQ87</f>
        <v>0</v>
      </c>
      <c r="C85" s="178">
        <f>PirteiKisuiBeMutzar!AM87</f>
        <v>0</v>
      </c>
      <c r="D85" s="1008">
        <f>PirteiKisuiBeMutzar!G87</f>
        <v>0</v>
      </c>
      <c r="E85" s="1008">
        <f>PirteiKisuiBeMutzar!W87</f>
        <v>0</v>
      </c>
      <c r="F85" s="1008">
        <f>PirteiKisuiBeMutzar!K87</f>
        <v>0</v>
      </c>
      <c r="G85" s="1008">
        <f>PirteiKisuiBeMutzar!M87</f>
        <v>0</v>
      </c>
      <c r="H85" s="1008">
        <f>PirteiKisuiBeMutzar!P87</f>
        <v>0</v>
      </c>
      <c r="I85" s="1008">
        <f>PirteiKisuiBeMutzar!X87</f>
        <v>0</v>
      </c>
      <c r="J85" s="1008">
        <f>PirteiKisuiBeMutzar!Y87</f>
        <v>0</v>
      </c>
      <c r="K85" s="1008">
        <f>PirteiKisuiBeMutzar!AL87</f>
        <v>0</v>
      </c>
      <c r="L85" s="1008">
        <f>PirteiKisuiBeMutzar!AO87</f>
        <v>0</v>
      </c>
      <c r="M85" s="1008">
        <f>PirteiKisuiBeMutzar!AP87</f>
        <v>0</v>
      </c>
    </row>
    <row r="86" spans="1:13">
      <c r="A86" s="178">
        <f>PirteiKisuiBeMutzar!D88</f>
        <v>0</v>
      </c>
      <c r="B86" s="178">
        <f>PirteiKisuiBeMutzar!AQ88</f>
        <v>0</v>
      </c>
      <c r="C86" s="178">
        <f>PirteiKisuiBeMutzar!AM88</f>
        <v>0</v>
      </c>
      <c r="D86" s="1008">
        <f>PirteiKisuiBeMutzar!G88</f>
        <v>0</v>
      </c>
      <c r="E86" s="1008">
        <f>PirteiKisuiBeMutzar!W88</f>
        <v>0</v>
      </c>
      <c r="F86" s="1008">
        <f>PirteiKisuiBeMutzar!K88</f>
        <v>0</v>
      </c>
      <c r="G86" s="1008">
        <f>PirteiKisuiBeMutzar!M88</f>
        <v>0</v>
      </c>
      <c r="H86" s="1008">
        <f>PirteiKisuiBeMutzar!P88</f>
        <v>0</v>
      </c>
      <c r="I86" s="1008">
        <f>PirteiKisuiBeMutzar!X88</f>
        <v>0</v>
      </c>
      <c r="J86" s="1008">
        <f>PirteiKisuiBeMutzar!Y88</f>
        <v>0</v>
      </c>
      <c r="K86" s="1008">
        <f>PirteiKisuiBeMutzar!AL88</f>
        <v>0</v>
      </c>
      <c r="L86" s="1008">
        <f>PirteiKisuiBeMutzar!AO88</f>
        <v>0</v>
      </c>
      <c r="M86" s="1008">
        <f>PirteiKisuiBeMutzar!AP88</f>
        <v>0</v>
      </c>
    </row>
    <row r="87" spans="1:13">
      <c r="A87" s="178">
        <f>PirteiKisuiBeMutzar!D89</f>
        <v>0</v>
      </c>
      <c r="B87" s="178">
        <f>PirteiKisuiBeMutzar!AQ89</f>
        <v>0</v>
      </c>
      <c r="C87" s="178">
        <f>PirteiKisuiBeMutzar!AM89</f>
        <v>0</v>
      </c>
      <c r="D87" s="1008">
        <f>PirteiKisuiBeMutzar!G89</f>
        <v>0</v>
      </c>
      <c r="E87" s="1008">
        <f>PirteiKisuiBeMutzar!W89</f>
        <v>0</v>
      </c>
      <c r="F87" s="1008">
        <f>PirteiKisuiBeMutzar!K89</f>
        <v>0</v>
      </c>
      <c r="G87" s="1008">
        <f>PirteiKisuiBeMutzar!M89</f>
        <v>0</v>
      </c>
      <c r="H87" s="1008">
        <f>PirteiKisuiBeMutzar!P89</f>
        <v>0</v>
      </c>
      <c r="I87" s="1008">
        <f>PirteiKisuiBeMutzar!X89</f>
        <v>0</v>
      </c>
      <c r="J87" s="1008">
        <f>PirteiKisuiBeMutzar!Y89</f>
        <v>0</v>
      </c>
      <c r="K87" s="1008">
        <f>PirteiKisuiBeMutzar!AL89</f>
        <v>0</v>
      </c>
      <c r="L87" s="1008">
        <f>PirteiKisuiBeMutzar!AO89</f>
        <v>0</v>
      </c>
      <c r="M87" s="1008">
        <f>PirteiKisuiBeMutzar!AP89</f>
        <v>0</v>
      </c>
    </row>
    <row r="88" spans="1:13">
      <c r="A88" s="178">
        <f>PirteiKisuiBeMutzar!D90</f>
        <v>0</v>
      </c>
      <c r="B88" s="178">
        <f>PirteiKisuiBeMutzar!AQ90</f>
        <v>0</v>
      </c>
      <c r="C88" s="178">
        <f>PirteiKisuiBeMutzar!AM90</f>
        <v>0</v>
      </c>
      <c r="D88" s="1008">
        <f>PirteiKisuiBeMutzar!G90</f>
        <v>0</v>
      </c>
      <c r="E88" s="1008">
        <f>PirteiKisuiBeMutzar!W90</f>
        <v>0</v>
      </c>
      <c r="F88" s="1008">
        <f>PirteiKisuiBeMutzar!K90</f>
        <v>0</v>
      </c>
      <c r="G88" s="1008">
        <f>PirteiKisuiBeMutzar!M90</f>
        <v>0</v>
      </c>
      <c r="H88" s="1008">
        <f>PirteiKisuiBeMutzar!P90</f>
        <v>0</v>
      </c>
      <c r="I88" s="1008">
        <f>PirteiKisuiBeMutzar!X90</f>
        <v>0</v>
      </c>
      <c r="J88" s="1008">
        <f>PirteiKisuiBeMutzar!Y90</f>
        <v>0</v>
      </c>
      <c r="K88" s="1008">
        <f>PirteiKisuiBeMutzar!AL90</f>
        <v>0</v>
      </c>
      <c r="L88" s="1008">
        <f>PirteiKisuiBeMutzar!AO90</f>
        <v>0</v>
      </c>
      <c r="M88" s="1008">
        <f>PirteiKisuiBeMutzar!AP90</f>
        <v>0</v>
      </c>
    </row>
    <row r="89" spans="1:13">
      <c r="A89" s="178">
        <f>PirteiKisuiBeMutzar!D91</f>
        <v>0</v>
      </c>
      <c r="B89" s="178">
        <f>PirteiKisuiBeMutzar!AQ91</f>
        <v>0</v>
      </c>
      <c r="C89" s="178">
        <f>PirteiKisuiBeMutzar!AM91</f>
        <v>0</v>
      </c>
      <c r="D89" s="1008">
        <f>PirteiKisuiBeMutzar!G91</f>
        <v>0</v>
      </c>
      <c r="E89" s="1008">
        <f>PirteiKisuiBeMutzar!W91</f>
        <v>0</v>
      </c>
      <c r="F89" s="1008">
        <f>PirteiKisuiBeMutzar!K91</f>
        <v>0</v>
      </c>
      <c r="G89" s="1008">
        <f>PirteiKisuiBeMutzar!M91</f>
        <v>0</v>
      </c>
      <c r="H89" s="1008">
        <f>PirteiKisuiBeMutzar!P91</f>
        <v>0</v>
      </c>
      <c r="I89" s="1008">
        <f>PirteiKisuiBeMutzar!X91</f>
        <v>0</v>
      </c>
      <c r="J89" s="1008">
        <f>PirteiKisuiBeMutzar!Y91</f>
        <v>0</v>
      </c>
      <c r="K89" s="1008">
        <f>PirteiKisuiBeMutzar!AL91</f>
        <v>0</v>
      </c>
      <c r="L89" s="1008">
        <f>PirteiKisuiBeMutzar!AO91</f>
        <v>0</v>
      </c>
      <c r="M89" s="1008">
        <f>PirteiKisuiBeMutzar!AP91</f>
        <v>0</v>
      </c>
    </row>
    <row r="90" spans="1:13">
      <c r="A90" s="178">
        <f>PirteiKisuiBeMutzar!D92</f>
        <v>0</v>
      </c>
      <c r="B90" s="178">
        <f>PirteiKisuiBeMutzar!AQ92</f>
        <v>0</v>
      </c>
      <c r="C90" s="178">
        <f>PirteiKisuiBeMutzar!AM92</f>
        <v>0</v>
      </c>
      <c r="D90" s="1008">
        <f>PirteiKisuiBeMutzar!G92</f>
        <v>0</v>
      </c>
      <c r="E90" s="1008">
        <f>PirteiKisuiBeMutzar!W92</f>
        <v>0</v>
      </c>
      <c r="F90" s="1008">
        <f>PirteiKisuiBeMutzar!K92</f>
        <v>0</v>
      </c>
      <c r="G90" s="1008">
        <f>PirteiKisuiBeMutzar!M92</f>
        <v>0</v>
      </c>
      <c r="H90" s="1008">
        <f>PirteiKisuiBeMutzar!P92</f>
        <v>0</v>
      </c>
      <c r="I90" s="1008">
        <f>PirteiKisuiBeMutzar!X92</f>
        <v>0</v>
      </c>
      <c r="J90" s="1008">
        <f>PirteiKisuiBeMutzar!Y92</f>
        <v>0</v>
      </c>
      <c r="K90" s="1008">
        <f>PirteiKisuiBeMutzar!AL92</f>
        <v>0</v>
      </c>
      <c r="L90" s="1008">
        <f>PirteiKisuiBeMutzar!AO92</f>
        <v>0</v>
      </c>
      <c r="M90" s="1008">
        <f>PirteiKisuiBeMutzar!AP92</f>
        <v>0</v>
      </c>
    </row>
    <row r="91" spans="1:13">
      <c r="A91" s="178">
        <f>PirteiKisuiBeMutzar!D93</f>
        <v>0</v>
      </c>
      <c r="B91" s="178">
        <f>PirteiKisuiBeMutzar!AQ93</f>
        <v>0</v>
      </c>
      <c r="C91" s="178">
        <f>PirteiKisuiBeMutzar!AM93</f>
        <v>0</v>
      </c>
      <c r="D91" s="1008">
        <f>PirteiKisuiBeMutzar!G93</f>
        <v>0</v>
      </c>
      <c r="E91" s="1008">
        <f>PirteiKisuiBeMutzar!W93</f>
        <v>0</v>
      </c>
      <c r="F91" s="1008">
        <f>PirteiKisuiBeMutzar!K93</f>
        <v>0</v>
      </c>
      <c r="G91" s="1008">
        <f>PirteiKisuiBeMutzar!M93</f>
        <v>0</v>
      </c>
      <c r="H91" s="1008">
        <f>PirteiKisuiBeMutzar!P93</f>
        <v>0</v>
      </c>
      <c r="I91" s="1008">
        <f>PirteiKisuiBeMutzar!X93</f>
        <v>0</v>
      </c>
      <c r="J91" s="1008">
        <f>PirteiKisuiBeMutzar!Y93</f>
        <v>0</v>
      </c>
      <c r="K91" s="1008">
        <f>PirteiKisuiBeMutzar!AL93</f>
        <v>0</v>
      </c>
      <c r="L91" s="1008">
        <f>PirteiKisuiBeMutzar!AO93</f>
        <v>0</v>
      </c>
      <c r="M91" s="1008">
        <f>PirteiKisuiBeMutzar!AP93</f>
        <v>0</v>
      </c>
    </row>
    <row r="92" spans="1:13">
      <c r="A92" s="178">
        <f>PirteiKisuiBeMutzar!D94</f>
        <v>0</v>
      </c>
      <c r="B92" s="178">
        <f>PirteiKisuiBeMutzar!AQ94</f>
        <v>0</v>
      </c>
      <c r="C92" s="178">
        <f>PirteiKisuiBeMutzar!AM94</f>
        <v>0</v>
      </c>
      <c r="D92" s="1008">
        <f>PirteiKisuiBeMutzar!G94</f>
        <v>0</v>
      </c>
      <c r="E92" s="1008">
        <f>PirteiKisuiBeMutzar!W94</f>
        <v>0</v>
      </c>
      <c r="F92" s="1008">
        <f>PirteiKisuiBeMutzar!K94</f>
        <v>0</v>
      </c>
      <c r="G92" s="1008">
        <f>PirteiKisuiBeMutzar!M94</f>
        <v>0</v>
      </c>
      <c r="H92" s="1008">
        <f>PirteiKisuiBeMutzar!P94</f>
        <v>0</v>
      </c>
      <c r="I92" s="1008">
        <f>PirteiKisuiBeMutzar!X94</f>
        <v>0</v>
      </c>
      <c r="J92" s="1008">
        <f>PirteiKisuiBeMutzar!Y94</f>
        <v>0</v>
      </c>
      <c r="K92" s="1008">
        <f>PirteiKisuiBeMutzar!AL94</f>
        <v>0</v>
      </c>
      <c r="L92" s="1008">
        <f>PirteiKisuiBeMutzar!AO94</f>
        <v>0</v>
      </c>
      <c r="M92" s="1008">
        <f>PirteiKisuiBeMutzar!AP94</f>
        <v>0</v>
      </c>
    </row>
    <row r="93" spans="1:13">
      <c r="A93" s="178">
        <f>PirteiKisuiBeMutzar!D95</f>
        <v>0</v>
      </c>
      <c r="B93" s="178">
        <f>PirteiKisuiBeMutzar!AQ95</f>
        <v>0</v>
      </c>
      <c r="C93" s="178">
        <f>PirteiKisuiBeMutzar!AM95</f>
        <v>0</v>
      </c>
      <c r="D93" s="1008">
        <f>PirteiKisuiBeMutzar!G95</f>
        <v>0</v>
      </c>
      <c r="E93" s="1008">
        <f>PirteiKisuiBeMutzar!W95</f>
        <v>0</v>
      </c>
      <c r="F93" s="1008">
        <f>PirteiKisuiBeMutzar!K95</f>
        <v>0</v>
      </c>
      <c r="G93" s="1008">
        <f>PirteiKisuiBeMutzar!M95</f>
        <v>0</v>
      </c>
      <c r="H93" s="1008">
        <f>PirteiKisuiBeMutzar!P95</f>
        <v>0</v>
      </c>
      <c r="I93" s="1008">
        <f>PirteiKisuiBeMutzar!X95</f>
        <v>0</v>
      </c>
      <c r="J93" s="1008">
        <f>PirteiKisuiBeMutzar!Y95</f>
        <v>0</v>
      </c>
      <c r="K93" s="1008">
        <f>PirteiKisuiBeMutzar!AL95</f>
        <v>0</v>
      </c>
      <c r="L93" s="1008">
        <f>PirteiKisuiBeMutzar!AO95</f>
        <v>0</v>
      </c>
      <c r="M93" s="1008">
        <f>PirteiKisuiBeMutzar!AP95</f>
        <v>0</v>
      </c>
    </row>
    <row r="94" spans="1:13">
      <c r="A94" s="178">
        <f>PirteiKisuiBeMutzar!D96</f>
        <v>0</v>
      </c>
      <c r="B94" s="178">
        <f>PirteiKisuiBeMutzar!AQ96</f>
        <v>0</v>
      </c>
      <c r="C94" s="178">
        <f>PirteiKisuiBeMutzar!AM96</f>
        <v>0</v>
      </c>
      <c r="D94" s="1008">
        <f>PirteiKisuiBeMutzar!G96</f>
        <v>0</v>
      </c>
      <c r="E94" s="1008">
        <f>PirteiKisuiBeMutzar!W96</f>
        <v>0</v>
      </c>
      <c r="F94" s="1008">
        <f>PirteiKisuiBeMutzar!K96</f>
        <v>0</v>
      </c>
      <c r="G94" s="1008">
        <f>PirteiKisuiBeMutzar!M96</f>
        <v>0</v>
      </c>
      <c r="H94" s="1008">
        <f>PirteiKisuiBeMutzar!P96</f>
        <v>0</v>
      </c>
      <c r="I94" s="1008">
        <f>PirteiKisuiBeMutzar!X96</f>
        <v>0</v>
      </c>
      <c r="J94" s="1008">
        <f>PirteiKisuiBeMutzar!Y96</f>
        <v>0</v>
      </c>
      <c r="K94" s="1008">
        <f>PirteiKisuiBeMutzar!AL96</f>
        <v>0</v>
      </c>
      <c r="L94" s="1008">
        <f>PirteiKisuiBeMutzar!AO96</f>
        <v>0</v>
      </c>
      <c r="M94" s="1008">
        <f>PirteiKisuiBeMutzar!AP96</f>
        <v>0</v>
      </c>
    </row>
    <row r="95" spans="1:13">
      <c r="A95" s="178">
        <f>PirteiKisuiBeMutzar!D97</f>
        <v>0</v>
      </c>
      <c r="B95" s="178">
        <f>PirteiKisuiBeMutzar!AQ97</f>
        <v>0</v>
      </c>
      <c r="C95" s="178">
        <f>PirteiKisuiBeMutzar!AM97</f>
        <v>0</v>
      </c>
      <c r="D95" s="1008">
        <f>PirteiKisuiBeMutzar!G97</f>
        <v>0</v>
      </c>
      <c r="E95" s="1008">
        <f>PirteiKisuiBeMutzar!W97</f>
        <v>0</v>
      </c>
      <c r="F95" s="1008">
        <f>PirteiKisuiBeMutzar!K97</f>
        <v>0</v>
      </c>
      <c r="G95" s="1008">
        <f>PirteiKisuiBeMutzar!M97</f>
        <v>0</v>
      </c>
      <c r="H95" s="1008">
        <f>PirteiKisuiBeMutzar!P97</f>
        <v>0</v>
      </c>
      <c r="I95" s="1008">
        <f>PirteiKisuiBeMutzar!X97</f>
        <v>0</v>
      </c>
      <c r="J95" s="1008">
        <f>PirteiKisuiBeMutzar!Y97</f>
        <v>0</v>
      </c>
      <c r="K95" s="1008">
        <f>PirteiKisuiBeMutzar!AL97</f>
        <v>0</v>
      </c>
      <c r="L95" s="1008">
        <f>PirteiKisuiBeMutzar!AO97</f>
        <v>0</v>
      </c>
      <c r="M95" s="1008">
        <f>PirteiKisuiBeMutzar!AP97</f>
        <v>0</v>
      </c>
    </row>
    <row r="96" spans="1:13">
      <c r="A96" s="178">
        <f>PirteiKisuiBeMutzar!D98</f>
        <v>0</v>
      </c>
      <c r="B96" s="178">
        <f>PirteiKisuiBeMutzar!AQ98</f>
        <v>0</v>
      </c>
      <c r="C96" s="178">
        <f>PirteiKisuiBeMutzar!AM98</f>
        <v>0</v>
      </c>
      <c r="D96" s="1008">
        <f>PirteiKisuiBeMutzar!G98</f>
        <v>0</v>
      </c>
      <c r="E96" s="1008">
        <f>PirteiKisuiBeMutzar!W98</f>
        <v>0</v>
      </c>
      <c r="F96" s="1008">
        <f>PirteiKisuiBeMutzar!K98</f>
        <v>0</v>
      </c>
      <c r="G96" s="1008">
        <f>PirteiKisuiBeMutzar!M98</f>
        <v>0</v>
      </c>
      <c r="H96" s="1008">
        <f>PirteiKisuiBeMutzar!P98</f>
        <v>0</v>
      </c>
      <c r="I96" s="1008">
        <f>PirteiKisuiBeMutzar!X98</f>
        <v>0</v>
      </c>
      <c r="J96" s="1008">
        <f>PirteiKisuiBeMutzar!Y98</f>
        <v>0</v>
      </c>
      <c r="K96" s="1008">
        <f>PirteiKisuiBeMutzar!AL98</f>
        <v>0</v>
      </c>
      <c r="L96" s="1008">
        <f>PirteiKisuiBeMutzar!AO98</f>
        <v>0</v>
      </c>
      <c r="M96" s="1008">
        <f>PirteiKisuiBeMutzar!AP98</f>
        <v>0</v>
      </c>
    </row>
    <row r="97" spans="1:13">
      <c r="A97" s="178">
        <f>PirteiKisuiBeMutzar!D99</f>
        <v>0</v>
      </c>
      <c r="B97" s="178">
        <f>PirteiKisuiBeMutzar!AQ99</f>
        <v>0</v>
      </c>
      <c r="C97" s="178">
        <f>PirteiKisuiBeMutzar!AM99</f>
        <v>0</v>
      </c>
      <c r="D97" s="1008">
        <f>PirteiKisuiBeMutzar!G99</f>
        <v>0</v>
      </c>
      <c r="E97" s="1008">
        <f>PirteiKisuiBeMutzar!W99</f>
        <v>0</v>
      </c>
      <c r="F97" s="1008">
        <f>PirteiKisuiBeMutzar!K99</f>
        <v>0</v>
      </c>
      <c r="G97" s="1008">
        <f>PirteiKisuiBeMutzar!M99</f>
        <v>0</v>
      </c>
      <c r="H97" s="1008">
        <f>PirteiKisuiBeMutzar!P99</f>
        <v>0</v>
      </c>
      <c r="I97" s="1008">
        <f>PirteiKisuiBeMutzar!X99</f>
        <v>0</v>
      </c>
      <c r="J97" s="1008">
        <f>PirteiKisuiBeMutzar!Y99</f>
        <v>0</v>
      </c>
      <c r="K97" s="1008">
        <f>PirteiKisuiBeMutzar!AL99</f>
        <v>0</v>
      </c>
      <c r="L97" s="1008">
        <f>PirteiKisuiBeMutzar!AO99</f>
        <v>0</v>
      </c>
      <c r="M97" s="1008">
        <f>PirteiKisuiBeMutzar!AP99</f>
        <v>0</v>
      </c>
    </row>
    <row r="98" spans="1:13">
      <c r="A98" s="178">
        <f>PirteiKisuiBeMutzar!D100</f>
        <v>0</v>
      </c>
      <c r="B98" s="178">
        <f>PirteiKisuiBeMutzar!AQ100</f>
        <v>0</v>
      </c>
      <c r="C98" s="178">
        <f>PirteiKisuiBeMutzar!AM100</f>
        <v>0</v>
      </c>
      <c r="D98" s="1008">
        <f>PirteiKisuiBeMutzar!G100</f>
        <v>0</v>
      </c>
      <c r="E98" s="1008">
        <f>PirteiKisuiBeMutzar!W100</f>
        <v>0</v>
      </c>
      <c r="F98" s="1008">
        <f>PirteiKisuiBeMutzar!K100</f>
        <v>0</v>
      </c>
      <c r="G98" s="1008">
        <f>PirteiKisuiBeMutzar!M100</f>
        <v>0</v>
      </c>
      <c r="H98" s="1008">
        <f>PirteiKisuiBeMutzar!P100</f>
        <v>0</v>
      </c>
      <c r="I98" s="1008">
        <f>PirteiKisuiBeMutzar!X100</f>
        <v>0</v>
      </c>
      <c r="J98" s="1008">
        <f>PirteiKisuiBeMutzar!Y100</f>
        <v>0</v>
      </c>
      <c r="K98" s="1008">
        <f>PirteiKisuiBeMutzar!AL100</f>
        <v>0</v>
      </c>
      <c r="L98" s="1008">
        <f>PirteiKisuiBeMutzar!AO100</f>
        <v>0</v>
      </c>
      <c r="M98" s="1008">
        <f>PirteiKisuiBeMutzar!AP100</f>
        <v>0</v>
      </c>
    </row>
    <row r="99" spans="1:13">
      <c r="A99" s="178">
        <f>PirteiKisuiBeMutzar!D101</f>
        <v>0</v>
      </c>
      <c r="B99" s="178">
        <f>PirteiKisuiBeMutzar!AQ101</f>
        <v>0</v>
      </c>
      <c r="C99" s="178">
        <f>PirteiKisuiBeMutzar!AM101</f>
        <v>0</v>
      </c>
      <c r="D99" s="1008">
        <f>PirteiKisuiBeMutzar!G101</f>
        <v>0</v>
      </c>
      <c r="E99" s="1008">
        <f>PirteiKisuiBeMutzar!W101</f>
        <v>0</v>
      </c>
      <c r="F99" s="1008">
        <f>PirteiKisuiBeMutzar!K101</f>
        <v>0</v>
      </c>
      <c r="G99" s="1008">
        <f>PirteiKisuiBeMutzar!M101</f>
        <v>0</v>
      </c>
      <c r="H99" s="1008">
        <f>PirteiKisuiBeMutzar!P101</f>
        <v>0</v>
      </c>
      <c r="I99" s="1008">
        <f>PirteiKisuiBeMutzar!X101</f>
        <v>0</v>
      </c>
      <c r="J99" s="1008">
        <f>PirteiKisuiBeMutzar!Y101</f>
        <v>0</v>
      </c>
      <c r="K99" s="1008">
        <f>PirteiKisuiBeMutzar!AL101</f>
        <v>0</v>
      </c>
      <c r="L99" s="1008">
        <f>PirteiKisuiBeMutzar!AO101</f>
        <v>0</v>
      </c>
      <c r="M99" s="1008">
        <f>PirteiKisuiBeMutzar!AP101</f>
        <v>0</v>
      </c>
    </row>
    <row r="100" spans="1:13">
      <c r="A100" s="178">
        <f>PirteiKisuiBeMutzar!D102</f>
        <v>0</v>
      </c>
      <c r="B100" s="178">
        <f>PirteiKisuiBeMutzar!AQ102</f>
        <v>0</v>
      </c>
      <c r="C100" s="178">
        <f>PirteiKisuiBeMutzar!AM102</f>
        <v>0</v>
      </c>
      <c r="D100" s="1008">
        <f>PirteiKisuiBeMutzar!G102</f>
        <v>0</v>
      </c>
      <c r="E100" s="1008">
        <f>PirteiKisuiBeMutzar!W102</f>
        <v>0</v>
      </c>
      <c r="F100" s="1008">
        <f>PirteiKisuiBeMutzar!K102</f>
        <v>0</v>
      </c>
      <c r="G100" s="1008">
        <f>PirteiKisuiBeMutzar!M102</f>
        <v>0</v>
      </c>
      <c r="H100" s="1008">
        <f>PirteiKisuiBeMutzar!P102</f>
        <v>0</v>
      </c>
      <c r="I100" s="1008">
        <f>PirteiKisuiBeMutzar!X102</f>
        <v>0</v>
      </c>
      <c r="J100" s="1008">
        <f>PirteiKisuiBeMutzar!Y102</f>
        <v>0</v>
      </c>
      <c r="K100" s="1008">
        <f>PirteiKisuiBeMutzar!AL102</f>
        <v>0</v>
      </c>
      <c r="L100" s="1008">
        <f>PirteiKisuiBeMutzar!AO102</f>
        <v>0</v>
      </c>
      <c r="M100" s="1008">
        <f>PirteiKisuiBeMutzar!AP102</f>
        <v>0</v>
      </c>
    </row>
    <row r="101" spans="1:13">
      <c r="A101" s="178">
        <f>PirteiKisuiBeMutzar!D103</f>
        <v>0</v>
      </c>
      <c r="B101" s="178">
        <f>PirteiKisuiBeMutzar!AQ103</f>
        <v>0</v>
      </c>
      <c r="C101" s="178">
        <f>PirteiKisuiBeMutzar!AM103</f>
        <v>0</v>
      </c>
      <c r="D101" s="1008">
        <f>PirteiKisuiBeMutzar!G103</f>
        <v>0</v>
      </c>
      <c r="E101" s="1008">
        <f>PirteiKisuiBeMutzar!W103</f>
        <v>0</v>
      </c>
      <c r="F101" s="1008">
        <f>PirteiKisuiBeMutzar!K103</f>
        <v>0</v>
      </c>
      <c r="G101" s="1008">
        <f>PirteiKisuiBeMutzar!M103</f>
        <v>0</v>
      </c>
      <c r="H101" s="1008">
        <f>PirteiKisuiBeMutzar!P103</f>
        <v>0</v>
      </c>
      <c r="I101" s="1008">
        <f>PirteiKisuiBeMutzar!X103</f>
        <v>0</v>
      </c>
      <c r="J101" s="1008">
        <f>PirteiKisuiBeMutzar!Y103</f>
        <v>0</v>
      </c>
      <c r="K101" s="1008">
        <f>PirteiKisuiBeMutzar!AL103</f>
        <v>0</v>
      </c>
      <c r="L101" s="1008">
        <f>PirteiKisuiBeMutzar!AO103</f>
        <v>0</v>
      </c>
      <c r="M101" s="1008">
        <f>PirteiKisuiBeMutzar!AP103</f>
        <v>0</v>
      </c>
    </row>
    <row r="102" spans="1:13">
      <c r="A102" s="178">
        <f>PirteiKisuiBeMutzar!D104</f>
        <v>0</v>
      </c>
      <c r="B102" s="178">
        <f>PirteiKisuiBeMutzar!AQ104</f>
        <v>0</v>
      </c>
      <c r="C102" s="178">
        <f>PirteiKisuiBeMutzar!AM104</f>
        <v>0</v>
      </c>
      <c r="D102" s="1008">
        <f>PirteiKisuiBeMutzar!G104</f>
        <v>0</v>
      </c>
      <c r="E102" s="1008">
        <f>PirteiKisuiBeMutzar!W104</f>
        <v>0</v>
      </c>
      <c r="F102" s="1008">
        <f>PirteiKisuiBeMutzar!K104</f>
        <v>0</v>
      </c>
      <c r="G102" s="1008">
        <f>PirteiKisuiBeMutzar!M104</f>
        <v>0</v>
      </c>
      <c r="H102" s="1008">
        <f>PirteiKisuiBeMutzar!P104</f>
        <v>0</v>
      </c>
      <c r="I102" s="1008">
        <f>PirteiKisuiBeMutzar!X104</f>
        <v>0</v>
      </c>
      <c r="J102" s="1008">
        <f>PirteiKisuiBeMutzar!Y104</f>
        <v>0</v>
      </c>
      <c r="K102" s="1008">
        <f>PirteiKisuiBeMutzar!AL104</f>
        <v>0</v>
      </c>
      <c r="L102" s="1008">
        <f>PirteiKisuiBeMutzar!AO104</f>
        <v>0</v>
      </c>
      <c r="M102" s="1008">
        <f>PirteiKisuiBeMutzar!AP104</f>
        <v>0</v>
      </c>
    </row>
    <row r="103" spans="1:13">
      <c r="A103" s="178">
        <f>PirteiKisuiBeMutzar!D105</f>
        <v>0</v>
      </c>
      <c r="B103" s="178">
        <f>PirteiKisuiBeMutzar!AQ105</f>
        <v>0</v>
      </c>
      <c r="C103" s="178">
        <f>PirteiKisuiBeMutzar!AM105</f>
        <v>0</v>
      </c>
      <c r="D103" s="1008">
        <f>PirteiKisuiBeMutzar!G105</f>
        <v>0</v>
      </c>
      <c r="E103" s="1008">
        <f>PirteiKisuiBeMutzar!W105</f>
        <v>0</v>
      </c>
      <c r="F103" s="1008">
        <f>PirteiKisuiBeMutzar!K105</f>
        <v>0</v>
      </c>
      <c r="G103" s="1008">
        <f>PirteiKisuiBeMutzar!M105</f>
        <v>0</v>
      </c>
      <c r="H103" s="1008">
        <f>PirteiKisuiBeMutzar!P105</f>
        <v>0</v>
      </c>
      <c r="I103" s="1008">
        <f>PirteiKisuiBeMutzar!X105</f>
        <v>0</v>
      </c>
      <c r="J103" s="1008">
        <f>PirteiKisuiBeMutzar!Y105</f>
        <v>0</v>
      </c>
      <c r="K103" s="1008">
        <f>PirteiKisuiBeMutzar!AL105</f>
        <v>0</v>
      </c>
      <c r="L103" s="1008">
        <f>PirteiKisuiBeMutzar!AO105</f>
        <v>0</v>
      </c>
      <c r="M103" s="1008">
        <f>PirteiKisuiBeMutzar!AP105</f>
        <v>0</v>
      </c>
    </row>
    <row r="104" spans="1:13">
      <c r="A104" s="178">
        <f>PirteiKisuiBeMutzar!D106</f>
        <v>0</v>
      </c>
      <c r="B104" s="178">
        <f>PirteiKisuiBeMutzar!AQ106</f>
        <v>0</v>
      </c>
      <c r="C104" s="178">
        <f>PirteiKisuiBeMutzar!AM106</f>
        <v>0</v>
      </c>
      <c r="D104" s="1008">
        <f>PirteiKisuiBeMutzar!G106</f>
        <v>0</v>
      </c>
      <c r="E104" s="1008">
        <f>PirteiKisuiBeMutzar!W106</f>
        <v>0</v>
      </c>
      <c r="F104" s="1008">
        <f>PirteiKisuiBeMutzar!K106</f>
        <v>0</v>
      </c>
      <c r="G104" s="1008">
        <f>PirteiKisuiBeMutzar!M106</f>
        <v>0</v>
      </c>
      <c r="H104" s="1008">
        <f>PirteiKisuiBeMutzar!P106</f>
        <v>0</v>
      </c>
      <c r="I104" s="1008">
        <f>PirteiKisuiBeMutzar!X106</f>
        <v>0</v>
      </c>
      <c r="J104" s="1008">
        <f>PirteiKisuiBeMutzar!Y106</f>
        <v>0</v>
      </c>
      <c r="K104" s="1008">
        <f>PirteiKisuiBeMutzar!AL106</f>
        <v>0</v>
      </c>
      <c r="L104" s="1008">
        <f>PirteiKisuiBeMutzar!AO106</f>
        <v>0</v>
      </c>
      <c r="M104" s="1008">
        <f>PirteiKisuiBeMutzar!AP106</f>
        <v>0</v>
      </c>
    </row>
    <row r="105" spans="1:13">
      <c r="A105" s="178">
        <f>PirteiKisuiBeMutzar!D107</f>
        <v>0</v>
      </c>
      <c r="B105" s="178">
        <f>PirteiKisuiBeMutzar!AQ107</f>
        <v>0</v>
      </c>
      <c r="C105" s="178">
        <f>PirteiKisuiBeMutzar!AM107</f>
        <v>0</v>
      </c>
      <c r="D105" s="1008">
        <f>PirteiKisuiBeMutzar!G107</f>
        <v>0</v>
      </c>
      <c r="E105" s="1008">
        <f>PirteiKisuiBeMutzar!W107</f>
        <v>0</v>
      </c>
      <c r="F105" s="1008">
        <f>PirteiKisuiBeMutzar!K107</f>
        <v>0</v>
      </c>
      <c r="G105" s="1008">
        <f>PirteiKisuiBeMutzar!M107</f>
        <v>0</v>
      </c>
      <c r="H105" s="1008">
        <f>PirteiKisuiBeMutzar!P107</f>
        <v>0</v>
      </c>
      <c r="I105" s="1008">
        <f>PirteiKisuiBeMutzar!X107</f>
        <v>0</v>
      </c>
      <c r="J105" s="1008">
        <f>PirteiKisuiBeMutzar!Y107</f>
        <v>0</v>
      </c>
      <c r="K105" s="1008">
        <f>PirteiKisuiBeMutzar!AL107</f>
        <v>0</v>
      </c>
      <c r="L105" s="1008">
        <f>PirteiKisuiBeMutzar!AO107</f>
        <v>0</v>
      </c>
      <c r="M105" s="1008">
        <f>PirteiKisuiBeMutzar!AP107</f>
        <v>0</v>
      </c>
    </row>
    <row r="106" spans="1:13">
      <c r="A106" s="178">
        <f>PirteiKisuiBeMutzar!D108</f>
        <v>0</v>
      </c>
      <c r="B106" s="178">
        <f>PirteiKisuiBeMutzar!AQ108</f>
        <v>0</v>
      </c>
      <c r="C106" s="178">
        <f>PirteiKisuiBeMutzar!AM108</f>
        <v>0</v>
      </c>
      <c r="D106" s="1008">
        <f>PirteiKisuiBeMutzar!G108</f>
        <v>0</v>
      </c>
      <c r="E106" s="1008">
        <f>PirteiKisuiBeMutzar!W108</f>
        <v>0</v>
      </c>
      <c r="F106" s="1008">
        <f>PirteiKisuiBeMutzar!K108</f>
        <v>0</v>
      </c>
      <c r="G106" s="1008">
        <f>PirteiKisuiBeMutzar!M108</f>
        <v>0</v>
      </c>
      <c r="H106" s="1008">
        <f>PirteiKisuiBeMutzar!P108</f>
        <v>0</v>
      </c>
      <c r="I106" s="1008">
        <f>PirteiKisuiBeMutzar!X108</f>
        <v>0</v>
      </c>
      <c r="J106" s="1008">
        <f>PirteiKisuiBeMutzar!Y108</f>
        <v>0</v>
      </c>
      <c r="K106" s="1008">
        <f>PirteiKisuiBeMutzar!AL108</f>
        <v>0</v>
      </c>
      <c r="L106" s="1008">
        <f>PirteiKisuiBeMutzar!AO108</f>
        <v>0</v>
      </c>
      <c r="M106" s="1008">
        <f>PirteiKisuiBeMutzar!AP108</f>
        <v>0</v>
      </c>
    </row>
    <row r="107" spans="1:13">
      <c r="A107" s="178">
        <f>PirteiKisuiBeMutzar!D109</f>
        <v>0</v>
      </c>
      <c r="B107" s="178">
        <f>PirteiKisuiBeMutzar!AQ109</f>
        <v>0</v>
      </c>
      <c r="C107" s="178">
        <f>PirteiKisuiBeMutzar!AM109</f>
        <v>0</v>
      </c>
      <c r="D107" s="1008">
        <f>PirteiKisuiBeMutzar!G109</f>
        <v>0</v>
      </c>
      <c r="E107" s="1008">
        <f>PirteiKisuiBeMutzar!W109</f>
        <v>0</v>
      </c>
      <c r="F107" s="1008">
        <f>PirteiKisuiBeMutzar!K109</f>
        <v>0</v>
      </c>
      <c r="G107" s="1008">
        <f>PirteiKisuiBeMutzar!M109</f>
        <v>0</v>
      </c>
      <c r="H107" s="1008">
        <f>PirteiKisuiBeMutzar!P109</f>
        <v>0</v>
      </c>
      <c r="I107" s="1008">
        <f>PirteiKisuiBeMutzar!X109</f>
        <v>0</v>
      </c>
      <c r="J107" s="1008">
        <f>PirteiKisuiBeMutzar!Y109</f>
        <v>0</v>
      </c>
      <c r="K107" s="1008">
        <f>PirteiKisuiBeMutzar!AL109</f>
        <v>0</v>
      </c>
      <c r="L107" s="1008">
        <f>PirteiKisuiBeMutzar!AO109</f>
        <v>0</v>
      </c>
      <c r="M107" s="1008">
        <f>PirteiKisuiBeMutzar!AP109</f>
        <v>0</v>
      </c>
    </row>
    <row r="108" spans="1:13">
      <c r="A108" s="178">
        <f>PirteiKisuiBeMutzar!D110</f>
        <v>0</v>
      </c>
      <c r="B108" s="178">
        <f>PirteiKisuiBeMutzar!AQ110</f>
        <v>0</v>
      </c>
      <c r="C108" s="178">
        <f>PirteiKisuiBeMutzar!AM110</f>
        <v>0</v>
      </c>
      <c r="D108" s="1008">
        <f>PirteiKisuiBeMutzar!G110</f>
        <v>0</v>
      </c>
      <c r="E108" s="1008">
        <f>PirteiKisuiBeMutzar!W110</f>
        <v>0</v>
      </c>
      <c r="F108" s="1008">
        <f>PirteiKisuiBeMutzar!K110</f>
        <v>0</v>
      </c>
      <c r="G108" s="1008">
        <f>PirteiKisuiBeMutzar!M110</f>
        <v>0</v>
      </c>
      <c r="H108" s="1008">
        <f>PirteiKisuiBeMutzar!P110</f>
        <v>0</v>
      </c>
      <c r="I108" s="1008">
        <f>PirteiKisuiBeMutzar!X110</f>
        <v>0</v>
      </c>
      <c r="J108" s="1008">
        <f>PirteiKisuiBeMutzar!Y110</f>
        <v>0</v>
      </c>
      <c r="K108" s="1008">
        <f>PirteiKisuiBeMutzar!AL110</f>
        <v>0</v>
      </c>
      <c r="L108" s="1008">
        <f>PirteiKisuiBeMutzar!AO110</f>
        <v>0</v>
      </c>
      <c r="M108" s="1008">
        <f>PirteiKisuiBeMutzar!AP110</f>
        <v>0</v>
      </c>
    </row>
    <row r="109" spans="1:13">
      <c r="A109" s="178">
        <f>PirteiKisuiBeMutzar!D111</f>
        <v>0</v>
      </c>
      <c r="B109" s="178">
        <f>PirteiKisuiBeMutzar!AQ111</f>
        <v>0</v>
      </c>
      <c r="C109" s="178">
        <f>PirteiKisuiBeMutzar!AM111</f>
        <v>0</v>
      </c>
      <c r="D109" s="1008">
        <f>PirteiKisuiBeMutzar!G111</f>
        <v>0</v>
      </c>
      <c r="E109" s="1008">
        <f>PirteiKisuiBeMutzar!W111</f>
        <v>0</v>
      </c>
      <c r="F109" s="1008">
        <f>PirteiKisuiBeMutzar!K111</f>
        <v>0</v>
      </c>
      <c r="G109" s="1008">
        <f>PirteiKisuiBeMutzar!M111</f>
        <v>0</v>
      </c>
      <c r="H109" s="1008">
        <f>PirteiKisuiBeMutzar!P111</f>
        <v>0</v>
      </c>
      <c r="I109" s="1008">
        <f>PirteiKisuiBeMutzar!X111</f>
        <v>0</v>
      </c>
      <c r="J109" s="1008">
        <f>PirteiKisuiBeMutzar!Y111</f>
        <v>0</v>
      </c>
      <c r="K109" s="1008">
        <f>PirteiKisuiBeMutzar!AL111</f>
        <v>0</v>
      </c>
      <c r="L109" s="1008">
        <f>PirteiKisuiBeMutzar!AO111</f>
        <v>0</v>
      </c>
      <c r="M109" s="1008">
        <f>PirteiKisuiBeMutzar!AP111</f>
        <v>0</v>
      </c>
    </row>
    <row r="110" spans="1:13">
      <c r="A110" s="178">
        <f>PirteiKisuiBeMutzar!D112</f>
        <v>0</v>
      </c>
      <c r="B110" s="178">
        <f>PirteiKisuiBeMutzar!AQ112</f>
        <v>0</v>
      </c>
      <c r="C110" s="178">
        <f>PirteiKisuiBeMutzar!AM112</f>
        <v>0</v>
      </c>
      <c r="D110" s="1008">
        <f>PirteiKisuiBeMutzar!G112</f>
        <v>0</v>
      </c>
      <c r="E110" s="1008">
        <f>PirteiKisuiBeMutzar!W112</f>
        <v>0</v>
      </c>
      <c r="F110" s="1008">
        <f>PirteiKisuiBeMutzar!K112</f>
        <v>0</v>
      </c>
      <c r="G110" s="1008">
        <f>PirteiKisuiBeMutzar!M112</f>
        <v>0</v>
      </c>
      <c r="H110" s="1008">
        <f>PirteiKisuiBeMutzar!P112</f>
        <v>0</v>
      </c>
      <c r="I110" s="1008">
        <f>PirteiKisuiBeMutzar!X112</f>
        <v>0</v>
      </c>
      <c r="J110" s="1008">
        <f>PirteiKisuiBeMutzar!Y112</f>
        <v>0</v>
      </c>
      <c r="K110" s="1008">
        <f>PirteiKisuiBeMutzar!AL112</f>
        <v>0</v>
      </c>
      <c r="L110" s="1008">
        <f>PirteiKisuiBeMutzar!AO112</f>
        <v>0</v>
      </c>
      <c r="M110" s="1008">
        <f>PirteiKisuiBeMutzar!AP112</f>
        <v>0</v>
      </c>
    </row>
    <row r="111" spans="1:13">
      <c r="A111" s="178">
        <f>PirteiKisuiBeMutzar!D113</f>
        <v>0</v>
      </c>
      <c r="B111" s="178">
        <f>PirteiKisuiBeMutzar!AQ113</f>
        <v>0</v>
      </c>
      <c r="C111" s="178">
        <f>PirteiKisuiBeMutzar!AM113</f>
        <v>0</v>
      </c>
      <c r="D111" s="1008">
        <f>PirteiKisuiBeMutzar!G113</f>
        <v>0</v>
      </c>
      <c r="E111" s="1008">
        <f>PirteiKisuiBeMutzar!W113</f>
        <v>0</v>
      </c>
      <c r="F111" s="1008">
        <f>PirteiKisuiBeMutzar!K113</f>
        <v>0</v>
      </c>
      <c r="G111" s="1008">
        <f>PirteiKisuiBeMutzar!M113</f>
        <v>0</v>
      </c>
      <c r="H111" s="1008">
        <f>PirteiKisuiBeMutzar!P113</f>
        <v>0</v>
      </c>
      <c r="I111" s="1008">
        <f>PirteiKisuiBeMutzar!X113</f>
        <v>0</v>
      </c>
      <c r="J111" s="1008">
        <f>PirteiKisuiBeMutzar!Y113</f>
        <v>0</v>
      </c>
      <c r="K111" s="1008">
        <f>PirteiKisuiBeMutzar!AL113</f>
        <v>0</v>
      </c>
      <c r="L111" s="1008">
        <f>PirteiKisuiBeMutzar!AO113</f>
        <v>0</v>
      </c>
      <c r="M111" s="1008">
        <f>PirteiKisuiBeMutzar!AP113</f>
        <v>0</v>
      </c>
    </row>
    <row r="112" spans="1:13">
      <c r="A112" s="178">
        <f>PirteiKisuiBeMutzar!D114</f>
        <v>0</v>
      </c>
      <c r="B112" s="178">
        <f>PirteiKisuiBeMutzar!AQ114</f>
        <v>0</v>
      </c>
      <c r="C112" s="178">
        <f>PirteiKisuiBeMutzar!AM114</f>
        <v>0</v>
      </c>
      <c r="D112" s="1008">
        <f>PirteiKisuiBeMutzar!G114</f>
        <v>0</v>
      </c>
      <c r="E112" s="1008">
        <f>PirteiKisuiBeMutzar!W114</f>
        <v>0</v>
      </c>
      <c r="F112" s="1008">
        <f>PirteiKisuiBeMutzar!K114</f>
        <v>0</v>
      </c>
      <c r="G112" s="1008">
        <f>PirteiKisuiBeMutzar!M114</f>
        <v>0</v>
      </c>
      <c r="H112" s="1008">
        <f>PirteiKisuiBeMutzar!P114</f>
        <v>0</v>
      </c>
      <c r="I112" s="1008">
        <f>PirteiKisuiBeMutzar!X114</f>
        <v>0</v>
      </c>
      <c r="J112" s="1008">
        <f>PirteiKisuiBeMutzar!Y114</f>
        <v>0</v>
      </c>
      <c r="K112" s="1008">
        <f>PirteiKisuiBeMutzar!AL114</f>
        <v>0</v>
      </c>
      <c r="L112" s="1008">
        <f>PirteiKisuiBeMutzar!AO114</f>
        <v>0</v>
      </c>
      <c r="M112" s="1008">
        <f>PirteiKisuiBeMutzar!AP114</f>
        <v>0</v>
      </c>
    </row>
    <row r="113" spans="1:13">
      <c r="A113" s="178">
        <f>PirteiKisuiBeMutzar!D115</f>
        <v>0</v>
      </c>
      <c r="B113" s="178">
        <f>PirteiKisuiBeMutzar!AQ115</f>
        <v>0</v>
      </c>
      <c r="C113" s="178">
        <f>PirteiKisuiBeMutzar!AM115</f>
        <v>0</v>
      </c>
      <c r="D113" s="1008">
        <f>PirteiKisuiBeMutzar!G115</f>
        <v>0</v>
      </c>
      <c r="E113" s="1008">
        <f>PirteiKisuiBeMutzar!W115</f>
        <v>0</v>
      </c>
      <c r="F113" s="1008">
        <f>PirteiKisuiBeMutzar!K115</f>
        <v>0</v>
      </c>
      <c r="G113" s="1008">
        <f>PirteiKisuiBeMutzar!M115</f>
        <v>0</v>
      </c>
      <c r="H113" s="1008">
        <f>PirteiKisuiBeMutzar!P115</f>
        <v>0</v>
      </c>
      <c r="I113" s="1008">
        <f>PirteiKisuiBeMutzar!X115</f>
        <v>0</v>
      </c>
      <c r="J113" s="1008">
        <f>PirteiKisuiBeMutzar!Y115</f>
        <v>0</v>
      </c>
      <c r="K113" s="1008">
        <f>PirteiKisuiBeMutzar!AL115</f>
        <v>0</v>
      </c>
      <c r="L113" s="1008">
        <f>PirteiKisuiBeMutzar!AO115</f>
        <v>0</v>
      </c>
      <c r="M113" s="1008">
        <f>PirteiKisuiBeMutzar!AP115</f>
        <v>0</v>
      </c>
    </row>
    <row r="114" spans="1:13">
      <c r="A114" s="178">
        <f>PirteiKisuiBeMutzar!D116</f>
        <v>0</v>
      </c>
      <c r="B114" s="178">
        <f>PirteiKisuiBeMutzar!AQ116</f>
        <v>0</v>
      </c>
      <c r="C114" s="178">
        <f>PirteiKisuiBeMutzar!AM116</f>
        <v>0</v>
      </c>
      <c r="D114" s="1008">
        <f>PirteiKisuiBeMutzar!G116</f>
        <v>0</v>
      </c>
      <c r="E114" s="1008">
        <f>PirteiKisuiBeMutzar!W116</f>
        <v>0</v>
      </c>
      <c r="F114" s="1008">
        <f>PirteiKisuiBeMutzar!K116</f>
        <v>0</v>
      </c>
      <c r="G114" s="1008">
        <f>PirteiKisuiBeMutzar!M116</f>
        <v>0</v>
      </c>
      <c r="H114" s="1008">
        <f>PirteiKisuiBeMutzar!P116</f>
        <v>0</v>
      </c>
      <c r="I114" s="1008">
        <f>PirteiKisuiBeMutzar!X116</f>
        <v>0</v>
      </c>
      <c r="J114" s="1008">
        <f>PirteiKisuiBeMutzar!Y116</f>
        <v>0</v>
      </c>
      <c r="K114" s="1008">
        <f>PirteiKisuiBeMutzar!AL116</f>
        <v>0</v>
      </c>
      <c r="L114" s="1008">
        <f>PirteiKisuiBeMutzar!AO116</f>
        <v>0</v>
      </c>
      <c r="M114" s="1008">
        <f>PirteiKisuiBeMutzar!AP116</f>
        <v>0</v>
      </c>
    </row>
    <row r="115" spans="1:13">
      <c r="A115" s="178">
        <f>PirteiKisuiBeMutzar!D117</f>
        <v>0</v>
      </c>
      <c r="B115" s="178">
        <f>PirteiKisuiBeMutzar!AQ117</f>
        <v>0</v>
      </c>
      <c r="C115" s="178">
        <f>PirteiKisuiBeMutzar!AM117</f>
        <v>0</v>
      </c>
      <c r="D115" s="1008">
        <f>PirteiKisuiBeMutzar!G117</f>
        <v>0</v>
      </c>
      <c r="E115" s="1008">
        <f>PirteiKisuiBeMutzar!W117</f>
        <v>0</v>
      </c>
      <c r="F115" s="1008">
        <f>PirteiKisuiBeMutzar!K117</f>
        <v>0</v>
      </c>
      <c r="G115" s="1008">
        <f>PirteiKisuiBeMutzar!M117</f>
        <v>0</v>
      </c>
      <c r="H115" s="1008">
        <f>PirteiKisuiBeMutzar!P117</f>
        <v>0</v>
      </c>
      <c r="I115" s="1008">
        <f>PirteiKisuiBeMutzar!X117</f>
        <v>0</v>
      </c>
      <c r="J115" s="1008">
        <f>PirteiKisuiBeMutzar!Y117</f>
        <v>0</v>
      </c>
      <c r="K115" s="1008">
        <f>PirteiKisuiBeMutzar!AL117</f>
        <v>0</v>
      </c>
      <c r="L115" s="1008">
        <f>PirteiKisuiBeMutzar!AO117</f>
        <v>0</v>
      </c>
      <c r="M115" s="1008">
        <f>PirteiKisuiBeMutzar!AP117</f>
        <v>0</v>
      </c>
    </row>
    <row r="116" spans="1:13">
      <c r="A116" s="178">
        <f>PirteiKisuiBeMutzar!D118</f>
        <v>0</v>
      </c>
      <c r="B116" s="178">
        <f>PirteiKisuiBeMutzar!AQ118</f>
        <v>0</v>
      </c>
      <c r="C116" s="178">
        <f>PirteiKisuiBeMutzar!AM118</f>
        <v>0</v>
      </c>
      <c r="D116" s="1008">
        <f>PirteiKisuiBeMutzar!G118</f>
        <v>0</v>
      </c>
      <c r="E116" s="1008">
        <f>PirteiKisuiBeMutzar!W118</f>
        <v>0</v>
      </c>
      <c r="F116" s="1008">
        <f>PirteiKisuiBeMutzar!K118</f>
        <v>0</v>
      </c>
      <c r="G116" s="1008">
        <f>PirteiKisuiBeMutzar!M118</f>
        <v>0</v>
      </c>
      <c r="H116" s="1008">
        <f>PirteiKisuiBeMutzar!P118</f>
        <v>0</v>
      </c>
      <c r="I116" s="1008">
        <f>PirteiKisuiBeMutzar!X118</f>
        <v>0</v>
      </c>
      <c r="J116" s="1008">
        <f>PirteiKisuiBeMutzar!Y118</f>
        <v>0</v>
      </c>
      <c r="K116" s="1008">
        <f>PirteiKisuiBeMutzar!AL118</f>
        <v>0</v>
      </c>
      <c r="L116" s="1008">
        <f>PirteiKisuiBeMutzar!AO118</f>
        <v>0</v>
      </c>
      <c r="M116" s="1008">
        <f>PirteiKisuiBeMutzar!AP118</f>
        <v>0</v>
      </c>
    </row>
    <row r="117" spans="1:13">
      <c r="A117" s="178">
        <f>PirteiKisuiBeMutzar!D119</f>
        <v>0</v>
      </c>
      <c r="B117" s="178">
        <f>PirteiKisuiBeMutzar!AQ119</f>
        <v>0</v>
      </c>
      <c r="C117" s="178">
        <f>PirteiKisuiBeMutzar!AM119</f>
        <v>0</v>
      </c>
      <c r="D117" s="1008">
        <f>PirteiKisuiBeMutzar!G119</f>
        <v>0</v>
      </c>
      <c r="E117" s="1008">
        <f>PirteiKisuiBeMutzar!W119</f>
        <v>0</v>
      </c>
      <c r="F117" s="1008">
        <f>PirteiKisuiBeMutzar!K119</f>
        <v>0</v>
      </c>
      <c r="G117" s="1008">
        <f>PirteiKisuiBeMutzar!M119</f>
        <v>0</v>
      </c>
      <c r="H117" s="1008">
        <f>PirteiKisuiBeMutzar!P119</f>
        <v>0</v>
      </c>
      <c r="I117" s="1008">
        <f>PirteiKisuiBeMutzar!X119</f>
        <v>0</v>
      </c>
      <c r="J117" s="1008">
        <f>PirteiKisuiBeMutzar!Y119</f>
        <v>0</v>
      </c>
      <c r="K117" s="1008">
        <f>PirteiKisuiBeMutzar!AL119</f>
        <v>0</v>
      </c>
      <c r="L117" s="1008">
        <f>PirteiKisuiBeMutzar!AO119</f>
        <v>0</v>
      </c>
      <c r="M117" s="1008">
        <f>PirteiKisuiBeMutzar!AP119</f>
        <v>0</v>
      </c>
    </row>
    <row r="118" spans="1:13">
      <c r="A118" s="178">
        <f>PirteiKisuiBeMutzar!D120</f>
        <v>0</v>
      </c>
      <c r="B118" s="178">
        <f>PirteiKisuiBeMutzar!AQ120</f>
        <v>0</v>
      </c>
      <c r="C118" s="178">
        <f>PirteiKisuiBeMutzar!AM120</f>
        <v>0</v>
      </c>
      <c r="D118" s="1008">
        <f>PirteiKisuiBeMutzar!G120</f>
        <v>0</v>
      </c>
      <c r="E118" s="1008">
        <f>PirteiKisuiBeMutzar!W120</f>
        <v>0</v>
      </c>
      <c r="F118" s="1008">
        <f>PirteiKisuiBeMutzar!K120</f>
        <v>0</v>
      </c>
      <c r="G118" s="1008">
        <f>PirteiKisuiBeMutzar!M120</f>
        <v>0</v>
      </c>
      <c r="H118" s="1008">
        <f>PirteiKisuiBeMutzar!P120</f>
        <v>0</v>
      </c>
      <c r="I118" s="1008">
        <f>PirteiKisuiBeMutzar!X120</f>
        <v>0</v>
      </c>
      <c r="J118" s="1008">
        <f>PirteiKisuiBeMutzar!Y120</f>
        <v>0</v>
      </c>
      <c r="K118" s="1008">
        <f>PirteiKisuiBeMutzar!AL120</f>
        <v>0</v>
      </c>
      <c r="L118" s="1008">
        <f>PirteiKisuiBeMutzar!AO120</f>
        <v>0</v>
      </c>
      <c r="M118" s="1008">
        <f>PirteiKisuiBeMutzar!AP120</f>
        <v>0</v>
      </c>
    </row>
    <row r="119" spans="1:13">
      <c r="A119" s="178">
        <f>PirteiKisuiBeMutzar!D121</f>
        <v>0</v>
      </c>
      <c r="B119" s="178">
        <f>PirteiKisuiBeMutzar!AQ121</f>
        <v>0</v>
      </c>
      <c r="C119" s="178">
        <f>PirteiKisuiBeMutzar!AM121</f>
        <v>0</v>
      </c>
      <c r="D119" s="1008">
        <f>PirteiKisuiBeMutzar!G121</f>
        <v>0</v>
      </c>
      <c r="E119" s="1008">
        <f>PirteiKisuiBeMutzar!W121</f>
        <v>0</v>
      </c>
      <c r="F119" s="1008">
        <f>PirteiKisuiBeMutzar!K121</f>
        <v>0</v>
      </c>
      <c r="G119" s="1008">
        <f>PirteiKisuiBeMutzar!M121</f>
        <v>0</v>
      </c>
      <c r="H119" s="1008">
        <f>PirteiKisuiBeMutzar!P121</f>
        <v>0</v>
      </c>
      <c r="I119" s="1008">
        <f>PirteiKisuiBeMutzar!X121</f>
        <v>0</v>
      </c>
      <c r="J119" s="1008">
        <f>PirteiKisuiBeMutzar!Y121</f>
        <v>0</v>
      </c>
      <c r="K119" s="1008">
        <f>PirteiKisuiBeMutzar!AL121</f>
        <v>0</v>
      </c>
      <c r="L119" s="1008">
        <f>PirteiKisuiBeMutzar!AO121</f>
        <v>0</v>
      </c>
      <c r="M119" s="1008">
        <f>PirteiKisuiBeMutzar!AP121</f>
        <v>0</v>
      </c>
    </row>
    <row r="120" spans="1:13">
      <c r="A120" s="178">
        <f>PirteiKisuiBeMutzar!D122</f>
        <v>0</v>
      </c>
      <c r="B120" s="178">
        <f>PirteiKisuiBeMutzar!AQ122</f>
        <v>0</v>
      </c>
      <c r="C120" s="178">
        <f>PirteiKisuiBeMutzar!AM122</f>
        <v>0</v>
      </c>
      <c r="D120" s="1008">
        <f>PirteiKisuiBeMutzar!G122</f>
        <v>0</v>
      </c>
      <c r="E120" s="1008">
        <f>PirteiKisuiBeMutzar!W122</f>
        <v>0</v>
      </c>
      <c r="F120" s="1008">
        <f>PirteiKisuiBeMutzar!K122</f>
        <v>0</v>
      </c>
      <c r="G120" s="1008">
        <f>PirteiKisuiBeMutzar!M122</f>
        <v>0</v>
      </c>
      <c r="H120" s="1008">
        <f>PirteiKisuiBeMutzar!P122</f>
        <v>0</v>
      </c>
      <c r="I120" s="1008">
        <f>PirteiKisuiBeMutzar!X122</f>
        <v>0</v>
      </c>
      <c r="J120" s="1008">
        <f>PirteiKisuiBeMutzar!Y122</f>
        <v>0</v>
      </c>
      <c r="K120" s="1008">
        <f>PirteiKisuiBeMutzar!AL122</f>
        <v>0</v>
      </c>
      <c r="L120" s="1008">
        <f>PirteiKisuiBeMutzar!AO122</f>
        <v>0</v>
      </c>
      <c r="M120" s="1008">
        <f>PirteiKisuiBeMutzar!AP122</f>
        <v>0</v>
      </c>
    </row>
    <row r="121" spans="1:13">
      <c r="A121" s="178">
        <f>PirteiKisuiBeMutzar!D123</f>
        <v>0</v>
      </c>
      <c r="B121" s="178">
        <f>PirteiKisuiBeMutzar!AQ123</f>
        <v>0</v>
      </c>
      <c r="C121" s="178">
        <f>PirteiKisuiBeMutzar!AM123</f>
        <v>0</v>
      </c>
      <c r="D121" s="1008">
        <f>PirteiKisuiBeMutzar!G123</f>
        <v>0</v>
      </c>
      <c r="E121" s="1008">
        <f>PirteiKisuiBeMutzar!W123</f>
        <v>0</v>
      </c>
      <c r="F121" s="1008">
        <f>PirteiKisuiBeMutzar!K123</f>
        <v>0</v>
      </c>
      <c r="G121" s="1008">
        <f>PirteiKisuiBeMutzar!M123</f>
        <v>0</v>
      </c>
      <c r="H121" s="1008">
        <f>PirteiKisuiBeMutzar!P123</f>
        <v>0</v>
      </c>
      <c r="I121" s="1008">
        <f>PirteiKisuiBeMutzar!X123</f>
        <v>0</v>
      </c>
      <c r="J121" s="1008">
        <f>PirteiKisuiBeMutzar!Y123</f>
        <v>0</v>
      </c>
      <c r="K121" s="1008">
        <f>PirteiKisuiBeMutzar!AL123</f>
        <v>0</v>
      </c>
      <c r="L121" s="1008">
        <f>PirteiKisuiBeMutzar!AO123</f>
        <v>0</v>
      </c>
      <c r="M121" s="1008">
        <f>PirteiKisuiBeMutzar!AP123</f>
        <v>0</v>
      </c>
    </row>
    <row r="122" spans="1:13">
      <c r="A122" s="178">
        <f>PirteiKisuiBeMutzar!D124</f>
        <v>0</v>
      </c>
      <c r="B122" s="178">
        <f>PirteiKisuiBeMutzar!AQ124</f>
        <v>0</v>
      </c>
      <c r="C122" s="178">
        <f>PirteiKisuiBeMutzar!AM124</f>
        <v>0</v>
      </c>
      <c r="D122" s="1008">
        <f>PirteiKisuiBeMutzar!G124</f>
        <v>0</v>
      </c>
      <c r="E122" s="1008">
        <f>PirteiKisuiBeMutzar!W124</f>
        <v>0</v>
      </c>
      <c r="F122" s="1008">
        <f>PirteiKisuiBeMutzar!K124</f>
        <v>0</v>
      </c>
      <c r="G122" s="1008">
        <f>PirteiKisuiBeMutzar!M124</f>
        <v>0</v>
      </c>
      <c r="H122" s="1008">
        <f>PirteiKisuiBeMutzar!P124</f>
        <v>0</v>
      </c>
      <c r="I122" s="1008">
        <f>PirteiKisuiBeMutzar!X124</f>
        <v>0</v>
      </c>
      <c r="J122" s="1008">
        <f>PirteiKisuiBeMutzar!Y124</f>
        <v>0</v>
      </c>
      <c r="K122" s="1008">
        <f>PirteiKisuiBeMutzar!AL124</f>
        <v>0</v>
      </c>
      <c r="L122" s="1008">
        <f>PirteiKisuiBeMutzar!AO124</f>
        <v>0</v>
      </c>
      <c r="M122" s="1008">
        <f>PirteiKisuiBeMutzar!AP124</f>
        <v>0</v>
      </c>
    </row>
    <row r="123" spans="1:13">
      <c r="A123" s="178">
        <f>PirteiKisuiBeMutzar!D125</f>
        <v>0</v>
      </c>
      <c r="B123" s="178">
        <f>PirteiKisuiBeMutzar!AQ125</f>
        <v>0</v>
      </c>
      <c r="C123" s="178">
        <f>PirteiKisuiBeMutzar!AM125</f>
        <v>0</v>
      </c>
      <c r="D123" s="1008">
        <f>PirteiKisuiBeMutzar!G125</f>
        <v>0</v>
      </c>
      <c r="E123" s="1008">
        <f>PirteiKisuiBeMutzar!W125</f>
        <v>0</v>
      </c>
      <c r="F123" s="1008">
        <f>PirteiKisuiBeMutzar!K125</f>
        <v>0</v>
      </c>
      <c r="G123" s="1008">
        <f>PirteiKisuiBeMutzar!M125</f>
        <v>0</v>
      </c>
      <c r="H123" s="1008">
        <f>PirteiKisuiBeMutzar!P125</f>
        <v>0</v>
      </c>
      <c r="I123" s="1008">
        <f>PirteiKisuiBeMutzar!X125</f>
        <v>0</v>
      </c>
      <c r="J123" s="1008">
        <f>PirteiKisuiBeMutzar!Y125</f>
        <v>0</v>
      </c>
      <c r="K123" s="1008">
        <f>PirteiKisuiBeMutzar!AL125</f>
        <v>0</v>
      </c>
      <c r="L123" s="1008">
        <f>PirteiKisuiBeMutzar!AO125</f>
        <v>0</v>
      </c>
      <c r="M123" s="1008">
        <f>PirteiKisuiBeMutzar!AP125</f>
        <v>0</v>
      </c>
    </row>
    <row r="124" spans="1:13">
      <c r="A124" s="178">
        <f>PirteiKisuiBeMutzar!D126</f>
        <v>0</v>
      </c>
      <c r="B124" s="178">
        <f>PirteiKisuiBeMutzar!AQ126</f>
        <v>0</v>
      </c>
      <c r="C124" s="178">
        <f>PirteiKisuiBeMutzar!AM126</f>
        <v>0</v>
      </c>
      <c r="D124" s="1008">
        <f>PirteiKisuiBeMutzar!G126</f>
        <v>0</v>
      </c>
      <c r="E124" s="1008">
        <f>PirteiKisuiBeMutzar!W126</f>
        <v>0</v>
      </c>
      <c r="F124" s="1008">
        <f>PirteiKisuiBeMutzar!K126</f>
        <v>0</v>
      </c>
      <c r="G124" s="1008">
        <f>PirteiKisuiBeMutzar!M126</f>
        <v>0</v>
      </c>
      <c r="H124" s="1008">
        <f>PirteiKisuiBeMutzar!P126</f>
        <v>0</v>
      </c>
      <c r="I124" s="1008">
        <f>PirteiKisuiBeMutzar!X126</f>
        <v>0</v>
      </c>
      <c r="J124" s="1008">
        <f>PirteiKisuiBeMutzar!Y126</f>
        <v>0</v>
      </c>
      <c r="K124" s="1008">
        <f>PirteiKisuiBeMutzar!AL126</f>
        <v>0</v>
      </c>
      <c r="L124" s="1008">
        <f>PirteiKisuiBeMutzar!AO126</f>
        <v>0</v>
      </c>
      <c r="M124" s="1008">
        <f>PirteiKisuiBeMutzar!AP126</f>
        <v>0</v>
      </c>
    </row>
    <row r="125" spans="1:13">
      <c r="A125" s="178">
        <f>PirteiKisuiBeMutzar!D127</f>
        <v>0</v>
      </c>
      <c r="B125" s="178">
        <f>PirteiKisuiBeMutzar!AQ127</f>
        <v>0</v>
      </c>
      <c r="C125" s="178">
        <f>PirteiKisuiBeMutzar!AM127</f>
        <v>0</v>
      </c>
      <c r="D125" s="1008">
        <f>PirteiKisuiBeMutzar!G127</f>
        <v>0</v>
      </c>
      <c r="E125" s="1008">
        <f>PirteiKisuiBeMutzar!W127</f>
        <v>0</v>
      </c>
      <c r="F125" s="1008">
        <f>PirteiKisuiBeMutzar!K127</f>
        <v>0</v>
      </c>
      <c r="G125" s="1008">
        <f>PirteiKisuiBeMutzar!M127</f>
        <v>0</v>
      </c>
      <c r="H125" s="1008">
        <f>PirteiKisuiBeMutzar!P127</f>
        <v>0</v>
      </c>
      <c r="I125" s="1008">
        <f>PirteiKisuiBeMutzar!X127</f>
        <v>0</v>
      </c>
      <c r="J125" s="1008">
        <f>PirteiKisuiBeMutzar!Y127</f>
        <v>0</v>
      </c>
      <c r="K125" s="1008">
        <f>PirteiKisuiBeMutzar!AL127</f>
        <v>0</v>
      </c>
      <c r="L125" s="1008">
        <f>PirteiKisuiBeMutzar!AO127</f>
        <v>0</v>
      </c>
      <c r="M125" s="1008">
        <f>PirteiKisuiBeMutzar!AP127</f>
        <v>0</v>
      </c>
    </row>
    <row r="126" spans="1:13">
      <c r="A126" s="178">
        <f>PirteiKisuiBeMutzar!D128</f>
        <v>0</v>
      </c>
      <c r="B126" s="178">
        <f>PirteiKisuiBeMutzar!AQ128</f>
        <v>0</v>
      </c>
      <c r="C126" s="178">
        <f>PirteiKisuiBeMutzar!AM128</f>
        <v>0</v>
      </c>
      <c r="D126" s="1008">
        <f>PirteiKisuiBeMutzar!G128</f>
        <v>0</v>
      </c>
      <c r="E126" s="1008">
        <f>PirteiKisuiBeMutzar!W128</f>
        <v>0</v>
      </c>
      <c r="F126" s="1008">
        <f>PirteiKisuiBeMutzar!K128</f>
        <v>0</v>
      </c>
      <c r="G126" s="1008">
        <f>PirteiKisuiBeMutzar!M128</f>
        <v>0</v>
      </c>
      <c r="H126" s="1008">
        <f>PirteiKisuiBeMutzar!P128</f>
        <v>0</v>
      </c>
      <c r="I126" s="1008">
        <f>PirteiKisuiBeMutzar!X128</f>
        <v>0</v>
      </c>
      <c r="J126" s="1008">
        <f>PirteiKisuiBeMutzar!Y128</f>
        <v>0</v>
      </c>
      <c r="K126" s="1008">
        <f>PirteiKisuiBeMutzar!AL128</f>
        <v>0</v>
      </c>
      <c r="L126" s="1008">
        <f>PirteiKisuiBeMutzar!AO128</f>
        <v>0</v>
      </c>
      <c r="M126" s="1008">
        <f>PirteiKisuiBeMutzar!AP128</f>
        <v>0</v>
      </c>
    </row>
    <row r="127" spans="1:13">
      <c r="A127" s="178">
        <f>PirteiKisuiBeMutzar!D129</f>
        <v>0</v>
      </c>
      <c r="B127" s="178">
        <f>PirteiKisuiBeMutzar!AQ129</f>
        <v>0</v>
      </c>
      <c r="C127" s="178">
        <f>PirteiKisuiBeMutzar!AM129</f>
        <v>0</v>
      </c>
      <c r="D127" s="1008">
        <f>PirteiKisuiBeMutzar!G129</f>
        <v>0</v>
      </c>
      <c r="E127" s="1008">
        <f>PirteiKisuiBeMutzar!W129</f>
        <v>0</v>
      </c>
      <c r="F127" s="1008">
        <f>PirteiKisuiBeMutzar!K129</f>
        <v>0</v>
      </c>
      <c r="G127" s="1008">
        <f>PirteiKisuiBeMutzar!M129</f>
        <v>0</v>
      </c>
      <c r="H127" s="1008">
        <f>PirteiKisuiBeMutzar!P129</f>
        <v>0</v>
      </c>
      <c r="I127" s="1008">
        <f>PirteiKisuiBeMutzar!X129</f>
        <v>0</v>
      </c>
      <c r="J127" s="1008">
        <f>PirteiKisuiBeMutzar!Y129</f>
        <v>0</v>
      </c>
      <c r="K127" s="1008">
        <f>PirteiKisuiBeMutzar!AL129</f>
        <v>0</v>
      </c>
      <c r="L127" s="1008">
        <f>PirteiKisuiBeMutzar!AO129</f>
        <v>0</v>
      </c>
      <c r="M127" s="1008">
        <f>PirteiKisuiBeMutzar!AP129</f>
        <v>0</v>
      </c>
    </row>
    <row r="128" spans="1:13">
      <c r="A128" s="178">
        <f>PirteiKisuiBeMutzar!D130</f>
        <v>0</v>
      </c>
      <c r="B128" s="178">
        <f>PirteiKisuiBeMutzar!AQ130</f>
        <v>0</v>
      </c>
      <c r="C128" s="178">
        <f>PirteiKisuiBeMutzar!AM130</f>
        <v>0</v>
      </c>
      <c r="D128" s="1008">
        <f>PirteiKisuiBeMutzar!G130</f>
        <v>0</v>
      </c>
      <c r="E128" s="1008">
        <f>PirteiKisuiBeMutzar!W130</f>
        <v>0</v>
      </c>
      <c r="F128" s="1008">
        <f>PirteiKisuiBeMutzar!K130</f>
        <v>0</v>
      </c>
      <c r="G128" s="1008">
        <f>PirteiKisuiBeMutzar!M130</f>
        <v>0</v>
      </c>
      <c r="H128" s="1008">
        <f>PirteiKisuiBeMutzar!P130</f>
        <v>0</v>
      </c>
      <c r="I128" s="1008">
        <f>PirteiKisuiBeMutzar!X130</f>
        <v>0</v>
      </c>
      <c r="J128" s="1008">
        <f>PirteiKisuiBeMutzar!Y130</f>
        <v>0</v>
      </c>
      <c r="K128" s="1008">
        <f>PirteiKisuiBeMutzar!AL130</f>
        <v>0</v>
      </c>
      <c r="L128" s="1008">
        <f>PirteiKisuiBeMutzar!AO130</f>
        <v>0</v>
      </c>
      <c r="M128" s="1008">
        <f>PirteiKisuiBeMutzar!AP130</f>
        <v>0</v>
      </c>
    </row>
    <row r="129" spans="1:13">
      <c r="A129" s="178">
        <f>PirteiKisuiBeMutzar!D131</f>
        <v>0</v>
      </c>
      <c r="B129" s="178">
        <f>PirteiKisuiBeMutzar!AQ131</f>
        <v>0</v>
      </c>
      <c r="C129" s="178">
        <f>PirteiKisuiBeMutzar!AM131</f>
        <v>0</v>
      </c>
      <c r="D129" s="1008">
        <f>PirteiKisuiBeMutzar!G131</f>
        <v>0</v>
      </c>
      <c r="E129" s="1008">
        <f>PirteiKisuiBeMutzar!W131</f>
        <v>0</v>
      </c>
      <c r="F129" s="1008">
        <f>PirteiKisuiBeMutzar!K131</f>
        <v>0</v>
      </c>
      <c r="G129" s="1008">
        <f>PirteiKisuiBeMutzar!M131</f>
        <v>0</v>
      </c>
      <c r="H129" s="1008">
        <f>PirteiKisuiBeMutzar!P131</f>
        <v>0</v>
      </c>
      <c r="I129" s="1008">
        <f>PirteiKisuiBeMutzar!X131</f>
        <v>0</v>
      </c>
      <c r="J129" s="1008">
        <f>PirteiKisuiBeMutzar!Y131</f>
        <v>0</v>
      </c>
      <c r="K129" s="1008">
        <f>PirteiKisuiBeMutzar!AL131</f>
        <v>0</v>
      </c>
      <c r="L129" s="1008">
        <f>PirteiKisuiBeMutzar!AO131</f>
        <v>0</v>
      </c>
      <c r="M129" s="1008">
        <f>PirteiKisuiBeMutzar!AP131</f>
        <v>0</v>
      </c>
    </row>
    <row r="130" spans="1:13">
      <c r="A130" s="178">
        <f>PirteiKisuiBeMutzar!D132</f>
        <v>0</v>
      </c>
      <c r="B130" s="178">
        <f>PirteiKisuiBeMutzar!AQ132</f>
        <v>0</v>
      </c>
      <c r="C130" s="178">
        <f>PirteiKisuiBeMutzar!AM132</f>
        <v>0</v>
      </c>
      <c r="D130" s="1008">
        <f>PirteiKisuiBeMutzar!G132</f>
        <v>0</v>
      </c>
      <c r="E130" s="1008">
        <f>PirteiKisuiBeMutzar!W132</f>
        <v>0</v>
      </c>
      <c r="F130" s="1008">
        <f>PirteiKisuiBeMutzar!K132</f>
        <v>0</v>
      </c>
      <c r="G130" s="1008">
        <f>PirteiKisuiBeMutzar!M132</f>
        <v>0</v>
      </c>
      <c r="H130" s="1008">
        <f>PirteiKisuiBeMutzar!P132</f>
        <v>0</v>
      </c>
      <c r="I130" s="1008">
        <f>PirteiKisuiBeMutzar!X132</f>
        <v>0</v>
      </c>
      <c r="J130" s="1008">
        <f>PirteiKisuiBeMutzar!Y132</f>
        <v>0</v>
      </c>
      <c r="K130" s="1008">
        <f>PirteiKisuiBeMutzar!AL132</f>
        <v>0</v>
      </c>
      <c r="L130" s="1008">
        <f>PirteiKisuiBeMutzar!AO132</f>
        <v>0</v>
      </c>
      <c r="M130" s="1008">
        <f>PirteiKisuiBeMutzar!AP132</f>
        <v>0</v>
      </c>
    </row>
    <row r="131" spans="1:13">
      <c r="A131" s="178">
        <f>PirteiKisuiBeMutzar!D133</f>
        <v>0</v>
      </c>
      <c r="B131" s="178">
        <f>PirteiKisuiBeMutzar!AQ133</f>
        <v>0</v>
      </c>
      <c r="C131" s="178">
        <f>PirteiKisuiBeMutzar!AM133</f>
        <v>0</v>
      </c>
      <c r="D131" s="1008">
        <f>PirteiKisuiBeMutzar!G133</f>
        <v>0</v>
      </c>
      <c r="E131" s="1008">
        <f>PirteiKisuiBeMutzar!W133</f>
        <v>0</v>
      </c>
      <c r="F131" s="1008">
        <f>PirteiKisuiBeMutzar!K133</f>
        <v>0</v>
      </c>
      <c r="G131" s="1008">
        <f>PirteiKisuiBeMutzar!M133</f>
        <v>0</v>
      </c>
      <c r="H131" s="1008">
        <f>PirteiKisuiBeMutzar!P133</f>
        <v>0</v>
      </c>
      <c r="I131" s="1008">
        <f>PirteiKisuiBeMutzar!X133</f>
        <v>0</v>
      </c>
      <c r="J131" s="1008">
        <f>PirteiKisuiBeMutzar!Y133</f>
        <v>0</v>
      </c>
      <c r="K131" s="1008">
        <f>PirteiKisuiBeMutzar!AL133</f>
        <v>0</v>
      </c>
      <c r="L131" s="1008">
        <f>PirteiKisuiBeMutzar!AO133</f>
        <v>0</v>
      </c>
      <c r="M131" s="1008">
        <f>PirteiKisuiBeMutzar!AP133</f>
        <v>0</v>
      </c>
    </row>
    <row r="132" spans="1:13">
      <c r="A132" s="178">
        <f>PirteiKisuiBeMutzar!D134</f>
        <v>0</v>
      </c>
      <c r="B132" s="178">
        <f>PirteiKisuiBeMutzar!AQ134</f>
        <v>0</v>
      </c>
      <c r="C132" s="178">
        <f>PirteiKisuiBeMutzar!AM134</f>
        <v>0</v>
      </c>
      <c r="D132" s="1008">
        <f>PirteiKisuiBeMutzar!G134</f>
        <v>0</v>
      </c>
      <c r="E132" s="1008">
        <f>PirteiKisuiBeMutzar!W134</f>
        <v>0</v>
      </c>
      <c r="F132" s="1008">
        <f>PirteiKisuiBeMutzar!K134</f>
        <v>0</v>
      </c>
      <c r="G132" s="1008">
        <f>PirteiKisuiBeMutzar!M134</f>
        <v>0</v>
      </c>
      <c r="H132" s="1008">
        <f>PirteiKisuiBeMutzar!P134</f>
        <v>0</v>
      </c>
      <c r="I132" s="1008">
        <f>PirteiKisuiBeMutzar!X134</f>
        <v>0</v>
      </c>
      <c r="J132" s="1008">
        <f>PirteiKisuiBeMutzar!Y134</f>
        <v>0</v>
      </c>
      <c r="K132" s="1008">
        <f>PirteiKisuiBeMutzar!AL134</f>
        <v>0</v>
      </c>
      <c r="L132" s="1008">
        <f>PirteiKisuiBeMutzar!AO134</f>
        <v>0</v>
      </c>
      <c r="M132" s="1008">
        <f>PirteiKisuiBeMutzar!AP134</f>
        <v>0</v>
      </c>
    </row>
    <row r="133" spans="1:13">
      <c r="A133" s="178">
        <f>PirteiKisuiBeMutzar!D135</f>
        <v>0</v>
      </c>
      <c r="B133" s="178">
        <f>PirteiKisuiBeMutzar!AQ135</f>
        <v>0</v>
      </c>
      <c r="C133" s="178">
        <f>PirteiKisuiBeMutzar!AM135</f>
        <v>0</v>
      </c>
      <c r="D133" s="1008">
        <f>PirteiKisuiBeMutzar!G135</f>
        <v>0</v>
      </c>
      <c r="E133" s="1008">
        <f>PirteiKisuiBeMutzar!W135</f>
        <v>0</v>
      </c>
      <c r="F133" s="1008">
        <f>PirteiKisuiBeMutzar!K135</f>
        <v>0</v>
      </c>
      <c r="G133" s="1008">
        <f>PirteiKisuiBeMutzar!M135</f>
        <v>0</v>
      </c>
      <c r="H133" s="1008">
        <f>PirteiKisuiBeMutzar!P135</f>
        <v>0</v>
      </c>
      <c r="I133" s="1008">
        <f>PirteiKisuiBeMutzar!X135</f>
        <v>0</v>
      </c>
      <c r="J133" s="1008">
        <f>PirteiKisuiBeMutzar!Y135</f>
        <v>0</v>
      </c>
      <c r="K133" s="1008">
        <f>PirteiKisuiBeMutzar!AL135</f>
        <v>0</v>
      </c>
      <c r="L133" s="1008">
        <f>PirteiKisuiBeMutzar!AO135</f>
        <v>0</v>
      </c>
      <c r="M133" s="1008">
        <f>PirteiKisuiBeMutzar!AP135</f>
        <v>0</v>
      </c>
    </row>
    <row r="134" spans="1:13">
      <c r="A134" s="178">
        <f>PirteiKisuiBeMutzar!D136</f>
        <v>0</v>
      </c>
      <c r="B134" s="178">
        <f>PirteiKisuiBeMutzar!AQ136</f>
        <v>0</v>
      </c>
      <c r="C134" s="178">
        <f>PirteiKisuiBeMutzar!AM136</f>
        <v>0</v>
      </c>
      <c r="D134" s="1008">
        <f>PirteiKisuiBeMutzar!G136</f>
        <v>0</v>
      </c>
      <c r="E134" s="1008">
        <f>PirteiKisuiBeMutzar!W136</f>
        <v>0</v>
      </c>
      <c r="F134" s="1008">
        <f>PirteiKisuiBeMutzar!K136</f>
        <v>0</v>
      </c>
      <c r="G134" s="1008">
        <f>PirteiKisuiBeMutzar!M136</f>
        <v>0</v>
      </c>
      <c r="H134" s="1008">
        <f>PirteiKisuiBeMutzar!P136</f>
        <v>0</v>
      </c>
      <c r="I134" s="1008">
        <f>PirteiKisuiBeMutzar!X136</f>
        <v>0</v>
      </c>
      <c r="J134" s="1008">
        <f>PirteiKisuiBeMutzar!Y136</f>
        <v>0</v>
      </c>
      <c r="K134" s="1008">
        <f>PirteiKisuiBeMutzar!AL136</f>
        <v>0</v>
      </c>
      <c r="L134" s="1008">
        <f>PirteiKisuiBeMutzar!AO136</f>
        <v>0</v>
      </c>
      <c r="M134" s="1008">
        <f>PirteiKisuiBeMutzar!AP136</f>
        <v>0</v>
      </c>
    </row>
    <row r="135" spans="1:13">
      <c r="A135" s="178">
        <f>PirteiKisuiBeMutzar!D137</f>
        <v>0</v>
      </c>
      <c r="B135" s="178">
        <f>PirteiKisuiBeMutzar!AQ137</f>
        <v>0</v>
      </c>
      <c r="C135" s="178">
        <f>PirteiKisuiBeMutzar!AM137</f>
        <v>0</v>
      </c>
      <c r="D135" s="1008">
        <f>PirteiKisuiBeMutzar!G137</f>
        <v>0</v>
      </c>
      <c r="E135" s="1008">
        <f>PirteiKisuiBeMutzar!W137</f>
        <v>0</v>
      </c>
      <c r="F135" s="1008">
        <f>PirteiKisuiBeMutzar!K137</f>
        <v>0</v>
      </c>
      <c r="G135" s="1008">
        <f>PirteiKisuiBeMutzar!M137</f>
        <v>0</v>
      </c>
      <c r="H135" s="1008">
        <f>PirteiKisuiBeMutzar!P137</f>
        <v>0</v>
      </c>
      <c r="I135" s="1008">
        <f>PirteiKisuiBeMutzar!X137</f>
        <v>0</v>
      </c>
      <c r="J135" s="1008">
        <f>PirteiKisuiBeMutzar!Y137</f>
        <v>0</v>
      </c>
      <c r="K135" s="1008">
        <f>PirteiKisuiBeMutzar!AL137</f>
        <v>0</v>
      </c>
      <c r="L135" s="1008">
        <f>PirteiKisuiBeMutzar!AO137</f>
        <v>0</v>
      </c>
      <c r="M135" s="1008">
        <f>PirteiKisuiBeMutzar!AP137</f>
        <v>0</v>
      </c>
    </row>
    <row r="136" spans="1:13">
      <c r="A136" s="178">
        <f>PirteiKisuiBeMutzar!D138</f>
        <v>0</v>
      </c>
      <c r="B136" s="178">
        <f>PirteiKisuiBeMutzar!AQ138</f>
        <v>0</v>
      </c>
      <c r="C136" s="178">
        <f>PirteiKisuiBeMutzar!AM138</f>
        <v>0</v>
      </c>
      <c r="D136" s="1008">
        <f>PirteiKisuiBeMutzar!G138</f>
        <v>0</v>
      </c>
      <c r="E136" s="1008">
        <f>PirteiKisuiBeMutzar!W138</f>
        <v>0</v>
      </c>
      <c r="F136" s="1008">
        <f>PirteiKisuiBeMutzar!K138</f>
        <v>0</v>
      </c>
      <c r="G136" s="1008">
        <f>PirteiKisuiBeMutzar!M138</f>
        <v>0</v>
      </c>
      <c r="H136" s="1008">
        <f>PirteiKisuiBeMutzar!P138</f>
        <v>0</v>
      </c>
      <c r="I136" s="1008">
        <f>PirteiKisuiBeMutzar!X138</f>
        <v>0</v>
      </c>
      <c r="J136" s="1008">
        <f>PirteiKisuiBeMutzar!Y138</f>
        <v>0</v>
      </c>
      <c r="K136" s="1008">
        <f>PirteiKisuiBeMutzar!AL138</f>
        <v>0</v>
      </c>
      <c r="L136" s="1008">
        <f>PirteiKisuiBeMutzar!AO138</f>
        <v>0</v>
      </c>
      <c r="M136" s="1008">
        <f>PirteiKisuiBeMutzar!AP138</f>
        <v>0</v>
      </c>
    </row>
    <row r="137" spans="1:13">
      <c r="A137" s="178">
        <f>PirteiKisuiBeMutzar!D139</f>
        <v>0</v>
      </c>
      <c r="B137" s="178">
        <f>PirteiKisuiBeMutzar!AQ139</f>
        <v>0</v>
      </c>
      <c r="C137" s="178">
        <f>PirteiKisuiBeMutzar!AM139</f>
        <v>0</v>
      </c>
      <c r="D137" s="1008">
        <f>PirteiKisuiBeMutzar!G139</f>
        <v>0</v>
      </c>
      <c r="E137" s="1008">
        <f>PirteiKisuiBeMutzar!W139</f>
        <v>0</v>
      </c>
      <c r="F137" s="1008">
        <f>PirteiKisuiBeMutzar!K139</f>
        <v>0</v>
      </c>
      <c r="G137" s="1008">
        <f>PirteiKisuiBeMutzar!M139</f>
        <v>0</v>
      </c>
      <c r="H137" s="1008">
        <f>PirteiKisuiBeMutzar!P139</f>
        <v>0</v>
      </c>
      <c r="I137" s="1008">
        <f>PirteiKisuiBeMutzar!X139</f>
        <v>0</v>
      </c>
      <c r="J137" s="1008">
        <f>PirteiKisuiBeMutzar!Y139</f>
        <v>0</v>
      </c>
      <c r="K137" s="1008">
        <f>PirteiKisuiBeMutzar!AL139</f>
        <v>0</v>
      </c>
      <c r="L137" s="1008">
        <f>PirteiKisuiBeMutzar!AO139</f>
        <v>0</v>
      </c>
      <c r="M137" s="1008">
        <f>PirteiKisuiBeMutzar!AP139</f>
        <v>0</v>
      </c>
    </row>
    <row r="138" spans="1:13">
      <c r="A138" s="178">
        <f>PirteiKisuiBeMutzar!D140</f>
        <v>0</v>
      </c>
      <c r="B138" s="178">
        <f>PirteiKisuiBeMutzar!AQ140</f>
        <v>0</v>
      </c>
      <c r="C138" s="178">
        <f>PirteiKisuiBeMutzar!AM140</f>
        <v>0</v>
      </c>
      <c r="D138" s="1008">
        <f>PirteiKisuiBeMutzar!G140</f>
        <v>0</v>
      </c>
      <c r="E138" s="1008">
        <f>PirteiKisuiBeMutzar!W140</f>
        <v>0</v>
      </c>
      <c r="F138" s="1008">
        <f>PirteiKisuiBeMutzar!K140</f>
        <v>0</v>
      </c>
      <c r="G138" s="1008">
        <f>PirteiKisuiBeMutzar!M140</f>
        <v>0</v>
      </c>
      <c r="H138" s="1008">
        <f>PirteiKisuiBeMutzar!P140</f>
        <v>0</v>
      </c>
      <c r="I138" s="1008">
        <f>PirteiKisuiBeMutzar!X140</f>
        <v>0</v>
      </c>
      <c r="J138" s="1008">
        <f>PirteiKisuiBeMutzar!Y140</f>
        <v>0</v>
      </c>
      <c r="K138" s="1008">
        <f>PirteiKisuiBeMutzar!AL140</f>
        <v>0</v>
      </c>
      <c r="L138" s="1008">
        <f>PirteiKisuiBeMutzar!AO140</f>
        <v>0</v>
      </c>
      <c r="M138" s="1008">
        <f>PirteiKisuiBeMutzar!AP140</f>
        <v>0</v>
      </c>
    </row>
    <row r="139" spans="1:13">
      <c r="A139" s="178">
        <f>PirteiKisuiBeMutzar!D141</f>
        <v>0</v>
      </c>
      <c r="B139" s="178">
        <f>PirteiKisuiBeMutzar!AQ141</f>
        <v>0</v>
      </c>
      <c r="C139" s="178">
        <f>PirteiKisuiBeMutzar!AM141</f>
        <v>0</v>
      </c>
      <c r="D139" s="1008">
        <f>PirteiKisuiBeMutzar!G141</f>
        <v>0</v>
      </c>
      <c r="E139" s="1008">
        <f>PirteiKisuiBeMutzar!W141</f>
        <v>0</v>
      </c>
      <c r="F139" s="1008">
        <f>PirteiKisuiBeMutzar!K141</f>
        <v>0</v>
      </c>
      <c r="G139" s="1008">
        <f>PirteiKisuiBeMutzar!M141</f>
        <v>0</v>
      </c>
      <c r="H139" s="1008">
        <f>PirteiKisuiBeMutzar!P141</f>
        <v>0</v>
      </c>
      <c r="I139" s="1008">
        <f>PirteiKisuiBeMutzar!X141</f>
        <v>0</v>
      </c>
      <c r="J139" s="1008">
        <f>PirteiKisuiBeMutzar!Y141</f>
        <v>0</v>
      </c>
      <c r="K139" s="1008">
        <f>PirteiKisuiBeMutzar!AL141</f>
        <v>0</v>
      </c>
      <c r="L139" s="1008">
        <f>PirteiKisuiBeMutzar!AO141</f>
        <v>0</v>
      </c>
      <c r="M139" s="1008">
        <f>PirteiKisuiBeMutzar!AP141</f>
        <v>0</v>
      </c>
    </row>
    <row r="140" spans="1:13">
      <c r="A140" s="178">
        <f>PirteiKisuiBeMutzar!D142</f>
        <v>0</v>
      </c>
      <c r="B140" s="178">
        <f>PirteiKisuiBeMutzar!AQ142</f>
        <v>0</v>
      </c>
      <c r="C140" s="178">
        <f>PirteiKisuiBeMutzar!AM142</f>
        <v>0</v>
      </c>
      <c r="D140" s="1008">
        <f>PirteiKisuiBeMutzar!G142</f>
        <v>0</v>
      </c>
      <c r="E140" s="1008">
        <f>PirteiKisuiBeMutzar!W142</f>
        <v>0</v>
      </c>
      <c r="F140" s="1008">
        <f>PirteiKisuiBeMutzar!K142</f>
        <v>0</v>
      </c>
      <c r="G140" s="1008">
        <f>PirteiKisuiBeMutzar!M142</f>
        <v>0</v>
      </c>
      <c r="H140" s="1008">
        <f>PirteiKisuiBeMutzar!P142</f>
        <v>0</v>
      </c>
      <c r="I140" s="1008">
        <f>PirteiKisuiBeMutzar!X142</f>
        <v>0</v>
      </c>
      <c r="J140" s="1008">
        <f>PirteiKisuiBeMutzar!Y142</f>
        <v>0</v>
      </c>
      <c r="K140" s="1008">
        <f>PirteiKisuiBeMutzar!AL142</f>
        <v>0</v>
      </c>
      <c r="L140" s="1008">
        <f>PirteiKisuiBeMutzar!AO142</f>
        <v>0</v>
      </c>
      <c r="M140" s="1008">
        <f>PirteiKisuiBeMutzar!AP142</f>
        <v>0</v>
      </c>
    </row>
    <row r="141" spans="1:13">
      <c r="A141" s="178">
        <f>PirteiKisuiBeMutzar!D143</f>
        <v>0</v>
      </c>
      <c r="B141" s="178">
        <f>PirteiKisuiBeMutzar!AQ143</f>
        <v>0</v>
      </c>
      <c r="C141" s="178">
        <f>PirteiKisuiBeMutzar!AM143</f>
        <v>0</v>
      </c>
      <c r="D141" s="1008">
        <f>PirteiKisuiBeMutzar!G143</f>
        <v>0</v>
      </c>
      <c r="E141" s="1008">
        <f>PirteiKisuiBeMutzar!W143</f>
        <v>0</v>
      </c>
      <c r="F141" s="1008">
        <f>PirteiKisuiBeMutzar!K143</f>
        <v>0</v>
      </c>
      <c r="G141" s="1008">
        <f>PirteiKisuiBeMutzar!M143</f>
        <v>0</v>
      </c>
      <c r="H141" s="1008">
        <f>PirteiKisuiBeMutzar!P143</f>
        <v>0</v>
      </c>
      <c r="I141" s="1008">
        <f>PirteiKisuiBeMutzar!X143</f>
        <v>0</v>
      </c>
      <c r="J141" s="1008">
        <f>PirteiKisuiBeMutzar!Y143</f>
        <v>0</v>
      </c>
      <c r="K141" s="1008">
        <f>PirteiKisuiBeMutzar!AL143</f>
        <v>0</v>
      </c>
      <c r="L141" s="1008">
        <f>PirteiKisuiBeMutzar!AO143</f>
        <v>0</v>
      </c>
      <c r="M141" s="1008">
        <f>PirteiKisuiBeMutzar!AP143</f>
        <v>0</v>
      </c>
    </row>
    <row r="142" spans="1:13">
      <c r="A142" s="178">
        <f>PirteiKisuiBeMutzar!D144</f>
        <v>0</v>
      </c>
      <c r="B142" s="178">
        <f>PirteiKisuiBeMutzar!AQ144</f>
        <v>0</v>
      </c>
      <c r="C142" s="178">
        <f>PirteiKisuiBeMutzar!AM144</f>
        <v>0</v>
      </c>
      <c r="D142" s="1008">
        <f>PirteiKisuiBeMutzar!G144</f>
        <v>0</v>
      </c>
      <c r="E142" s="1008">
        <f>PirteiKisuiBeMutzar!W144</f>
        <v>0</v>
      </c>
      <c r="F142" s="1008">
        <f>PirteiKisuiBeMutzar!K144</f>
        <v>0</v>
      </c>
      <c r="G142" s="1008">
        <f>PirteiKisuiBeMutzar!M144</f>
        <v>0</v>
      </c>
      <c r="H142" s="1008">
        <f>PirteiKisuiBeMutzar!P144</f>
        <v>0</v>
      </c>
      <c r="I142" s="1008">
        <f>PirteiKisuiBeMutzar!X144</f>
        <v>0</v>
      </c>
      <c r="J142" s="1008">
        <f>PirteiKisuiBeMutzar!Y144</f>
        <v>0</v>
      </c>
      <c r="K142" s="1008">
        <f>PirteiKisuiBeMutzar!AL144</f>
        <v>0</v>
      </c>
      <c r="L142" s="1008">
        <f>PirteiKisuiBeMutzar!AO144</f>
        <v>0</v>
      </c>
      <c r="M142" s="1008">
        <f>PirteiKisuiBeMutzar!AP144</f>
        <v>0</v>
      </c>
    </row>
    <row r="143" spans="1:13">
      <c r="A143" s="178">
        <f>PirteiKisuiBeMutzar!D145</f>
        <v>0</v>
      </c>
      <c r="B143" s="178">
        <f>PirteiKisuiBeMutzar!AQ145</f>
        <v>0</v>
      </c>
      <c r="C143" s="178">
        <f>PirteiKisuiBeMutzar!AM145</f>
        <v>0</v>
      </c>
      <c r="D143" s="1008">
        <f>PirteiKisuiBeMutzar!G145</f>
        <v>0</v>
      </c>
      <c r="E143" s="1008">
        <f>PirteiKisuiBeMutzar!W145</f>
        <v>0</v>
      </c>
      <c r="F143" s="1008">
        <f>PirteiKisuiBeMutzar!K145</f>
        <v>0</v>
      </c>
      <c r="G143" s="1008">
        <f>PirteiKisuiBeMutzar!M145</f>
        <v>0</v>
      </c>
      <c r="H143" s="1008">
        <f>PirteiKisuiBeMutzar!P145</f>
        <v>0</v>
      </c>
      <c r="I143" s="1008">
        <f>PirteiKisuiBeMutzar!X145</f>
        <v>0</v>
      </c>
      <c r="J143" s="1008">
        <f>PirteiKisuiBeMutzar!Y145</f>
        <v>0</v>
      </c>
      <c r="K143" s="1008">
        <f>PirteiKisuiBeMutzar!AL145</f>
        <v>0</v>
      </c>
      <c r="L143" s="1008">
        <f>PirteiKisuiBeMutzar!AO145</f>
        <v>0</v>
      </c>
      <c r="M143" s="1008">
        <f>PirteiKisuiBeMutzar!AP145</f>
        <v>0</v>
      </c>
    </row>
    <row r="144" spans="1:13">
      <c r="A144" s="178">
        <f>PirteiKisuiBeMutzar!D146</f>
        <v>0</v>
      </c>
      <c r="B144" s="178">
        <f>PirteiKisuiBeMutzar!AQ146</f>
        <v>0</v>
      </c>
      <c r="C144" s="178">
        <f>PirteiKisuiBeMutzar!AM146</f>
        <v>0</v>
      </c>
      <c r="D144" s="1008">
        <f>PirteiKisuiBeMutzar!G146</f>
        <v>0</v>
      </c>
      <c r="E144" s="1008">
        <f>PirteiKisuiBeMutzar!W146</f>
        <v>0</v>
      </c>
      <c r="F144" s="1008">
        <f>PirteiKisuiBeMutzar!K146</f>
        <v>0</v>
      </c>
      <c r="G144" s="1008">
        <f>PirteiKisuiBeMutzar!M146</f>
        <v>0</v>
      </c>
      <c r="H144" s="1008">
        <f>PirteiKisuiBeMutzar!P146</f>
        <v>0</v>
      </c>
      <c r="I144" s="1008">
        <f>PirteiKisuiBeMutzar!X146</f>
        <v>0</v>
      </c>
      <c r="J144" s="1008">
        <f>PirteiKisuiBeMutzar!Y146</f>
        <v>0</v>
      </c>
      <c r="K144" s="1008">
        <f>PirteiKisuiBeMutzar!AL146</f>
        <v>0</v>
      </c>
      <c r="L144" s="1008">
        <f>PirteiKisuiBeMutzar!AO146</f>
        <v>0</v>
      </c>
      <c r="M144" s="1008">
        <f>PirteiKisuiBeMutzar!AP146</f>
        <v>0</v>
      </c>
    </row>
    <row r="145" spans="1:13">
      <c r="A145" s="178">
        <f>PirteiKisuiBeMutzar!D147</f>
        <v>0</v>
      </c>
      <c r="B145" s="178">
        <f>PirteiKisuiBeMutzar!AQ147</f>
        <v>0</v>
      </c>
      <c r="C145" s="178">
        <f>PirteiKisuiBeMutzar!AM147</f>
        <v>0</v>
      </c>
      <c r="D145" s="1008">
        <f>PirteiKisuiBeMutzar!G147</f>
        <v>0</v>
      </c>
      <c r="E145" s="1008">
        <f>PirteiKisuiBeMutzar!W147</f>
        <v>0</v>
      </c>
      <c r="F145" s="1008">
        <f>PirteiKisuiBeMutzar!K147</f>
        <v>0</v>
      </c>
      <c r="G145" s="1008">
        <f>PirteiKisuiBeMutzar!M147</f>
        <v>0</v>
      </c>
      <c r="H145" s="1008">
        <f>PirteiKisuiBeMutzar!P147</f>
        <v>0</v>
      </c>
      <c r="I145" s="1008">
        <f>PirteiKisuiBeMutzar!X147</f>
        <v>0</v>
      </c>
      <c r="J145" s="1008">
        <f>PirteiKisuiBeMutzar!Y147</f>
        <v>0</v>
      </c>
      <c r="K145" s="1008">
        <f>PirteiKisuiBeMutzar!AL147</f>
        <v>0</v>
      </c>
      <c r="L145" s="1008">
        <f>PirteiKisuiBeMutzar!AO147</f>
        <v>0</v>
      </c>
      <c r="M145" s="1008">
        <f>PirteiKisuiBeMutzar!AP147</f>
        <v>0</v>
      </c>
    </row>
    <row r="146" spans="1:13">
      <c r="A146" s="178">
        <f>PirteiKisuiBeMutzar!D148</f>
        <v>0</v>
      </c>
      <c r="B146" s="178">
        <f>PirteiKisuiBeMutzar!AQ148</f>
        <v>0</v>
      </c>
      <c r="C146" s="178">
        <f>PirteiKisuiBeMutzar!AM148</f>
        <v>0</v>
      </c>
      <c r="D146" s="1008">
        <f>PirteiKisuiBeMutzar!G148</f>
        <v>0</v>
      </c>
      <c r="E146" s="1008">
        <f>PirteiKisuiBeMutzar!W148</f>
        <v>0</v>
      </c>
      <c r="F146" s="1008">
        <f>PirteiKisuiBeMutzar!K148</f>
        <v>0</v>
      </c>
      <c r="G146" s="1008">
        <f>PirteiKisuiBeMutzar!M148</f>
        <v>0</v>
      </c>
      <c r="H146" s="1008">
        <f>PirteiKisuiBeMutzar!P148</f>
        <v>0</v>
      </c>
      <c r="I146" s="1008">
        <f>PirteiKisuiBeMutzar!X148</f>
        <v>0</v>
      </c>
      <c r="J146" s="1008">
        <f>PirteiKisuiBeMutzar!Y148</f>
        <v>0</v>
      </c>
      <c r="K146" s="1008">
        <f>PirteiKisuiBeMutzar!AL148</f>
        <v>0</v>
      </c>
      <c r="L146" s="1008">
        <f>PirteiKisuiBeMutzar!AO148</f>
        <v>0</v>
      </c>
      <c r="M146" s="1008">
        <f>PirteiKisuiBeMutzar!AP148</f>
        <v>0</v>
      </c>
    </row>
    <row r="147" spans="1:13">
      <c r="A147" s="178">
        <f>PirteiKisuiBeMutzar!D149</f>
        <v>0</v>
      </c>
      <c r="B147" s="178">
        <f>PirteiKisuiBeMutzar!AQ149</f>
        <v>0</v>
      </c>
      <c r="C147" s="178">
        <f>PirteiKisuiBeMutzar!AM149</f>
        <v>0</v>
      </c>
      <c r="D147" s="1008">
        <f>PirteiKisuiBeMutzar!G149</f>
        <v>0</v>
      </c>
      <c r="E147" s="1008">
        <f>PirteiKisuiBeMutzar!W149</f>
        <v>0</v>
      </c>
      <c r="F147" s="1008">
        <f>PirteiKisuiBeMutzar!K149</f>
        <v>0</v>
      </c>
      <c r="G147" s="1008">
        <f>PirteiKisuiBeMutzar!M149</f>
        <v>0</v>
      </c>
      <c r="H147" s="1008">
        <f>PirteiKisuiBeMutzar!P149</f>
        <v>0</v>
      </c>
      <c r="I147" s="1008">
        <f>PirteiKisuiBeMutzar!X149</f>
        <v>0</v>
      </c>
      <c r="J147" s="1008">
        <f>PirteiKisuiBeMutzar!Y149</f>
        <v>0</v>
      </c>
      <c r="K147" s="1008">
        <f>PirteiKisuiBeMutzar!AL149</f>
        <v>0</v>
      </c>
      <c r="L147" s="1008">
        <f>PirteiKisuiBeMutzar!AO149</f>
        <v>0</v>
      </c>
      <c r="M147" s="1008">
        <f>PirteiKisuiBeMutzar!AP149</f>
        <v>0</v>
      </c>
    </row>
    <row r="148" spans="1:13">
      <c r="A148" s="178">
        <f>PirteiKisuiBeMutzar!D150</f>
        <v>0</v>
      </c>
      <c r="B148" s="178">
        <f>PirteiKisuiBeMutzar!AQ150</f>
        <v>0</v>
      </c>
      <c r="C148" s="178">
        <f>PirteiKisuiBeMutzar!AM150</f>
        <v>0</v>
      </c>
      <c r="D148" s="1008">
        <f>PirteiKisuiBeMutzar!G150</f>
        <v>0</v>
      </c>
      <c r="E148" s="1008">
        <f>PirteiKisuiBeMutzar!W150</f>
        <v>0</v>
      </c>
      <c r="F148" s="1008">
        <f>PirteiKisuiBeMutzar!K150</f>
        <v>0</v>
      </c>
      <c r="G148" s="1008">
        <f>PirteiKisuiBeMutzar!M150</f>
        <v>0</v>
      </c>
      <c r="H148" s="1008">
        <f>PirteiKisuiBeMutzar!P150</f>
        <v>0</v>
      </c>
      <c r="I148" s="1008">
        <f>PirteiKisuiBeMutzar!X150</f>
        <v>0</v>
      </c>
      <c r="J148" s="1008">
        <f>PirteiKisuiBeMutzar!Y150</f>
        <v>0</v>
      </c>
      <c r="K148" s="1008">
        <f>PirteiKisuiBeMutzar!AL150</f>
        <v>0</v>
      </c>
      <c r="L148" s="1008">
        <f>PirteiKisuiBeMutzar!AO150</f>
        <v>0</v>
      </c>
      <c r="M148" s="1008">
        <f>PirteiKisuiBeMutzar!AP150</f>
        <v>0</v>
      </c>
    </row>
    <row r="149" spans="1:13">
      <c r="A149" s="178">
        <f>PirteiKisuiBeMutzar!D151</f>
        <v>0</v>
      </c>
      <c r="B149" s="178">
        <f>PirteiKisuiBeMutzar!AQ151</f>
        <v>0</v>
      </c>
      <c r="C149" s="178">
        <f>PirteiKisuiBeMutzar!AM151</f>
        <v>0</v>
      </c>
      <c r="D149" s="1008">
        <f>PirteiKisuiBeMutzar!G151</f>
        <v>0</v>
      </c>
      <c r="E149" s="1008">
        <f>PirteiKisuiBeMutzar!W151</f>
        <v>0</v>
      </c>
      <c r="F149" s="1008">
        <f>PirteiKisuiBeMutzar!K151</f>
        <v>0</v>
      </c>
      <c r="G149" s="1008">
        <f>PirteiKisuiBeMutzar!M151</f>
        <v>0</v>
      </c>
      <c r="H149" s="1008">
        <f>PirteiKisuiBeMutzar!P151</f>
        <v>0</v>
      </c>
      <c r="I149" s="1008">
        <f>PirteiKisuiBeMutzar!X151</f>
        <v>0</v>
      </c>
      <c r="J149" s="1008">
        <f>PirteiKisuiBeMutzar!Y151</f>
        <v>0</v>
      </c>
      <c r="K149" s="1008">
        <f>PirteiKisuiBeMutzar!AL151</f>
        <v>0</v>
      </c>
      <c r="L149" s="1008">
        <f>PirteiKisuiBeMutzar!AO151</f>
        <v>0</v>
      </c>
      <c r="M149" s="1008">
        <f>PirteiKisuiBeMutzar!AP151</f>
        <v>0</v>
      </c>
    </row>
    <row r="150" spans="1:13">
      <c r="A150" s="178">
        <f>PirteiKisuiBeMutzar!D152</f>
        <v>0</v>
      </c>
      <c r="B150" s="178">
        <f>PirteiKisuiBeMutzar!AQ152</f>
        <v>0</v>
      </c>
      <c r="C150" s="178">
        <f>PirteiKisuiBeMutzar!AM152</f>
        <v>0</v>
      </c>
      <c r="D150" s="1008">
        <f>PirteiKisuiBeMutzar!G152</f>
        <v>0</v>
      </c>
      <c r="E150" s="1008">
        <f>PirteiKisuiBeMutzar!W152</f>
        <v>0</v>
      </c>
      <c r="F150" s="1008">
        <f>PirteiKisuiBeMutzar!K152</f>
        <v>0</v>
      </c>
      <c r="G150" s="1008">
        <f>PirteiKisuiBeMutzar!M152</f>
        <v>0</v>
      </c>
      <c r="H150" s="1008">
        <f>PirteiKisuiBeMutzar!P152</f>
        <v>0</v>
      </c>
      <c r="I150" s="1008">
        <f>PirteiKisuiBeMutzar!X152</f>
        <v>0</v>
      </c>
      <c r="J150" s="1008">
        <f>PirteiKisuiBeMutzar!Y152</f>
        <v>0</v>
      </c>
      <c r="K150" s="1008">
        <f>PirteiKisuiBeMutzar!AL152</f>
        <v>0</v>
      </c>
      <c r="L150" s="1008">
        <f>PirteiKisuiBeMutzar!AO152</f>
        <v>0</v>
      </c>
      <c r="M150" s="1008">
        <f>PirteiKisuiBeMutzar!AP152</f>
        <v>0</v>
      </c>
    </row>
    <row r="151" spans="1:13">
      <c r="A151" s="178">
        <f>PirteiKisuiBeMutzar!D153</f>
        <v>0</v>
      </c>
      <c r="B151" s="178">
        <f>PirteiKisuiBeMutzar!AQ153</f>
        <v>0</v>
      </c>
      <c r="C151" s="178">
        <f>PirteiKisuiBeMutzar!AM153</f>
        <v>0</v>
      </c>
      <c r="D151" s="1008">
        <f>PirteiKisuiBeMutzar!G153</f>
        <v>0</v>
      </c>
      <c r="E151" s="1008">
        <f>PirteiKisuiBeMutzar!W153</f>
        <v>0</v>
      </c>
      <c r="F151" s="1008">
        <f>PirteiKisuiBeMutzar!K153</f>
        <v>0</v>
      </c>
      <c r="G151" s="1008">
        <f>PirteiKisuiBeMutzar!M153</f>
        <v>0</v>
      </c>
      <c r="H151" s="1008">
        <f>PirteiKisuiBeMutzar!P153</f>
        <v>0</v>
      </c>
      <c r="I151" s="1008">
        <f>PirteiKisuiBeMutzar!X153</f>
        <v>0</v>
      </c>
      <c r="J151" s="1008">
        <f>PirteiKisuiBeMutzar!Y153</f>
        <v>0</v>
      </c>
      <c r="K151" s="1008">
        <f>PirteiKisuiBeMutzar!AL153</f>
        <v>0</v>
      </c>
      <c r="L151" s="1008">
        <f>PirteiKisuiBeMutzar!AO153</f>
        <v>0</v>
      </c>
      <c r="M151" s="1008">
        <f>PirteiKisuiBeMutzar!AP153</f>
        <v>0</v>
      </c>
    </row>
    <row r="152" spans="1:13">
      <c r="A152" s="178">
        <f>PirteiKisuiBeMutzar!D154</f>
        <v>0</v>
      </c>
      <c r="B152" s="178">
        <f>PirteiKisuiBeMutzar!AQ154</f>
        <v>0</v>
      </c>
      <c r="C152" s="178">
        <f>PirteiKisuiBeMutzar!AM154</f>
        <v>0</v>
      </c>
      <c r="D152" s="1008">
        <f>PirteiKisuiBeMutzar!G154</f>
        <v>0</v>
      </c>
      <c r="E152" s="1008">
        <f>PirteiKisuiBeMutzar!W154</f>
        <v>0</v>
      </c>
      <c r="F152" s="1008">
        <f>PirteiKisuiBeMutzar!K154</f>
        <v>0</v>
      </c>
      <c r="G152" s="1008">
        <f>PirteiKisuiBeMutzar!M154</f>
        <v>0</v>
      </c>
      <c r="H152" s="1008">
        <f>PirteiKisuiBeMutzar!P154</f>
        <v>0</v>
      </c>
      <c r="I152" s="1008">
        <f>PirteiKisuiBeMutzar!X154</f>
        <v>0</v>
      </c>
      <c r="J152" s="1008">
        <f>PirteiKisuiBeMutzar!Y154</f>
        <v>0</v>
      </c>
      <c r="K152" s="1008">
        <f>PirteiKisuiBeMutzar!AL154</f>
        <v>0</v>
      </c>
      <c r="L152" s="1008">
        <f>PirteiKisuiBeMutzar!AO154</f>
        <v>0</v>
      </c>
      <c r="M152" s="1008">
        <f>PirteiKisuiBeMutzar!AP154</f>
        <v>0</v>
      </c>
    </row>
    <row r="153" spans="1:13">
      <c r="A153" s="178">
        <f>PirteiKisuiBeMutzar!D155</f>
        <v>0</v>
      </c>
      <c r="B153" s="178">
        <f>PirteiKisuiBeMutzar!AQ155</f>
        <v>0</v>
      </c>
      <c r="C153" s="178">
        <f>PirteiKisuiBeMutzar!AM155</f>
        <v>0</v>
      </c>
      <c r="D153" s="1008">
        <f>PirteiKisuiBeMutzar!G155</f>
        <v>0</v>
      </c>
      <c r="E153" s="1008">
        <f>PirteiKisuiBeMutzar!W155</f>
        <v>0</v>
      </c>
      <c r="F153" s="1008">
        <f>PirteiKisuiBeMutzar!K155</f>
        <v>0</v>
      </c>
      <c r="G153" s="1008">
        <f>PirteiKisuiBeMutzar!M155</f>
        <v>0</v>
      </c>
      <c r="H153" s="1008">
        <f>PirteiKisuiBeMutzar!P155</f>
        <v>0</v>
      </c>
      <c r="I153" s="1008">
        <f>PirteiKisuiBeMutzar!X155</f>
        <v>0</v>
      </c>
      <c r="J153" s="1008">
        <f>PirteiKisuiBeMutzar!Y155</f>
        <v>0</v>
      </c>
      <c r="K153" s="1008">
        <f>PirteiKisuiBeMutzar!AL155</f>
        <v>0</v>
      </c>
      <c r="L153" s="1008">
        <f>PirteiKisuiBeMutzar!AO155</f>
        <v>0</v>
      </c>
      <c r="M153" s="1008">
        <f>PirteiKisuiBeMutzar!AP155</f>
        <v>0</v>
      </c>
    </row>
    <row r="154" spans="1:13">
      <c r="A154" s="178">
        <f>PirteiKisuiBeMutzar!D156</f>
        <v>0</v>
      </c>
      <c r="B154" s="178">
        <f>PirteiKisuiBeMutzar!AQ156</f>
        <v>0</v>
      </c>
      <c r="C154" s="178">
        <f>PirteiKisuiBeMutzar!AM156</f>
        <v>0</v>
      </c>
      <c r="D154" s="1008">
        <f>PirteiKisuiBeMutzar!G156</f>
        <v>0</v>
      </c>
      <c r="E154" s="1008">
        <f>PirteiKisuiBeMutzar!W156</f>
        <v>0</v>
      </c>
      <c r="F154" s="1008">
        <f>PirteiKisuiBeMutzar!K156</f>
        <v>0</v>
      </c>
      <c r="G154" s="1008">
        <f>PirteiKisuiBeMutzar!M156</f>
        <v>0</v>
      </c>
      <c r="H154" s="1008">
        <f>PirteiKisuiBeMutzar!P156</f>
        <v>0</v>
      </c>
      <c r="I154" s="1008">
        <f>PirteiKisuiBeMutzar!X156</f>
        <v>0</v>
      </c>
      <c r="J154" s="1008">
        <f>PirteiKisuiBeMutzar!Y156</f>
        <v>0</v>
      </c>
      <c r="K154" s="1008">
        <f>PirteiKisuiBeMutzar!AL156</f>
        <v>0</v>
      </c>
      <c r="L154" s="1008">
        <f>PirteiKisuiBeMutzar!AO156</f>
        <v>0</v>
      </c>
      <c r="M154" s="1008">
        <f>PirteiKisuiBeMutzar!AP156</f>
        <v>0</v>
      </c>
    </row>
    <row r="155" spans="1:13">
      <c r="A155" s="178">
        <f>PirteiKisuiBeMutzar!D157</f>
        <v>0</v>
      </c>
      <c r="B155" s="178">
        <f>PirteiKisuiBeMutzar!AQ157</f>
        <v>0</v>
      </c>
      <c r="C155" s="178">
        <f>PirteiKisuiBeMutzar!AM157</f>
        <v>0</v>
      </c>
      <c r="D155" s="1008">
        <f>PirteiKisuiBeMutzar!G157</f>
        <v>0</v>
      </c>
      <c r="E155" s="1008">
        <f>PirteiKisuiBeMutzar!W157</f>
        <v>0</v>
      </c>
      <c r="F155" s="1008">
        <f>PirteiKisuiBeMutzar!K157</f>
        <v>0</v>
      </c>
      <c r="G155" s="1008">
        <f>PirteiKisuiBeMutzar!M157</f>
        <v>0</v>
      </c>
      <c r="H155" s="1008">
        <f>PirteiKisuiBeMutzar!P157</f>
        <v>0</v>
      </c>
      <c r="I155" s="1008">
        <f>PirteiKisuiBeMutzar!X157</f>
        <v>0</v>
      </c>
      <c r="J155" s="1008">
        <f>PirteiKisuiBeMutzar!Y157</f>
        <v>0</v>
      </c>
      <c r="K155" s="1008">
        <f>PirteiKisuiBeMutzar!AL157</f>
        <v>0</v>
      </c>
      <c r="L155" s="1008">
        <f>PirteiKisuiBeMutzar!AO157</f>
        <v>0</v>
      </c>
      <c r="M155" s="1008">
        <f>PirteiKisuiBeMutzar!AP157</f>
        <v>0</v>
      </c>
    </row>
    <row r="156" spans="1:13">
      <c r="A156" s="178">
        <f>PirteiKisuiBeMutzar!D158</f>
        <v>0</v>
      </c>
      <c r="B156" s="178">
        <f>PirteiKisuiBeMutzar!AQ158</f>
        <v>0</v>
      </c>
      <c r="C156" s="178">
        <f>PirteiKisuiBeMutzar!AM158</f>
        <v>0</v>
      </c>
      <c r="D156" s="1008">
        <f>PirteiKisuiBeMutzar!G158</f>
        <v>0</v>
      </c>
      <c r="E156" s="1008">
        <f>PirteiKisuiBeMutzar!W158</f>
        <v>0</v>
      </c>
      <c r="F156" s="1008">
        <f>PirteiKisuiBeMutzar!K158</f>
        <v>0</v>
      </c>
      <c r="G156" s="1008">
        <f>PirteiKisuiBeMutzar!M158</f>
        <v>0</v>
      </c>
      <c r="H156" s="1008">
        <f>PirteiKisuiBeMutzar!P158</f>
        <v>0</v>
      </c>
      <c r="I156" s="1008">
        <f>PirteiKisuiBeMutzar!X158</f>
        <v>0</v>
      </c>
      <c r="J156" s="1008">
        <f>PirteiKisuiBeMutzar!Y158</f>
        <v>0</v>
      </c>
      <c r="K156" s="1008">
        <f>PirteiKisuiBeMutzar!AL158</f>
        <v>0</v>
      </c>
      <c r="L156" s="1008">
        <f>PirteiKisuiBeMutzar!AO158</f>
        <v>0</v>
      </c>
      <c r="M156" s="1008">
        <f>PirteiKisuiBeMutzar!AP158</f>
        <v>0</v>
      </c>
    </row>
    <row r="157" spans="1:13">
      <c r="A157" s="178">
        <f>PirteiKisuiBeMutzar!D159</f>
        <v>0</v>
      </c>
      <c r="B157" s="178">
        <f>PirteiKisuiBeMutzar!AQ159</f>
        <v>0</v>
      </c>
      <c r="C157" s="178">
        <f>PirteiKisuiBeMutzar!AM159</f>
        <v>0</v>
      </c>
      <c r="D157" s="1008">
        <f>PirteiKisuiBeMutzar!G159</f>
        <v>0</v>
      </c>
      <c r="E157" s="1008">
        <f>PirteiKisuiBeMutzar!W159</f>
        <v>0</v>
      </c>
      <c r="F157" s="1008">
        <f>PirteiKisuiBeMutzar!K159</f>
        <v>0</v>
      </c>
      <c r="G157" s="1008">
        <f>PirteiKisuiBeMutzar!M159</f>
        <v>0</v>
      </c>
      <c r="H157" s="1008">
        <f>PirteiKisuiBeMutzar!P159</f>
        <v>0</v>
      </c>
      <c r="I157" s="1008">
        <f>PirteiKisuiBeMutzar!X159</f>
        <v>0</v>
      </c>
      <c r="J157" s="1008">
        <f>PirteiKisuiBeMutzar!Y159</f>
        <v>0</v>
      </c>
      <c r="K157" s="1008">
        <f>PirteiKisuiBeMutzar!AL159</f>
        <v>0</v>
      </c>
      <c r="L157" s="1008">
        <f>PirteiKisuiBeMutzar!AO159</f>
        <v>0</v>
      </c>
      <c r="M157" s="1008">
        <f>PirteiKisuiBeMutzar!AP159</f>
        <v>0</v>
      </c>
    </row>
    <row r="158" spans="1:13">
      <c r="A158" s="178">
        <f>PirteiKisuiBeMutzar!D160</f>
        <v>0</v>
      </c>
      <c r="B158" s="178">
        <f>PirteiKisuiBeMutzar!AQ160</f>
        <v>0</v>
      </c>
      <c r="C158" s="178">
        <f>PirteiKisuiBeMutzar!AM160</f>
        <v>0</v>
      </c>
      <c r="D158" s="1008">
        <f>PirteiKisuiBeMutzar!G160</f>
        <v>0</v>
      </c>
      <c r="E158" s="1008">
        <f>PirteiKisuiBeMutzar!W160</f>
        <v>0</v>
      </c>
      <c r="F158" s="1008">
        <f>PirteiKisuiBeMutzar!K160</f>
        <v>0</v>
      </c>
      <c r="G158" s="1008">
        <f>PirteiKisuiBeMutzar!M160</f>
        <v>0</v>
      </c>
      <c r="H158" s="1008">
        <f>PirteiKisuiBeMutzar!P160</f>
        <v>0</v>
      </c>
      <c r="I158" s="1008">
        <f>PirteiKisuiBeMutzar!X160</f>
        <v>0</v>
      </c>
      <c r="J158" s="1008">
        <f>PirteiKisuiBeMutzar!Y160</f>
        <v>0</v>
      </c>
      <c r="K158" s="1008">
        <f>PirteiKisuiBeMutzar!AL160</f>
        <v>0</v>
      </c>
      <c r="L158" s="1008">
        <f>PirteiKisuiBeMutzar!AO160</f>
        <v>0</v>
      </c>
      <c r="M158" s="1008">
        <f>PirteiKisuiBeMutzar!AP160</f>
        <v>0</v>
      </c>
    </row>
    <row r="159" spans="1:13">
      <c r="A159" s="178">
        <f>PirteiKisuiBeMutzar!D161</f>
        <v>0</v>
      </c>
      <c r="B159" s="178">
        <f>PirteiKisuiBeMutzar!AQ161</f>
        <v>0</v>
      </c>
      <c r="C159" s="178">
        <f>PirteiKisuiBeMutzar!AM161</f>
        <v>0</v>
      </c>
      <c r="D159" s="178">
        <f>PirteiKisuiBeMutzar!G161</f>
        <v>0</v>
      </c>
      <c r="E159" s="178">
        <f>PirteiKisuiBeMutzar!W161</f>
        <v>0</v>
      </c>
      <c r="F159" s="178">
        <f>PirteiKisuiBeMutzar!K161</f>
        <v>0</v>
      </c>
      <c r="G159" s="178">
        <f>PirteiKisuiBeMutzar!M161</f>
        <v>0</v>
      </c>
      <c r="H159" s="985">
        <f>PirteiKisuiBeMutzar!P161</f>
        <v>0</v>
      </c>
      <c r="I159" s="178">
        <f>PirteiKisuiBeMutzar!X161</f>
        <v>0</v>
      </c>
      <c r="J159" s="985">
        <f>PirteiKisuiBeMutzar!Y161</f>
        <v>0</v>
      </c>
      <c r="K159" s="178">
        <f>PirteiKisuiBeMutzar!AL161</f>
        <v>0</v>
      </c>
      <c r="L159" s="178">
        <f>PirteiKisuiBeMutzar!AO161</f>
        <v>0</v>
      </c>
      <c r="M159" s="178">
        <f>PirteiKisuiBeMutzar!AP161</f>
        <v>0</v>
      </c>
    </row>
    <row r="160" spans="1:13">
      <c r="A160" s="178">
        <f>PirteiKisuiBeMutzar!D162</f>
        <v>0</v>
      </c>
      <c r="B160" s="178">
        <f>PirteiKisuiBeMutzar!AQ162</f>
        <v>0</v>
      </c>
      <c r="C160" s="178">
        <f>PirteiKisuiBeMutzar!AM162</f>
        <v>0</v>
      </c>
      <c r="D160" s="178">
        <f>PirteiKisuiBeMutzar!G162</f>
        <v>0</v>
      </c>
      <c r="E160" s="178">
        <f>PirteiKisuiBeMutzar!W162</f>
        <v>0</v>
      </c>
      <c r="F160" s="178">
        <f>PirteiKisuiBeMutzar!K162</f>
        <v>0</v>
      </c>
      <c r="G160" s="178">
        <f>PirteiKisuiBeMutzar!M162</f>
        <v>0</v>
      </c>
      <c r="H160" s="985">
        <f>PirteiKisuiBeMutzar!P162</f>
        <v>0</v>
      </c>
      <c r="I160" s="178">
        <f>PirteiKisuiBeMutzar!X162</f>
        <v>0</v>
      </c>
      <c r="J160" s="985">
        <f>PirteiKisuiBeMutzar!Y162</f>
        <v>0</v>
      </c>
      <c r="K160" s="178">
        <f>PirteiKisuiBeMutzar!AL162</f>
        <v>0</v>
      </c>
      <c r="L160" s="178">
        <f>PirteiKisuiBeMutzar!AO162</f>
        <v>0</v>
      </c>
      <c r="M160" s="178">
        <f>PirteiKisuiBeMutzar!AP162</f>
        <v>0</v>
      </c>
    </row>
    <row r="161" spans="1:13">
      <c r="A161" s="178">
        <f>PirteiKisuiBeMutzar!D163</f>
        <v>0</v>
      </c>
      <c r="B161" s="178">
        <f>PirteiKisuiBeMutzar!AQ163</f>
        <v>0</v>
      </c>
      <c r="C161" s="178">
        <f>PirteiKisuiBeMutzar!AM163</f>
        <v>0</v>
      </c>
      <c r="D161" s="178">
        <f>PirteiKisuiBeMutzar!G163</f>
        <v>0</v>
      </c>
      <c r="E161" s="178">
        <f>PirteiKisuiBeMutzar!W163</f>
        <v>0</v>
      </c>
      <c r="F161" s="178">
        <f>PirteiKisuiBeMutzar!K163</f>
        <v>0</v>
      </c>
      <c r="G161" s="178">
        <f>PirteiKisuiBeMutzar!M163</f>
        <v>0</v>
      </c>
      <c r="H161" s="985">
        <f>PirteiKisuiBeMutzar!P163</f>
        <v>0</v>
      </c>
      <c r="I161" s="178">
        <f>PirteiKisuiBeMutzar!X163</f>
        <v>0</v>
      </c>
      <c r="J161" s="985">
        <f>PirteiKisuiBeMutzar!Y163</f>
        <v>0</v>
      </c>
      <c r="K161" s="178">
        <f>PirteiKisuiBeMutzar!AL163</f>
        <v>0</v>
      </c>
      <c r="L161" s="178">
        <f>PirteiKisuiBeMutzar!AO163</f>
        <v>0</v>
      </c>
      <c r="M161" s="178">
        <f>PirteiKisuiBeMutzar!AP163</f>
        <v>0</v>
      </c>
    </row>
    <row r="162" spans="1:13">
      <c r="A162" s="178">
        <f>PirteiKisuiBeMutzar!D164</f>
        <v>0</v>
      </c>
      <c r="B162" s="178">
        <f>PirteiKisuiBeMutzar!AQ164</f>
        <v>0</v>
      </c>
      <c r="C162" s="178">
        <f>PirteiKisuiBeMutzar!AM164</f>
        <v>0</v>
      </c>
      <c r="D162" s="178">
        <f>PirteiKisuiBeMutzar!G164</f>
        <v>0</v>
      </c>
      <c r="E162" s="178">
        <f>PirteiKisuiBeMutzar!W164</f>
        <v>0</v>
      </c>
      <c r="F162" s="178">
        <f>PirteiKisuiBeMutzar!K164</f>
        <v>0</v>
      </c>
      <c r="G162" s="178">
        <f>PirteiKisuiBeMutzar!M164</f>
        <v>0</v>
      </c>
      <c r="H162" s="985">
        <f>PirteiKisuiBeMutzar!P164</f>
        <v>0</v>
      </c>
      <c r="I162" s="178">
        <f>PirteiKisuiBeMutzar!X164</f>
        <v>0</v>
      </c>
      <c r="J162" s="985">
        <f>PirteiKisuiBeMutzar!Y164</f>
        <v>0</v>
      </c>
      <c r="K162" s="178">
        <f>PirteiKisuiBeMutzar!AL164</f>
        <v>0</v>
      </c>
      <c r="L162" s="178">
        <f>PirteiKisuiBeMutzar!AO164</f>
        <v>0</v>
      </c>
      <c r="M162" s="178">
        <f>PirteiKisuiBeMutzar!AP164</f>
        <v>0</v>
      </c>
    </row>
    <row r="163" spans="1:13">
      <c r="A163" s="178">
        <f>PirteiKisuiBeMutzar!D165</f>
        <v>0</v>
      </c>
      <c r="B163" s="178">
        <f>PirteiKisuiBeMutzar!AQ165</f>
        <v>0</v>
      </c>
      <c r="C163" s="178">
        <f>PirteiKisuiBeMutzar!AM165</f>
        <v>0</v>
      </c>
      <c r="D163" s="178">
        <f>PirteiKisuiBeMutzar!G165</f>
        <v>0</v>
      </c>
      <c r="E163" s="178">
        <f>PirteiKisuiBeMutzar!W165</f>
        <v>0</v>
      </c>
      <c r="F163" s="178">
        <f>PirteiKisuiBeMutzar!K165</f>
        <v>0</v>
      </c>
      <c r="G163" s="178">
        <f>PirteiKisuiBeMutzar!M165</f>
        <v>0</v>
      </c>
      <c r="H163" s="985">
        <f>PirteiKisuiBeMutzar!P165</f>
        <v>0</v>
      </c>
      <c r="I163" s="178">
        <f>PirteiKisuiBeMutzar!X165</f>
        <v>0</v>
      </c>
      <c r="J163" s="985">
        <f>PirteiKisuiBeMutzar!Y165</f>
        <v>0</v>
      </c>
      <c r="K163" s="178">
        <f>PirteiKisuiBeMutzar!AL165</f>
        <v>0</v>
      </c>
      <c r="L163" s="178">
        <f>PirteiKisuiBeMutzar!AO165</f>
        <v>0</v>
      </c>
      <c r="M163" s="178">
        <f>PirteiKisuiBeMutzar!AP165</f>
        <v>0</v>
      </c>
    </row>
    <row r="164" spans="1:13">
      <c r="A164" s="178">
        <f>PirteiKisuiBeMutzar!D166</f>
        <v>0</v>
      </c>
      <c r="B164" s="178">
        <f>PirteiKisuiBeMutzar!AQ166</f>
        <v>0</v>
      </c>
      <c r="C164" s="178">
        <f>PirteiKisuiBeMutzar!AM166</f>
        <v>0</v>
      </c>
      <c r="D164" s="178">
        <f>PirteiKisuiBeMutzar!G166</f>
        <v>0</v>
      </c>
      <c r="E164" s="178">
        <f>PirteiKisuiBeMutzar!W166</f>
        <v>0</v>
      </c>
      <c r="F164" s="178">
        <f>PirteiKisuiBeMutzar!K166</f>
        <v>0</v>
      </c>
      <c r="G164" s="178">
        <f>PirteiKisuiBeMutzar!M166</f>
        <v>0</v>
      </c>
      <c r="H164" s="985">
        <f>PirteiKisuiBeMutzar!P166</f>
        <v>0</v>
      </c>
      <c r="I164" s="178">
        <f>PirteiKisuiBeMutzar!X166</f>
        <v>0</v>
      </c>
      <c r="J164" s="985">
        <f>PirteiKisuiBeMutzar!Y166</f>
        <v>0</v>
      </c>
      <c r="K164" s="178">
        <f>PirteiKisuiBeMutzar!AL166</f>
        <v>0</v>
      </c>
      <c r="L164" s="178">
        <f>PirteiKisuiBeMutzar!AO166</f>
        <v>0</v>
      </c>
      <c r="M164" s="178">
        <f>PirteiKisuiBeMutzar!AP166</f>
        <v>0</v>
      </c>
    </row>
    <row r="165" spans="1:13">
      <c r="A165" s="178">
        <f>PirteiKisuiBeMutzar!D167</f>
        <v>0</v>
      </c>
      <c r="B165" s="178">
        <f>PirteiKisuiBeMutzar!AQ167</f>
        <v>0</v>
      </c>
      <c r="C165" s="178">
        <f>PirteiKisuiBeMutzar!AM167</f>
        <v>0</v>
      </c>
      <c r="D165" s="178">
        <f>PirteiKisuiBeMutzar!G167</f>
        <v>0</v>
      </c>
      <c r="E165" s="178">
        <f>PirteiKisuiBeMutzar!W167</f>
        <v>0</v>
      </c>
      <c r="F165" s="178">
        <f>PirteiKisuiBeMutzar!K167</f>
        <v>0</v>
      </c>
      <c r="G165" s="178">
        <f>PirteiKisuiBeMutzar!M167</f>
        <v>0</v>
      </c>
      <c r="H165" s="985">
        <f>PirteiKisuiBeMutzar!P167</f>
        <v>0</v>
      </c>
      <c r="I165" s="178">
        <f>PirteiKisuiBeMutzar!X167</f>
        <v>0</v>
      </c>
      <c r="J165" s="985">
        <f>PirteiKisuiBeMutzar!Y167</f>
        <v>0</v>
      </c>
      <c r="K165" s="178">
        <f>PirteiKisuiBeMutzar!AL167</f>
        <v>0</v>
      </c>
      <c r="L165" s="178">
        <f>PirteiKisuiBeMutzar!AO167</f>
        <v>0</v>
      </c>
      <c r="M165" s="178">
        <f>PirteiKisuiBeMutzar!AP167</f>
        <v>0</v>
      </c>
    </row>
    <row r="166" spans="1:13">
      <c r="A166" s="178">
        <f>PirteiKisuiBeMutzar!D168</f>
        <v>0</v>
      </c>
      <c r="B166" s="178">
        <f>PirteiKisuiBeMutzar!AQ168</f>
        <v>0</v>
      </c>
      <c r="C166" s="178">
        <f>PirteiKisuiBeMutzar!AM168</f>
        <v>0</v>
      </c>
      <c r="D166" s="178">
        <f>PirteiKisuiBeMutzar!G168</f>
        <v>0</v>
      </c>
      <c r="E166" s="178">
        <f>PirteiKisuiBeMutzar!W168</f>
        <v>0</v>
      </c>
      <c r="F166" s="178">
        <f>PirteiKisuiBeMutzar!K168</f>
        <v>0</v>
      </c>
      <c r="G166" s="178">
        <f>PirteiKisuiBeMutzar!M168</f>
        <v>0</v>
      </c>
      <c r="H166" s="985">
        <f>PirteiKisuiBeMutzar!P168</f>
        <v>0</v>
      </c>
      <c r="I166" s="178">
        <f>PirteiKisuiBeMutzar!X168</f>
        <v>0</v>
      </c>
      <c r="J166" s="985">
        <f>PirteiKisuiBeMutzar!Y168</f>
        <v>0</v>
      </c>
      <c r="K166" s="178">
        <f>PirteiKisuiBeMutzar!AL168</f>
        <v>0</v>
      </c>
      <c r="L166" s="178">
        <f>PirteiKisuiBeMutzar!AO168</f>
        <v>0</v>
      </c>
      <c r="M166" s="178">
        <f>PirteiKisuiBeMutzar!AP168</f>
        <v>0</v>
      </c>
    </row>
    <row r="167" spans="1:13">
      <c r="A167" s="178">
        <f>PirteiKisuiBeMutzar!D169</f>
        <v>0</v>
      </c>
      <c r="B167" s="178">
        <f>PirteiKisuiBeMutzar!AQ169</f>
        <v>0</v>
      </c>
      <c r="C167" s="178">
        <f>PirteiKisuiBeMutzar!AM169</f>
        <v>0</v>
      </c>
      <c r="D167" s="178">
        <f>PirteiKisuiBeMutzar!G169</f>
        <v>0</v>
      </c>
      <c r="E167" s="178">
        <f>PirteiKisuiBeMutzar!W169</f>
        <v>0</v>
      </c>
      <c r="F167" s="178">
        <f>PirteiKisuiBeMutzar!K169</f>
        <v>0</v>
      </c>
      <c r="G167" s="178">
        <f>PirteiKisuiBeMutzar!M169</f>
        <v>0</v>
      </c>
      <c r="H167" s="985">
        <f>PirteiKisuiBeMutzar!P169</f>
        <v>0</v>
      </c>
      <c r="I167" s="178">
        <f>PirteiKisuiBeMutzar!X169</f>
        <v>0</v>
      </c>
      <c r="J167" s="985">
        <f>PirteiKisuiBeMutzar!Y169</f>
        <v>0</v>
      </c>
      <c r="K167" s="178">
        <f>PirteiKisuiBeMutzar!AL169</f>
        <v>0</v>
      </c>
      <c r="L167" s="178">
        <f>PirteiKisuiBeMutzar!AO169</f>
        <v>0</v>
      </c>
      <c r="M167" s="178">
        <f>PirteiKisuiBeMutzar!AP169</f>
        <v>0</v>
      </c>
    </row>
    <row r="168" spans="1:13">
      <c r="A168" s="178">
        <f>PirteiKisuiBeMutzar!D170</f>
        <v>0</v>
      </c>
      <c r="B168" s="178">
        <f>PirteiKisuiBeMutzar!AQ170</f>
        <v>0</v>
      </c>
      <c r="C168" s="178">
        <f>PirteiKisuiBeMutzar!AM170</f>
        <v>0</v>
      </c>
      <c r="D168" s="178">
        <f>PirteiKisuiBeMutzar!G170</f>
        <v>0</v>
      </c>
      <c r="E168" s="178">
        <f>PirteiKisuiBeMutzar!W170</f>
        <v>0</v>
      </c>
      <c r="F168" s="178">
        <f>PirteiKisuiBeMutzar!K170</f>
        <v>0</v>
      </c>
      <c r="G168" s="178">
        <f>PirteiKisuiBeMutzar!M170</f>
        <v>0</v>
      </c>
      <c r="H168" s="985">
        <f>PirteiKisuiBeMutzar!P170</f>
        <v>0</v>
      </c>
      <c r="I168" s="178">
        <f>PirteiKisuiBeMutzar!X170</f>
        <v>0</v>
      </c>
      <c r="J168" s="985">
        <f>PirteiKisuiBeMutzar!Y170</f>
        <v>0</v>
      </c>
      <c r="K168" s="178">
        <f>PirteiKisuiBeMutzar!AL170</f>
        <v>0</v>
      </c>
      <c r="L168" s="178">
        <f>PirteiKisuiBeMutzar!AO170</f>
        <v>0</v>
      </c>
      <c r="M168" s="178">
        <f>PirteiKisuiBeMutzar!AP170</f>
        <v>0</v>
      </c>
    </row>
    <row r="169" spans="1:13">
      <c r="A169" s="178">
        <f>PirteiKisuiBeMutzar!D171</f>
        <v>0</v>
      </c>
      <c r="B169" s="178">
        <f>PirteiKisuiBeMutzar!AQ171</f>
        <v>0</v>
      </c>
      <c r="C169" s="178">
        <f>PirteiKisuiBeMutzar!AM171</f>
        <v>0</v>
      </c>
      <c r="D169" s="178">
        <f>PirteiKisuiBeMutzar!G171</f>
        <v>0</v>
      </c>
      <c r="E169" s="178">
        <f>PirteiKisuiBeMutzar!W171</f>
        <v>0</v>
      </c>
      <c r="F169" s="178">
        <f>PirteiKisuiBeMutzar!K171</f>
        <v>0</v>
      </c>
      <c r="G169" s="178">
        <f>PirteiKisuiBeMutzar!M171</f>
        <v>0</v>
      </c>
      <c r="H169" s="985">
        <f>PirteiKisuiBeMutzar!P171</f>
        <v>0</v>
      </c>
      <c r="I169" s="178">
        <f>PirteiKisuiBeMutzar!X171</f>
        <v>0</v>
      </c>
      <c r="J169" s="985">
        <f>PirteiKisuiBeMutzar!Y171</f>
        <v>0</v>
      </c>
      <c r="K169" s="178">
        <f>PirteiKisuiBeMutzar!AL171</f>
        <v>0</v>
      </c>
      <c r="L169" s="178">
        <f>PirteiKisuiBeMutzar!AO171</f>
        <v>0</v>
      </c>
      <c r="M169" s="178">
        <f>PirteiKisuiBeMutzar!AP171</f>
        <v>0</v>
      </c>
    </row>
    <row r="170" spans="1:13">
      <c r="A170" s="178">
        <f>PirteiKisuiBeMutzar!D172</f>
        <v>0</v>
      </c>
      <c r="B170" s="178">
        <f>PirteiKisuiBeMutzar!AQ172</f>
        <v>0</v>
      </c>
      <c r="C170" s="178">
        <f>PirteiKisuiBeMutzar!AM172</f>
        <v>0</v>
      </c>
      <c r="D170" s="178">
        <f>PirteiKisuiBeMutzar!G172</f>
        <v>0</v>
      </c>
      <c r="E170" s="178">
        <f>PirteiKisuiBeMutzar!W172</f>
        <v>0</v>
      </c>
      <c r="F170" s="178">
        <f>PirteiKisuiBeMutzar!K172</f>
        <v>0</v>
      </c>
      <c r="G170" s="178">
        <f>PirteiKisuiBeMutzar!M172</f>
        <v>0</v>
      </c>
      <c r="H170" s="985">
        <f>PirteiKisuiBeMutzar!P172</f>
        <v>0</v>
      </c>
      <c r="I170" s="178">
        <f>PirteiKisuiBeMutzar!X172</f>
        <v>0</v>
      </c>
      <c r="J170" s="985">
        <f>PirteiKisuiBeMutzar!Y172</f>
        <v>0</v>
      </c>
      <c r="K170" s="178">
        <f>PirteiKisuiBeMutzar!AL172</f>
        <v>0</v>
      </c>
      <c r="L170" s="178">
        <f>PirteiKisuiBeMutzar!AO172</f>
        <v>0</v>
      </c>
      <c r="M170" s="178">
        <f>PirteiKisuiBeMutzar!AP172</f>
        <v>0</v>
      </c>
    </row>
    <row r="171" spans="1:13">
      <c r="A171" s="178">
        <f>PirteiKisuiBeMutzar!D173</f>
        <v>0</v>
      </c>
      <c r="B171" s="178">
        <f>PirteiKisuiBeMutzar!AQ173</f>
        <v>0</v>
      </c>
      <c r="C171" s="178">
        <f>PirteiKisuiBeMutzar!AM173</f>
        <v>0</v>
      </c>
      <c r="D171" s="178">
        <f>PirteiKisuiBeMutzar!G173</f>
        <v>0</v>
      </c>
      <c r="E171" s="178">
        <f>PirteiKisuiBeMutzar!W173</f>
        <v>0</v>
      </c>
      <c r="F171" s="178">
        <f>PirteiKisuiBeMutzar!K173</f>
        <v>0</v>
      </c>
      <c r="G171" s="178">
        <f>PirteiKisuiBeMutzar!M173</f>
        <v>0</v>
      </c>
      <c r="H171" s="985">
        <f>PirteiKisuiBeMutzar!P173</f>
        <v>0</v>
      </c>
      <c r="I171" s="178">
        <f>PirteiKisuiBeMutzar!X173</f>
        <v>0</v>
      </c>
      <c r="J171" s="985">
        <f>PirteiKisuiBeMutzar!Y173</f>
        <v>0</v>
      </c>
      <c r="K171" s="178">
        <f>PirteiKisuiBeMutzar!AL173</f>
        <v>0</v>
      </c>
      <c r="L171" s="178">
        <f>PirteiKisuiBeMutzar!AO173</f>
        <v>0</v>
      </c>
      <c r="M171" s="178">
        <f>PirteiKisuiBeMutzar!AP173</f>
        <v>0</v>
      </c>
    </row>
    <row r="172" spans="1:13">
      <c r="A172" s="178">
        <f>PirteiKisuiBeMutzar!D174</f>
        <v>0</v>
      </c>
      <c r="B172" s="178">
        <f>PirteiKisuiBeMutzar!AQ174</f>
        <v>0</v>
      </c>
      <c r="C172" s="178">
        <f>PirteiKisuiBeMutzar!AM174</f>
        <v>0</v>
      </c>
      <c r="D172" s="178">
        <f>PirteiKisuiBeMutzar!G174</f>
        <v>0</v>
      </c>
      <c r="E172" s="178">
        <f>PirteiKisuiBeMutzar!W174</f>
        <v>0</v>
      </c>
      <c r="F172" s="178">
        <f>PirteiKisuiBeMutzar!K174</f>
        <v>0</v>
      </c>
      <c r="G172" s="178">
        <f>PirteiKisuiBeMutzar!M174</f>
        <v>0</v>
      </c>
      <c r="H172" s="985">
        <f>PirteiKisuiBeMutzar!P174</f>
        <v>0</v>
      </c>
      <c r="I172" s="178">
        <f>PirteiKisuiBeMutzar!X174</f>
        <v>0</v>
      </c>
      <c r="J172" s="985">
        <f>PirteiKisuiBeMutzar!Y174</f>
        <v>0</v>
      </c>
      <c r="K172" s="178">
        <f>PirteiKisuiBeMutzar!AL174</f>
        <v>0</v>
      </c>
      <c r="L172" s="178">
        <f>PirteiKisuiBeMutzar!AO174</f>
        <v>0</v>
      </c>
      <c r="M172" s="178">
        <f>PirteiKisuiBeMutzar!AP174</f>
        <v>0</v>
      </c>
    </row>
    <row r="173" spans="1:13">
      <c r="A173" s="178">
        <f>PirteiKisuiBeMutzar!D175</f>
        <v>0</v>
      </c>
      <c r="B173" s="178">
        <f>PirteiKisuiBeMutzar!AQ175</f>
        <v>0</v>
      </c>
      <c r="C173" s="178">
        <f>PirteiKisuiBeMutzar!AM175</f>
        <v>0</v>
      </c>
      <c r="D173" s="178">
        <f>PirteiKisuiBeMutzar!G175</f>
        <v>0</v>
      </c>
      <c r="E173" s="178">
        <f>PirteiKisuiBeMutzar!W175</f>
        <v>0</v>
      </c>
      <c r="F173" s="178">
        <f>PirteiKisuiBeMutzar!K175</f>
        <v>0</v>
      </c>
      <c r="G173" s="178">
        <f>PirteiKisuiBeMutzar!M175</f>
        <v>0</v>
      </c>
      <c r="H173" s="985">
        <f>PirteiKisuiBeMutzar!P175</f>
        <v>0</v>
      </c>
      <c r="I173" s="178">
        <f>PirteiKisuiBeMutzar!X175</f>
        <v>0</v>
      </c>
      <c r="J173" s="985">
        <f>PirteiKisuiBeMutzar!Y175</f>
        <v>0</v>
      </c>
      <c r="K173" s="178">
        <f>PirteiKisuiBeMutzar!AL175</f>
        <v>0</v>
      </c>
      <c r="L173" s="178">
        <f>PirteiKisuiBeMutzar!AO175</f>
        <v>0</v>
      </c>
      <c r="M173" s="178">
        <f>PirteiKisuiBeMutzar!AP175</f>
        <v>0</v>
      </c>
    </row>
    <row r="174" spans="1:13">
      <c r="A174" s="178">
        <f>PirteiKisuiBeMutzar!D176</f>
        <v>0</v>
      </c>
      <c r="B174" s="178">
        <f>PirteiKisuiBeMutzar!AQ176</f>
        <v>0</v>
      </c>
      <c r="C174" s="178">
        <f>PirteiKisuiBeMutzar!AM176</f>
        <v>0</v>
      </c>
      <c r="D174" s="178">
        <f>PirteiKisuiBeMutzar!G176</f>
        <v>0</v>
      </c>
      <c r="E174" s="178">
        <f>PirteiKisuiBeMutzar!W176</f>
        <v>0</v>
      </c>
      <c r="F174" s="178">
        <f>PirteiKisuiBeMutzar!K176</f>
        <v>0</v>
      </c>
      <c r="G174" s="178">
        <f>PirteiKisuiBeMutzar!M176</f>
        <v>0</v>
      </c>
      <c r="H174" s="985">
        <f>PirteiKisuiBeMutzar!P176</f>
        <v>0</v>
      </c>
      <c r="I174" s="178">
        <f>PirteiKisuiBeMutzar!X176</f>
        <v>0</v>
      </c>
      <c r="J174" s="985">
        <f>PirteiKisuiBeMutzar!Y176</f>
        <v>0</v>
      </c>
      <c r="K174" s="178">
        <f>PirteiKisuiBeMutzar!AL176</f>
        <v>0</v>
      </c>
      <c r="L174" s="178">
        <f>PirteiKisuiBeMutzar!AO176</f>
        <v>0</v>
      </c>
      <c r="M174" s="178">
        <f>PirteiKisuiBeMutzar!AP176</f>
        <v>0</v>
      </c>
    </row>
    <row r="175" spans="1:13">
      <c r="A175" s="178">
        <f>PirteiKisuiBeMutzar!D177</f>
        <v>0</v>
      </c>
      <c r="B175" s="178">
        <f>PirteiKisuiBeMutzar!AQ177</f>
        <v>0</v>
      </c>
      <c r="C175" s="178">
        <f>PirteiKisuiBeMutzar!AM177</f>
        <v>0</v>
      </c>
      <c r="D175" s="178">
        <f>PirteiKisuiBeMutzar!G177</f>
        <v>0</v>
      </c>
      <c r="E175" s="178">
        <f>PirteiKisuiBeMutzar!W177</f>
        <v>0</v>
      </c>
      <c r="F175" s="178">
        <f>PirteiKisuiBeMutzar!K177</f>
        <v>0</v>
      </c>
      <c r="G175" s="178">
        <f>PirteiKisuiBeMutzar!M177</f>
        <v>0</v>
      </c>
      <c r="H175" s="985">
        <f>PirteiKisuiBeMutzar!P177</f>
        <v>0</v>
      </c>
      <c r="I175" s="178">
        <f>PirteiKisuiBeMutzar!X177</f>
        <v>0</v>
      </c>
      <c r="J175" s="985">
        <f>PirteiKisuiBeMutzar!Y177</f>
        <v>0</v>
      </c>
      <c r="K175" s="178">
        <f>PirteiKisuiBeMutzar!AL177</f>
        <v>0</v>
      </c>
      <c r="L175" s="178">
        <f>PirteiKisuiBeMutzar!AO177</f>
        <v>0</v>
      </c>
      <c r="M175" s="178">
        <f>PirteiKisuiBeMutzar!AP177</f>
        <v>0</v>
      </c>
    </row>
    <row r="176" spans="1:13">
      <c r="A176" s="178">
        <f>PirteiKisuiBeMutzar!D178</f>
        <v>0</v>
      </c>
      <c r="B176" s="178">
        <f>PirteiKisuiBeMutzar!AQ178</f>
        <v>0</v>
      </c>
      <c r="C176" s="178">
        <f>PirteiKisuiBeMutzar!AM178</f>
        <v>0</v>
      </c>
      <c r="D176" s="178">
        <f>PirteiKisuiBeMutzar!G178</f>
        <v>0</v>
      </c>
      <c r="E176" s="178">
        <f>PirteiKisuiBeMutzar!W178</f>
        <v>0</v>
      </c>
      <c r="F176" s="178">
        <f>PirteiKisuiBeMutzar!K178</f>
        <v>0</v>
      </c>
      <c r="G176" s="178">
        <f>PirteiKisuiBeMutzar!M178</f>
        <v>0</v>
      </c>
      <c r="H176" s="985">
        <f>PirteiKisuiBeMutzar!P178</f>
        <v>0</v>
      </c>
      <c r="I176" s="178">
        <f>PirteiKisuiBeMutzar!X178</f>
        <v>0</v>
      </c>
      <c r="J176" s="985">
        <f>PirteiKisuiBeMutzar!Y178</f>
        <v>0</v>
      </c>
      <c r="K176" s="178">
        <f>PirteiKisuiBeMutzar!AL178</f>
        <v>0</v>
      </c>
      <c r="L176" s="178">
        <f>PirteiKisuiBeMutzar!AO178</f>
        <v>0</v>
      </c>
      <c r="M176" s="178">
        <f>PirteiKisuiBeMutzar!AP178</f>
        <v>0</v>
      </c>
    </row>
    <row r="177" spans="1:13">
      <c r="A177" s="178">
        <f>PirteiKisuiBeMutzar!D179</f>
        <v>0</v>
      </c>
      <c r="B177" s="178">
        <f>PirteiKisuiBeMutzar!AQ179</f>
        <v>0</v>
      </c>
      <c r="C177" s="178">
        <f>PirteiKisuiBeMutzar!AM179</f>
        <v>0</v>
      </c>
      <c r="D177" s="178">
        <f>PirteiKisuiBeMutzar!G179</f>
        <v>0</v>
      </c>
      <c r="E177" s="178">
        <f>PirteiKisuiBeMutzar!W179</f>
        <v>0</v>
      </c>
      <c r="F177" s="178">
        <f>PirteiKisuiBeMutzar!K179</f>
        <v>0</v>
      </c>
      <c r="G177" s="178">
        <f>PirteiKisuiBeMutzar!M179</f>
        <v>0</v>
      </c>
      <c r="H177" s="985">
        <f>PirteiKisuiBeMutzar!P179</f>
        <v>0</v>
      </c>
      <c r="I177" s="178">
        <f>PirteiKisuiBeMutzar!X179</f>
        <v>0</v>
      </c>
      <c r="J177" s="985">
        <f>PirteiKisuiBeMutzar!Y179</f>
        <v>0</v>
      </c>
      <c r="K177" s="178">
        <f>PirteiKisuiBeMutzar!AL179</f>
        <v>0</v>
      </c>
      <c r="L177" s="178">
        <f>PirteiKisuiBeMutzar!AO179</f>
        <v>0</v>
      </c>
      <c r="M177" s="178">
        <f>PirteiKisuiBeMutzar!AP179</f>
        <v>0</v>
      </c>
    </row>
    <row r="178" spans="1:13">
      <c r="A178" s="178">
        <f>PirteiKisuiBeMutzar!D180</f>
        <v>0</v>
      </c>
      <c r="B178" s="178">
        <f>PirteiKisuiBeMutzar!AQ180</f>
        <v>0</v>
      </c>
      <c r="C178" s="178">
        <f>PirteiKisuiBeMutzar!AM180</f>
        <v>0</v>
      </c>
      <c r="D178" s="178">
        <f>PirteiKisuiBeMutzar!G180</f>
        <v>0</v>
      </c>
      <c r="E178" s="178">
        <f>PirteiKisuiBeMutzar!W180</f>
        <v>0</v>
      </c>
      <c r="F178" s="178">
        <f>PirteiKisuiBeMutzar!K180</f>
        <v>0</v>
      </c>
      <c r="G178" s="178">
        <f>PirteiKisuiBeMutzar!M180</f>
        <v>0</v>
      </c>
      <c r="H178" s="985">
        <f>PirteiKisuiBeMutzar!P180</f>
        <v>0</v>
      </c>
      <c r="I178" s="178">
        <f>PirteiKisuiBeMutzar!X180</f>
        <v>0</v>
      </c>
      <c r="J178" s="985">
        <f>PirteiKisuiBeMutzar!Y180</f>
        <v>0</v>
      </c>
      <c r="K178" s="178">
        <f>PirteiKisuiBeMutzar!AL180</f>
        <v>0</v>
      </c>
      <c r="L178" s="178">
        <f>PirteiKisuiBeMutzar!AO180</f>
        <v>0</v>
      </c>
      <c r="M178" s="178">
        <f>PirteiKisuiBeMutzar!AP180</f>
        <v>0</v>
      </c>
    </row>
    <row r="179" spans="1:13">
      <c r="A179" s="178">
        <f>PirteiKisuiBeMutzar!D181</f>
        <v>0</v>
      </c>
      <c r="B179" s="178">
        <f>PirteiKisuiBeMutzar!AQ181</f>
        <v>0</v>
      </c>
      <c r="C179" s="178">
        <f>PirteiKisuiBeMutzar!AM181</f>
        <v>0</v>
      </c>
      <c r="D179" s="178">
        <f>PirteiKisuiBeMutzar!G181</f>
        <v>0</v>
      </c>
      <c r="E179" s="178">
        <f>PirteiKisuiBeMutzar!W181</f>
        <v>0</v>
      </c>
      <c r="F179" s="178">
        <f>PirteiKisuiBeMutzar!K181</f>
        <v>0</v>
      </c>
      <c r="G179" s="178">
        <f>PirteiKisuiBeMutzar!M181</f>
        <v>0</v>
      </c>
      <c r="H179" s="985">
        <f>PirteiKisuiBeMutzar!P181</f>
        <v>0</v>
      </c>
      <c r="I179" s="178">
        <f>PirteiKisuiBeMutzar!X181</f>
        <v>0</v>
      </c>
      <c r="J179" s="985">
        <f>PirteiKisuiBeMutzar!Y181</f>
        <v>0</v>
      </c>
      <c r="K179" s="178">
        <f>PirteiKisuiBeMutzar!AL181</f>
        <v>0</v>
      </c>
      <c r="L179" s="178">
        <f>PirteiKisuiBeMutzar!AO181</f>
        <v>0</v>
      </c>
      <c r="M179" s="178">
        <f>PirteiKisuiBeMutzar!AP181</f>
        <v>0</v>
      </c>
    </row>
    <row r="180" spans="1:13">
      <c r="A180" s="178">
        <f>PirteiKisuiBeMutzar!D182</f>
        <v>0</v>
      </c>
      <c r="B180" s="178">
        <f>PirteiKisuiBeMutzar!AQ182</f>
        <v>0</v>
      </c>
      <c r="C180" s="178">
        <f>PirteiKisuiBeMutzar!AM182</f>
        <v>0</v>
      </c>
      <c r="D180" s="178">
        <f>PirteiKisuiBeMutzar!G182</f>
        <v>0</v>
      </c>
      <c r="E180" s="178">
        <f>PirteiKisuiBeMutzar!W182</f>
        <v>0</v>
      </c>
      <c r="F180" s="178">
        <f>PirteiKisuiBeMutzar!K182</f>
        <v>0</v>
      </c>
      <c r="G180" s="178">
        <f>PirteiKisuiBeMutzar!M182</f>
        <v>0</v>
      </c>
      <c r="H180" s="985">
        <f>PirteiKisuiBeMutzar!P182</f>
        <v>0</v>
      </c>
      <c r="I180" s="178">
        <f>PirteiKisuiBeMutzar!X182</f>
        <v>0</v>
      </c>
      <c r="J180" s="985">
        <f>PirteiKisuiBeMutzar!Y182</f>
        <v>0</v>
      </c>
      <c r="K180" s="178">
        <f>PirteiKisuiBeMutzar!AL182</f>
        <v>0</v>
      </c>
      <c r="L180" s="178">
        <f>PirteiKisuiBeMutzar!AO182</f>
        <v>0</v>
      </c>
      <c r="M180" s="178">
        <f>PirteiKisuiBeMutzar!AP182</f>
        <v>0</v>
      </c>
    </row>
    <row r="181" spans="1:13">
      <c r="A181" s="178">
        <f>PirteiKisuiBeMutzar!D183</f>
        <v>0</v>
      </c>
      <c r="B181" s="178">
        <f>PirteiKisuiBeMutzar!AQ183</f>
        <v>0</v>
      </c>
      <c r="C181" s="178">
        <f>PirteiKisuiBeMutzar!AM183</f>
        <v>0</v>
      </c>
      <c r="D181" s="178">
        <f>PirteiKisuiBeMutzar!G183</f>
        <v>0</v>
      </c>
      <c r="E181" s="178">
        <f>PirteiKisuiBeMutzar!W183</f>
        <v>0</v>
      </c>
      <c r="F181" s="178">
        <f>PirteiKisuiBeMutzar!K183</f>
        <v>0</v>
      </c>
      <c r="G181" s="178">
        <f>PirteiKisuiBeMutzar!M183</f>
        <v>0</v>
      </c>
      <c r="H181" s="985">
        <f>PirteiKisuiBeMutzar!P183</f>
        <v>0</v>
      </c>
      <c r="I181" s="178">
        <f>PirteiKisuiBeMutzar!X183</f>
        <v>0</v>
      </c>
      <c r="J181" s="985">
        <f>PirteiKisuiBeMutzar!Y183</f>
        <v>0</v>
      </c>
      <c r="K181" s="178">
        <f>PirteiKisuiBeMutzar!AL183</f>
        <v>0</v>
      </c>
      <c r="L181" s="178">
        <f>PirteiKisuiBeMutzar!AO183</f>
        <v>0</v>
      </c>
      <c r="M181" s="178">
        <f>PirteiKisuiBeMutzar!AP183</f>
        <v>0</v>
      </c>
    </row>
    <row r="182" spans="1:13">
      <c r="A182" s="178">
        <f>PirteiKisuiBeMutzar!D184</f>
        <v>0</v>
      </c>
      <c r="B182" s="178">
        <f>PirteiKisuiBeMutzar!AQ184</f>
        <v>0</v>
      </c>
      <c r="C182" s="178">
        <f>PirteiKisuiBeMutzar!AM184</f>
        <v>0</v>
      </c>
      <c r="D182" s="178">
        <f>PirteiKisuiBeMutzar!G184</f>
        <v>0</v>
      </c>
      <c r="E182" s="178">
        <f>PirteiKisuiBeMutzar!W184</f>
        <v>0</v>
      </c>
      <c r="F182" s="178">
        <f>PirteiKisuiBeMutzar!K184</f>
        <v>0</v>
      </c>
      <c r="G182" s="178">
        <f>PirteiKisuiBeMutzar!M184</f>
        <v>0</v>
      </c>
      <c r="H182" s="985">
        <f>PirteiKisuiBeMutzar!P184</f>
        <v>0</v>
      </c>
      <c r="I182" s="178">
        <f>PirteiKisuiBeMutzar!X184</f>
        <v>0</v>
      </c>
      <c r="J182" s="985">
        <f>PirteiKisuiBeMutzar!Y184</f>
        <v>0</v>
      </c>
      <c r="K182" s="178">
        <f>PirteiKisuiBeMutzar!AL184</f>
        <v>0</v>
      </c>
      <c r="L182" s="178">
        <f>PirteiKisuiBeMutzar!AO184</f>
        <v>0</v>
      </c>
      <c r="M182" s="178">
        <f>PirteiKisuiBeMutzar!AP184</f>
        <v>0</v>
      </c>
    </row>
    <row r="183" spans="1:13">
      <c r="A183" s="178">
        <f>PirteiKisuiBeMutzar!D185</f>
        <v>0</v>
      </c>
      <c r="B183" s="178">
        <f>PirteiKisuiBeMutzar!AQ185</f>
        <v>0</v>
      </c>
      <c r="C183" s="178">
        <f>PirteiKisuiBeMutzar!AM185</f>
        <v>0</v>
      </c>
      <c r="D183" s="178">
        <f>PirteiKisuiBeMutzar!G185</f>
        <v>0</v>
      </c>
      <c r="E183" s="178">
        <f>PirteiKisuiBeMutzar!W185</f>
        <v>0</v>
      </c>
      <c r="F183" s="178">
        <f>PirteiKisuiBeMutzar!K185</f>
        <v>0</v>
      </c>
      <c r="G183" s="178">
        <f>PirteiKisuiBeMutzar!M185</f>
        <v>0</v>
      </c>
      <c r="H183" s="985">
        <f>PirteiKisuiBeMutzar!P185</f>
        <v>0</v>
      </c>
      <c r="I183" s="178">
        <f>PirteiKisuiBeMutzar!X185</f>
        <v>0</v>
      </c>
      <c r="J183" s="985">
        <f>PirteiKisuiBeMutzar!Y185</f>
        <v>0</v>
      </c>
      <c r="K183" s="178">
        <f>PirteiKisuiBeMutzar!AL185</f>
        <v>0</v>
      </c>
      <c r="L183" s="178">
        <f>PirteiKisuiBeMutzar!AO185</f>
        <v>0</v>
      </c>
      <c r="M183" s="178">
        <f>PirteiKisuiBeMutzar!AP185</f>
        <v>0</v>
      </c>
    </row>
    <row r="184" spans="1:13">
      <c r="A184" s="178">
        <f>PirteiKisuiBeMutzar!D186</f>
        <v>0</v>
      </c>
      <c r="B184" s="178">
        <f>PirteiKisuiBeMutzar!AQ186</f>
        <v>0</v>
      </c>
      <c r="C184" s="178">
        <f>PirteiKisuiBeMutzar!AM186</f>
        <v>0</v>
      </c>
      <c r="D184" s="178">
        <f>PirteiKisuiBeMutzar!G186</f>
        <v>0</v>
      </c>
      <c r="E184" s="178">
        <f>PirteiKisuiBeMutzar!W186</f>
        <v>0</v>
      </c>
      <c r="F184" s="178">
        <f>PirteiKisuiBeMutzar!K186</f>
        <v>0</v>
      </c>
      <c r="G184" s="178">
        <f>PirteiKisuiBeMutzar!M186</f>
        <v>0</v>
      </c>
      <c r="H184" s="985">
        <f>PirteiKisuiBeMutzar!P186</f>
        <v>0</v>
      </c>
      <c r="I184" s="178">
        <f>PirteiKisuiBeMutzar!X186</f>
        <v>0</v>
      </c>
      <c r="J184" s="985">
        <f>PirteiKisuiBeMutzar!Y186</f>
        <v>0</v>
      </c>
      <c r="K184" s="178">
        <f>PirteiKisuiBeMutzar!AL186</f>
        <v>0</v>
      </c>
      <c r="L184" s="178">
        <f>PirteiKisuiBeMutzar!AO186</f>
        <v>0</v>
      </c>
      <c r="M184" s="178">
        <f>PirteiKisuiBeMutzar!AP186</f>
        <v>0</v>
      </c>
    </row>
    <row r="185" spans="1:13">
      <c r="A185" s="178">
        <f>PirteiKisuiBeMutzar!D187</f>
        <v>0</v>
      </c>
      <c r="B185" s="178">
        <f>PirteiKisuiBeMutzar!AQ187</f>
        <v>0</v>
      </c>
      <c r="C185" s="178">
        <f>PirteiKisuiBeMutzar!AM187</f>
        <v>0</v>
      </c>
      <c r="D185" s="178">
        <f>PirteiKisuiBeMutzar!G187</f>
        <v>0</v>
      </c>
      <c r="E185" s="178">
        <f>PirteiKisuiBeMutzar!W187</f>
        <v>0</v>
      </c>
      <c r="F185" s="178">
        <f>PirteiKisuiBeMutzar!K187</f>
        <v>0</v>
      </c>
      <c r="G185" s="178">
        <f>PirteiKisuiBeMutzar!M187</f>
        <v>0</v>
      </c>
      <c r="H185" s="985">
        <f>PirteiKisuiBeMutzar!P187</f>
        <v>0</v>
      </c>
      <c r="I185" s="178">
        <f>PirteiKisuiBeMutzar!X187</f>
        <v>0</v>
      </c>
      <c r="J185" s="985">
        <f>PirteiKisuiBeMutzar!Y187</f>
        <v>0</v>
      </c>
      <c r="K185" s="178">
        <f>PirteiKisuiBeMutzar!AL187</f>
        <v>0</v>
      </c>
      <c r="L185" s="178">
        <f>PirteiKisuiBeMutzar!AO187</f>
        <v>0</v>
      </c>
      <c r="M185" s="178">
        <f>PirteiKisuiBeMutzar!AP187</f>
        <v>0</v>
      </c>
    </row>
    <row r="186" spans="1:13">
      <c r="A186" s="178">
        <f>PirteiKisuiBeMutzar!D188</f>
        <v>0</v>
      </c>
      <c r="B186" s="178">
        <f>PirteiKisuiBeMutzar!AQ188</f>
        <v>0</v>
      </c>
      <c r="C186" s="178">
        <f>PirteiKisuiBeMutzar!AM188</f>
        <v>0</v>
      </c>
      <c r="D186" s="178">
        <f>PirteiKisuiBeMutzar!G188</f>
        <v>0</v>
      </c>
      <c r="E186" s="178">
        <f>PirteiKisuiBeMutzar!W188</f>
        <v>0</v>
      </c>
      <c r="F186" s="178">
        <f>PirteiKisuiBeMutzar!K188</f>
        <v>0</v>
      </c>
      <c r="G186" s="178">
        <f>PirteiKisuiBeMutzar!M188</f>
        <v>0</v>
      </c>
      <c r="H186" s="985">
        <f>PirteiKisuiBeMutzar!P188</f>
        <v>0</v>
      </c>
      <c r="I186" s="178">
        <f>PirteiKisuiBeMutzar!X188</f>
        <v>0</v>
      </c>
      <c r="J186" s="985">
        <f>PirteiKisuiBeMutzar!Y188</f>
        <v>0</v>
      </c>
      <c r="K186" s="178">
        <f>PirteiKisuiBeMutzar!AL188</f>
        <v>0</v>
      </c>
      <c r="L186" s="178">
        <f>PirteiKisuiBeMutzar!AO188</f>
        <v>0</v>
      </c>
      <c r="M186" s="178">
        <f>PirteiKisuiBeMutzar!AP188</f>
        <v>0</v>
      </c>
    </row>
    <row r="187" spans="1:13">
      <c r="A187" s="178">
        <f>PirteiKisuiBeMutzar!D189</f>
        <v>0</v>
      </c>
      <c r="B187" s="178">
        <f>PirteiKisuiBeMutzar!AQ189</f>
        <v>0</v>
      </c>
      <c r="C187" s="178">
        <f>PirteiKisuiBeMutzar!AM189</f>
        <v>0</v>
      </c>
      <c r="D187" s="178">
        <f>PirteiKisuiBeMutzar!G189</f>
        <v>0</v>
      </c>
      <c r="E187" s="178">
        <f>PirteiKisuiBeMutzar!W189</f>
        <v>0</v>
      </c>
      <c r="F187" s="178">
        <f>PirteiKisuiBeMutzar!K189</f>
        <v>0</v>
      </c>
      <c r="G187" s="178">
        <f>PirteiKisuiBeMutzar!M189</f>
        <v>0</v>
      </c>
      <c r="H187" s="985">
        <f>PirteiKisuiBeMutzar!P189</f>
        <v>0</v>
      </c>
      <c r="I187" s="178">
        <f>PirteiKisuiBeMutzar!X189</f>
        <v>0</v>
      </c>
      <c r="J187" s="985">
        <f>PirteiKisuiBeMutzar!Y189</f>
        <v>0</v>
      </c>
      <c r="K187" s="178">
        <f>PirteiKisuiBeMutzar!AL189</f>
        <v>0</v>
      </c>
      <c r="L187" s="178">
        <f>PirteiKisuiBeMutzar!AO189</f>
        <v>0</v>
      </c>
      <c r="M187" s="178">
        <f>PirteiKisuiBeMutzar!AP189</f>
        <v>0</v>
      </c>
    </row>
    <row r="188" spans="1:13">
      <c r="A188" s="178">
        <f>PirteiKisuiBeMutzar!D190</f>
        <v>0</v>
      </c>
      <c r="B188" s="178">
        <f>PirteiKisuiBeMutzar!AQ190</f>
        <v>0</v>
      </c>
      <c r="C188" s="178">
        <f>PirteiKisuiBeMutzar!AM190</f>
        <v>0</v>
      </c>
      <c r="D188" s="178">
        <f>PirteiKisuiBeMutzar!G190</f>
        <v>0</v>
      </c>
      <c r="E188" s="178">
        <f>PirteiKisuiBeMutzar!W190</f>
        <v>0</v>
      </c>
      <c r="F188" s="178">
        <f>PirteiKisuiBeMutzar!K190</f>
        <v>0</v>
      </c>
      <c r="G188" s="178">
        <f>PirteiKisuiBeMutzar!M190</f>
        <v>0</v>
      </c>
      <c r="H188" s="985">
        <f>PirteiKisuiBeMutzar!P190</f>
        <v>0</v>
      </c>
      <c r="I188" s="178">
        <f>PirteiKisuiBeMutzar!X190</f>
        <v>0</v>
      </c>
      <c r="J188" s="985">
        <f>PirteiKisuiBeMutzar!Y190</f>
        <v>0</v>
      </c>
      <c r="K188" s="178">
        <f>PirteiKisuiBeMutzar!AL190</f>
        <v>0</v>
      </c>
      <c r="L188" s="178">
        <f>PirteiKisuiBeMutzar!AO190</f>
        <v>0</v>
      </c>
      <c r="M188" s="178">
        <f>PirteiKisuiBeMutzar!AP190</f>
        <v>0</v>
      </c>
    </row>
    <row r="189" spans="1:13">
      <c r="A189" s="178">
        <f>PirteiKisuiBeMutzar!D191</f>
        <v>0</v>
      </c>
      <c r="B189" s="178">
        <f>PirteiKisuiBeMutzar!AQ191</f>
        <v>0</v>
      </c>
      <c r="C189" s="178">
        <f>PirteiKisuiBeMutzar!AM191</f>
        <v>0</v>
      </c>
      <c r="D189" s="178">
        <f>PirteiKisuiBeMutzar!G191</f>
        <v>0</v>
      </c>
      <c r="E189" s="178">
        <f>PirteiKisuiBeMutzar!W191</f>
        <v>0</v>
      </c>
      <c r="F189" s="178">
        <f>PirteiKisuiBeMutzar!K191</f>
        <v>0</v>
      </c>
      <c r="G189" s="178">
        <f>PirteiKisuiBeMutzar!M191</f>
        <v>0</v>
      </c>
      <c r="H189" s="985">
        <f>PirteiKisuiBeMutzar!P191</f>
        <v>0</v>
      </c>
      <c r="I189" s="178">
        <f>PirteiKisuiBeMutzar!X191</f>
        <v>0</v>
      </c>
      <c r="J189" s="985">
        <f>PirteiKisuiBeMutzar!Y191</f>
        <v>0</v>
      </c>
      <c r="K189" s="178">
        <f>PirteiKisuiBeMutzar!AL191</f>
        <v>0</v>
      </c>
      <c r="L189" s="178">
        <f>PirteiKisuiBeMutzar!AO191</f>
        <v>0</v>
      </c>
      <c r="M189" s="178">
        <f>PirteiKisuiBeMutzar!AP191</f>
        <v>0</v>
      </c>
    </row>
    <row r="190" spans="1:13">
      <c r="A190" s="178">
        <f>PirteiKisuiBeMutzar!D192</f>
        <v>0</v>
      </c>
      <c r="B190" s="178">
        <f>PirteiKisuiBeMutzar!AQ192</f>
        <v>0</v>
      </c>
      <c r="C190" s="178">
        <f>PirteiKisuiBeMutzar!AM192</f>
        <v>0</v>
      </c>
      <c r="D190" s="178">
        <f>PirteiKisuiBeMutzar!G192</f>
        <v>0</v>
      </c>
      <c r="E190" s="178">
        <f>PirteiKisuiBeMutzar!W192</f>
        <v>0</v>
      </c>
      <c r="F190" s="178">
        <f>PirteiKisuiBeMutzar!K192</f>
        <v>0</v>
      </c>
      <c r="G190" s="178">
        <f>PirteiKisuiBeMutzar!M192</f>
        <v>0</v>
      </c>
      <c r="H190" s="985">
        <f>PirteiKisuiBeMutzar!P192</f>
        <v>0</v>
      </c>
      <c r="I190" s="178">
        <f>PirteiKisuiBeMutzar!X192</f>
        <v>0</v>
      </c>
      <c r="J190" s="985">
        <f>PirteiKisuiBeMutzar!Y192</f>
        <v>0</v>
      </c>
      <c r="K190" s="178">
        <f>PirteiKisuiBeMutzar!AL192</f>
        <v>0</v>
      </c>
      <c r="L190" s="178">
        <f>PirteiKisuiBeMutzar!AO192</f>
        <v>0</v>
      </c>
      <c r="M190" s="178">
        <f>PirteiKisuiBeMutzar!AP192</f>
        <v>0</v>
      </c>
    </row>
    <row r="191" spans="1:13">
      <c r="A191" s="178">
        <f>PirteiKisuiBeMutzar!D193</f>
        <v>0</v>
      </c>
      <c r="B191" s="178">
        <f>PirteiKisuiBeMutzar!AQ193</f>
        <v>0</v>
      </c>
      <c r="C191" s="178">
        <f>PirteiKisuiBeMutzar!AM193</f>
        <v>0</v>
      </c>
      <c r="D191" s="178">
        <f>PirteiKisuiBeMutzar!G193</f>
        <v>0</v>
      </c>
      <c r="E191" s="178">
        <f>PirteiKisuiBeMutzar!W193</f>
        <v>0</v>
      </c>
      <c r="F191" s="178">
        <f>PirteiKisuiBeMutzar!K193</f>
        <v>0</v>
      </c>
      <c r="G191" s="178">
        <f>PirteiKisuiBeMutzar!M193</f>
        <v>0</v>
      </c>
      <c r="H191" s="985">
        <f>PirteiKisuiBeMutzar!P193</f>
        <v>0</v>
      </c>
      <c r="I191" s="178">
        <f>PirteiKisuiBeMutzar!X193</f>
        <v>0</v>
      </c>
      <c r="J191" s="985">
        <f>PirteiKisuiBeMutzar!Y193</f>
        <v>0</v>
      </c>
      <c r="K191" s="178">
        <f>PirteiKisuiBeMutzar!AL193</f>
        <v>0</v>
      </c>
      <c r="L191" s="178">
        <f>PirteiKisuiBeMutzar!AO193</f>
        <v>0</v>
      </c>
      <c r="M191" s="178">
        <f>PirteiKisuiBeMutzar!AP193</f>
        <v>0</v>
      </c>
    </row>
    <row r="192" spans="1:13">
      <c r="A192" s="178">
        <f>PirteiKisuiBeMutzar!D194</f>
        <v>0</v>
      </c>
      <c r="B192" s="178">
        <f>PirteiKisuiBeMutzar!AQ194</f>
        <v>0</v>
      </c>
      <c r="C192" s="178">
        <f>PirteiKisuiBeMutzar!AM194</f>
        <v>0</v>
      </c>
      <c r="D192" s="178">
        <f>PirteiKisuiBeMutzar!G194</f>
        <v>0</v>
      </c>
      <c r="E192" s="178">
        <f>PirteiKisuiBeMutzar!W194</f>
        <v>0</v>
      </c>
      <c r="F192" s="178">
        <f>PirteiKisuiBeMutzar!K194</f>
        <v>0</v>
      </c>
      <c r="G192" s="178">
        <f>PirteiKisuiBeMutzar!M194</f>
        <v>0</v>
      </c>
      <c r="H192" s="985">
        <f>PirteiKisuiBeMutzar!P194</f>
        <v>0</v>
      </c>
      <c r="I192" s="178">
        <f>PirteiKisuiBeMutzar!X194</f>
        <v>0</v>
      </c>
      <c r="J192" s="985">
        <f>PirteiKisuiBeMutzar!Y194</f>
        <v>0</v>
      </c>
      <c r="K192" s="178">
        <f>PirteiKisuiBeMutzar!AL194</f>
        <v>0</v>
      </c>
      <c r="L192" s="178">
        <f>PirteiKisuiBeMutzar!AO194</f>
        <v>0</v>
      </c>
      <c r="M192" s="178">
        <f>PirteiKisuiBeMutzar!AP194</f>
        <v>0</v>
      </c>
    </row>
    <row r="193" spans="1:13">
      <c r="A193" s="178">
        <f>PirteiKisuiBeMutzar!D195</f>
        <v>0</v>
      </c>
      <c r="B193" s="178">
        <f>PirteiKisuiBeMutzar!AQ195</f>
        <v>0</v>
      </c>
      <c r="C193" s="178">
        <f>PirteiKisuiBeMutzar!AM195</f>
        <v>0</v>
      </c>
      <c r="D193" s="178">
        <f>PirteiKisuiBeMutzar!G195</f>
        <v>0</v>
      </c>
      <c r="E193" s="178">
        <f>PirteiKisuiBeMutzar!W195</f>
        <v>0</v>
      </c>
      <c r="F193" s="178">
        <f>PirteiKisuiBeMutzar!K195</f>
        <v>0</v>
      </c>
      <c r="G193" s="178">
        <f>PirteiKisuiBeMutzar!M195</f>
        <v>0</v>
      </c>
      <c r="H193" s="985">
        <f>PirteiKisuiBeMutzar!P195</f>
        <v>0</v>
      </c>
      <c r="I193" s="178">
        <f>PirteiKisuiBeMutzar!X195</f>
        <v>0</v>
      </c>
      <c r="J193" s="985">
        <f>PirteiKisuiBeMutzar!Y195</f>
        <v>0</v>
      </c>
      <c r="K193" s="178">
        <f>PirteiKisuiBeMutzar!AL195</f>
        <v>0</v>
      </c>
      <c r="L193" s="178">
        <f>PirteiKisuiBeMutzar!AO195</f>
        <v>0</v>
      </c>
      <c r="M193" s="178">
        <f>PirteiKisuiBeMutzar!AP195</f>
        <v>0</v>
      </c>
    </row>
    <row r="194" spans="1:13">
      <c r="A194" s="178">
        <f>PirteiKisuiBeMutzar!D196</f>
        <v>0</v>
      </c>
      <c r="B194" s="178">
        <f>PirteiKisuiBeMutzar!AQ196</f>
        <v>0</v>
      </c>
      <c r="C194" s="178">
        <f>PirteiKisuiBeMutzar!AM196</f>
        <v>0</v>
      </c>
      <c r="D194" s="178">
        <f>PirteiKisuiBeMutzar!G196</f>
        <v>0</v>
      </c>
      <c r="E194" s="178">
        <f>PirteiKisuiBeMutzar!W196</f>
        <v>0</v>
      </c>
      <c r="F194" s="178">
        <f>PirteiKisuiBeMutzar!K196</f>
        <v>0</v>
      </c>
      <c r="G194" s="178">
        <f>PirteiKisuiBeMutzar!M196</f>
        <v>0</v>
      </c>
      <c r="H194" s="985">
        <f>PirteiKisuiBeMutzar!P196</f>
        <v>0</v>
      </c>
      <c r="I194" s="178">
        <f>PirteiKisuiBeMutzar!X196</f>
        <v>0</v>
      </c>
      <c r="J194" s="985">
        <f>PirteiKisuiBeMutzar!Y196</f>
        <v>0</v>
      </c>
      <c r="K194" s="178">
        <f>PirteiKisuiBeMutzar!AL196</f>
        <v>0</v>
      </c>
      <c r="L194" s="178">
        <f>PirteiKisuiBeMutzar!AO196</f>
        <v>0</v>
      </c>
      <c r="M194" s="178">
        <f>PirteiKisuiBeMutzar!AP196</f>
        <v>0</v>
      </c>
    </row>
    <row r="195" spans="1:13">
      <c r="A195" s="178">
        <f>PirteiKisuiBeMutzar!D197</f>
        <v>0</v>
      </c>
      <c r="B195" s="178">
        <f>PirteiKisuiBeMutzar!AQ197</f>
        <v>0</v>
      </c>
      <c r="C195" s="178">
        <f>PirteiKisuiBeMutzar!AM197</f>
        <v>0</v>
      </c>
      <c r="D195" s="178">
        <f>PirteiKisuiBeMutzar!G197</f>
        <v>0</v>
      </c>
      <c r="E195" s="178">
        <f>PirteiKisuiBeMutzar!W197</f>
        <v>0</v>
      </c>
      <c r="F195" s="178">
        <f>PirteiKisuiBeMutzar!K197</f>
        <v>0</v>
      </c>
      <c r="G195" s="178">
        <f>PirteiKisuiBeMutzar!M197</f>
        <v>0</v>
      </c>
      <c r="H195" s="985">
        <f>PirteiKisuiBeMutzar!P197</f>
        <v>0</v>
      </c>
      <c r="I195" s="178">
        <f>PirteiKisuiBeMutzar!X197</f>
        <v>0</v>
      </c>
      <c r="J195" s="985">
        <f>PirteiKisuiBeMutzar!Y197</f>
        <v>0</v>
      </c>
      <c r="K195" s="178">
        <f>PirteiKisuiBeMutzar!AL197</f>
        <v>0</v>
      </c>
      <c r="L195" s="178">
        <f>PirteiKisuiBeMutzar!AO197</f>
        <v>0</v>
      </c>
      <c r="M195" s="178">
        <f>PirteiKisuiBeMutzar!AP197</f>
        <v>0</v>
      </c>
    </row>
    <row r="196" spans="1:13">
      <c r="A196" s="178">
        <f>PirteiKisuiBeMutzar!D198</f>
        <v>0</v>
      </c>
      <c r="B196" s="178">
        <f>PirteiKisuiBeMutzar!AQ198</f>
        <v>0</v>
      </c>
      <c r="C196" s="178">
        <f>PirteiKisuiBeMutzar!AM198</f>
        <v>0</v>
      </c>
      <c r="D196" s="178">
        <f>PirteiKisuiBeMutzar!G198</f>
        <v>0</v>
      </c>
      <c r="E196" s="178">
        <f>PirteiKisuiBeMutzar!W198</f>
        <v>0</v>
      </c>
      <c r="F196" s="178">
        <f>PirteiKisuiBeMutzar!K198</f>
        <v>0</v>
      </c>
      <c r="G196" s="178">
        <f>PirteiKisuiBeMutzar!M198</f>
        <v>0</v>
      </c>
      <c r="H196" s="985">
        <f>PirteiKisuiBeMutzar!P198</f>
        <v>0</v>
      </c>
      <c r="I196" s="178">
        <f>PirteiKisuiBeMutzar!X198</f>
        <v>0</v>
      </c>
      <c r="J196" s="985">
        <f>PirteiKisuiBeMutzar!Y198</f>
        <v>0</v>
      </c>
      <c r="K196" s="178">
        <f>PirteiKisuiBeMutzar!AL198</f>
        <v>0</v>
      </c>
      <c r="L196" s="178">
        <f>PirteiKisuiBeMutzar!AO198</f>
        <v>0</v>
      </c>
      <c r="M196" s="178">
        <f>PirteiKisuiBeMutzar!AP198</f>
        <v>0</v>
      </c>
    </row>
    <row r="197" spans="1:13">
      <c r="A197" s="178">
        <f>PirteiKisuiBeMutzar!D199</f>
        <v>0</v>
      </c>
      <c r="B197" s="178">
        <f>PirteiKisuiBeMutzar!AQ199</f>
        <v>0</v>
      </c>
      <c r="C197" s="178">
        <f>PirteiKisuiBeMutzar!AM199</f>
        <v>0</v>
      </c>
      <c r="D197" s="178">
        <f>PirteiKisuiBeMutzar!G199</f>
        <v>0</v>
      </c>
      <c r="E197" s="178">
        <f>PirteiKisuiBeMutzar!W199</f>
        <v>0</v>
      </c>
      <c r="F197" s="178">
        <f>PirteiKisuiBeMutzar!K199</f>
        <v>0</v>
      </c>
      <c r="G197" s="178">
        <f>PirteiKisuiBeMutzar!M199</f>
        <v>0</v>
      </c>
      <c r="H197" s="985">
        <f>PirteiKisuiBeMutzar!P199</f>
        <v>0</v>
      </c>
      <c r="I197" s="178">
        <f>PirteiKisuiBeMutzar!X199</f>
        <v>0</v>
      </c>
      <c r="J197" s="985">
        <f>PirteiKisuiBeMutzar!Y199</f>
        <v>0</v>
      </c>
      <c r="K197" s="178">
        <f>PirteiKisuiBeMutzar!AL199</f>
        <v>0</v>
      </c>
      <c r="L197" s="178">
        <f>PirteiKisuiBeMutzar!AO199</f>
        <v>0</v>
      </c>
      <c r="M197" s="178">
        <f>PirteiKisuiBeMutzar!AP199</f>
        <v>0</v>
      </c>
    </row>
    <row r="198" spans="1:13">
      <c r="A198" s="178">
        <f>PirteiKisuiBeMutzar!D200</f>
        <v>0</v>
      </c>
      <c r="B198" s="178">
        <f>PirteiKisuiBeMutzar!AQ200</f>
        <v>0</v>
      </c>
      <c r="C198" s="178">
        <f>PirteiKisuiBeMutzar!AM200</f>
        <v>0</v>
      </c>
      <c r="D198" s="178">
        <f>PirteiKisuiBeMutzar!G200</f>
        <v>0</v>
      </c>
      <c r="E198" s="178">
        <f>PirteiKisuiBeMutzar!W200</f>
        <v>0</v>
      </c>
      <c r="F198" s="178">
        <f>PirteiKisuiBeMutzar!K200</f>
        <v>0</v>
      </c>
      <c r="G198" s="178">
        <f>PirteiKisuiBeMutzar!M200</f>
        <v>0</v>
      </c>
      <c r="H198" s="985">
        <f>PirteiKisuiBeMutzar!P200</f>
        <v>0</v>
      </c>
      <c r="I198" s="178">
        <f>PirteiKisuiBeMutzar!X200</f>
        <v>0</v>
      </c>
      <c r="J198" s="985">
        <f>PirteiKisuiBeMutzar!Y200</f>
        <v>0</v>
      </c>
      <c r="K198" s="178">
        <f>PirteiKisuiBeMutzar!AL200</f>
        <v>0</v>
      </c>
      <c r="L198" s="178">
        <f>PirteiKisuiBeMutzar!AO200</f>
        <v>0</v>
      </c>
      <c r="M198" s="178">
        <f>PirteiKisuiBeMutzar!AP200</f>
        <v>0</v>
      </c>
    </row>
    <row r="199" spans="1:13">
      <c r="A199" s="178">
        <f>PirteiKisuiBeMutzar!D201</f>
        <v>0</v>
      </c>
      <c r="B199" s="178">
        <f>PirteiKisuiBeMutzar!AQ201</f>
        <v>0</v>
      </c>
      <c r="C199" s="178">
        <f>PirteiKisuiBeMutzar!AM201</f>
        <v>0</v>
      </c>
      <c r="D199" s="178">
        <f>PirteiKisuiBeMutzar!G201</f>
        <v>0</v>
      </c>
      <c r="E199" s="178">
        <f>PirteiKisuiBeMutzar!W201</f>
        <v>0</v>
      </c>
      <c r="F199" s="178">
        <f>PirteiKisuiBeMutzar!K201</f>
        <v>0</v>
      </c>
      <c r="G199" s="178">
        <f>PirteiKisuiBeMutzar!M201</f>
        <v>0</v>
      </c>
      <c r="H199" s="985">
        <f>PirteiKisuiBeMutzar!P201</f>
        <v>0</v>
      </c>
      <c r="I199" s="178">
        <f>PirteiKisuiBeMutzar!X201</f>
        <v>0</v>
      </c>
      <c r="J199" s="985">
        <f>PirteiKisuiBeMutzar!Y201</f>
        <v>0</v>
      </c>
      <c r="K199" s="178">
        <f>PirteiKisuiBeMutzar!AL201</f>
        <v>0</v>
      </c>
      <c r="L199" s="178">
        <f>PirteiKisuiBeMutzar!AO201</f>
        <v>0</v>
      </c>
      <c r="M199" s="178">
        <f>PirteiKisuiBeMutzar!AP201</f>
        <v>0</v>
      </c>
    </row>
    <row r="200" spans="1:13">
      <c r="A200" s="178">
        <f>PirteiKisuiBeMutzar!D202</f>
        <v>0</v>
      </c>
      <c r="B200" s="178">
        <f>PirteiKisuiBeMutzar!AQ202</f>
        <v>0</v>
      </c>
      <c r="C200" s="178">
        <f>PirteiKisuiBeMutzar!AM202</f>
        <v>0</v>
      </c>
      <c r="D200" s="178">
        <f>PirteiKisuiBeMutzar!G202</f>
        <v>0</v>
      </c>
      <c r="E200" s="178">
        <f>PirteiKisuiBeMutzar!W202</f>
        <v>0</v>
      </c>
      <c r="F200" s="178">
        <f>PirteiKisuiBeMutzar!K202</f>
        <v>0</v>
      </c>
      <c r="G200" s="178">
        <f>PirteiKisuiBeMutzar!M202</f>
        <v>0</v>
      </c>
      <c r="H200" s="985">
        <f>PirteiKisuiBeMutzar!P202</f>
        <v>0</v>
      </c>
      <c r="I200" s="178">
        <f>PirteiKisuiBeMutzar!X202</f>
        <v>0</v>
      </c>
      <c r="J200" s="985">
        <f>PirteiKisuiBeMutzar!Y202</f>
        <v>0</v>
      </c>
      <c r="K200" s="178">
        <f>PirteiKisuiBeMutzar!AL202</f>
        <v>0</v>
      </c>
      <c r="L200" s="178">
        <f>PirteiKisuiBeMutzar!AO202</f>
        <v>0</v>
      </c>
      <c r="M200" s="178">
        <f>PirteiKisuiBeMutzar!AP202</f>
        <v>0</v>
      </c>
    </row>
    <row r="201" spans="1:13">
      <c r="A201" s="178">
        <f>PirteiKisuiBeMutzar!D203</f>
        <v>0</v>
      </c>
      <c r="B201" s="178">
        <f>PirteiKisuiBeMutzar!AQ203</f>
        <v>0</v>
      </c>
      <c r="C201" s="178">
        <f>PirteiKisuiBeMutzar!AM203</f>
        <v>0</v>
      </c>
      <c r="D201" s="178">
        <f>PirteiKisuiBeMutzar!G203</f>
        <v>0</v>
      </c>
      <c r="E201" s="178">
        <f>PirteiKisuiBeMutzar!W203</f>
        <v>0</v>
      </c>
      <c r="F201" s="178">
        <f>PirteiKisuiBeMutzar!K203</f>
        <v>0</v>
      </c>
      <c r="G201" s="178">
        <f>PirteiKisuiBeMutzar!M203</f>
        <v>0</v>
      </c>
      <c r="H201" s="985">
        <f>PirteiKisuiBeMutzar!P203</f>
        <v>0</v>
      </c>
      <c r="I201" s="178">
        <f>PirteiKisuiBeMutzar!X203</f>
        <v>0</v>
      </c>
      <c r="J201" s="985">
        <f>PirteiKisuiBeMutzar!Y203</f>
        <v>0</v>
      </c>
      <c r="K201" s="178">
        <f>PirteiKisuiBeMutzar!AL203</f>
        <v>0</v>
      </c>
      <c r="L201" s="178">
        <f>PirteiKisuiBeMutzar!AO203</f>
        <v>0</v>
      </c>
      <c r="M201" s="178">
        <f>PirteiKisuiBeMutzar!AP203</f>
        <v>0</v>
      </c>
    </row>
    <row r="202" spans="1:13">
      <c r="A202" s="178">
        <f>PirteiKisuiBeMutzar!D204</f>
        <v>0</v>
      </c>
      <c r="B202" s="178">
        <f>PirteiKisuiBeMutzar!AQ204</f>
        <v>0</v>
      </c>
      <c r="C202" s="178">
        <f>PirteiKisuiBeMutzar!AM204</f>
        <v>0</v>
      </c>
      <c r="D202" s="178">
        <f>PirteiKisuiBeMutzar!G204</f>
        <v>0</v>
      </c>
      <c r="E202" s="178">
        <f>PirteiKisuiBeMutzar!W204</f>
        <v>0</v>
      </c>
      <c r="F202" s="178">
        <f>PirteiKisuiBeMutzar!K204</f>
        <v>0</v>
      </c>
      <c r="G202" s="178">
        <f>PirteiKisuiBeMutzar!M204</f>
        <v>0</v>
      </c>
      <c r="H202" s="985">
        <f>PirteiKisuiBeMutzar!P204</f>
        <v>0</v>
      </c>
      <c r="I202" s="178">
        <f>PirteiKisuiBeMutzar!X204</f>
        <v>0</v>
      </c>
      <c r="J202" s="985">
        <f>PirteiKisuiBeMutzar!Y204</f>
        <v>0</v>
      </c>
      <c r="K202" s="178">
        <f>PirteiKisuiBeMutzar!AL204</f>
        <v>0</v>
      </c>
      <c r="L202" s="178">
        <f>PirteiKisuiBeMutzar!AO204</f>
        <v>0</v>
      </c>
      <c r="M202" s="178">
        <f>PirteiKisuiBeMutzar!AP204</f>
        <v>0</v>
      </c>
    </row>
    <row r="203" spans="1:13">
      <c r="A203" s="178">
        <f>PirteiKisuiBeMutzar!D205</f>
        <v>0</v>
      </c>
      <c r="B203" s="178">
        <f>PirteiKisuiBeMutzar!AQ205</f>
        <v>0</v>
      </c>
      <c r="C203" s="178">
        <f>PirteiKisuiBeMutzar!AM205</f>
        <v>0</v>
      </c>
      <c r="D203" s="178">
        <f>PirteiKisuiBeMutzar!G205</f>
        <v>0</v>
      </c>
      <c r="E203" s="178">
        <f>PirteiKisuiBeMutzar!W205</f>
        <v>0</v>
      </c>
      <c r="F203" s="178">
        <f>PirteiKisuiBeMutzar!K205</f>
        <v>0</v>
      </c>
      <c r="G203" s="178">
        <f>PirteiKisuiBeMutzar!M205</f>
        <v>0</v>
      </c>
      <c r="H203" s="985">
        <f>PirteiKisuiBeMutzar!P205</f>
        <v>0</v>
      </c>
      <c r="I203" s="178">
        <f>PirteiKisuiBeMutzar!X205</f>
        <v>0</v>
      </c>
      <c r="J203" s="985">
        <f>PirteiKisuiBeMutzar!Y205</f>
        <v>0</v>
      </c>
      <c r="K203" s="178">
        <f>PirteiKisuiBeMutzar!AL205</f>
        <v>0</v>
      </c>
      <c r="L203" s="178">
        <f>PirteiKisuiBeMutzar!AO205</f>
        <v>0</v>
      </c>
      <c r="M203" s="178">
        <f>PirteiKisuiBeMutzar!AP205</f>
        <v>0</v>
      </c>
    </row>
    <row r="204" spans="1:13">
      <c r="A204" s="178">
        <f>PirteiKisuiBeMutzar!D206</f>
        <v>0</v>
      </c>
      <c r="B204" s="178">
        <f>PirteiKisuiBeMutzar!AQ206</f>
        <v>0</v>
      </c>
      <c r="C204" s="178">
        <f>PirteiKisuiBeMutzar!AM206</f>
        <v>0</v>
      </c>
      <c r="D204" s="178">
        <f>PirteiKisuiBeMutzar!G206</f>
        <v>0</v>
      </c>
      <c r="E204" s="178">
        <f>PirteiKisuiBeMutzar!W206</f>
        <v>0</v>
      </c>
      <c r="F204" s="178">
        <f>PirteiKisuiBeMutzar!K206</f>
        <v>0</v>
      </c>
      <c r="G204" s="178">
        <f>PirteiKisuiBeMutzar!M206</f>
        <v>0</v>
      </c>
      <c r="H204" s="985">
        <f>PirteiKisuiBeMutzar!P206</f>
        <v>0</v>
      </c>
      <c r="I204" s="178">
        <f>PirteiKisuiBeMutzar!X206</f>
        <v>0</v>
      </c>
      <c r="J204" s="985">
        <f>PirteiKisuiBeMutzar!Y206</f>
        <v>0</v>
      </c>
      <c r="K204" s="178">
        <f>PirteiKisuiBeMutzar!AL206</f>
        <v>0</v>
      </c>
      <c r="L204" s="178">
        <f>PirteiKisuiBeMutzar!AO206</f>
        <v>0</v>
      </c>
      <c r="M204" s="178">
        <f>PirteiKisuiBeMutzar!AP206</f>
        <v>0</v>
      </c>
    </row>
    <row r="205" spans="1:13">
      <c r="A205" s="178">
        <f>PirteiKisuiBeMutzar!D207</f>
        <v>0</v>
      </c>
      <c r="B205" s="178">
        <f>PirteiKisuiBeMutzar!AQ207</f>
        <v>0</v>
      </c>
      <c r="C205" s="178">
        <f>PirteiKisuiBeMutzar!AM207</f>
        <v>0</v>
      </c>
      <c r="D205" s="178">
        <f>PirteiKisuiBeMutzar!G207</f>
        <v>0</v>
      </c>
      <c r="E205" s="178">
        <f>PirteiKisuiBeMutzar!W207</f>
        <v>0</v>
      </c>
      <c r="F205" s="178">
        <f>PirteiKisuiBeMutzar!K207</f>
        <v>0</v>
      </c>
      <c r="G205" s="178">
        <f>PirteiKisuiBeMutzar!M207</f>
        <v>0</v>
      </c>
      <c r="H205" s="985">
        <f>PirteiKisuiBeMutzar!P207</f>
        <v>0</v>
      </c>
      <c r="I205" s="178">
        <f>PirteiKisuiBeMutzar!X207</f>
        <v>0</v>
      </c>
      <c r="J205" s="985">
        <f>PirteiKisuiBeMutzar!Y207</f>
        <v>0</v>
      </c>
      <c r="K205" s="178">
        <f>PirteiKisuiBeMutzar!AL207</f>
        <v>0</v>
      </c>
      <c r="L205" s="178">
        <f>PirteiKisuiBeMutzar!AO207</f>
        <v>0</v>
      </c>
      <c r="M205" s="178">
        <f>PirteiKisuiBeMutzar!AP207</f>
        <v>0</v>
      </c>
    </row>
    <row r="206" spans="1:13">
      <c r="A206" s="178">
        <f>PirteiKisuiBeMutzar!D208</f>
        <v>0</v>
      </c>
      <c r="B206" s="178">
        <f>PirteiKisuiBeMutzar!AQ208</f>
        <v>0</v>
      </c>
      <c r="C206" s="178">
        <f>PirteiKisuiBeMutzar!AM208</f>
        <v>0</v>
      </c>
      <c r="D206" s="178">
        <f>PirteiKisuiBeMutzar!G208</f>
        <v>0</v>
      </c>
      <c r="E206" s="178">
        <f>PirteiKisuiBeMutzar!W208</f>
        <v>0</v>
      </c>
      <c r="F206" s="178">
        <f>PirteiKisuiBeMutzar!K208</f>
        <v>0</v>
      </c>
      <c r="G206" s="178">
        <f>PirteiKisuiBeMutzar!M208</f>
        <v>0</v>
      </c>
      <c r="H206" s="985">
        <f>PirteiKisuiBeMutzar!P208</f>
        <v>0</v>
      </c>
      <c r="I206" s="178">
        <f>PirteiKisuiBeMutzar!X208</f>
        <v>0</v>
      </c>
      <c r="J206" s="985">
        <f>PirteiKisuiBeMutzar!Y208</f>
        <v>0</v>
      </c>
      <c r="K206" s="178">
        <f>PirteiKisuiBeMutzar!AL208</f>
        <v>0</v>
      </c>
      <c r="L206" s="178">
        <f>PirteiKisuiBeMutzar!AO208</f>
        <v>0</v>
      </c>
      <c r="M206" s="178">
        <f>PirteiKisuiBeMutzar!AP208</f>
        <v>0</v>
      </c>
    </row>
    <row r="207" spans="1:13">
      <c r="A207" s="178">
        <f>PirteiKisuiBeMutzar!D209</f>
        <v>0</v>
      </c>
      <c r="B207" s="178">
        <f>PirteiKisuiBeMutzar!AQ209</f>
        <v>0</v>
      </c>
      <c r="C207" s="178">
        <f>PirteiKisuiBeMutzar!AM209</f>
        <v>0</v>
      </c>
      <c r="D207" s="178">
        <f>PirteiKisuiBeMutzar!G209</f>
        <v>0</v>
      </c>
      <c r="E207" s="178">
        <f>PirteiKisuiBeMutzar!W209</f>
        <v>0</v>
      </c>
      <c r="F207" s="178">
        <f>PirteiKisuiBeMutzar!K209</f>
        <v>0</v>
      </c>
      <c r="G207" s="178">
        <f>PirteiKisuiBeMutzar!M209</f>
        <v>0</v>
      </c>
      <c r="H207" s="985">
        <f>PirteiKisuiBeMutzar!P209</f>
        <v>0</v>
      </c>
      <c r="I207" s="178">
        <f>PirteiKisuiBeMutzar!X209</f>
        <v>0</v>
      </c>
      <c r="J207" s="985">
        <f>PirteiKisuiBeMutzar!Y209</f>
        <v>0</v>
      </c>
      <c r="K207" s="178">
        <f>PirteiKisuiBeMutzar!AL209</f>
        <v>0</v>
      </c>
      <c r="L207" s="178">
        <f>PirteiKisuiBeMutzar!AO209</f>
        <v>0</v>
      </c>
      <c r="M207" s="178">
        <f>PirteiKisuiBeMutzar!AP209</f>
        <v>0</v>
      </c>
    </row>
    <row r="208" spans="1:13">
      <c r="A208" s="178">
        <f>PirteiKisuiBeMutzar!D210</f>
        <v>0</v>
      </c>
      <c r="B208" s="178">
        <f>PirteiKisuiBeMutzar!AQ210</f>
        <v>0</v>
      </c>
      <c r="C208" s="178">
        <f>PirteiKisuiBeMutzar!AM210</f>
        <v>0</v>
      </c>
      <c r="D208" s="178">
        <f>PirteiKisuiBeMutzar!G210</f>
        <v>0</v>
      </c>
      <c r="E208" s="178">
        <f>PirteiKisuiBeMutzar!W210</f>
        <v>0</v>
      </c>
      <c r="F208" s="178">
        <f>PirteiKisuiBeMutzar!K210</f>
        <v>0</v>
      </c>
      <c r="G208" s="178">
        <f>PirteiKisuiBeMutzar!M210</f>
        <v>0</v>
      </c>
      <c r="H208" s="985">
        <f>PirteiKisuiBeMutzar!P210</f>
        <v>0</v>
      </c>
      <c r="I208" s="178">
        <f>PirteiKisuiBeMutzar!X210</f>
        <v>0</v>
      </c>
      <c r="J208" s="985">
        <f>PirteiKisuiBeMutzar!Y210</f>
        <v>0</v>
      </c>
      <c r="K208" s="178">
        <f>PirteiKisuiBeMutzar!AL210</f>
        <v>0</v>
      </c>
      <c r="L208" s="178">
        <f>PirteiKisuiBeMutzar!AO210</f>
        <v>0</v>
      </c>
      <c r="M208" s="178">
        <f>PirteiKisuiBeMutzar!AP210</f>
        <v>0</v>
      </c>
    </row>
    <row r="209" spans="1:13">
      <c r="A209" s="178">
        <f>PirteiKisuiBeMutzar!D211</f>
        <v>0</v>
      </c>
      <c r="B209" s="178">
        <f>PirteiKisuiBeMutzar!AQ211</f>
        <v>0</v>
      </c>
      <c r="C209" s="178">
        <f>PirteiKisuiBeMutzar!AM211</f>
        <v>0</v>
      </c>
      <c r="D209" s="178">
        <f>PirteiKisuiBeMutzar!G211</f>
        <v>0</v>
      </c>
      <c r="E209" s="178">
        <f>PirteiKisuiBeMutzar!W211</f>
        <v>0</v>
      </c>
      <c r="F209" s="178">
        <f>PirteiKisuiBeMutzar!K211</f>
        <v>0</v>
      </c>
      <c r="G209" s="178">
        <f>PirteiKisuiBeMutzar!M211</f>
        <v>0</v>
      </c>
      <c r="H209" s="985">
        <f>PirteiKisuiBeMutzar!P211</f>
        <v>0</v>
      </c>
      <c r="I209" s="178">
        <f>PirteiKisuiBeMutzar!X211</f>
        <v>0</v>
      </c>
      <c r="J209" s="985">
        <f>PirteiKisuiBeMutzar!Y211</f>
        <v>0</v>
      </c>
      <c r="K209" s="178">
        <f>PirteiKisuiBeMutzar!AL211</f>
        <v>0</v>
      </c>
      <c r="L209" s="178">
        <f>PirteiKisuiBeMutzar!AO211</f>
        <v>0</v>
      </c>
      <c r="M209" s="178">
        <f>PirteiKisuiBeMutzar!AP211</f>
        <v>0</v>
      </c>
    </row>
    <row r="210" spans="1:13">
      <c r="A210" s="178">
        <f>PirteiKisuiBeMutzar!D212</f>
        <v>0</v>
      </c>
      <c r="B210" s="178">
        <f>PirteiKisuiBeMutzar!AQ212</f>
        <v>0</v>
      </c>
      <c r="C210" s="178">
        <f>PirteiKisuiBeMutzar!AM212</f>
        <v>0</v>
      </c>
      <c r="D210" s="178">
        <f>PirteiKisuiBeMutzar!G212</f>
        <v>0</v>
      </c>
      <c r="E210" s="178">
        <f>PirteiKisuiBeMutzar!W212</f>
        <v>0</v>
      </c>
      <c r="F210" s="178">
        <f>PirteiKisuiBeMutzar!K212</f>
        <v>0</v>
      </c>
      <c r="G210" s="178">
        <f>PirteiKisuiBeMutzar!M212</f>
        <v>0</v>
      </c>
      <c r="H210" s="985">
        <f>PirteiKisuiBeMutzar!P212</f>
        <v>0</v>
      </c>
      <c r="I210" s="178">
        <f>PirteiKisuiBeMutzar!X212</f>
        <v>0</v>
      </c>
      <c r="J210" s="985">
        <f>PirteiKisuiBeMutzar!Y212</f>
        <v>0</v>
      </c>
      <c r="K210" s="178">
        <f>PirteiKisuiBeMutzar!AL212</f>
        <v>0</v>
      </c>
      <c r="L210" s="178">
        <f>PirteiKisuiBeMutzar!AO212</f>
        <v>0</v>
      </c>
      <c r="M210" s="178">
        <f>PirteiKisuiBeMutzar!AP212</f>
        <v>0</v>
      </c>
    </row>
    <row r="211" spans="1:13">
      <c r="A211" s="178">
        <f>PirteiKisuiBeMutzar!D213</f>
        <v>0</v>
      </c>
      <c r="B211" s="178">
        <f>PirteiKisuiBeMutzar!AQ213</f>
        <v>0</v>
      </c>
      <c r="C211" s="178">
        <f>PirteiKisuiBeMutzar!AM213</f>
        <v>0</v>
      </c>
      <c r="D211" s="178">
        <f>PirteiKisuiBeMutzar!G213</f>
        <v>0</v>
      </c>
      <c r="E211" s="178">
        <f>PirteiKisuiBeMutzar!W213</f>
        <v>0</v>
      </c>
      <c r="F211" s="178">
        <f>PirteiKisuiBeMutzar!K213</f>
        <v>0</v>
      </c>
      <c r="G211" s="178">
        <f>PirteiKisuiBeMutzar!M213</f>
        <v>0</v>
      </c>
      <c r="H211" s="985">
        <f>PirteiKisuiBeMutzar!P213</f>
        <v>0</v>
      </c>
      <c r="I211" s="178">
        <f>PirteiKisuiBeMutzar!X213</f>
        <v>0</v>
      </c>
      <c r="J211" s="985">
        <f>PirteiKisuiBeMutzar!Y213</f>
        <v>0</v>
      </c>
      <c r="K211" s="178">
        <f>PirteiKisuiBeMutzar!AL213</f>
        <v>0</v>
      </c>
      <c r="L211" s="178">
        <f>PirteiKisuiBeMutzar!AO213</f>
        <v>0</v>
      </c>
      <c r="M211" s="178">
        <f>PirteiKisuiBeMutzar!AP213</f>
        <v>0</v>
      </c>
    </row>
    <row r="212" spans="1:13">
      <c r="A212" s="178">
        <f>PirteiKisuiBeMutzar!D214</f>
        <v>0</v>
      </c>
      <c r="B212" s="178">
        <f>PirteiKisuiBeMutzar!AQ214</f>
        <v>0</v>
      </c>
      <c r="C212" s="178">
        <f>PirteiKisuiBeMutzar!AM214</f>
        <v>0</v>
      </c>
      <c r="D212" s="178">
        <f>PirteiKisuiBeMutzar!G214</f>
        <v>0</v>
      </c>
      <c r="E212" s="178">
        <f>PirteiKisuiBeMutzar!W214</f>
        <v>0</v>
      </c>
      <c r="F212" s="178">
        <f>PirteiKisuiBeMutzar!K214</f>
        <v>0</v>
      </c>
      <c r="G212" s="178">
        <f>PirteiKisuiBeMutzar!M214</f>
        <v>0</v>
      </c>
      <c r="H212" s="985">
        <f>PirteiKisuiBeMutzar!P214</f>
        <v>0</v>
      </c>
      <c r="I212" s="178">
        <f>PirteiKisuiBeMutzar!X214</f>
        <v>0</v>
      </c>
      <c r="J212" s="985">
        <f>PirteiKisuiBeMutzar!Y214</f>
        <v>0</v>
      </c>
      <c r="K212" s="178">
        <f>PirteiKisuiBeMutzar!AL214</f>
        <v>0</v>
      </c>
      <c r="L212" s="178">
        <f>PirteiKisuiBeMutzar!AO214</f>
        <v>0</v>
      </c>
      <c r="M212" s="178">
        <f>PirteiKisuiBeMutzar!AP214</f>
        <v>0</v>
      </c>
    </row>
    <row r="213" spans="1:13">
      <c r="A213" s="178">
        <f>PirteiKisuiBeMutzar!D215</f>
        <v>0</v>
      </c>
      <c r="B213" s="178">
        <f>PirteiKisuiBeMutzar!AQ215</f>
        <v>0</v>
      </c>
      <c r="C213" s="178">
        <f>PirteiKisuiBeMutzar!AM215</f>
        <v>0</v>
      </c>
      <c r="D213" s="178">
        <f>PirteiKisuiBeMutzar!G215</f>
        <v>0</v>
      </c>
      <c r="E213" s="178">
        <f>PirteiKisuiBeMutzar!W215</f>
        <v>0</v>
      </c>
      <c r="F213" s="178">
        <f>PirteiKisuiBeMutzar!K215</f>
        <v>0</v>
      </c>
      <c r="G213" s="178">
        <f>PirteiKisuiBeMutzar!M215</f>
        <v>0</v>
      </c>
      <c r="H213" s="985">
        <f>PirteiKisuiBeMutzar!P215</f>
        <v>0</v>
      </c>
      <c r="I213" s="178">
        <f>PirteiKisuiBeMutzar!X215</f>
        <v>0</v>
      </c>
      <c r="J213" s="985">
        <f>PirteiKisuiBeMutzar!Y215</f>
        <v>0</v>
      </c>
      <c r="K213" s="178">
        <f>PirteiKisuiBeMutzar!AL215</f>
        <v>0</v>
      </c>
      <c r="L213" s="178">
        <f>PirteiKisuiBeMutzar!AO215</f>
        <v>0</v>
      </c>
      <c r="M213" s="178">
        <f>PirteiKisuiBeMutzar!AP215</f>
        <v>0</v>
      </c>
    </row>
    <row r="214" spans="1:13">
      <c r="A214" s="178">
        <f>PirteiKisuiBeMutzar!D216</f>
        <v>0</v>
      </c>
      <c r="B214" s="178">
        <f>PirteiKisuiBeMutzar!AQ216</f>
        <v>0</v>
      </c>
      <c r="C214" s="178">
        <f>PirteiKisuiBeMutzar!AM216</f>
        <v>0</v>
      </c>
      <c r="D214" s="178">
        <f>PirteiKisuiBeMutzar!G216</f>
        <v>0</v>
      </c>
      <c r="E214" s="178">
        <f>PirteiKisuiBeMutzar!W216</f>
        <v>0</v>
      </c>
      <c r="F214" s="178">
        <f>PirteiKisuiBeMutzar!K216</f>
        <v>0</v>
      </c>
      <c r="G214" s="178">
        <f>PirteiKisuiBeMutzar!M216</f>
        <v>0</v>
      </c>
      <c r="H214" s="985">
        <f>PirteiKisuiBeMutzar!P216</f>
        <v>0</v>
      </c>
      <c r="I214" s="178">
        <f>PirteiKisuiBeMutzar!X216</f>
        <v>0</v>
      </c>
      <c r="J214" s="985">
        <f>PirteiKisuiBeMutzar!Y216</f>
        <v>0</v>
      </c>
      <c r="K214" s="178">
        <f>PirteiKisuiBeMutzar!AL216</f>
        <v>0</v>
      </c>
      <c r="L214" s="178">
        <f>PirteiKisuiBeMutzar!AO216</f>
        <v>0</v>
      </c>
      <c r="M214" s="178">
        <f>PirteiKisuiBeMutzar!AP216</f>
        <v>0</v>
      </c>
    </row>
    <row r="215" spans="1:13">
      <c r="A215" s="178">
        <f>PirteiKisuiBeMutzar!D217</f>
        <v>0</v>
      </c>
      <c r="B215" s="178">
        <f>PirteiKisuiBeMutzar!AQ217</f>
        <v>0</v>
      </c>
      <c r="C215" s="178">
        <f>PirteiKisuiBeMutzar!AM217</f>
        <v>0</v>
      </c>
      <c r="D215" s="178">
        <f>PirteiKisuiBeMutzar!G217</f>
        <v>0</v>
      </c>
      <c r="E215" s="178">
        <f>PirteiKisuiBeMutzar!W217</f>
        <v>0</v>
      </c>
      <c r="F215" s="178">
        <f>PirteiKisuiBeMutzar!K217</f>
        <v>0</v>
      </c>
      <c r="G215" s="178">
        <f>PirteiKisuiBeMutzar!M217</f>
        <v>0</v>
      </c>
      <c r="H215" s="985">
        <f>PirteiKisuiBeMutzar!P217</f>
        <v>0</v>
      </c>
      <c r="I215" s="178">
        <f>PirteiKisuiBeMutzar!X217</f>
        <v>0</v>
      </c>
      <c r="J215" s="985">
        <f>PirteiKisuiBeMutzar!Y217</f>
        <v>0</v>
      </c>
      <c r="K215" s="178">
        <f>PirteiKisuiBeMutzar!AL217</f>
        <v>0</v>
      </c>
      <c r="L215" s="178">
        <f>PirteiKisuiBeMutzar!AO217</f>
        <v>0</v>
      </c>
      <c r="M215" s="178">
        <f>PirteiKisuiBeMutzar!AP217</f>
        <v>0</v>
      </c>
    </row>
    <row r="216" spans="1:13">
      <c r="A216" s="178">
        <f>PirteiKisuiBeMutzar!D218</f>
        <v>0</v>
      </c>
      <c r="B216" s="178">
        <f>PirteiKisuiBeMutzar!AQ218</f>
        <v>0</v>
      </c>
      <c r="C216" s="178">
        <f>PirteiKisuiBeMutzar!AM218</f>
        <v>0</v>
      </c>
      <c r="D216" s="178">
        <f>PirteiKisuiBeMutzar!G218</f>
        <v>0</v>
      </c>
      <c r="E216" s="178">
        <f>PirteiKisuiBeMutzar!W218</f>
        <v>0</v>
      </c>
      <c r="F216" s="178">
        <f>PirteiKisuiBeMutzar!K218</f>
        <v>0</v>
      </c>
      <c r="G216" s="178">
        <f>PirteiKisuiBeMutzar!M218</f>
        <v>0</v>
      </c>
      <c r="H216" s="985">
        <f>PirteiKisuiBeMutzar!P218</f>
        <v>0</v>
      </c>
      <c r="I216" s="178">
        <f>PirteiKisuiBeMutzar!X218</f>
        <v>0</v>
      </c>
      <c r="J216" s="985">
        <f>PirteiKisuiBeMutzar!Y218</f>
        <v>0</v>
      </c>
      <c r="K216" s="178">
        <f>PirteiKisuiBeMutzar!AL218</f>
        <v>0</v>
      </c>
      <c r="L216" s="178">
        <f>PirteiKisuiBeMutzar!AO218</f>
        <v>0</v>
      </c>
      <c r="M216" s="178">
        <f>PirteiKisuiBeMutzar!AP218</f>
        <v>0</v>
      </c>
    </row>
    <row r="217" spans="1:13">
      <c r="A217" s="178">
        <f>PirteiKisuiBeMutzar!D219</f>
        <v>0</v>
      </c>
      <c r="B217" s="178">
        <f>PirteiKisuiBeMutzar!AQ219</f>
        <v>0</v>
      </c>
      <c r="C217" s="178">
        <f>PirteiKisuiBeMutzar!AM219</f>
        <v>0</v>
      </c>
      <c r="D217" s="178">
        <f>PirteiKisuiBeMutzar!G219</f>
        <v>0</v>
      </c>
      <c r="E217" s="178">
        <f>PirteiKisuiBeMutzar!W219</f>
        <v>0</v>
      </c>
      <c r="F217" s="178">
        <f>PirteiKisuiBeMutzar!K219</f>
        <v>0</v>
      </c>
      <c r="G217" s="178">
        <f>PirteiKisuiBeMutzar!M219</f>
        <v>0</v>
      </c>
      <c r="H217" s="985">
        <f>PirteiKisuiBeMutzar!P219</f>
        <v>0</v>
      </c>
      <c r="I217" s="178">
        <f>PirteiKisuiBeMutzar!X219</f>
        <v>0</v>
      </c>
      <c r="J217" s="985">
        <f>PirteiKisuiBeMutzar!Y219</f>
        <v>0</v>
      </c>
      <c r="K217" s="178">
        <f>PirteiKisuiBeMutzar!AL219</f>
        <v>0</v>
      </c>
      <c r="L217" s="178">
        <f>PirteiKisuiBeMutzar!AO219</f>
        <v>0</v>
      </c>
      <c r="M217" s="178">
        <f>PirteiKisuiBeMutzar!AP219</f>
        <v>0</v>
      </c>
    </row>
    <row r="218" spans="1:13">
      <c r="A218" s="178">
        <f>PirteiKisuiBeMutzar!D220</f>
        <v>0</v>
      </c>
      <c r="B218" s="178">
        <f>PirteiKisuiBeMutzar!AQ220</f>
        <v>0</v>
      </c>
      <c r="C218" s="178">
        <f>PirteiKisuiBeMutzar!AM220</f>
        <v>0</v>
      </c>
      <c r="D218" s="178">
        <f>PirteiKisuiBeMutzar!G220</f>
        <v>0</v>
      </c>
      <c r="E218" s="178">
        <f>PirteiKisuiBeMutzar!W220</f>
        <v>0</v>
      </c>
      <c r="F218" s="178">
        <f>PirteiKisuiBeMutzar!K220</f>
        <v>0</v>
      </c>
      <c r="G218" s="178">
        <f>PirteiKisuiBeMutzar!M220</f>
        <v>0</v>
      </c>
      <c r="H218" s="985">
        <f>PirteiKisuiBeMutzar!P220</f>
        <v>0</v>
      </c>
      <c r="I218" s="178">
        <f>PirteiKisuiBeMutzar!X220</f>
        <v>0</v>
      </c>
      <c r="J218" s="985">
        <f>PirteiKisuiBeMutzar!Y220</f>
        <v>0</v>
      </c>
      <c r="K218" s="178">
        <f>PirteiKisuiBeMutzar!AL220</f>
        <v>0</v>
      </c>
      <c r="L218" s="178">
        <f>PirteiKisuiBeMutzar!AO220</f>
        <v>0</v>
      </c>
      <c r="M218" s="178">
        <f>PirteiKisuiBeMutzar!AP220</f>
        <v>0</v>
      </c>
    </row>
    <row r="219" spans="1:13">
      <c r="A219" s="178">
        <f>PirteiKisuiBeMutzar!D221</f>
        <v>0</v>
      </c>
      <c r="B219" s="178">
        <f>PirteiKisuiBeMutzar!AQ221</f>
        <v>0</v>
      </c>
      <c r="C219" s="178">
        <f>PirteiKisuiBeMutzar!AM221</f>
        <v>0</v>
      </c>
      <c r="D219" s="178">
        <f>PirteiKisuiBeMutzar!G221</f>
        <v>0</v>
      </c>
      <c r="E219" s="178">
        <f>PirteiKisuiBeMutzar!W221</f>
        <v>0</v>
      </c>
      <c r="F219" s="178">
        <f>PirteiKisuiBeMutzar!K221</f>
        <v>0</v>
      </c>
      <c r="G219" s="178">
        <f>PirteiKisuiBeMutzar!M221</f>
        <v>0</v>
      </c>
      <c r="H219" s="985">
        <f>PirteiKisuiBeMutzar!P221</f>
        <v>0</v>
      </c>
      <c r="I219" s="178">
        <f>PirteiKisuiBeMutzar!X221</f>
        <v>0</v>
      </c>
      <c r="J219" s="985">
        <f>PirteiKisuiBeMutzar!Y221</f>
        <v>0</v>
      </c>
      <c r="K219" s="178">
        <f>PirteiKisuiBeMutzar!AL221</f>
        <v>0</v>
      </c>
      <c r="L219" s="178">
        <f>PirteiKisuiBeMutzar!AO221</f>
        <v>0</v>
      </c>
      <c r="M219" s="178">
        <f>PirteiKisuiBeMutzar!AP221</f>
        <v>0</v>
      </c>
    </row>
    <row r="220" spans="1:13">
      <c r="A220" s="178">
        <f>PirteiKisuiBeMutzar!D222</f>
        <v>0</v>
      </c>
      <c r="B220" s="178">
        <f>PirteiKisuiBeMutzar!AQ222</f>
        <v>0</v>
      </c>
      <c r="C220" s="178">
        <f>PirteiKisuiBeMutzar!AM222</f>
        <v>0</v>
      </c>
      <c r="D220" s="178">
        <f>PirteiKisuiBeMutzar!G222</f>
        <v>0</v>
      </c>
      <c r="E220" s="178">
        <f>PirteiKisuiBeMutzar!W222</f>
        <v>0</v>
      </c>
      <c r="F220" s="178">
        <f>PirteiKisuiBeMutzar!K222</f>
        <v>0</v>
      </c>
      <c r="G220" s="178">
        <f>PirteiKisuiBeMutzar!M222</f>
        <v>0</v>
      </c>
      <c r="H220" s="985">
        <f>PirteiKisuiBeMutzar!P222</f>
        <v>0</v>
      </c>
      <c r="I220" s="178">
        <f>PirteiKisuiBeMutzar!X222</f>
        <v>0</v>
      </c>
      <c r="J220" s="985">
        <f>PirteiKisuiBeMutzar!Y222</f>
        <v>0</v>
      </c>
      <c r="K220" s="178">
        <f>PirteiKisuiBeMutzar!AL222</f>
        <v>0</v>
      </c>
      <c r="L220" s="178">
        <f>PirteiKisuiBeMutzar!AO222</f>
        <v>0</v>
      </c>
      <c r="M220" s="178">
        <f>PirteiKisuiBeMutzar!AP222</f>
        <v>0</v>
      </c>
    </row>
    <row r="221" spans="1:13">
      <c r="A221" s="178">
        <f>PirteiKisuiBeMutzar!D223</f>
        <v>0</v>
      </c>
      <c r="B221" s="178">
        <f>PirteiKisuiBeMutzar!AQ223</f>
        <v>0</v>
      </c>
      <c r="C221" s="178">
        <f>PirteiKisuiBeMutzar!AM223</f>
        <v>0</v>
      </c>
      <c r="D221" s="178">
        <f>PirteiKisuiBeMutzar!G223</f>
        <v>0</v>
      </c>
      <c r="E221" s="178">
        <f>PirteiKisuiBeMutzar!W223</f>
        <v>0</v>
      </c>
      <c r="F221" s="178">
        <f>PirteiKisuiBeMutzar!K223</f>
        <v>0</v>
      </c>
      <c r="G221" s="178">
        <f>PirteiKisuiBeMutzar!M223</f>
        <v>0</v>
      </c>
      <c r="H221" s="985">
        <f>PirteiKisuiBeMutzar!P223</f>
        <v>0</v>
      </c>
      <c r="I221" s="178">
        <f>PirteiKisuiBeMutzar!X223</f>
        <v>0</v>
      </c>
      <c r="J221" s="985">
        <f>PirteiKisuiBeMutzar!Y223</f>
        <v>0</v>
      </c>
      <c r="K221" s="178">
        <f>PirteiKisuiBeMutzar!AL223</f>
        <v>0</v>
      </c>
      <c r="L221" s="178">
        <f>PirteiKisuiBeMutzar!AO223</f>
        <v>0</v>
      </c>
      <c r="M221" s="178">
        <f>PirteiKisuiBeMutzar!AP223</f>
        <v>0</v>
      </c>
    </row>
    <row r="222" spans="1:13">
      <c r="A222" s="178">
        <f>PirteiKisuiBeMutzar!D224</f>
        <v>0</v>
      </c>
      <c r="B222" s="178">
        <f>PirteiKisuiBeMutzar!AQ224</f>
        <v>0</v>
      </c>
      <c r="C222" s="178">
        <f>PirteiKisuiBeMutzar!AM224</f>
        <v>0</v>
      </c>
      <c r="D222" s="178">
        <f>PirteiKisuiBeMutzar!G224</f>
        <v>0</v>
      </c>
      <c r="E222" s="178">
        <f>PirteiKisuiBeMutzar!W224</f>
        <v>0</v>
      </c>
      <c r="F222" s="178">
        <f>PirteiKisuiBeMutzar!K224</f>
        <v>0</v>
      </c>
      <c r="G222" s="178">
        <f>PirteiKisuiBeMutzar!M224</f>
        <v>0</v>
      </c>
      <c r="H222" s="985">
        <f>PirteiKisuiBeMutzar!P224</f>
        <v>0</v>
      </c>
      <c r="I222" s="178">
        <f>PirteiKisuiBeMutzar!X224</f>
        <v>0</v>
      </c>
      <c r="J222" s="985">
        <f>PirteiKisuiBeMutzar!Y224</f>
        <v>0</v>
      </c>
      <c r="K222" s="178">
        <f>PirteiKisuiBeMutzar!AL224</f>
        <v>0</v>
      </c>
      <c r="L222" s="178">
        <f>PirteiKisuiBeMutzar!AO224</f>
        <v>0</v>
      </c>
      <c r="M222" s="178">
        <f>PirteiKisuiBeMutzar!AP224</f>
        <v>0</v>
      </c>
    </row>
    <row r="223" spans="1:13">
      <c r="A223" s="178">
        <f>PirteiKisuiBeMutzar!D225</f>
        <v>0</v>
      </c>
      <c r="B223" s="178">
        <f>PirteiKisuiBeMutzar!AQ225</f>
        <v>0</v>
      </c>
      <c r="C223" s="178">
        <f>PirteiKisuiBeMutzar!AM225</f>
        <v>0</v>
      </c>
      <c r="D223" s="178">
        <f>PirteiKisuiBeMutzar!G225</f>
        <v>0</v>
      </c>
      <c r="E223" s="178">
        <f>PirteiKisuiBeMutzar!W225</f>
        <v>0</v>
      </c>
      <c r="F223" s="178">
        <f>PirteiKisuiBeMutzar!K225</f>
        <v>0</v>
      </c>
      <c r="G223" s="178">
        <f>PirteiKisuiBeMutzar!M225</f>
        <v>0</v>
      </c>
      <c r="H223" s="985">
        <f>PirteiKisuiBeMutzar!P225</f>
        <v>0</v>
      </c>
      <c r="I223" s="178">
        <f>PirteiKisuiBeMutzar!X225</f>
        <v>0</v>
      </c>
      <c r="J223" s="985">
        <f>PirteiKisuiBeMutzar!Y225</f>
        <v>0</v>
      </c>
      <c r="K223" s="178">
        <f>PirteiKisuiBeMutzar!AL225</f>
        <v>0</v>
      </c>
      <c r="L223" s="178">
        <f>PirteiKisuiBeMutzar!AO225</f>
        <v>0</v>
      </c>
      <c r="M223" s="178">
        <f>PirteiKisuiBeMutzar!AP225</f>
        <v>0</v>
      </c>
    </row>
    <row r="224" spans="1:13">
      <c r="A224" s="178">
        <f>PirteiKisuiBeMutzar!D226</f>
        <v>0</v>
      </c>
      <c r="B224" s="178">
        <f>PirteiKisuiBeMutzar!AQ226</f>
        <v>0</v>
      </c>
      <c r="C224" s="178">
        <f>PirteiKisuiBeMutzar!AM226</f>
        <v>0</v>
      </c>
      <c r="D224" s="178">
        <f>PirteiKisuiBeMutzar!G226</f>
        <v>0</v>
      </c>
      <c r="E224" s="178">
        <f>PirteiKisuiBeMutzar!W226</f>
        <v>0</v>
      </c>
      <c r="F224" s="178">
        <f>PirteiKisuiBeMutzar!K226</f>
        <v>0</v>
      </c>
      <c r="G224" s="178">
        <f>PirteiKisuiBeMutzar!M226</f>
        <v>0</v>
      </c>
      <c r="H224" s="985">
        <f>PirteiKisuiBeMutzar!P226</f>
        <v>0</v>
      </c>
      <c r="I224" s="178">
        <f>PirteiKisuiBeMutzar!X226</f>
        <v>0</v>
      </c>
      <c r="J224" s="985">
        <f>PirteiKisuiBeMutzar!Y226</f>
        <v>0</v>
      </c>
      <c r="K224" s="178">
        <f>PirteiKisuiBeMutzar!AL226</f>
        <v>0</v>
      </c>
      <c r="L224" s="178">
        <f>PirteiKisuiBeMutzar!AO226</f>
        <v>0</v>
      </c>
      <c r="M224" s="178">
        <f>PirteiKisuiBeMutzar!AP226</f>
        <v>0</v>
      </c>
    </row>
    <row r="225" spans="1:13">
      <c r="A225" s="178">
        <f>PirteiKisuiBeMutzar!D227</f>
        <v>0</v>
      </c>
      <c r="B225" s="178">
        <f>PirteiKisuiBeMutzar!AQ227</f>
        <v>0</v>
      </c>
      <c r="C225" s="178">
        <f>PirteiKisuiBeMutzar!AM227</f>
        <v>0</v>
      </c>
      <c r="D225" s="178">
        <f>PirteiKisuiBeMutzar!G227</f>
        <v>0</v>
      </c>
      <c r="E225" s="178">
        <f>PirteiKisuiBeMutzar!W227</f>
        <v>0</v>
      </c>
      <c r="F225" s="178">
        <f>PirteiKisuiBeMutzar!K227</f>
        <v>0</v>
      </c>
      <c r="G225" s="178">
        <f>PirteiKisuiBeMutzar!M227</f>
        <v>0</v>
      </c>
      <c r="H225" s="985">
        <f>PirteiKisuiBeMutzar!P227</f>
        <v>0</v>
      </c>
      <c r="I225" s="178">
        <f>PirteiKisuiBeMutzar!X227</f>
        <v>0</v>
      </c>
      <c r="J225" s="985">
        <f>PirteiKisuiBeMutzar!Y227</f>
        <v>0</v>
      </c>
      <c r="K225" s="178">
        <f>PirteiKisuiBeMutzar!AL227</f>
        <v>0</v>
      </c>
      <c r="L225" s="178">
        <f>PirteiKisuiBeMutzar!AO227</f>
        <v>0</v>
      </c>
      <c r="M225" s="178">
        <f>PirteiKisuiBeMutzar!AP227</f>
        <v>0</v>
      </c>
    </row>
    <row r="226" spans="1:13">
      <c r="A226" s="178">
        <f>PirteiKisuiBeMutzar!D228</f>
        <v>0</v>
      </c>
      <c r="B226" s="178">
        <f>PirteiKisuiBeMutzar!AQ228</f>
        <v>0</v>
      </c>
      <c r="C226" s="178">
        <f>PirteiKisuiBeMutzar!AM228</f>
        <v>0</v>
      </c>
      <c r="D226" s="178">
        <f>PirteiKisuiBeMutzar!G228</f>
        <v>0</v>
      </c>
      <c r="E226" s="178">
        <f>PirteiKisuiBeMutzar!W228</f>
        <v>0</v>
      </c>
      <c r="F226" s="178">
        <f>PirteiKisuiBeMutzar!K228</f>
        <v>0</v>
      </c>
      <c r="G226" s="178">
        <f>PirteiKisuiBeMutzar!M228</f>
        <v>0</v>
      </c>
      <c r="H226" s="985">
        <f>PirteiKisuiBeMutzar!P228</f>
        <v>0</v>
      </c>
      <c r="I226" s="178">
        <f>PirteiKisuiBeMutzar!X228</f>
        <v>0</v>
      </c>
      <c r="J226" s="985">
        <f>PirteiKisuiBeMutzar!Y228</f>
        <v>0</v>
      </c>
      <c r="K226" s="178">
        <f>PirteiKisuiBeMutzar!AL228</f>
        <v>0</v>
      </c>
      <c r="L226" s="178">
        <f>PirteiKisuiBeMutzar!AO228</f>
        <v>0</v>
      </c>
      <c r="M226" s="178">
        <f>PirteiKisuiBeMutzar!AP228</f>
        <v>0</v>
      </c>
    </row>
    <row r="227" spans="1:13">
      <c r="A227" s="178">
        <f>PirteiKisuiBeMutzar!D229</f>
        <v>0</v>
      </c>
      <c r="B227" s="178">
        <f>PirteiKisuiBeMutzar!AQ229</f>
        <v>0</v>
      </c>
      <c r="C227" s="178">
        <f>PirteiKisuiBeMutzar!AM229</f>
        <v>0</v>
      </c>
      <c r="D227" s="178">
        <f>PirteiKisuiBeMutzar!G229</f>
        <v>0</v>
      </c>
      <c r="E227" s="178">
        <f>PirteiKisuiBeMutzar!W229</f>
        <v>0</v>
      </c>
      <c r="F227" s="178">
        <f>PirteiKisuiBeMutzar!K229</f>
        <v>0</v>
      </c>
      <c r="G227" s="178">
        <f>PirteiKisuiBeMutzar!M229</f>
        <v>0</v>
      </c>
      <c r="H227" s="985">
        <f>PirteiKisuiBeMutzar!P229</f>
        <v>0</v>
      </c>
      <c r="I227" s="178">
        <f>PirteiKisuiBeMutzar!X229</f>
        <v>0</v>
      </c>
      <c r="J227" s="985">
        <f>PirteiKisuiBeMutzar!Y229</f>
        <v>0</v>
      </c>
      <c r="K227" s="178">
        <f>PirteiKisuiBeMutzar!AL229</f>
        <v>0</v>
      </c>
      <c r="L227" s="178">
        <f>PirteiKisuiBeMutzar!AO229</f>
        <v>0</v>
      </c>
      <c r="M227" s="178">
        <f>PirteiKisuiBeMutzar!AP229</f>
        <v>0</v>
      </c>
    </row>
    <row r="228" spans="1:13">
      <c r="A228" s="178">
        <f>PirteiKisuiBeMutzar!D230</f>
        <v>0</v>
      </c>
      <c r="B228" s="178">
        <f>PirteiKisuiBeMutzar!AQ230</f>
        <v>0</v>
      </c>
      <c r="C228" s="178">
        <f>PirteiKisuiBeMutzar!AM230</f>
        <v>0</v>
      </c>
      <c r="D228" s="178">
        <f>PirteiKisuiBeMutzar!G230</f>
        <v>0</v>
      </c>
      <c r="E228" s="178">
        <f>PirteiKisuiBeMutzar!W230</f>
        <v>0</v>
      </c>
      <c r="F228" s="178">
        <f>PirteiKisuiBeMutzar!K230</f>
        <v>0</v>
      </c>
      <c r="G228" s="178">
        <f>PirteiKisuiBeMutzar!M230</f>
        <v>0</v>
      </c>
      <c r="H228" s="985">
        <f>PirteiKisuiBeMutzar!P230</f>
        <v>0</v>
      </c>
      <c r="I228" s="178">
        <f>PirteiKisuiBeMutzar!X230</f>
        <v>0</v>
      </c>
      <c r="J228" s="985">
        <f>PirteiKisuiBeMutzar!Y230</f>
        <v>0</v>
      </c>
      <c r="K228" s="178">
        <f>PirteiKisuiBeMutzar!AL230</f>
        <v>0</v>
      </c>
      <c r="L228" s="178">
        <f>PirteiKisuiBeMutzar!AO230</f>
        <v>0</v>
      </c>
      <c r="M228" s="178">
        <f>PirteiKisuiBeMutzar!AP230</f>
        <v>0</v>
      </c>
    </row>
    <row r="229" spans="1:13">
      <c r="A229" s="178">
        <f>PirteiKisuiBeMutzar!D231</f>
        <v>0</v>
      </c>
      <c r="B229" s="178">
        <f>PirteiKisuiBeMutzar!AQ231</f>
        <v>0</v>
      </c>
      <c r="C229" s="178">
        <f>PirteiKisuiBeMutzar!AM231</f>
        <v>0</v>
      </c>
      <c r="D229" s="178">
        <f>PirteiKisuiBeMutzar!G231</f>
        <v>0</v>
      </c>
      <c r="E229" s="178">
        <f>PirteiKisuiBeMutzar!W231</f>
        <v>0</v>
      </c>
      <c r="F229" s="178">
        <f>PirteiKisuiBeMutzar!K231</f>
        <v>0</v>
      </c>
      <c r="G229" s="178">
        <f>PirteiKisuiBeMutzar!M231</f>
        <v>0</v>
      </c>
      <c r="H229" s="985">
        <f>PirteiKisuiBeMutzar!P231</f>
        <v>0</v>
      </c>
      <c r="I229" s="178">
        <f>PirteiKisuiBeMutzar!X231</f>
        <v>0</v>
      </c>
      <c r="J229" s="985">
        <f>PirteiKisuiBeMutzar!Y231</f>
        <v>0</v>
      </c>
      <c r="K229" s="178">
        <f>PirteiKisuiBeMutzar!AL231</f>
        <v>0</v>
      </c>
      <c r="L229" s="178">
        <f>PirteiKisuiBeMutzar!AO231</f>
        <v>0</v>
      </c>
      <c r="M229" s="178">
        <f>PirteiKisuiBeMutzar!AP231</f>
        <v>0</v>
      </c>
    </row>
    <row r="230" spans="1:13">
      <c r="A230" s="178">
        <f>PirteiKisuiBeMutzar!D232</f>
        <v>0</v>
      </c>
      <c r="B230" s="178">
        <f>PirteiKisuiBeMutzar!AQ232</f>
        <v>0</v>
      </c>
      <c r="C230" s="178">
        <f>PirteiKisuiBeMutzar!AM232</f>
        <v>0</v>
      </c>
      <c r="D230" s="178">
        <f>PirteiKisuiBeMutzar!G232</f>
        <v>0</v>
      </c>
      <c r="E230" s="178">
        <f>PirteiKisuiBeMutzar!W232</f>
        <v>0</v>
      </c>
      <c r="F230" s="178">
        <f>PirteiKisuiBeMutzar!K232</f>
        <v>0</v>
      </c>
      <c r="G230" s="178">
        <f>PirteiKisuiBeMutzar!M232</f>
        <v>0</v>
      </c>
      <c r="H230" s="985">
        <f>PirteiKisuiBeMutzar!P232</f>
        <v>0</v>
      </c>
      <c r="I230" s="178">
        <f>PirteiKisuiBeMutzar!X232</f>
        <v>0</v>
      </c>
      <c r="J230" s="985">
        <f>PirteiKisuiBeMutzar!Y232</f>
        <v>0</v>
      </c>
      <c r="K230" s="178">
        <f>PirteiKisuiBeMutzar!AL232</f>
        <v>0</v>
      </c>
      <c r="L230" s="178">
        <f>PirteiKisuiBeMutzar!AO232</f>
        <v>0</v>
      </c>
      <c r="M230" s="178">
        <f>PirteiKisuiBeMutzar!AP232</f>
        <v>0</v>
      </c>
    </row>
    <row r="231" spans="1:13">
      <c r="A231" s="178">
        <f>PirteiKisuiBeMutzar!D233</f>
        <v>0</v>
      </c>
      <c r="B231" s="178">
        <f>PirteiKisuiBeMutzar!AQ233</f>
        <v>0</v>
      </c>
      <c r="C231" s="178">
        <f>PirteiKisuiBeMutzar!AM233</f>
        <v>0</v>
      </c>
      <c r="D231" s="178">
        <f>PirteiKisuiBeMutzar!G233</f>
        <v>0</v>
      </c>
      <c r="E231" s="178">
        <f>PirteiKisuiBeMutzar!W233</f>
        <v>0</v>
      </c>
      <c r="F231" s="178">
        <f>PirteiKisuiBeMutzar!K233</f>
        <v>0</v>
      </c>
      <c r="G231" s="178">
        <f>PirteiKisuiBeMutzar!M233</f>
        <v>0</v>
      </c>
      <c r="H231" s="985">
        <f>PirteiKisuiBeMutzar!P233</f>
        <v>0</v>
      </c>
      <c r="I231" s="178">
        <f>PirteiKisuiBeMutzar!X233</f>
        <v>0</v>
      </c>
      <c r="J231" s="985">
        <f>PirteiKisuiBeMutzar!Y233</f>
        <v>0</v>
      </c>
      <c r="K231" s="178">
        <f>PirteiKisuiBeMutzar!AL233</f>
        <v>0</v>
      </c>
      <c r="L231" s="178">
        <f>PirteiKisuiBeMutzar!AO233</f>
        <v>0</v>
      </c>
      <c r="M231" s="178">
        <f>PirteiKisuiBeMutzar!AP233</f>
        <v>0</v>
      </c>
    </row>
    <row r="232" spans="1:13">
      <c r="A232" s="178">
        <f>PirteiKisuiBeMutzar!D234</f>
        <v>0</v>
      </c>
      <c r="B232" s="178">
        <f>PirteiKisuiBeMutzar!AQ234</f>
        <v>0</v>
      </c>
      <c r="C232" s="178">
        <f>PirteiKisuiBeMutzar!AM234</f>
        <v>0</v>
      </c>
      <c r="D232" s="178">
        <f>PirteiKisuiBeMutzar!G234</f>
        <v>0</v>
      </c>
      <c r="E232" s="178">
        <f>PirteiKisuiBeMutzar!W234</f>
        <v>0</v>
      </c>
      <c r="F232" s="178">
        <f>PirteiKisuiBeMutzar!K234</f>
        <v>0</v>
      </c>
      <c r="G232" s="178">
        <f>PirteiKisuiBeMutzar!M234</f>
        <v>0</v>
      </c>
      <c r="H232" s="985">
        <f>PirteiKisuiBeMutzar!P234</f>
        <v>0</v>
      </c>
      <c r="I232" s="178">
        <f>PirteiKisuiBeMutzar!X234</f>
        <v>0</v>
      </c>
      <c r="J232" s="985">
        <f>PirteiKisuiBeMutzar!Y234</f>
        <v>0</v>
      </c>
      <c r="K232" s="178">
        <f>PirteiKisuiBeMutzar!AL234</f>
        <v>0</v>
      </c>
      <c r="L232" s="178">
        <f>PirteiKisuiBeMutzar!AO234</f>
        <v>0</v>
      </c>
      <c r="M232" s="178">
        <f>PirteiKisuiBeMutzar!AP234</f>
        <v>0</v>
      </c>
    </row>
    <row r="233" spans="1:13">
      <c r="A233" s="178">
        <f>PirteiKisuiBeMutzar!D235</f>
        <v>0</v>
      </c>
      <c r="B233" s="178">
        <f>PirteiKisuiBeMutzar!AQ235</f>
        <v>0</v>
      </c>
      <c r="C233" s="178">
        <f>PirteiKisuiBeMutzar!AM235</f>
        <v>0</v>
      </c>
      <c r="D233" s="178">
        <f>PirteiKisuiBeMutzar!G235</f>
        <v>0</v>
      </c>
      <c r="E233" s="178">
        <f>PirteiKisuiBeMutzar!W235</f>
        <v>0</v>
      </c>
      <c r="F233" s="178">
        <f>PirteiKisuiBeMutzar!K235</f>
        <v>0</v>
      </c>
      <c r="G233" s="178">
        <f>PirteiKisuiBeMutzar!M235</f>
        <v>0</v>
      </c>
      <c r="H233" s="985">
        <f>PirteiKisuiBeMutzar!P235</f>
        <v>0</v>
      </c>
      <c r="I233" s="178">
        <f>PirteiKisuiBeMutzar!X235</f>
        <v>0</v>
      </c>
      <c r="J233" s="985">
        <f>PirteiKisuiBeMutzar!Y235</f>
        <v>0</v>
      </c>
      <c r="K233" s="178">
        <f>PirteiKisuiBeMutzar!AL235</f>
        <v>0</v>
      </c>
      <c r="L233" s="178">
        <f>PirteiKisuiBeMutzar!AO235</f>
        <v>0</v>
      </c>
      <c r="M233" s="178">
        <f>PirteiKisuiBeMutzar!AP235</f>
        <v>0</v>
      </c>
    </row>
    <row r="234" spans="1:13">
      <c r="A234" s="178">
        <f>PirteiKisuiBeMutzar!D236</f>
        <v>0</v>
      </c>
      <c r="B234" s="178">
        <f>PirteiKisuiBeMutzar!AQ236</f>
        <v>0</v>
      </c>
      <c r="C234" s="178">
        <f>PirteiKisuiBeMutzar!AM236</f>
        <v>0</v>
      </c>
      <c r="D234" s="178">
        <f>PirteiKisuiBeMutzar!G236</f>
        <v>0</v>
      </c>
      <c r="E234" s="178">
        <f>PirteiKisuiBeMutzar!W236</f>
        <v>0</v>
      </c>
      <c r="F234" s="178">
        <f>PirteiKisuiBeMutzar!K236</f>
        <v>0</v>
      </c>
      <c r="G234" s="178">
        <f>PirteiKisuiBeMutzar!M236</f>
        <v>0</v>
      </c>
      <c r="H234" s="985">
        <f>PirteiKisuiBeMutzar!P236</f>
        <v>0</v>
      </c>
      <c r="I234" s="178">
        <f>PirteiKisuiBeMutzar!X236</f>
        <v>0</v>
      </c>
      <c r="J234" s="985">
        <f>PirteiKisuiBeMutzar!Y236</f>
        <v>0</v>
      </c>
      <c r="K234" s="178">
        <f>PirteiKisuiBeMutzar!AL236</f>
        <v>0</v>
      </c>
      <c r="L234" s="178">
        <f>PirteiKisuiBeMutzar!AO236</f>
        <v>0</v>
      </c>
      <c r="M234" s="178">
        <f>PirteiKisuiBeMutzar!AP236</f>
        <v>0</v>
      </c>
    </row>
    <row r="235" spans="1:13">
      <c r="A235" s="178">
        <f>PirteiKisuiBeMutzar!D237</f>
        <v>0</v>
      </c>
      <c r="B235" s="178">
        <f>PirteiKisuiBeMutzar!AQ237</f>
        <v>0</v>
      </c>
      <c r="C235" s="178">
        <f>PirteiKisuiBeMutzar!AM237</f>
        <v>0</v>
      </c>
      <c r="D235" s="178">
        <f>PirteiKisuiBeMutzar!G237</f>
        <v>0</v>
      </c>
      <c r="E235" s="178">
        <f>PirteiKisuiBeMutzar!W237</f>
        <v>0</v>
      </c>
      <c r="F235" s="178">
        <f>PirteiKisuiBeMutzar!K237</f>
        <v>0</v>
      </c>
      <c r="G235" s="178">
        <f>PirteiKisuiBeMutzar!M237</f>
        <v>0</v>
      </c>
      <c r="H235" s="985">
        <f>PirteiKisuiBeMutzar!P237</f>
        <v>0</v>
      </c>
      <c r="I235" s="178">
        <f>PirteiKisuiBeMutzar!X237</f>
        <v>0</v>
      </c>
      <c r="J235" s="985">
        <f>PirteiKisuiBeMutzar!Y237</f>
        <v>0</v>
      </c>
      <c r="K235" s="178">
        <f>PirteiKisuiBeMutzar!AL237</f>
        <v>0</v>
      </c>
      <c r="L235" s="178">
        <f>PirteiKisuiBeMutzar!AO237</f>
        <v>0</v>
      </c>
      <c r="M235" s="178">
        <f>PirteiKisuiBeMutzar!AP237</f>
        <v>0</v>
      </c>
    </row>
    <row r="236" spans="1:13">
      <c r="A236" s="178">
        <f>PirteiKisuiBeMutzar!D238</f>
        <v>0</v>
      </c>
      <c r="B236" s="178">
        <f>PirteiKisuiBeMutzar!AQ238</f>
        <v>0</v>
      </c>
      <c r="C236" s="178">
        <f>PirteiKisuiBeMutzar!AM238</f>
        <v>0</v>
      </c>
      <c r="D236" s="178">
        <f>PirteiKisuiBeMutzar!G238</f>
        <v>0</v>
      </c>
      <c r="E236" s="178">
        <f>PirteiKisuiBeMutzar!W238</f>
        <v>0</v>
      </c>
      <c r="F236" s="178">
        <f>PirteiKisuiBeMutzar!K238</f>
        <v>0</v>
      </c>
      <c r="G236" s="178">
        <f>PirteiKisuiBeMutzar!M238</f>
        <v>0</v>
      </c>
      <c r="H236" s="985">
        <f>PirteiKisuiBeMutzar!P238</f>
        <v>0</v>
      </c>
      <c r="I236" s="178">
        <f>PirteiKisuiBeMutzar!X238</f>
        <v>0</v>
      </c>
      <c r="J236" s="985">
        <f>PirteiKisuiBeMutzar!Y238</f>
        <v>0</v>
      </c>
      <c r="K236" s="178">
        <f>PirteiKisuiBeMutzar!AL238</f>
        <v>0</v>
      </c>
      <c r="L236" s="178">
        <f>PirteiKisuiBeMutzar!AO238</f>
        <v>0</v>
      </c>
      <c r="M236" s="178">
        <f>PirteiKisuiBeMutzar!AP238</f>
        <v>0</v>
      </c>
    </row>
    <row r="237" spans="1:13">
      <c r="A237" s="178">
        <f>PirteiKisuiBeMutzar!D239</f>
        <v>0</v>
      </c>
      <c r="B237" s="178">
        <f>PirteiKisuiBeMutzar!AQ239</f>
        <v>0</v>
      </c>
      <c r="C237" s="178">
        <f>PirteiKisuiBeMutzar!AM239</f>
        <v>0</v>
      </c>
      <c r="D237" s="178">
        <f>PirteiKisuiBeMutzar!G239</f>
        <v>0</v>
      </c>
      <c r="E237" s="178">
        <f>PirteiKisuiBeMutzar!W239</f>
        <v>0</v>
      </c>
      <c r="F237" s="178">
        <f>PirteiKisuiBeMutzar!K239</f>
        <v>0</v>
      </c>
      <c r="G237" s="178">
        <f>PirteiKisuiBeMutzar!M239</f>
        <v>0</v>
      </c>
      <c r="H237" s="985">
        <f>PirteiKisuiBeMutzar!P239</f>
        <v>0</v>
      </c>
      <c r="I237" s="178">
        <f>PirteiKisuiBeMutzar!X239</f>
        <v>0</v>
      </c>
      <c r="J237" s="985">
        <f>PirteiKisuiBeMutzar!Y239</f>
        <v>0</v>
      </c>
      <c r="K237" s="178">
        <f>PirteiKisuiBeMutzar!AL239</f>
        <v>0</v>
      </c>
      <c r="L237" s="178">
        <f>PirteiKisuiBeMutzar!AO239</f>
        <v>0</v>
      </c>
      <c r="M237" s="178">
        <f>PirteiKisuiBeMutzar!AP239</f>
        <v>0</v>
      </c>
    </row>
    <row r="238" spans="1:13">
      <c r="A238" s="178">
        <f>PirteiKisuiBeMutzar!D240</f>
        <v>0</v>
      </c>
      <c r="B238" s="178">
        <f>PirteiKisuiBeMutzar!AQ240</f>
        <v>0</v>
      </c>
      <c r="C238" s="178">
        <f>PirteiKisuiBeMutzar!AM240</f>
        <v>0</v>
      </c>
      <c r="D238" s="178">
        <f>PirteiKisuiBeMutzar!G240</f>
        <v>0</v>
      </c>
      <c r="E238" s="178">
        <f>PirteiKisuiBeMutzar!W240</f>
        <v>0</v>
      </c>
      <c r="F238" s="178">
        <f>PirteiKisuiBeMutzar!K240</f>
        <v>0</v>
      </c>
      <c r="G238" s="178">
        <f>PirteiKisuiBeMutzar!M240</f>
        <v>0</v>
      </c>
      <c r="H238" s="985">
        <f>PirteiKisuiBeMutzar!P240</f>
        <v>0</v>
      </c>
      <c r="I238" s="178">
        <f>PirteiKisuiBeMutzar!X240</f>
        <v>0</v>
      </c>
      <c r="J238" s="985">
        <f>PirteiKisuiBeMutzar!Y240</f>
        <v>0</v>
      </c>
      <c r="K238" s="178">
        <f>PirteiKisuiBeMutzar!AL240</f>
        <v>0</v>
      </c>
      <c r="L238" s="178">
        <f>PirteiKisuiBeMutzar!AO240</f>
        <v>0</v>
      </c>
      <c r="M238" s="178">
        <f>PirteiKisuiBeMutzar!AP240</f>
        <v>0</v>
      </c>
    </row>
    <row r="239" spans="1:13">
      <c r="A239" s="178">
        <f>PirteiKisuiBeMutzar!D241</f>
        <v>0</v>
      </c>
      <c r="B239" s="178">
        <f>PirteiKisuiBeMutzar!AQ241</f>
        <v>0</v>
      </c>
      <c r="C239" s="178">
        <f>PirteiKisuiBeMutzar!AM241</f>
        <v>0</v>
      </c>
      <c r="D239" s="178">
        <f>PirteiKisuiBeMutzar!G241</f>
        <v>0</v>
      </c>
      <c r="E239" s="178">
        <f>PirteiKisuiBeMutzar!W241</f>
        <v>0</v>
      </c>
      <c r="F239" s="178">
        <f>PirteiKisuiBeMutzar!K241</f>
        <v>0</v>
      </c>
      <c r="G239" s="178">
        <f>PirteiKisuiBeMutzar!M241</f>
        <v>0</v>
      </c>
      <c r="H239" s="985">
        <f>PirteiKisuiBeMutzar!P241</f>
        <v>0</v>
      </c>
      <c r="I239" s="178">
        <f>PirteiKisuiBeMutzar!X241</f>
        <v>0</v>
      </c>
      <c r="J239" s="985">
        <f>PirteiKisuiBeMutzar!Y241</f>
        <v>0</v>
      </c>
      <c r="K239" s="178">
        <f>PirteiKisuiBeMutzar!AL241</f>
        <v>0</v>
      </c>
      <c r="L239" s="178">
        <f>PirteiKisuiBeMutzar!AO241</f>
        <v>0</v>
      </c>
      <c r="M239" s="178">
        <f>PirteiKisuiBeMutzar!AP241</f>
        <v>0</v>
      </c>
    </row>
    <row r="240" spans="1:13">
      <c r="A240" s="178">
        <f>PirteiKisuiBeMutzar!D242</f>
        <v>0</v>
      </c>
      <c r="B240" s="178">
        <f>PirteiKisuiBeMutzar!AQ242</f>
        <v>0</v>
      </c>
      <c r="C240" s="178">
        <f>PirteiKisuiBeMutzar!AM242</f>
        <v>0</v>
      </c>
      <c r="D240" s="178">
        <f>PirteiKisuiBeMutzar!G242</f>
        <v>0</v>
      </c>
      <c r="E240" s="178">
        <f>PirteiKisuiBeMutzar!W242</f>
        <v>0</v>
      </c>
      <c r="F240" s="178">
        <f>PirteiKisuiBeMutzar!K242</f>
        <v>0</v>
      </c>
      <c r="G240" s="178">
        <f>PirteiKisuiBeMutzar!M242</f>
        <v>0</v>
      </c>
      <c r="H240" s="985">
        <f>PirteiKisuiBeMutzar!P242</f>
        <v>0</v>
      </c>
      <c r="I240" s="178">
        <f>PirteiKisuiBeMutzar!X242</f>
        <v>0</v>
      </c>
      <c r="J240" s="985">
        <f>PirteiKisuiBeMutzar!Y242</f>
        <v>0</v>
      </c>
      <c r="K240" s="178">
        <f>PirteiKisuiBeMutzar!AL242</f>
        <v>0</v>
      </c>
      <c r="L240" s="178">
        <f>PirteiKisuiBeMutzar!AO242</f>
        <v>0</v>
      </c>
      <c r="M240" s="178">
        <f>PirteiKisuiBeMutzar!AP242</f>
        <v>0</v>
      </c>
    </row>
    <row r="241" spans="1:13">
      <c r="A241" s="178">
        <f>PirteiKisuiBeMutzar!D243</f>
        <v>0</v>
      </c>
      <c r="B241" s="178">
        <f>PirteiKisuiBeMutzar!AQ243</f>
        <v>0</v>
      </c>
      <c r="C241" s="178">
        <f>PirteiKisuiBeMutzar!AM243</f>
        <v>0</v>
      </c>
      <c r="D241" s="178">
        <f>PirteiKisuiBeMutzar!G243</f>
        <v>0</v>
      </c>
      <c r="E241" s="178">
        <f>PirteiKisuiBeMutzar!W243</f>
        <v>0</v>
      </c>
      <c r="F241" s="178">
        <f>PirteiKisuiBeMutzar!K243</f>
        <v>0</v>
      </c>
      <c r="G241" s="178">
        <f>PirteiKisuiBeMutzar!M243</f>
        <v>0</v>
      </c>
      <c r="H241" s="985">
        <f>PirteiKisuiBeMutzar!P243</f>
        <v>0</v>
      </c>
      <c r="I241" s="178">
        <f>PirteiKisuiBeMutzar!X243</f>
        <v>0</v>
      </c>
      <c r="J241" s="985">
        <f>PirteiKisuiBeMutzar!Y243</f>
        <v>0</v>
      </c>
      <c r="K241" s="178">
        <f>PirteiKisuiBeMutzar!AL243</f>
        <v>0</v>
      </c>
      <c r="L241" s="178">
        <f>PirteiKisuiBeMutzar!AO243</f>
        <v>0</v>
      </c>
      <c r="M241" s="178">
        <f>PirteiKisuiBeMutzar!AP243</f>
        <v>0</v>
      </c>
    </row>
    <row r="242" spans="1:13">
      <c r="A242" s="178">
        <f>PirteiKisuiBeMutzar!D244</f>
        <v>0</v>
      </c>
      <c r="B242" s="178">
        <f>PirteiKisuiBeMutzar!AQ244</f>
        <v>0</v>
      </c>
      <c r="C242" s="178">
        <f>PirteiKisuiBeMutzar!AM244</f>
        <v>0</v>
      </c>
      <c r="D242" s="178">
        <f>PirteiKisuiBeMutzar!G244</f>
        <v>0</v>
      </c>
      <c r="E242" s="178">
        <f>PirteiKisuiBeMutzar!W244</f>
        <v>0</v>
      </c>
      <c r="F242" s="178">
        <f>PirteiKisuiBeMutzar!K244</f>
        <v>0</v>
      </c>
      <c r="G242" s="178">
        <f>PirteiKisuiBeMutzar!M244</f>
        <v>0</v>
      </c>
      <c r="H242" s="985">
        <f>PirteiKisuiBeMutzar!P244</f>
        <v>0</v>
      </c>
      <c r="I242" s="178">
        <f>PirteiKisuiBeMutzar!X244</f>
        <v>0</v>
      </c>
      <c r="J242" s="985">
        <f>PirteiKisuiBeMutzar!Y244</f>
        <v>0</v>
      </c>
      <c r="K242" s="178">
        <f>PirteiKisuiBeMutzar!AL244</f>
        <v>0</v>
      </c>
      <c r="L242" s="178">
        <f>PirteiKisuiBeMutzar!AO244</f>
        <v>0</v>
      </c>
      <c r="M242" s="178">
        <f>PirteiKisuiBeMutzar!AP244</f>
        <v>0</v>
      </c>
    </row>
    <row r="243" spans="1:13">
      <c r="A243" s="178">
        <f>PirteiKisuiBeMutzar!D245</f>
        <v>0</v>
      </c>
      <c r="B243" s="178">
        <f>PirteiKisuiBeMutzar!AQ245</f>
        <v>0</v>
      </c>
      <c r="C243" s="178">
        <f>PirteiKisuiBeMutzar!AM245</f>
        <v>0</v>
      </c>
      <c r="D243" s="178">
        <f>PirteiKisuiBeMutzar!G245</f>
        <v>0</v>
      </c>
      <c r="E243" s="178">
        <f>PirteiKisuiBeMutzar!W245</f>
        <v>0</v>
      </c>
      <c r="F243" s="178">
        <f>PirteiKisuiBeMutzar!K245</f>
        <v>0</v>
      </c>
      <c r="G243" s="178">
        <f>PirteiKisuiBeMutzar!M245</f>
        <v>0</v>
      </c>
      <c r="H243" s="985">
        <f>PirteiKisuiBeMutzar!P245</f>
        <v>0</v>
      </c>
      <c r="I243" s="178">
        <f>PirteiKisuiBeMutzar!X245</f>
        <v>0</v>
      </c>
      <c r="J243" s="985">
        <f>PirteiKisuiBeMutzar!Y245</f>
        <v>0</v>
      </c>
      <c r="K243" s="178">
        <f>PirteiKisuiBeMutzar!AL245</f>
        <v>0</v>
      </c>
      <c r="L243" s="178">
        <f>PirteiKisuiBeMutzar!AO245</f>
        <v>0</v>
      </c>
      <c r="M243" s="178">
        <f>PirteiKisuiBeMutzar!AP245</f>
        <v>0</v>
      </c>
    </row>
    <row r="244" spans="1:13">
      <c r="A244" s="178">
        <f>PirteiKisuiBeMutzar!D246</f>
        <v>0</v>
      </c>
      <c r="B244" s="178">
        <f>PirteiKisuiBeMutzar!AQ246</f>
        <v>0</v>
      </c>
      <c r="C244" s="178">
        <f>PirteiKisuiBeMutzar!AM246</f>
        <v>0</v>
      </c>
      <c r="D244" s="178">
        <f>PirteiKisuiBeMutzar!G246</f>
        <v>0</v>
      </c>
      <c r="E244" s="178">
        <f>PirteiKisuiBeMutzar!W246</f>
        <v>0</v>
      </c>
      <c r="F244" s="178">
        <f>PirteiKisuiBeMutzar!K246</f>
        <v>0</v>
      </c>
      <c r="G244" s="178">
        <f>PirteiKisuiBeMutzar!M246</f>
        <v>0</v>
      </c>
      <c r="H244" s="985">
        <f>PirteiKisuiBeMutzar!P246</f>
        <v>0</v>
      </c>
      <c r="I244" s="178">
        <f>PirteiKisuiBeMutzar!X246</f>
        <v>0</v>
      </c>
      <c r="J244" s="985">
        <f>PirteiKisuiBeMutzar!Y246</f>
        <v>0</v>
      </c>
      <c r="K244" s="178">
        <f>PirteiKisuiBeMutzar!AL246</f>
        <v>0</v>
      </c>
      <c r="L244" s="178">
        <f>PirteiKisuiBeMutzar!AO246</f>
        <v>0</v>
      </c>
      <c r="M244" s="178">
        <f>PirteiKisuiBeMutzar!AP246</f>
        <v>0</v>
      </c>
    </row>
    <row r="245" spans="1:13">
      <c r="A245" s="178">
        <f>PirteiKisuiBeMutzar!D247</f>
        <v>0</v>
      </c>
      <c r="B245" s="178">
        <f>PirteiKisuiBeMutzar!AQ247</f>
        <v>0</v>
      </c>
      <c r="C245" s="178">
        <f>PirteiKisuiBeMutzar!AM247</f>
        <v>0</v>
      </c>
      <c r="D245" s="178">
        <f>PirteiKisuiBeMutzar!G247</f>
        <v>0</v>
      </c>
      <c r="E245" s="178">
        <f>PirteiKisuiBeMutzar!W247</f>
        <v>0</v>
      </c>
      <c r="F245" s="178">
        <f>PirteiKisuiBeMutzar!K247</f>
        <v>0</v>
      </c>
      <c r="G245" s="178">
        <f>PirteiKisuiBeMutzar!M247</f>
        <v>0</v>
      </c>
      <c r="H245" s="985">
        <f>PirteiKisuiBeMutzar!P247</f>
        <v>0</v>
      </c>
      <c r="I245" s="178">
        <f>PirteiKisuiBeMutzar!X247</f>
        <v>0</v>
      </c>
      <c r="J245" s="985">
        <f>PirteiKisuiBeMutzar!Y247</f>
        <v>0</v>
      </c>
      <c r="K245" s="178">
        <f>PirteiKisuiBeMutzar!AL247</f>
        <v>0</v>
      </c>
      <c r="L245" s="178">
        <f>PirteiKisuiBeMutzar!AO247</f>
        <v>0</v>
      </c>
      <c r="M245" s="178">
        <f>PirteiKisuiBeMutzar!AP247</f>
        <v>0</v>
      </c>
    </row>
    <row r="246" spans="1:13">
      <c r="A246" s="178">
        <f>PirteiKisuiBeMutzar!D248</f>
        <v>0</v>
      </c>
      <c r="B246" s="178">
        <f>PirteiKisuiBeMutzar!AQ248</f>
        <v>0</v>
      </c>
      <c r="C246" s="178">
        <f>PirteiKisuiBeMutzar!AM248</f>
        <v>0</v>
      </c>
      <c r="D246" s="178">
        <f>PirteiKisuiBeMutzar!G248</f>
        <v>0</v>
      </c>
      <c r="E246" s="178">
        <f>PirteiKisuiBeMutzar!W248</f>
        <v>0</v>
      </c>
      <c r="F246" s="178">
        <f>PirteiKisuiBeMutzar!K248</f>
        <v>0</v>
      </c>
      <c r="G246" s="178">
        <f>PirteiKisuiBeMutzar!M248</f>
        <v>0</v>
      </c>
      <c r="H246" s="985">
        <f>PirteiKisuiBeMutzar!P248</f>
        <v>0</v>
      </c>
      <c r="I246" s="178">
        <f>PirteiKisuiBeMutzar!X248</f>
        <v>0</v>
      </c>
      <c r="J246" s="985">
        <f>PirteiKisuiBeMutzar!Y248</f>
        <v>0</v>
      </c>
      <c r="K246" s="178">
        <f>PirteiKisuiBeMutzar!AL248</f>
        <v>0</v>
      </c>
      <c r="L246" s="178">
        <f>PirteiKisuiBeMutzar!AO248</f>
        <v>0</v>
      </c>
      <c r="M246" s="178">
        <f>PirteiKisuiBeMutzar!AP248</f>
        <v>0</v>
      </c>
    </row>
    <row r="247" spans="1:13">
      <c r="A247" s="178">
        <f>PirteiKisuiBeMutzar!D249</f>
        <v>0</v>
      </c>
      <c r="B247" s="178">
        <f>PirteiKisuiBeMutzar!AQ249</f>
        <v>0</v>
      </c>
      <c r="C247" s="178">
        <f>PirteiKisuiBeMutzar!AM249</f>
        <v>0</v>
      </c>
      <c r="D247" s="178">
        <f>PirteiKisuiBeMutzar!G249</f>
        <v>0</v>
      </c>
      <c r="E247" s="178">
        <f>PirteiKisuiBeMutzar!W249</f>
        <v>0</v>
      </c>
      <c r="F247" s="178">
        <f>PirteiKisuiBeMutzar!K249</f>
        <v>0</v>
      </c>
      <c r="G247" s="178">
        <f>PirteiKisuiBeMutzar!M249</f>
        <v>0</v>
      </c>
      <c r="H247" s="985">
        <f>PirteiKisuiBeMutzar!P249</f>
        <v>0</v>
      </c>
      <c r="I247" s="178">
        <f>PirteiKisuiBeMutzar!X249</f>
        <v>0</v>
      </c>
      <c r="J247" s="985">
        <f>PirteiKisuiBeMutzar!Y249</f>
        <v>0</v>
      </c>
      <c r="K247" s="178">
        <f>PirteiKisuiBeMutzar!AL249</f>
        <v>0</v>
      </c>
      <c r="L247" s="178">
        <f>PirteiKisuiBeMutzar!AO249</f>
        <v>0</v>
      </c>
      <c r="M247" s="178">
        <f>PirteiKisuiBeMutzar!AP249</f>
        <v>0</v>
      </c>
    </row>
    <row r="248" spans="1:13">
      <c r="A248" s="178">
        <f>PirteiKisuiBeMutzar!D250</f>
        <v>0</v>
      </c>
      <c r="B248" s="178">
        <f>PirteiKisuiBeMutzar!AQ250</f>
        <v>0</v>
      </c>
      <c r="C248" s="178">
        <f>PirteiKisuiBeMutzar!AM250</f>
        <v>0</v>
      </c>
      <c r="D248" s="178">
        <f>PirteiKisuiBeMutzar!G250</f>
        <v>0</v>
      </c>
      <c r="E248" s="178">
        <f>PirteiKisuiBeMutzar!W250</f>
        <v>0</v>
      </c>
      <c r="F248" s="178">
        <f>PirteiKisuiBeMutzar!K250</f>
        <v>0</v>
      </c>
      <c r="G248" s="178">
        <f>PirteiKisuiBeMutzar!M250</f>
        <v>0</v>
      </c>
      <c r="H248" s="985">
        <f>PirteiKisuiBeMutzar!P250</f>
        <v>0</v>
      </c>
      <c r="I248" s="178">
        <f>PirteiKisuiBeMutzar!X250</f>
        <v>0</v>
      </c>
      <c r="J248" s="985">
        <f>PirteiKisuiBeMutzar!Y250</f>
        <v>0</v>
      </c>
      <c r="K248" s="178">
        <f>PirteiKisuiBeMutzar!AL250</f>
        <v>0</v>
      </c>
      <c r="L248" s="178">
        <f>PirteiKisuiBeMutzar!AO250</f>
        <v>0</v>
      </c>
      <c r="M248" s="178">
        <f>PirteiKisuiBeMutzar!AP250</f>
        <v>0</v>
      </c>
    </row>
    <row r="249" spans="1:13">
      <c r="A249" s="178">
        <f>PirteiKisuiBeMutzar!D251</f>
        <v>0</v>
      </c>
      <c r="B249" s="178">
        <f>PirteiKisuiBeMutzar!AQ251</f>
        <v>0</v>
      </c>
      <c r="C249" s="178">
        <f>PirteiKisuiBeMutzar!AM251</f>
        <v>0</v>
      </c>
      <c r="D249" s="178">
        <f>PirteiKisuiBeMutzar!G251</f>
        <v>0</v>
      </c>
      <c r="E249" s="178">
        <f>PirteiKisuiBeMutzar!W251</f>
        <v>0</v>
      </c>
      <c r="F249" s="178">
        <f>PirteiKisuiBeMutzar!K251</f>
        <v>0</v>
      </c>
      <c r="G249" s="178">
        <f>PirteiKisuiBeMutzar!M251</f>
        <v>0</v>
      </c>
      <c r="H249" s="985">
        <f>PirteiKisuiBeMutzar!P251</f>
        <v>0</v>
      </c>
      <c r="I249" s="178">
        <f>PirteiKisuiBeMutzar!X251</f>
        <v>0</v>
      </c>
      <c r="J249" s="985">
        <f>PirteiKisuiBeMutzar!Y251</f>
        <v>0</v>
      </c>
      <c r="K249" s="178">
        <f>PirteiKisuiBeMutzar!AL251</f>
        <v>0</v>
      </c>
      <c r="L249" s="178">
        <f>PirteiKisuiBeMutzar!AO251</f>
        <v>0</v>
      </c>
      <c r="M249" s="178">
        <f>PirteiKisuiBeMutzar!AP251</f>
        <v>0</v>
      </c>
    </row>
    <row r="250" spans="1:13">
      <c r="A250" s="178">
        <f>PirteiKisuiBeMutzar!D252</f>
        <v>0</v>
      </c>
      <c r="B250" s="178">
        <f>PirteiKisuiBeMutzar!AQ252</f>
        <v>0</v>
      </c>
      <c r="C250" s="178">
        <f>PirteiKisuiBeMutzar!AM252</f>
        <v>0</v>
      </c>
      <c r="D250" s="178">
        <f>PirteiKisuiBeMutzar!G252</f>
        <v>0</v>
      </c>
      <c r="E250" s="178">
        <f>PirteiKisuiBeMutzar!W252</f>
        <v>0</v>
      </c>
      <c r="F250" s="178">
        <f>PirteiKisuiBeMutzar!K252</f>
        <v>0</v>
      </c>
      <c r="G250" s="178">
        <f>PirteiKisuiBeMutzar!M252</f>
        <v>0</v>
      </c>
      <c r="H250" s="985">
        <f>PirteiKisuiBeMutzar!P252</f>
        <v>0</v>
      </c>
      <c r="I250" s="178">
        <f>PirteiKisuiBeMutzar!X252</f>
        <v>0</v>
      </c>
      <c r="J250" s="985">
        <f>PirteiKisuiBeMutzar!Y252</f>
        <v>0</v>
      </c>
      <c r="K250" s="178">
        <f>PirteiKisuiBeMutzar!AL252</f>
        <v>0</v>
      </c>
      <c r="L250" s="178">
        <f>PirteiKisuiBeMutzar!AO252</f>
        <v>0</v>
      </c>
      <c r="M250" s="178">
        <f>PirteiKisuiBeMutzar!AP252</f>
        <v>0</v>
      </c>
    </row>
    <row r="251" spans="1:13">
      <c r="A251" s="178">
        <f>PirteiKisuiBeMutzar!D253</f>
        <v>0</v>
      </c>
      <c r="B251" s="178">
        <f>PirteiKisuiBeMutzar!AQ253</f>
        <v>0</v>
      </c>
      <c r="C251" s="178">
        <f>PirteiKisuiBeMutzar!AM253</f>
        <v>0</v>
      </c>
      <c r="D251" s="178">
        <f>PirteiKisuiBeMutzar!G253</f>
        <v>0</v>
      </c>
      <c r="E251" s="178">
        <f>PirteiKisuiBeMutzar!W253</f>
        <v>0</v>
      </c>
      <c r="F251" s="178">
        <f>PirteiKisuiBeMutzar!K253</f>
        <v>0</v>
      </c>
      <c r="G251" s="178">
        <f>PirteiKisuiBeMutzar!M253</f>
        <v>0</v>
      </c>
      <c r="H251" s="985">
        <f>PirteiKisuiBeMutzar!P253</f>
        <v>0</v>
      </c>
      <c r="I251" s="178">
        <f>PirteiKisuiBeMutzar!X253</f>
        <v>0</v>
      </c>
      <c r="J251" s="985">
        <f>PirteiKisuiBeMutzar!Y253</f>
        <v>0</v>
      </c>
      <c r="K251" s="178">
        <f>PirteiKisuiBeMutzar!AL253</f>
        <v>0</v>
      </c>
      <c r="L251" s="178">
        <f>PirteiKisuiBeMutzar!AO253</f>
        <v>0</v>
      </c>
      <c r="M251" s="178">
        <f>PirteiKisuiBeMutzar!AP253</f>
        <v>0</v>
      </c>
    </row>
    <row r="252" spans="1:13">
      <c r="A252" s="178">
        <f>PirteiKisuiBeMutzar!D254</f>
        <v>0</v>
      </c>
      <c r="B252" s="178">
        <f>PirteiKisuiBeMutzar!AQ254</f>
        <v>0</v>
      </c>
      <c r="C252" s="178">
        <f>PirteiKisuiBeMutzar!AM254</f>
        <v>0</v>
      </c>
      <c r="D252" s="178">
        <f>PirteiKisuiBeMutzar!G254</f>
        <v>0</v>
      </c>
      <c r="E252" s="178">
        <f>PirteiKisuiBeMutzar!W254</f>
        <v>0</v>
      </c>
      <c r="F252" s="178">
        <f>PirteiKisuiBeMutzar!K254</f>
        <v>0</v>
      </c>
      <c r="G252" s="178">
        <f>PirteiKisuiBeMutzar!M254</f>
        <v>0</v>
      </c>
      <c r="H252" s="985">
        <f>PirteiKisuiBeMutzar!P254</f>
        <v>0</v>
      </c>
      <c r="I252" s="178">
        <f>PirteiKisuiBeMutzar!X254</f>
        <v>0</v>
      </c>
      <c r="J252" s="985">
        <f>PirteiKisuiBeMutzar!Y254</f>
        <v>0</v>
      </c>
      <c r="K252" s="178">
        <f>PirteiKisuiBeMutzar!AL254</f>
        <v>0</v>
      </c>
      <c r="L252" s="178">
        <f>PirteiKisuiBeMutzar!AO254</f>
        <v>0</v>
      </c>
      <c r="M252" s="178">
        <f>PirteiKisuiBeMutzar!AP254</f>
        <v>0</v>
      </c>
    </row>
    <row r="253" spans="1:13">
      <c r="A253" s="178">
        <f>PirteiKisuiBeMutzar!D255</f>
        <v>0</v>
      </c>
      <c r="B253" s="178">
        <f>PirteiKisuiBeMutzar!AQ255</f>
        <v>0</v>
      </c>
      <c r="C253" s="178">
        <f>PirteiKisuiBeMutzar!AM255</f>
        <v>0</v>
      </c>
      <c r="D253" s="178">
        <f>PirteiKisuiBeMutzar!G255</f>
        <v>0</v>
      </c>
      <c r="E253" s="178">
        <f>PirteiKisuiBeMutzar!W255</f>
        <v>0</v>
      </c>
      <c r="F253" s="178">
        <f>PirteiKisuiBeMutzar!K255</f>
        <v>0</v>
      </c>
      <c r="G253" s="178">
        <f>PirteiKisuiBeMutzar!M255</f>
        <v>0</v>
      </c>
      <c r="H253" s="985">
        <f>PirteiKisuiBeMutzar!P255</f>
        <v>0</v>
      </c>
      <c r="I253" s="178">
        <f>PirteiKisuiBeMutzar!X255</f>
        <v>0</v>
      </c>
      <c r="J253" s="985">
        <f>PirteiKisuiBeMutzar!Y255</f>
        <v>0</v>
      </c>
      <c r="K253" s="178">
        <f>PirteiKisuiBeMutzar!AL255</f>
        <v>0</v>
      </c>
      <c r="L253" s="178">
        <f>PirteiKisuiBeMutzar!AO255</f>
        <v>0</v>
      </c>
      <c r="M253" s="178">
        <f>PirteiKisuiBeMutzar!AP255</f>
        <v>0</v>
      </c>
    </row>
    <row r="254" spans="1:13">
      <c r="A254" s="178">
        <f>PirteiKisuiBeMutzar!D256</f>
        <v>0</v>
      </c>
      <c r="B254" s="178">
        <f>PirteiKisuiBeMutzar!AQ256</f>
        <v>0</v>
      </c>
      <c r="C254" s="178">
        <f>PirteiKisuiBeMutzar!AM256</f>
        <v>0</v>
      </c>
      <c r="D254" s="178">
        <f>PirteiKisuiBeMutzar!G256</f>
        <v>0</v>
      </c>
      <c r="E254" s="178">
        <f>PirteiKisuiBeMutzar!W256</f>
        <v>0</v>
      </c>
      <c r="F254" s="178">
        <f>PirteiKisuiBeMutzar!K256</f>
        <v>0</v>
      </c>
      <c r="G254" s="178">
        <f>PirteiKisuiBeMutzar!M256</f>
        <v>0</v>
      </c>
      <c r="H254" s="985">
        <f>PirteiKisuiBeMutzar!P256</f>
        <v>0</v>
      </c>
      <c r="I254" s="178">
        <f>PirteiKisuiBeMutzar!X256</f>
        <v>0</v>
      </c>
      <c r="J254" s="985">
        <f>PirteiKisuiBeMutzar!Y256</f>
        <v>0</v>
      </c>
      <c r="K254" s="178">
        <f>PirteiKisuiBeMutzar!AL256</f>
        <v>0</v>
      </c>
      <c r="L254" s="178">
        <f>PirteiKisuiBeMutzar!AO256</f>
        <v>0</v>
      </c>
      <c r="M254" s="178">
        <f>PirteiKisuiBeMutzar!AP256</f>
        <v>0</v>
      </c>
    </row>
    <row r="255" spans="1:13">
      <c r="A255" s="178">
        <f>PirteiKisuiBeMutzar!D257</f>
        <v>0</v>
      </c>
      <c r="B255" s="178">
        <f>PirteiKisuiBeMutzar!AQ257</f>
        <v>0</v>
      </c>
      <c r="C255" s="178">
        <f>PirteiKisuiBeMutzar!AM257</f>
        <v>0</v>
      </c>
      <c r="D255" s="178">
        <f>PirteiKisuiBeMutzar!G257</f>
        <v>0</v>
      </c>
      <c r="E255" s="178">
        <f>PirteiKisuiBeMutzar!W257</f>
        <v>0</v>
      </c>
      <c r="F255" s="178">
        <f>PirteiKisuiBeMutzar!K257</f>
        <v>0</v>
      </c>
      <c r="G255" s="178">
        <f>PirteiKisuiBeMutzar!M257</f>
        <v>0</v>
      </c>
      <c r="H255" s="985">
        <f>PirteiKisuiBeMutzar!P257</f>
        <v>0</v>
      </c>
      <c r="I255" s="178">
        <f>PirteiKisuiBeMutzar!X257</f>
        <v>0</v>
      </c>
      <c r="J255" s="985">
        <f>PirteiKisuiBeMutzar!Y257</f>
        <v>0</v>
      </c>
      <c r="K255" s="178">
        <f>PirteiKisuiBeMutzar!AL257</f>
        <v>0</v>
      </c>
      <c r="L255" s="178">
        <f>PirteiKisuiBeMutzar!AO257</f>
        <v>0</v>
      </c>
      <c r="M255" s="178">
        <f>PirteiKisuiBeMutzar!AP257</f>
        <v>0</v>
      </c>
    </row>
    <row r="256" spans="1:13">
      <c r="A256" s="178">
        <f>PirteiKisuiBeMutzar!D258</f>
        <v>0</v>
      </c>
      <c r="B256" s="178">
        <f>PirteiKisuiBeMutzar!AQ258</f>
        <v>0</v>
      </c>
      <c r="C256" s="178">
        <f>PirteiKisuiBeMutzar!AM258</f>
        <v>0</v>
      </c>
      <c r="D256" s="178">
        <f>PirteiKisuiBeMutzar!G258</f>
        <v>0</v>
      </c>
      <c r="E256" s="178">
        <f>PirteiKisuiBeMutzar!W258</f>
        <v>0</v>
      </c>
      <c r="F256" s="178">
        <f>PirteiKisuiBeMutzar!K258</f>
        <v>0</v>
      </c>
      <c r="G256" s="178">
        <f>PirteiKisuiBeMutzar!M258</f>
        <v>0</v>
      </c>
      <c r="H256" s="985">
        <f>PirteiKisuiBeMutzar!P258</f>
        <v>0</v>
      </c>
      <c r="I256" s="178">
        <f>PirteiKisuiBeMutzar!X258</f>
        <v>0</v>
      </c>
      <c r="J256" s="985">
        <f>PirteiKisuiBeMutzar!Y258</f>
        <v>0</v>
      </c>
      <c r="K256" s="178">
        <f>PirteiKisuiBeMutzar!AL258</f>
        <v>0</v>
      </c>
      <c r="L256" s="178">
        <f>PirteiKisuiBeMutzar!AO258</f>
        <v>0</v>
      </c>
      <c r="M256" s="178">
        <f>PirteiKisuiBeMutzar!AP258</f>
        <v>0</v>
      </c>
    </row>
    <row r="257" spans="1:13">
      <c r="A257" s="178">
        <f>PirteiKisuiBeMutzar!D259</f>
        <v>0</v>
      </c>
      <c r="B257" s="178">
        <f>PirteiKisuiBeMutzar!AQ259</f>
        <v>0</v>
      </c>
      <c r="C257" s="178">
        <f>PirteiKisuiBeMutzar!AM259</f>
        <v>0</v>
      </c>
      <c r="D257" s="178">
        <f>PirteiKisuiBeMutzar!G259</f>
        <v>0</v>
      </c>
      <c r="E257" s="178">
        <f>PirteiKisuiBeMutzar!W259</f>
        <v>0</v>
      </c>
      <c r="F257" s="178">
        <f>PirteiKisuiBeMutzar!K259</f>
        <v>0</v>
      </c>
      <c r="G257" s="178">
        <f>PirteiKisuiBeMutzar!M259</f>
        <v>0</v>
      </c>
      <c r="H257" s="985">
        <f>PirteiKisuiBeMutzar!P259</f>
        <v>0</v>
      </c>
      <c r="I257" s="178">
        <f>PirteiKisuiBeMutzar!X259</f>
        <v>0</v>
      </c>
      <c r="J257" s="985">
        <f>PirteiKisuiBeMutzar!Y259</f>
        <v>0</v>
      </c>
      <c r="K257" s="178">
        <f>PirteiKisuiBeMutzar!AL259</f>
        <v>0</v>
      </c>
      <c r="L257" s="178">
        <f>PirteiKisuiBeMutzar!AO259</f>
        <v>0</v>
      </c>
      <c r="M257" s="178">
        <f>PirteiKisuiBeMutzar!AP259</f>
        <v>0</v>
      </c>
    </row>
    <row r="258" spans="1:13">
      <c r="A258" s="178">
        <f>PirteiKisuiBeMutzar!D260</f>
        <v>0</v>
      </c>
      <c r="B258" s="178">
        <f>PirteiKisuiBeMutzar!AQ260</f>
        <v>0</v>
      </c>
      <c r="C258" s="178">
        <f>PirteiKisuiBeMutzar!AM260</f>
        <v>0</v>
      </c>
      <c r="D258" s="178">
        <f>PirteiKisuiBeMutzar!G260</f>
        <v>0</v>
      </c>
      <c r="E258" s="178">
        <f>PirteiKisuiBeMutzar!W260</f>
        <v>0</v>
      </c>
      <c r="F258" s="178">
        <f>PirteiKisuiBeMutzar!K260</f>
        <v>0</v>
      </c>
      <c r="G258" s="178">
        <f>PirteiKisuiBeMutzar!M260</f>
        <v>0</v>
      </c>
      <c r="H258" s="985">
        <f>PirteiKisuiBeMutzar!P260</f>
        <v>0</v>
      </c>
      <c r="I258" s="178">
        <f>PirteiKisuiBeMutzar!X260</f>
        <v>0</v>
      </c>
      <c r="J258" s="985">
        <f>PirteiKisuiBeMutzar!Y260</f>
        <v>0</v>
      </c>
      <c r="K258" s="178">
        <f>PirteiKisuiBeMutzar!AL260</f>
        <v>0</v>
      </c>
      <c r="L258" s="178">
        <f>PirteiKisuiBeMutzar!AO260</f>
        <v>0</v>
      </c>
      <c r="M258" s="178">
        <f>PirteiKisuiBeMutzar!AP260</f>
        <v>0</v>
      </c>
    </row>
    <row r="259" spans="1:13">
      <c r="A259" s="178">
        <f>PirteiKisuiBeMutzar!D261</f>
        <v>0</v>
      </c>
      <c r="B259" s="178">
        <f>PirteiKisuiBeMutzar!AQ261</f>
        <v>0</v>
      </c>
      <c r="C259" s="178">
        <f>PirteiKisuiBeMutzar!AM261</f>
        <v>0</v>
      </c>
      <c r="D259" s="178">
        <f>PirteiKisuiBeMutzar!G261</f>
        <v>0</v>
      </c>
      <c r="E259" s="178">
        <f>PirteiKisuiBeMutzar!W261</f>
        <v>0</v>
      </c>
      <c r="F259" s="178">
        <f>PirteiKisuiBeMutzar!K261</f>
        <v>0</v>
      </c>
      <c r="G259" s="178">
        <f>PirteiKisuiBeMutzar!M261</f>
        <v>0</v>
      </c>
      <c r="H259" s="985">
        <f>PirteiKisuiBeMutzar!P261</f>
        <v>0</v>
      </c>
      <c r="I259" s="178">
        <f>PirteiKisuiBeMutzar!X261</f>
        <v>0</v>
      </c>
      <c r="J259" s="985">
        <f>PirteiKisuiBeMutzar!Y261</f>
        <v>0</v>
      </c>
      <c r="K259" s="178">
        <f>PirteiKisuiBeMutzar!AL261</f>
        <v>0</v>
      </c>
      <c r="L259" s="178">
        <f>PirteiKisuiBeMutzar!AO261</f>
        <v>0</v>
      </c>
      <c r="M259" s="178">
        <f>PirteiKisuiBeMutzar!AP261</f>
        <v>0</v>
      </c>
    </row>
    <row r="260" spans="1:13">
      <c r="A260" s="178">
        <f>PirteiKisuiBeMutzar!D262</f>
        <v>0</v>
      </c>
      <c r="B260" s="178">
        <f>PirteiKisuiBeMutzar!AQ262</f>
        <v>0</v>
      </c>
      <c r="C260" s="178">
        <f>PirteiKisuiBeMutzar!AM262</f>
        <v>0</v>
      </c>
      <c r="D260" s="178">
        <f>PirteiKisuiBeMutzar!G262</f>
        <v>0</v>
      </c>
      <c r="E260" s="178">
        <f>PirteiKisuiBeMutzar!W262</f>
        <v>0</v>
      </c>
      <c r="F260" s="178">
        <f>PirteiKisuiBeMutzar!K262</f>
        <v>0</v>
      </c>
      <c r="G260" s="178">
        <f>PirteiKisuiBeMutzar!M262</f>
        <v>0</v>
      </c>
      <c r="H260" s="985">
        <f>PirteiKisuiBeMutzar!P262</f>
        <v>0</v>
      </c>
      <c r="I260" s="178">
        <f>PirteiKisuiBeMutzar!X262</f>
        <v>0</v>
      </c>
      <c r="J260" s="985">
        <f>PirteiKisuiBeMutzar!Y262</f>
        <v>0</v>
      </c>
      <c r="K260" s="178">
        <f>PirteiKisuiBeMutzar!AL262</f>
        <v>0</v>
      </c>
      <c r="L260" s="178">
        <f>PirteiKisuiBeMutzar!AO262</f>
        <v>0</v>
      </c>
      <c r="M260" s="178">
        <f>PirteiKisuiBeMutzar!AP262</f>
        <v>0</v>
      </c>
    </row>
    <row r="261" spans="1:13">
      <c r="A261" s="178">
        <f>PirteiKisuiBeMutzar!D263</f>
        <v>0</v>
      </c>
      <c r="B261" s="178">
        <f>PirteiKisuiBeMutzar!AQ263</f>
        <v>0</v>
      </c>
      <c r="C261" s="178">
        <f>PirteiKisuiBeMutzar!AM263</f>
        <v>0</v>
      </c>
      <c r="D261" s="178">
        <f>PirteiKisuiBeMutzar!G263</f>
        <v>0</v>
      </c>
      <c r="E261" s="178">
        <f>PirteiKisuiBeMutzar!W263</f>
        <v>0</v>
      </c>
      <c r="F261" s="178">
        <f>PirteiKisuiBeMutzar!K263</f>
        <v>0</v>
      </c>
      <c r="G261" s="178">
        <f>PirteiKisuiBeMutzar!M263</f>
        <v>0</v>
      </c>
      <c r="H261" s="985">
        <f>PirteiKisuiBeMutzar!P263</f>
        <v>0</v>
      </c>
      <c r="I261" s="178">
        <f>PirteiKisuiBeMutzar!X263</f>
        <v>0</v>
      </c>
      <c r="J261" s="985">
        <f>PirteiKisuiBeMutzar!Y263</f>
        <v>0</v>
      </c>
      <c r="K261" s="178">
        <f>PirteiKisuiBeMutzar!AL263</f>
        <v>0</v>
      </c>
      <c r="L261" s="178">
        <f>PirteiKisuiBeMutzar!AO263</f>
        <v>0</v>
      </c>
      <c r="M261" s="178">
        <f>PirteiKisuiBeMutzar!AP263</f>
        <v>0</v>
      </c>
    </row>
    <row r="262" spans="1:13">
      <c r="A262" s="178">
        <f>PirteiKisuiBeMutzar!D264</f>
        <v>0</v>
      </c>
      <c r="B262" s="178">
        <f>PirteiKisuiBeMutzar!AQ264</f>
        <v>0</v>
      </c>
      <c r="C262" s="178">
        <f>PirteiKisuiBeMutzar!AM264</f>
        <v>0</v>
      </c>
      <c r="D262" s="178">
        <f>PirteiKisuiBeMutzar!G264</f>
        <v>0</v>
      </c>
      <c r="E262" s="178">
        <f>PirteiKisuiBeMutzar!W264</f>
        <v>0</v>
      </c>
      <c r="F262" s="178">
        <f>PirteiKisuiBeMutzar!K264</f>
        <v>0</v>
      </c>
      <c r="G262" s="178">
        <f>PirteiKisuiBeMutzar!M264</f>
        <v>0</v>
      </c>
      <c r="H262" s="985">
        <f>PirteiKisuiBeMutzar!P264</f>
        <v>0</v>
      </c>
      <c r="I262" s="178">
        <f>PirteiKisuiBeMutzar!X264</f>
        <v>0</v>
      </c>
      <c r="J262" s="985">
        <f>PirteiKisuiBeMutzar!Y264</f>
        <v>0</v>
      </c>
      <c r="K262" s="178">
        <f>PirteiKisuiBeMutzar!AL264</f>
        <v>0</v>
      </c>
      <c r="L262" s="178">
        <f>PirteiKisuiBeMutzar!AO264</f>
        <v>0</v>
      </c>
      <c r="M262" s="178">
        <f>PirteiKisuiBeMutzar!AP264</f>
        <v>0</v>
      </c>
    </row>
    <row r="263" spans="1:13">
      <c r="A263" s="178">
        <f>PirteiKisuiBeMutzar!D265</f>
        <v>0</v>
      </c>
      <c r="B263" s="178">
        <f>PirteiKisuiBeMutzar!AQ265</f>
        <v>0</v>
      </c>
      <c r="C263" s="178">
        <f>PirteiKisuiBeMutzar!AM265</f>
        <v>0</v>
      </c>
      <c r="D263" s="178">
        <f>PirteiKisuiBeMutzar!G265</f>
        <v>0</v>
      </c>
      <c r="E263" s="178">
        <f>PirteiKisuiBeMutzar!W265</f>
        <v>0</v>
      </c>
      <c r="F263" s="178">
        <f>PirteiKisuiBeMutzar!K265</f>
        <v>0</v>
      </c>
      <c r="G263" s="178">
        <f>PirteiKisuiBeMutzar!M265</f>
        <v>0</v>
      </c>
      <c r="H263" s="985">
        <f>PirteiKisuiBeMutzar!P265</f>
        <v>0</v>
      </c>
      <c r="I263" s="178">
        <f>PirteiKisuiBeMutzar!X265</f>
        <v>0</v>
      </c>
      <c r="J263" s="985">
        <f>PirteiKisuiBeMutzar!Y265</f>
        <v>0</v>
      </c>
      <c r="K263" s="178">
        <f>PirteiKisuiBeMutzar!AL265</f>
        <v>0</v>
      </c>
      <c r="L263" s="178">
        <f>PirteiKisuiBeMutzar!AO265</f>
        <v>0</v>
      </c>
      <c r="M263" s="178">
        <f>PirteiKisuiBeMutzar!AP265</f>
        <v>0</v>
      </c>
    </row>
    <row r="264" spans="1:13">
      <c r="A264" s="178">
        <f>PirteiKisuiBeMutzar!D266</f>
        <v>0</v>
      </c>
      <c r="B264" s="178">
        <f>PirteiKisuiBeMutzar!AQ266</f>
        <v>0</v>
      </c>
      <c r="C264" s="178">
        <f>PirteiKisuiBeMutzar!AM266</f>
        <v>0</v>
      </c>
      <c r="D264" s="178">
        <f>PirteiKisuiBeMutzar!G266</f>
        <v>0</v>
      </c>
      <c r="E264" s="178">
        <f>PirteiKisuiBeMutzar!W266</f>
        <v>0</v>
      </c>
      <c r="F264" s="178">
        <f>PirteiKisuiBeMutzar!K266</f>
        <v>0</v>
      </c>
      <c r="G264" s="178">
        <f>PirteiKisuiBeMutzar!M266</f>
        <v>0</v>
      </c>
      <c r="H264" s="985">
        <f>PirteiKisuiBeMutzar!P266</f>
        <v>0</v>
      </c>
      <c r="I264" s="178">
        <f>PirteiKisuiBeMutzar!X266</f>
        <v>0</v>
      </c>
      <c r="J264" s="985">
        <f>PirteiKisuiBeMutzar!Y266</f>
        <v>0</v>
      </c>
      <c r="K264" s="178">
        <f>PirteiKisuiBeMutzar!AL266</f>
        <v>0</v>
      </c>
      <c r="L264" s="178">
        <f>PirteiKisuiBeMutzar!AO266</f>
        <v>0</v>
      </c>
      <c r="M264" s="178">
        <f>PirteiKisuiBeMutzar!AP266</f>
        <v>0</v>
      </c>
    </row>
    <row r="265" spans="1:13">
      <c r="A265" s="178">
        <f>PirteiKisuiBeMutzar!D267</f>
        <v>0</v>
      </c>
      <c r="B265" s="178">
        <f>PirteiKisuiBeMutzar!AQ267</f>
        <v>0</v>
      </c>
      <c r="C265" s="178">
        <f>PirteiKisuiBeMutzar!AM267</f>
        <v>0</v>
      </c>
      <c r="D265" s="178">
        <f>PirteiKisuiBeMutzar!G267</f>
        <v>0</v>
      </c>
      <c r="E265" s="178">
        <f>PirteiKisuiBeMutzar!W267</f>
        <v>0</v>
      </c>
      <c r="F265" s="178">
        <f>PirteiKisuiBeMutzar!K267</f>
        <v>0</v>
      </c>
      <c r="G265" s="178">
        <f>PirteiKisuiBeMutzar!M267</f>
        <v>0</v>
      </c>
      <c r="H265" s="985">
        <f>PirteiKisuiBeMutzar!P267</f>
        <v>0</v>
      </c>
      <c r="I265" s="178">
        <f>PirteiKisuiBeMutzar!X267</f>
        <v>0</v>
      </c>
      <c r="J265" s="985">
        <f>PirteiKisuiBeMutzar!Y267</f>
        <v>0</v>
      </c>
      <c r="K265" s="178">
        <f>PirteiKisuiBeMutzar!AL267</f>
        <v>0</v>
      </c>
      <c r="L265" s="178">
        <f>PirteiKisuiBeMutzar!AO267</f>
        <v>0</v>
      </c>
      <c r="M265" s="178">
        <f>PirteiKisuiBeMutzar!AP267</f>
        <v>0</v>
      </c>
    </row>
    <row r="266" spans="1:13">
      <c r="A266" s="178">
        <f>PirteiKisuiBeMutzar!D268</f>
        <v>0</v>
      </c>
      <c r="B266" s="178">
        <f>PirteiKisuiBeMutzar!AQ268</f>
        <v>0</v>
      </c>
      <c r="C266" s="178">
        <f>PirteiKisuiBeMutzar!AM268</f>
        <v>0</v>
      </c>
      <c r="D266" s="178">
        <f>PirteiKisuiBeMutzar!G268</f>
        <v>0</v>
      </c>
      <c r="E266" s="178">
        <f>PirteiKisuiBeMutzar!W268</f>
        <v>0</v>
      </c>
      <c r="F266" s="178">
        <f>PirteiKisuiBeMutzar!K268</f>
        <v>0</v>
      </c>
      <c r="G266" s="178">
        <f>PirteiKisuiBeMutzar!M268</f>
        <v>0</v>
      </c>
      <c r="H266" s="985">
        <f>PirteiKisuiBeMutzar!P268</f>
        <v>0</v>
      </c>
      <c r="I266" s="178">
        <f>PirteiKisuiBeMutzar!X268</f>
        <v>0</v>
      </c>
      <c r="J266" s="985">
        <f>PirteiKisuiBeMutzar!Y268</f>
        <v>0</v>
      </c>
      <c r="K266" s="178">
        <f>PirteiKisuiBeMutzar!AL268</f>
        <v>0</v>
      </c>
      <c r="L266" s="178">
        <f>PirteiKisuiBeMutzar!AO268</f>
        <v>0</v>
      </c>
      <c r="M266" s="178">
        <f>PirteiKisuiBeMutzar!AP268</f>
        <v>0</v>
      </c>
    </row>
    <row r="267" spans="1:13">
      <c r="A267" s="178">
        <f>PirteiKisuiBeMutzar!D269</f>
        <v>0</v>
      </c>
      <c r="B267" s="178">
        <f>PirteiKisuiBeMutzar!AQ269</f>
        <v>0</v>
      </c>
      <c r="C267" s="178">
        <f>PirteiKisuiBeMutzar!AM269</f>
        <v>0</v>
      </c>
      <c r="D267" s="178">
        <f>PirteiKisuiBeMutzar!G269</f>
        <v>0</v>
      </c>
      <c r="E267" s="178">
        <f>PirteiKisuiBeMutzar!W269</f>
        <v>0</v>
      </c>
      <c r="F267" s="178">
        <f>PirteiKisuiBeMutzar!K269</f>
        <v>0</v>
      </c>
      <c r="G267" s="178">
        <f>PirteiKisuiBeMutzar!M269</f>
        <v>0</v>
      </c>
      <c r="H267" s="985">
        <f>PirteiKisuiBeMutzar!P269</f>
        <v>0</v>
      </c>
      <c r="I267" s="178">
        <f>PirteiKisuiBeMutzar!X269</f>
        <v>0</v>
      </c>
      <c r="J267" s="985">
        <f>PirteiKisuiBeMutzar!Y269</f>
        <v>0</v>
      </c>
      <c r="K267" s="178">
        <f>PirteiKisuiBeMutzar!AL269</f>
        <v>0</v>
      </c>
      <c r="L267" s="178">
        <f>PirteiKisuiBeMutzar!AO269</f>
        <v>0</v>
      </c>
      <c r="M267" s="178">
        <f>PirteiKisuiBeMutzar!AP269</f>
        <v>0</v>
      </c>
    </row>
    <row r="268" spans="1:13">
      <c r="A268" s="178">
        <f>PirteiKisuiBeMutzar!D270</f>
        <v>0</v>
      </c>
      <c r="B268" s="178">
        <f>PirteiKisuiBeMutzar!AQ270</f>
        <v>0</v>
      </c>
      <c r="C268" s="178">
        <f>PirteiKisuiBeMutzar!AM270</f>
        <v>0</v>
      </c>
      <c r="D268" s="178">
        <f>PirteiKisuiBeMutzar!G270</f>
        <v>0</v>
      </c>
      <c r="E268" s="178">
        <f>PirteiKisuiBeMutzar!W270</f>
        <v>0</v>
      </c>
      <c r="F268" s="178">
        <f>PirteiKisuiBeMutzar!K270</f>
        <v>0</v>
      </c>
      <c r="G268" s="178">
        <f>PirteiKisuiBeMutzar!M270</f>
        <v>0</v>
      </c>
      <c r="H268" s="985">
        <f>PirteiKisuiBeMutzar!P270</f>
        <v>0</v>
      </c>
      <c r="I268" s="178">
        <f>PirteiKisuiBeMutzar!X270</f>
        <v>0</v>
      </c>
      <c r="J268" s="985">
        <f>PirteiKisuiBeMutzar!Y270</f>
        <v>0</v>
      </c>
      <c r="K268" s="178">
        <f>PirteiKisuiBeMutzar!AL270</f>
        <v>0</v>
      </c>
      <c r="L268" s="178">
        <f>PirteiKisuiBeMutzar!AO270</f>
        <v>0</v>
      </c>
      <c r="M268" s="178">
        <f>PirteiKisuiBeMutzar!AP270</f>
        <v>0</v>
      </c>
    </row>
    <row r="269" spans="1:13">
      <c r="A269" s="178">
        <f>PirteiKisuiBeMutzar!D271</f>
        <v>0</v>
      </c>
      <c r="B269" s="178">
        <f>PirteiKisuiBeMutzar!AQ271</f>
        <v>0</v>
      </c>
      <c r="C269" s="178">
        <f>PirteiKisuiBeMutzar!AM271</f>
        <v>0</v>
      </c>
      <c r="D269" s="178">
        <f>PirteiKisuiBeMutzar!G271</f>
        <v>0</v>
      </c>
      <c r="E269" s="178">
        <f>PirteiKisuiBeMutzar!W271</f>
        <v>0</v>
      </c>
      <c r="F269" s="178">
        <f>PirteiKisuiBeMutzar!K271</f>
        <v>0</v>
      </c>
      <c r="G269" s="178">
        <f>PirteiKisuiBeMutzar!M271</f>
        <v>0</v>
      </c>
      <c r="H269" s="985">
        <f>PirteiKisuiBeMutzar!P271</f>
        <v>0</v>
      </c>
      <c r="I269" s="178">
        <f>PirteiKisuiBeMutzar!X271</f>
        <v>0</v>
      </c>
      <c r="J269" s="985">
        <f>PirteiKisuiBeMutzar!Y271</f>
        <v>0</v>
      </c>
      <c r="K269" s="178">
        <f>PirteiKisuiBeMutzar!AL271</f>
        <v>0</v>
      </c>
      <c r="L269" s="178">
        <f>PirteiKisuiBeMutzar!AO271</f>
        <v>0</v>
      </c>
      <c r="M269" s="178">
        <f>PirteiKisuiBeMutzar!AP271</f>
        <v>0</v>
      </c>
    </row>
    <row r="270" spans="1:13">
      <c r="A270" s="178">
        <f>PirteiKisuiBeMutzar!D272</f>
        <v>0</v>
      </c>
      <c r="B270" s="178">
        <f>PirteiKisuiBeMutzar!AQ272</f>
        <v>0</v>
      </c>
      <c r="C270" s="178">
        <f>PirteiKisuiBeMutzar!AM272</f>
        <v>0</v>
      </c>
      <c r="D270" s="178">
        <f>PirteiKisuiBeMutzar!G272</f>
        <v>0</v>
      </c>
      <c r="E270" s="178">
        <f>PirteiKisuiBeMutzar!W272</f>
        <v>0</v>
      </c>
      <c r="F270" s="178">
        <f>PirteiKisuiBeMutzar!K272</f>
        <v>0</v>
      </c>
      <c r="G270" s="178">
        <f>PirteiKisuiBeMutzar!M272</f>
        <v>0</v>
      </c>
      <c r="H270" s="985">
        <f>PirteiKisuiBeMutzar!P272</f>
        <v>0</v>
      </c>
      <c r="I270" s="178">
        <f>PirteiKisuiBeMutzar!X272</f>
        <v>0</v>
      </c>
      <c r="J270" s="985">
        <f>PirteiKisuiBeMutzar!Y272</f>
        <v>0</v>
      </c>
      <c r="K270" s="178">
        <f>PirteiKisuiBeMutzar!AL272</f>
        <v>0</v>
      </c>
      <c r="L270" s="178">
        <f>PirteiKisuiBeMutzar!AO272</f>
        <v>0</v>
      </c>
      <c r="M270" s="178">
        <f>PirteiKisuiBeMutzar!AP272</f>
        <v>0</v>
      </c>
    </row>
    <row r="271" spans="1:13">
      <c r="A271" s="178">
        <f>PirteiKisuiBeMutzar!D273</f>
        <v>0</v>
      </c>
      <c r="B271" s="178">
        <f>PirteiKisuiBeMutzar!AQ273</f>
        <v>0</v>
      </c>
      <c r="C271" s="178">
        <f>PirteiKisuiBeMutzar!AM273</f>
        <v>0</v>
      </c>
      <c r="D271" s="178">
        <f>PirteiKisuiBeMutzar!G273</f>
        <v>0</v>
      </c>
      <c r="E271" s="178">
        <f>PirteiKisuiBeMutzar!W273</f>
        <v>0</v>
      </c>
      <c r="F271" s="178">
        <f>PirteiKisuiBeMutzar!K273</f>
        <v>0</v>
      </c>
      <c r="G271" s="178">
        <f>PirteiKisuiBeMutzar!M273</f>
        <v>0</v>
      </c>
      <c r="H271" s="985">
        <f>PirteiKisuiBeMutzar!P273</f>
        <v>0</v>
      </c>
      <c r="I271" s="178">
        <f>PirteiKisuiBeMutzar!X273</f>
        <v>0</v>
      </c>
      <c r="J271" s="985">
        <f>PirteiKisuiBeMutzar!Y273</f>
        <v>0</v>
      </c>
      <c r="K271" s="178">
        <f>PirteiKisuiBeMutzar!AL273</f>
        <v>0</v>
      </c>
      <c r="L271" s="178">
        <f>PirteiKisuiBeMutzar!AO273</f>
        <v>0</v>
      </c>
      <c r="M271" s="178">
        <f>PirteiKisuiBeMutzar!AP273</f>
        <v>0</v>
      </c>
    </row>
    <row r="272" spans="1:13">
      <c r="A272" s="178">
        <f>PirteiKisuiBeMutzar!D274</f>
        <v>0</v>
      </c>
      <c r="B272" s="178">
        <f>PirteiKisuiBeMutzar!AQ274</f>
        <v>0</v>
      </c>
      <c r="C272" s="178">
        <f>PirteiKisuiBeMutzar!AM274</f>
        <v>0</v>
      </c>
      <c r="D272" s="178">
        <f>PirteiKisuiBeMutzar!G274</f>
        <v>0</v>
      </c>
      <c r="E272" s="178">
        <f>PirteiKisuiBeMutzar!W274</f>
        <v>0</v>
      </c>
      <c r="F272" s="178">
        <f>PirteiKisuiBeMutzar!K274</f>
        <v>0</v>
      </c>
      <c r="G272" s="178">
        <f>PirteiKisuiBeMutzar!M274</f>
        <v>0</v>
      </c>
      <c r="H272" s="985">
        <f>PirteiKisuiBeMutzar!P274</f>
        <v>0</v>
      </c>
      <c r="I272" s="178">
        <f>PirteiKisuiBeMutzar!X274</f>
        <v>0</v>
      </c>
      <c r="J272" s="985">
        <f>PirteiKisuiBeMutzar!Y274</f>
        <v>0</v>
      </c>
      <c r="K272" s="178">
        <f>PirteiKisuiBeMutzar!AL274</f>
        <v>0</v>
      </c>
      <c r="L272" s="178">
        <f>PirteiKisuiBeMutzar!AO274</f>
        <v>0</v>
      </c>
      <c r="M272" s="178">
        <f>PirteiKisuiBeMutzar!AP274</f>
        <v>0</v>
      </c>
    </row>
    <row r="273" spans="1:13">
      <c r="A273" s="178">
        <f>PirteiKisuiBeMutzar!D275</f>
        <v>0</v>
      </c>
      <c r="B273" s="178">
        <f>PirteiKisuiBeMutzar!AQ275</f>
        <v>0</v>
      </c>
      <c r="C273" s="178">
        <f>PirteiKisuiBeMutzar!AM275</f>
        <v>0</v>
      </c>
      <c r="D273" s="178">
        <f>PirteiKisuiBeMutzar!G275</f>
        <v>0</v>
      </c>
      <c r="E273" s="178">
        <f>PirteiKisuiBeMutzar!W275</f>
        <v>0</v>
      </c>
      <c r="F273" s="178">
        <f>PirteiKisuiBeMutzar!K275</f>
        <v>0</v>
      </c>
      <c r="G273" s="178">
        <f>PirteiKisuiBeMutzar!M275</f>
        <v>0</v>
      </c>
      <c r="H273" s="985">
        <f>PirteiKisuiBeMutzar!P275</f>
        <v>0</v>
      </c>
      <c r="I273" s="178">
        <f>PirteiKisuiBeMutzar!X275</f>
        <v>0</v>
      </c>
      <c r="J273" s="985">
        <f>PirteiKisuiBeMutzar!Y275</f>
        <v>0</v>
      </c>
      <c r="K273" s="178">
        <f>PirteiKisuiBeMutzar!AL275</f>
        <v>0</v>
      </c>
      <c r="L273" s="178">
        <f>PirteiKisuiBeMutzar!AO275</f>
        <v>0</v>
      </c>
      <c r="M273" s="178">
        <f>PirteiKisuiBeMutzar!AP275</f>
        <v>0</v>
      </c>
    </row>
    <row r="274" spans="1:13">
      <c r="A274" s="178">
        <f>PirteiKisuiBeMutzar!D276</f>
        <v>0</v>
      </c>
      <c r="B274" s="178">
        <f>PirteiKisuiBeMutzar!AQ276</f>
        <v>0</v>
      </c>
      <c r="C274" s="178">
        <f>PirteiKisuiBeMutzar!AM276</f>
        <v>0</v>
      </c>
      <c r="D274" s="178">
        <f>PirteiKisuiBeMutzar!G276</f>
        <v>0</v>
      </c>
      <c r="E274" s="178">
        <f>PirteiKisuiBeMutzar!W276</f>
        <v>0</v>
      </c>
      <c r="F274" s="178">
        <f>PirteiKisuiBeMutzar!K276</f>
        <v>0</v>
      </c>
      <c r="G274" s="178">
        <f>PirteiKisuiBeMutzar!M276</f>
        <v>0</v>
      </c>
      <c r="H274" s="985">
        <f>PirteiKisuiBeMutzar!P276</f>
        <v>0</v>
      </c>
      <c r="I274" s="178">
        <f>PirteiKisuiBeMutzar!X276</f>
        <v>0</v>
      </c>
      <c r="J274" s="985">
        <f>PirteiKisuiBeMutzar!Y276</f>
        <v>0</v>
      </c>
      <c r="K274" s="178">
        <f>PirteiKisuiBeMutzar!AL276</f>
        <v>0</v>
      </c>
      <c r="L274" s="178">
        <f>PirteiKisuiBeMutzar!AO276</f>
        <v>0</v>
      </c>
      <c r="M274" s="178">
        <f>PirteiKisuiBeMutzar!AP276</f>
        <v>0</v>
      </c>
    </row>
    <row r="275" spans="1:13">
      <c r="A275" s="178">
        <f>PirteiKisuiBeMutzar!D277</f>
        <v>0</v>
      </c>
      <c r="B275" s="178">
        <f>PirteiKisuiBeMutzar!AQ277</f>
        <v>0</v>
      </c>
      <c r="C275" s="178">
        <f>PirteiKisuiBeMutzar!AM277</f>
        <v>0</v>
      </c>
      <c r="D275" s="178">
        <f>PirteiKisuiBeMutzar!G277</f>
        <v>0</v>
      </c>
      <c r="E275" s="178">
        <f>PirteiKisuiBeMutzar!W277</f>
        <v>0</v>
      </c>
      <c r="F275" s="178">
        <f>PirteiKisuiBeMutzar!K277</f>
        <v>0</v>
      </c>
      <c r="G275" s="178">
        <f>PirteiKisuiBeMutzar!M277</f>
        <v>0</v>
      </c>
      <c r="H275" s="985">
        <f>PirteiKisuiBeMutzar!P277</f>
        <v>0</v>
      </c>
      <c r="I275" s="178">
        <f>PirteiKisuiBeMutzar!X277</f>
        <v>0</v>
      </c>
      <c r="J275" s="985">
        <f>PirteiKisuiBeMutzar!Y277</f>
        <v>0</v>
      </c>
      <c r="K275" s="178">
        <f>PirteiKisuiBeMutzar!AL277</f>
        <v>0</v>
      </c>
      <c r="L275" s="178">
        <f>PirteiKisuiBeMutzar!AO277</f>
        <v>0</v>
      </c>
      <c r="M275" s="178">
        <f>PirteiKisuiBeMutzar!AP277</f>
        <v>0</v>
      </c>
    </row>
  </sheetData>
  <conditionalFormatting sqref="A4:M275">
    <cfRule type="cellIs" dxfId="0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Worksheet______14">
    <tabColor indexed="43"/>
  </sheetPr>
  <dimension ref="A1:AK738"/>
  <sheetViews>
    <sheetView rightToLeft="1" zoomScaleNormal="100" workbookViewId="0">
      <pane ySplit="2" topLeftCell="A3" activePane="bottomLeft" state="frozen"/>
      <selection pane="bottomLeft" activeCell="F1" sqref="F1"/>
    </sheetView>
  </sheetViews>
  <sheetFormatPr defaultRowHeight="12.75"/>
  <cols>
    <col min="1" max="1" width="7" style="298" customWidth="1"/>
    <col min="2" max="5" width="13.7109375" style="298" customWidth="1"/>
    <col min="6" max="6" width="17.7109375" style="298" customWidth="1"/>
    <col min="7" max="7" width="10.7109375" style="298" customWidth="1"/>
    <col min="8" max="8" width="3.7109375" style="298" customWidth="1"/>
    <col min="9" max="10" width="10.7109375" style="298" customWidth="1"/>
    <col min="11" max="11" width="8.140625" style="327" customWidth="1"/>
    <col min="12" max="12" width="9.5703125" style="298" bestFit="1" customWidth="1"/>
    <col min="13" max="13" width="56" style="298" customWidth="1"/>
    <col min="14" max="16384" width="9.140625" style="298"/>
  </cols>
  <sheetData>
    <row r="1" spans="1:37" ht="57" customHeight="1" thickBot="1">
      <c r="A1" s="1038" t="s">
        <v>626</v>
      </c>
      <c r="B1" s="1038"/>
      <c r="C1" s="1038"/>
      <c r="D1" s="1038"/>
      <c r="E1" s="1038"/>
      <c r="F1" s="295">
        <f>INT('נתוני יסוד'!B5)</f>
        <v>125</v>
      </c>
      <c r="G1" s="1039"/>
      <c r="H1" s="1039"/>
      <c r="I1" s="1039"/>
      <c r="J1" s="1039"/>
      <c r="K1" s="296"/>
      <c r="L1" s="297"/>
      <c r="M1" s="1040"/>
      <c r="N1" s="1040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</row>
    <row r="2" spans="1:37" s="303" customFormat="1" ht="57" customHeight="1" thickBot="1">
      <c r="A2" s="184" t="s">
        <v>496</v>
      </c>
      <c r="B2" s="299" t="s">
        <v>497</v>
      </c>
      <c r="C2" s="299" t="s">
        <v>231</v>
      </c>
      <c r="D2" s="299" t="s">
        <v>498</v>
      </c>
      <c r="E2" s="184" t="s">
        <v>499</v>
      </c>
      <c r="F2" s="299" t="s">
        <v>500</v>
      </c>
      <c r="G2" s="905" t="s">
        <v>627</v>
      </c>
      <c r="H2" s="299" t="s">
        <v>628</v>
      </c>
      <c r="I2" s="184" t="s">
        <v>267</v>
      </c>
      <c r="J2" s="299" t="s">
        <v>629</v>
      </c>
      <c r="K2" s="300" t="s">
        <v>505</v>
      </c>
      <c r="L2" s="301"/>
      <c r="M2" s="301"/>
      <c r="N2" s="301"/>
      <c r="O2" s="301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</row>
    <row r="3" spans="1:37" s="308" customFormat="1" ht="40.15" customHeight="1">
      <c r="A3" s="164" t="str">
        <f>IF(main!A9&gt;0,main!A9,"")</f>
        <v/>
      </c>
      <c r="B3" s="165" t="str">
        <f>IF(main!A9&gt;0,main!B9,"")</f>
        <v/>
      </c>
      <c r="C3" s="164" t="str">
        <f>IF(main!A9&gt;0,main!D9,"")</f>
        <v/>
      </c>
      <c r="D3" s="164" t="str">
        <f>IF(main!A9&gt;0,main!E9,"")</f>
        <v/>
      </c>
      <c r="E3" s="164" t="str">
        <f>IF(main!A9&gt;0,main!C9,"")</f>
        <v/>
      </c>
      <c r="F3" s="304" t="str">
        <f>IF(main!A9&gt;0,main!R9,"")</f>
        <v/>
      </c>
      <c r="G3" s="1002">
        <f>main!BE9</f>
        <v>0</v>
      </c>
      <c r="H3" s="164" t="s">
        <v>628</v>
      </c>
      <c r="I3" s="164">
        <f>main!BH9</f>
        <v>0</v>
      </c>
      <c r="J3" s="164"/>
      <c r="K3" s="305"/>
      <c r="L3" s="306"/>
      <c r="M3" s="306"/>
      <c r="N3" s="306"/>
      <c r="O3" s="306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</row>
    <row r="4" spans="1:37" s="308" customFormat="1" ht="40.15" customHeight="1">
      <c r="A4" s="164" t="str">
        <f>IF(main!A10&gt;0,main!A10,"")</f>
        <v/>
      </c>
      <c r="B4" s="165" t="str">
        <f>IF(main!A10&gt;0,main!B10,"")</f>
        <v/>
      </c>
      <c r="C4" s="164" t="str">
        <f>IF(main!A10&gt;0,main!D10,"")</f>
        <v/>
      </c>
      <c r="D4" s="164" t="str">
        <f>IF(main!A10&gt;0,main!E10,"")</f>
        <v/>
      </c>
      <c r="E4" s="164" t="str">
        <f>IF(main!A10&gt;0,main!C10,"")</f>
        <v/>
      </c>
      <c r="F4" s="304" t="str">
        <f>IF(main!A10&gt;0,main!R10,"")</f>
        <v/>
      </c>
      <c r="G4" s="1002">
        <f>main!BE10</f>
        <v>0</v>
      </c>
      <c r="H4" s="164" t="s">
        <v>628</v>
      </c>
      <c r="I4" s="164">
        <f>main!BH10</f>
        <v>0</v>
      </c>
      <c r="J4" s="164"/>
      <c r="K4" s="305"/>
      <c r="L4" s="306"/>
      <c r="M4" s="306"/>
      <c r="N4" s="306"/>
      <c r="O4" s="306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307"/>
      <c r="AK4" s="307"/>
    </row>
    <row r="5" spans="1:37" s="308" customFormat="1" ht="40.15" customHeight="1">
      <c r="A5" s="164" t="str">
        <f>IF(main!A11&gt;0,main!A11,"")</f>
        <v/>
      </c>
      <c r="B5" s="165" t="str">
        <f>IF(main!A11&gt;0,main!B11,"")</f>
        <v/>
      </c>
      <c r="C5" s="164" t="str">
        <f>IF(main!A11&gt;0,main!D11,"")</f>
        <v/>
      </c>
      <c r="D5" s="164" t="str">
        <f>IF(main!A11&gt;0,main!E11,"")</f>
        <v/>
      </c>
      <c r="E5" s="164" t="str">
        <f>IF(main!A11&gt;0,main!C11,"")</f>
        <v/>
      </c>
      <c r="F5" s="304" t="str">
        <f>IF(main!A11&gt;0,main!R11,"")</f>
        <v/>
      </c>
      <c r="G5" s="1002">
        <f>main!BE11</f>
        <v>0</v>
      </c>
      <c r="H5" s="164" t="s">
        <v>628</v>
      </c>
      <c r="I5" s="164">
        <f>main!BH11</f>
        <v>0</v>
      </c>
      <c r="J5" s="164"/>
      <c r="K5" s="305"/>
      <c r="L5" s="306"/>
      <c r="M5" s="306"/>
      <c r="N5" s="306"/>
      <c r="O5" s="306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7"/>
      <c r="AK5" s="307"/>
    </row>
    <row r="6" spans="1:37" s="308" customFormat="1" ht="40.15" customHeight="1">
      <c r="A6" s="164" t="str">
        <f>IF(main!A12&gt;0,main!A12,"")</f>
        <v/>
      </c>
      <c r="B6" s="165" t="str">
        <f>IF(main!A12&gt;0,main!B12,"")</f>
        <v/>
      </c>
      <c r="C6" s="164" t="str">
        <f>IF(main!A12&gt;0,main!D12,"")</f>
        <v/>
      </c>
      <c r="D6" s="164" t="str">
        <f>IF(main!A12&gt;0,main!E12,"")</f>
        <v/>
      </c>
      <c r="E6" s="164" t="str">
        <f>IF(main!A12&gt;0,main!C12,"")</f>
        <v/>
      </c>
      <c r="F6" s="304" t="str">
        <f>IF(main!A12&gt;0,main!R12,"")</f>
        <v/>
      </c>
      <c r="G6" s="1002">
        <f>main!BE12</f>
        <v>0</v>
      </c>
      <c r="H6" s="164" t="s">
        <v>628</v>
      </c>
      <c r="I6" s="164">
        <f>main!BH12</f>
        <v>0</v>
      </c>
      <c r="J6" s="164"/>
      <c r="K6" s="305"/>
      <c r="L6" s="306"/>
      <c r="M6" s="306"/>
      <c r="N6" s="306"/>
      <c r="O6" s="306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</row>
    <row r="7" spans="1:37" s="308" customFormat="1" ht="40.15" customHeight="1">
      <c r="A7" s="164" t="str">
        <f>IF(main!A13&gt;0,main!A13,"")</f>
        <v/>
      </c>
      <c r="B7" s="165" t="str">
        <f>IF(main!A13&gt;0,main!B13,"")</f>
        <v/>
      </c>
      <c r="C7" s="164" t="str">
        <f>IF(main!A13&gt;0,main!D13,"")</f>
        <v/>
      </c>
      <c r="D7" s="164" t="str">
        <f>IF(main!A13&gt;0,main!E13,"")</f>
        <v/>
      </c>
      <c r="E7" s="164" t="str">
        <f>IF(main!A13&gt;0,main!C13,"")</f>
        <v/>
      </c>
      <c r="F7" s="304" t="str">
        <f>IF(main!A13&gt;0,main!R13,"")</f>
        <v/>
      </c>
      <c r="G7" s="1002">
        <f>main!BE13</f>
        <v>0</v>
      </c>
      <c r="H7" s="164" t="s">
        <v>628</v>
      </c>
      <c r="I7" s="164">
        <f>main!BH13</f>
        <v>0</v>
      </c>
      <c r="J7" s="164"/>
      <c r="K7" s="305"/>
      <c r="L7" s="306"/>
      <c r="M7" s="306"/>
      <c r="N7" s="306"/>
      <c r="O7" s="306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</row>
    <row r="8" spans="1:37" s="308" customFormat="1" ht="40.15" customHeight="1">
      <c r="A8" s="164" t="str">
        <f>IF(main!A14&gt;0,main!A14,"")</f>
        <v/>
      </c>
      <c r="B8" s="165" t="str">
        <f>IF(main!A14&gt;0,main!B14,"")</f>
        <v/>
      </c>
      <c r="C8" s="164" t="str">
        <f>IF(main!A14&gt;0,main!D14,"")</f>
        <v/>
      </c>
      <c r="D8" s="164" t="str">
        <f>IF(main!A14&gt;0,main!E14,"")</f>
        <v/>
      </c>
      <c r="E8" s="164" t="str">
        <f>IF(main!A14&gt;0,main!C14,"")</f>
        <v/>
      </c>
      <c r="F8" s="304" t="str">
        <f>IF(main!A14&gt;0,main!R14,"")</f>
        <v/>
      </c>
      <c r="G8" s="1002">
        <f>main!BE14</f>
        <v>0</v>
      </c>
      <c r="H8" s="164" t="s">
        <v>628</v>
      </c>
      <c r="I8" s="164">
        <f>main!BH14</f>
        <v>0</v>
      </c>
      <c r="J8" s="164"/>
      <c r="K8" s="305"/>
      <c r="L8" s="306"/>
      <c r="M8" s="306"/>
      <c r="N8" s="306"/>
      <c r="O8" s="306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</row>
    <row r="9" spans="1:37" s="308" customFormat="1" ht="40.15" customHeight="1">
      <c r="A9" s="164" t="str">
        <f>IF(main!A15&gt;0,main!A15,"")</f>
        <v/>
      </c>
      <c r="B9" s="165" t="str">
        <f>IF(main!A15&gt;0,main!B15,"")</f>
        <v/>
      </c>
      <c r="C9" s="164" t="str">
        <f>IF(main!A15&gt;0,main!D15,"")</f>
        <v/>
      </c>
      <c r="D9" s="164" t="str">
        <f>IF(main!A15&gt;0,main!E15,"")</f>
        <v/>
      </c>
      <c r="E9" s="164" t="str">
        <f>IF(main!A15&gt;0,main!C15,"")</f>
        <v/>
      </c>
      <c r="F9" s="304" t="str">
        <f>IF(main!A15&gt;0,main!R15,"")</f>
        <v/>
      </c>
      <c r="G9" s="1002">
        <f>main!BE15</f>
        <v>0</v>
      </c>
      <c r="H9" s="164" t="s">
        <v>628</v>
      </c>
      <c r="I9" s="164">
        <f>main!BH15</f>
        <v>0</v>
      </c>
      <c r="J9" s="164"/>
      <c r="K9" s="305"/>
      <c r="L9" s="306"/>
      <c r="M9" s="306"/>
      <c r="N9" s="306"/>
      <c r="O9" s="306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</row>
    <row r="10" spans="1:37" s="308" customFormat="1" ht="40.15" customHeight="1">
      <c r="A10" s="164" t="str">
        <f>IF(main!A16&gt;0,main!A16,"")</f>
        <v/>
      </c>
      <c r="B10" s="165" t="str">
        <f>IF(main!A16&gt;0,main!B16,"")</f>
        <v/>
      </c>
      <c r="C10" s="164" t="str">
        <f>IF(main!A16&gt;0,main!D16,"")</f>
        <v/>
      </c>
      <c r="D10" s="164" t="str">
        <f>IF(main!A16&gt;0,main!E16,"")</f>
        <v/>
      </c>
      <c r="E10" s="164" t="str">
        <f>IF(main!A16&gt;0,main!C16,"")</f>
        <v/>
      </c>
      <c r="F10" s="304" t="str">
        <f>IF(main!A16&gt;0,main!R16,"")</f>
        <v/>
      </c>
      <c r="G10" s="1002">
        <f>main!BE16</f>
        <v>0</v>
      </c>
      <c r="H10" s="164" t="s">
        <v>628</v>
      </c>
      <c r="I10" s="164">
        <f>main!BH16</f>
        <v>0</v>
      </c>
      <c r="J10" s="164"/>
      <c r="K10" s="305"/>
      <c r="L10" s="306"/>
      <c r="M10" s="306"/>
      <c r="N10" s="306"/>
      <c r="O10" s="306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</row>
    <row r="11" spans="1:37" s="308" customFormat="1" ht="40.15" customHeight="1">
      <c r="A11" s="164" t="str">
        <f>IF(main!A17&gt;0,main!A17,"")</f>
        <v/>
      </c>
      <c r="B11" s="165" t="str">
        <f>IF(main!A17&gt;0,main!B17,"")</f>
        <v/>
      </c>
      <c r="C11" s="164" t="str">
        <f>IF(main!A17&gt;0,main!D17,"")</f>
        <v/>
      </c>
      <c r="D11" s="164" t="str">
        <f>IF(main!A17&gt;0,main!E17,"")</f>
        <v/>
      </c>
      <c r="E11" s="164" t="str">
        <f>IF(main!A17&gt;0,main!C17,"")</f>
        <v/>
      </c>
      <c r="F11" s="304" t="str">
        <f>IF(main!A17&gt;0,main!R17,"")</f>
        <v/>
      </c>
      <c r="G11" s="1002">
        <f>main!BE17</f>
        <v>0</v>
      </c>
      <c r="H11" s="164" t="s">
        <v>628</v>
      </c>
      <c r="I11" s="164">
        <f>main!BH17</f>
        <v>0</v>
      </c>
      <c r="J11" s="164"/>
      <c r="K11" s="305"/>
      <c r="L11" s="306"/>
      <c r="M11" s="306"/>
      <c r="N11" s="306"/>
      <c r="O11" s="306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</row>
    <row r="12" spans="1:37" s="308" customFormat="1" ht="40.15" customHeight="1">
      <c r="A12" s="164" t="str">
        <f>IF(main!A18&gt;0,main!A18,"")</f>
        <v/>
      </c>
      <c r="B12" s="165" t="str">
        <f>IF(main!A18&gt;0,main!B18,"")</f>
        <v/>
      </c>
      <c r="C12" s="164" t="str">
        <f>IF(main!A18&gt;0,main!D18,"")</f>
        <v/>
      </c>
      <c r="D12" s="164" t="str">
        <f>IF(main!A18&gt;0,main!E18,"")</f>
        <v/>
      </c>
      <c r="E12" s="164" t="str">
        <f>IF(main!A18&gt;0,main!C18,"")</f>
        <v/>
      </c>
      <c r="F12" s="304" t="str">
        <f>IF(main!A18&gt;0,main!R18,"")</f>
        <v/>
      </c>
      <c r="G12" s="1002">
        <f>main!BE18</f>
        <v>0</v>
      </c>
      <c r="H12" s="164" t="s">
        <v>628</v>
      </c>
      <c r="I12" s="164">
        <f>main!BH18</f>
        <v>0</v>
      </c>
      <c r="J12" s="164"/>
      <c r="K12" s="305"/>
      <c r="L12" s="306"/>
      <c r="M12" s="306"/>
      <c r="N12" s="306"/>
      <c r="O12" s="306"/>
      <c r="P12" s="307"/>
      <c r="Q12" s="307"/>
      <c r="R12" s="307"/>
      <c r="S12" s="307"/>
      <c r="T12" s="307"/>
      <c r="U12" s="307"/>
      <c r="V12" s="307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</row>
    <row r="13" spans="1:37" s="308" customFormat="1" ht="40.15" customHeight="1">
      <c r="A13" s="164" t="str">
        <f>IF(main!A19&gt;0,main!A19,"")</f>
        <v/>
      </c>
      <c r="B13" s="165" t="str">
        <f>IF(main!A19&gt;0,main!B19,"")</f>
        <v/>
      </c>
      <c r="C13" s="164" t="str">
        <f>IF(main!A19&gt;0,main!D19,"")</f>
        <v/>
      </c>
      <c r="D13" s="164" t="str">
        <f>IF(main!A19&gt;0,main!E19,"")</f>
        <v/>
      </c>
      <c r="E13" s="164" t="str">
        <f>IF(main!A19&gt;0,main!C19,"")</f>
        <v/>
      </c>
      <c r="F13" s="304" t="str">
        <f>IF(main!A19&gt;0,main!R19,"")</f>
        <v/>
      </c>
      <c r="G13" s="1002">
        <f>main!BE19</f>
        <v>0</v>
      </c>
      <c r="H13" s="164" t="s">
        <v>628</v>
      </c>
      <c r="I13" s="164">
        <f>main!BH19</f>
        <v>0</v>
      </c>
      <c r="J13" s="164"/>
      <c r="K13" s="305"/>
      <c r="L13" s="306"/>
      <c r="M13" s="306"/>
      <c r="N13" s="306"/>
      <c r="O13" s="306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</row>
    <row r="14" spans="1:37" s="308" customFormat="1" ht="40.15" customHeight="1">
      <c r="A14" s="164" t="str">
        <f>IF(main!A20&gt;0,main!A20,"")</f>
        <v/>
      </c>
      <c r="B14" s="165" t="str">
        <f>IF(main!A20&gt;0,main!B20,"")</f>
        <v/>
      </c>
      <c r="C14" s="164" t="str">
        <f>IF(main!A20&gt;0,main!D20,"")</f>
        <v/>
      </c>
      <c r="D14" s="164" t="str">
        <f>IF(main!A20&gt;0,main!E20,"")</f>
        <v/>
      </c>
      <c r="E14" s="164" t="str">
        <f>IF(main!A20&gt;0,main!C20,"")</f>
        <v/>
      </c>
      <c r="F14" s="304" t="str">
        <f>IF(main!A20&gt;0,main!R20,"")</f>
        <v/>
      </c>
      <c r="G14" s="1002">
        <f>main!BE20</f>
        <v>0</v>
      </c>
      <c r="H14" s="164" t="s">
        <v>628</v>
      </c>
      <c r="I14" s="164">
        <f>main!BH20</f>
        <v>0</v>
      </c>
      <c r="J14" s="164"/>
      <c r="K14" s="305"/>
      <c r="L14" s="306"/>
      <c r="M14" s="306"/>
      <c r="N14" s="306"/>
      <c r="O14" s="306"/>
      <c r="P14" s="307"/>
      <c r="Q14" s="307"/>
      <c r="R14" s="307"/>
      <c r="S14" s="307"/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</row>
    <row r="15" spans="1:37" s="308" customFormat="1" ht="40.15" customHeight="1">
      <c r="A15" s="164" t="str">
        <f>IF(main!A21&gt;0,main!A21,"")</f>
        <v/>
      </c>
      <c r="B15" s="165" t="str">
        <f>IF(main!A21&gt;0,main!B21,"")</f>
        <v/>
      </c>
      <c r="C15" s="164" t="str">
        <f>IF(main!A21&gt;0,main!D21,"")</f>
        <v/>
      </c>
      <c r="D15" s="164" t="str">
        <f>IF(main!A21&gt;0,main!E21,"")</f>
        <v/>
      </c>
      <c r="E15" s="164" t="str">
        <f>IF(main!A21&gt;0,main!C21,"")</f>
        <v/>
      </c>
      <c r="F15" s="304" t="str">
        <f>IF(main!A21&gt;0,main!R21,"")</f>
        <v/>
      </c>
      <c r="G15" s="1002">
        <f>main!BE21</f>
        <v>0</v>
      </c>
      <c r="H15" s="164" t="s">
        <v>628</v>
      </c>
      <c r="I15" s="164">
        <f>main!BH21</f>
        <v>0</v>
      </c>
      <c r="J15" s="164"/>
      <c r="K15" s="305"/>
      <c r="L15" s="306"/>
      <c r="M15" s="306"/>
      <c r="N15" s="306"/>
      <c r="O15" s="306"/>
      <c r="P15" s="307"/>
      <c r="Q15" s="307"/>
      <c r="R15" s="307"/>
      <c r="S15" s="307"/>
      <c r="T15" s="307"/>
      <c r="U15" s="307"/>
      <c r="V15" s="307"/>
      <c r="W15" s="307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</row>
    <row r="16" spans="1:37" s="308" customFormat="1" ht="40.15" customHeight="1">
      <c r="A16" s="164" t="str">
        <f>IF(main!A22&gt;0,main!A22,"")</f>
        <v/>
      </c>
      <c r="B16" s="165" t="str">
        <f>IF(main!A22&gt;0,main!B22,"")</f>
        <v/>
      </c>
      <c r="C16" s="164" t="str">
        <f>IF(main!A22&gt;0,main!D22,"")</f>
        <v/>
      </c>
      <c r="D16" s="164" t="str">
        <f>IF(main!A22&gt;0,main!E22,"")</f>
        <v/>
      </c>
      <c r="E16" s="164" t="str">
        <f>IF(main!A22&gt;0,main!C22,"")</f>
        <v/>
      </c>
      <c r="F16" s="304" t="str">
        <f>IF(main!A22&gt;0,main!R22,"")</f>
        <v/>
      </c>
      <c r="G16" s="1002">
        <f>main!BE22</f>
        <v>0</v>
      </c>
      <c r="H16" s="164" t="s">
        <v>628</v>
      </c>
      <c r="I16" s="164">
        <f>main!BH22</f>
        <v>0</v>
      </c>
      <c r="J16" s="164"/>
      <c r="K16" s="305"/>
      <c r="L16" s="306"/>
      <c r="M16" s="306"/>
      <c r="N16" s="306"/>
      <c r="O16" s="306"/>
      <c r="P16" s="307"/>
      <c r="Q16" s="307"/>
      <c r="R16" s="307"/>
      <c r="S16" s="307"/>
      <c r="T16" s="307"/>
      <c r="U16" s="307"/>
      <c r="V16" s="307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</row>
    <row r="17" spans="1:37" s="308" customFormat="1" ht="40.15" customHeight="1">
      <c r="A17" s="164" t="str">
        <f>IF(main!A23&gt;0,main!A23,"")</f>
        <v/>
      </c>
      <c r="B17" s="165" t="str">
        <f>IF(main!A23&gt;0,main!B23,"")</f>
        <v/>
      </c>
      <c r="C17" s="164" t="str">
        <f>IF(main!A23&gt;0,main!D23,"")</f>
        <v/>
      </c>
      <c r="D17" s="164" t="str">
        <f>IF(main!A23&gt;0,main!E23,"")</f>
        <v/>
      </c>
      <c r="E17" s="164" t="str">
        <f>IF(main!A23&gt;0,main!C23,"")</f>
        <v/>
      </c>
      <c r="F17" s="304" t="str">
        <f>IF(main!A23&gt;0,main!R23,"")</f>
        <v/>
      </c>
      <c r="G17" s="1002">
        <f>main!BE23</f>
        <v>0</v>
      </c>
      <c r="H17" s="164" t="s">
        <v>628</v>
      </c>
      <c r="I17" s="164">
        <f>main!BH23</f>
        <v>0</v>
      </c>
      <c r="J17" s="164"/>
      <c r="K17" s="305"/>
      <c r="L17" s="306"/>
      <c r="M17" s="306"/>
      <c r="N17" s="306"/>
      <c r="O17" s="306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</row>
    <row r="18" spans="1:37" s="308" customFormat="1" ht="40.15" customHeight="1">
      <c r="A18" s="164" t="str">
        <f>IF(main!A24&gt;0,main!A24,"")</f>
        <v/>
      </c>
      <c r="B18" s="165" t="str">
        <f>IF(main!A24&gt;0,main!B24,"")</f>
        <v/>
      </c>
      <c r="C18" s="164" t="str">
        <f>IF(main!A24&gt;0,main!D24,"")</f>
        <v/>
      </c>
      <c r="D18" s="164" t="str">
        <f>IF(main!A24&gt;0,main!E24,"")</f>
        <v/>
      </c>
      <c r="E18" s="164" t="str">
        <f>IF(main!A24&gt;0,main!C24,"")</f>
        <v/>
      </c>
      <c r="F18" s="304" t="str">
        <f>IF(main!A24&gt;0,main!R24,"")</f>
        <v/>
      </c>
      <c r="G18" s="1002">
        <f>main!BE24</f>
        <v>0</v>
      </c>
      <c r="H18" s="164" t="s">
        <v>628</v>
      </c>
      <c r="I18" s="164">
        <f>main!BH24</f>
        <v>0</v>
      </c>
      <c r="J18" s="164"/>
      <c r="K18" s="305"/>
      <c r="L18" s="306"/>
      <c r="M18" s="306"/>
      <c r="N18" s="306"/>
      <c r="O18" s="306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</row>
    <row r="19" spans="1:37" s="308" customFormat="1" ht="40.15" customHeight="1">
      <c r="A19" s="164" t="str">
        <f>IF(main!A25&gt;0,main!A25,"")</f>
        <v/>
      </c>
      <c r="B19" s="165" t="str">
        <f>IF(main!A25&gt;0,main!B25,"")</f>
        <v/>
      </c>
      <c r="C19" s="164" t="str">
        <f>IF(main!A25&gt;0,main!D25,"")</f>
        <v/>
      </c>
      <c r="D19" s="164" t="str">
        <f>IF(main!A25&gt;0,main!E25,"")</f>
        <v/>
      </c>
      <c r="E19" s="164" t="str">
        <f>IF(main!A25&gt;0,main!C25,"")</f>
        <v/>
      </c>
      <c r="F19" s="304" t="str">
        <f>IF(main!A25&gt;0,main!R25,"")</f>
        <v/>
      </c>
      <c r="G19" s="1002">
        <f>main!BE25</f>
        <v>0</v>
      </c>
      <c r="H19" s="164" t="s">
        <v>628</v>
      </c>
      <c r="I19" s="164">
        <f>main!BH25</f>
        <v>0</v>
      </c>
      <c r="J19" s="164"/>
      <c r="K19" s="305"/>
      <c r="L19" s="306"/>
      <c r="M19" s="306"/>
      <c r="N19" s="309"/>
      <c r="O19" s="306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</row>
    <row r="20" spans="1:37" s="308" customFormat="1" ht="40.15" customHeight="1">
      <c r="A20" s="164" t="str">
        <f>IF(main!A26&gt;0,main!A26,"")</f>
        <v/>
      </c>
      <c r="B20" s="165" t="str">
        <f>IF(main!A26&gt;0,main!B26,"")</f>
        <v/>
      </c>
      <c r="C20" s="164" t="str">
        <f>IF(main!A26&gt;0,main!D26,"")</f>
        <v/>
      </c>
      <c r="D20" s="164" t="str">
        <f>IF(main!A26&gt;0,main!E26,"")</f>
        <v/>
      </c>
      <c r="E20" s="164" t="str">
        <f>IF(main!A26&gt;0,main!C26,"")</f>
        <v/>
      </c>
      <c r="F20" s="304" t="str">
        <f>IF(main!A26&gt;0,main!R26,"")</f>
        <v/>
      </c>
      <c r="G20" s="1002">
        <f>main!BE26</f>
        <v>0</v>
      </c>
      <c r="H20" s="164" t="s">
        <v>628</v>
      </c>
      <c r="I20" s="164">
        <f>main!BH26</f>
        <v>0</v>
      </c>
      <c r="J20" s="164"/>
      <c r="K20" s="305"/>
      <c r="L20" s="306"/>
      <c r="M20" s="306"/>
      <c r="N20" s="306"/>
      <c r="O20" s="306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</row>
    <row r="21" spans="1:37" s="308" customFormat="1" ht="40.15" customHeight="1">
      <c r="A21" s="164" t="str">
        <f>IF(main!A27&gt;0,main!A27,"")</f>
        <v/>
      </c>
      <c r="B21" s="165" t="str">
        <f>IF(main!A27&gt;0,main!B27,"")</f>
        <v/>
      </c>
      <c r="C21" s="164" t="str">
        <f>IF(main!A27&gt;0,main!D27,"")</f>
        <v/>
      </c>
      <c r="D21" s="164" t="str">
        <f>IF(main!A27&gt;0,main!E27,"")</f>
        <v/>
      </c>
      <c r="E21" s="164" t="str">
        <f>IF(main!A27&gt;0,main!C27,"")</f>
        <v/>
      </c>
      <c r="F21" s="304" t="str">
        <f>IF(main!A27&gt;0,main!R27,"")</f>
        <v/>
      </c>
      <c r="G21" s="1002">
        <f>main!BE27</f>
        <v>0</v>
      </c>
      <c r="H21" s="164" t="s">
        <v>628</v>
      </c>
      <c r="I21" s="164">
        <f>main!BH27</f>
        <v>0</v>
      </c>
      <c r="J21" s="164"/>
      <c r="K21" s="305"/>
      <c r="L21" s="306"/>
      <c r="M21" s="306"/>
      <c r="N21" s="306"/>
      <c r="O21" s="306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</row>
    <row r="22" spans="1:37" s="308" customFormat="1" ht="40.15" customHeight="1">
      <c r="A22" s="164" t="str">
        <f>IF(main!A28&gt;0,main!A28,"")</f>
        <v/>
      </c>
      <c r="B22" s="165" t="str">
        <f>IF(main!A28&gt;0,main!B28,"")</f>
        <v/>
      </c>
      <c r="C22" s="164" t="str">
        <f>IF(main!A28&gt;0,main!D28,"")</f>
        <v/>
      </c>
      <c r="D22" s="164" t="str">
        <f>IF(main!A28&gt;0,main!E28,"")</f>
        <v/>
      </c>
      <c r="E22" s="164" t="str">
        <f>IF(main!A28&gt;0,main!C28,"")</f>
        <v/>
      </c>
      <c r="F22" s="304" t="str">
        <f>IF(main!A28&gt;0,main!R28,"")</f>
        <v/>
      </c>
      <c r="G22" s="1002">
        <f>main!BE28</f>
        <v>0</v>
      </c>
      <c r="H22" s="164" t="s">
        <v>628</v>
      </c>
      <c r="I22" s="164">
        <f>main!BH28</f>
        <v>0</v>
      </c>
      <c r="J22" s="164"/>
      <c r="K22" s="305"/>
      <c r="L22" s="306"/>
      <c r="M22" s="306"/>
      <c r="N22" s="306"/>
      <c r="O22" s="306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</row>
    <row r="23" spans="1:37" s="308" customFormat="1" ht="40.15" customHeight="1">
      <c r="A23" s="164" t="str">
        <f>IF(main!A29&gt;0,main!A29,"")</f>
        <v/>
      </c>
      <c r="B23" s="165" t="str">
        <f>IF(main!A29&gt;0,main!B29,"")</f>
        <v/>
      </c>
      <c r="C23" s="164" t="str">
        <f>IF(main!A29&gt;0,main!D29,"")</f>
        <v/>
      </c>
      <c r="D23" s="164" t="str">
        <f>IF(main!A29&gt;0,main!E29,"")</f>
        <v/>
      </c>
      <c r="E23" s="164" t="str">
        <f>IF(main!A29&gt;0,main!C29,"")</f>
        <v/>
      </c>
      <c r="F23" s="304" t="str">
        <f>IF(main!A29&gt;0,main!R29,"")</f>
        <v/>
      </c>
      <c r="G23" s="1002">
        <f>main!BE29</f>
        <v>0</v>
      </c>
      <c r="H23" s="164" t="s">
        <v>628</v>
      </c>
      <c r="I23" s="164">
        <f>main!BH29</f>
        <v>0</v>
      </c>
      <c r="J23" s="164"/>
      <c r="K23" s="305"/>
      <c r="L23" s="306"/>
      <c r="M23" s="306"/>
      <c r="N23" s="306"/>
      <c r="O23" s="306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</row>
    <row r="24" spans="1:37" s="308" customFormat="1" ht="40.15" customHeight="1">
      <c r="A24" s="164" t="str">
        <f>IF(main!A30&gt;0,main!A30,"")</f>
        <v/>
      </c>
      <c r="B24" s="165" t="str">
        <f>IF(main!A30&gt;0,main!B30,"")</f>
        <v/>
      </c>
      <c r="C24" s="164" t="str">
        <f>IF(main!A30&gt;0,main!D30,"")</f>
        <v/>
      </c>
      <c r="D24" s="164" t="str">
        <f>IF(main!A30&gt;0,main!E30,"")</f>
        <v/>
      </c>
      <c r="E24" s="164" t="str">
        <f>IF(main!A30&gt;0,main!C30,"")</f>
        <v/>
      </c>
      <c r="F24" s="304" t="str">
        <f>IF(main!A30&gt;0,main!R30,"")</f>
        <v/>
      </c>
      <c r="G24" s="1002">
        <f>main!BE30</f>
        <v>0</v>
      </c>
      <c r="H24" s="164" t="s">
        <v>628</v>
      </c>
      <c r="I24" s="164">
        <f>main!BH30</f>
        <v>0</v>
      </c>
      <c r="J24" s="164"/>
      <c r="K24" s="305"/>
      <c r="L24" s="306"/>
      <c r="M24" s="306"/>
      <c r="N24" s="306"/>
      <c r="O24" s="306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</row>
    <row r="25" spans="1:37" s="308" customFormat="1" ht="40.15" customHeight="1">
      <c r="A25" s="164" t="str">
        <f>IF(main!A31&gt;0,main!A31,"")</f>
        <v/>
      </c>
      <c r="B25" s="165" t="str">
        <f>IF(main!A31&gt;0,main!B31,"")</f>
        <v/>
      </c>
      <c r="C25" s="164" t="str">
        <f>IF(main!A31&gt;0,main!D31,"")</f>
        <v/>
      </c>
      <c r="D25" s="164" t="str">
        <f>IF(main!A31&gt;0,main!E31,"")</f>
        <v/>
      </c>
      <c r="E25" s="164" t="str">
        <f>IF(main!A31&gt;0,main!C31,"")</f>
        <v/>
      </c>
      <c r="F25" s="304" t="str">
        <f>IF(main!A31&gt;0,main!R31,"")</f>
        <v/>
      </c>
      <c r="G25" s="1002">
        <f>main!BE31</f>
        <v>0</v>
      </c>
      <c r="H25" s="164" t="s">
        <v>628</v>
      </c>
      <c r="I25" s="164">
        <f>main!BH31</f>
        <v>0</v>
      </c>
      <c r="J25" s="164"/>
      <c r="K25" s="305"/>
      <c r="L25" s="306"/>
      <c r="M25" s="306"/>
      <c r="N25" s="306"/>
      <c r="O25" s="306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</row>
    <row r="26" spans="1:37" s="308" customFormat="1" ht="40.15" customHeight="1">
      <c r="A26" s="164" t="str">
        <f>IF(main!A32&gt;0,main!A32,"")</f>
        <v/>
      </c>
      <c r="B26" s="165" t="str">
        <f>IF(main!A32&gt;0,main!B32,"")</f>
        <v/>
      </c>
      <c r="C26" s="164" t="str">
        <f>IF(main!A32&gt;0,main!D32,"")</f>
        <v/>
      </c>
      <c r="D26" s="164" t="str">
        <f>IF(main!A32&gt;0,main!E32,"")</f>
        <v/>
      </c>
      <c r="E26" s="164" t="str">
        <f>IF(main!A32&gt;0,main!C32,"")</f>
        <v/>
      </c>
      <c r="F26" s="304" t="str">
        <f>IF(main!A32&gt;0,main!R32,"")</f>
        <v/>
      </c>
      <c r="G26" s="1002">
        <f>main!BE32</f>
        <v>0</v>
      </c>
      <c r="H26" s="164" t="s">
        <v>628</v>
      </c>
      <c r="I26" s="164">
        <f>main!BH32</f>
        <v>0</v>
      </c>
      <c r="J26" s="164"/>
      <c r="K26" s="305"/>
      <c r="L26" s="306"/>
      <c r="M26" s="306"/>
      <c r="N26" s="306"/>
      <c r="O26" s="306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</row>
    <row r="27" spans="1:37" s="308" customFormat="1" ht="40.15" customHeight="1">
      <c r="A27" s="164" t="str">
        <f>IF(main!A33&gt;0,main!A33,"")</f>
        <v/>
      </c>
      <c r="B27" s="165" t="str">
        <f>IF(main!A33&gt;0,main!B33,"")</f>
        <v/>
      </c>
      <c r="C27" s="164" t="str">
        <f>IF(main!A33&gt;0,main!D33,"")</f>
        <v/>
      </c>
      <c r="D27" s="164" t="str">
        <f>IF(main!A33&gt;0,main!E33,"")</f>
        <v/>
      </c>
      <c r="E27" s="164" t="str">
        <f>IF(main!A33&gt;0,main!C33,"")</f>
        <v/>
      </c>
      <c r="F27" s="304" t="str">
        <f>IF(main!A33&gt;0,main!R33,"")</f>
        <v/>
      </c>
      <c r="G27" s="1002">
        <f>main!BE33</f>
        <v>0</v>
      </c>
      <c r="H27" s="164" t="s">
        <v>628</v>
      </c>
      <c r="I27" s="164">
        <f>main!BH33</f>
        <v>0</v>
      </c>
      <c r="J27" s="164"/>
      <c r="K27" s="305"/>
      <c r="L27" s="306"/>
      <c r="M27" s="306"/>
      <c r="N27" s="306"/>
      <c r="O27" s="306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</row>
    <row r="28" spans="1:37" s="308" customFormat="1" ht="35.1" customHeight="1">
      <c r="A28" s="164" t="str">
        <f>IF(main!A34&gt;0,main!A34,"")</f>
        <v/>
      </c>
      <c r="B28" s="165" t="str">
        <f>IF(main!A34&gt;0,main!B34,"")</f>
        <v/>
      </c>
      <c r="C28" s="164" t="str">
        <f>IF(main!A34&gt;0,main!D34,"")</f>
        <v/>
      </c>
      <c r="D28" s="164" t="str">
        <f>IF(main!A34&gt;0,main!E34,"")</f>
        <v/>
      </c>
      <c r="E28" s="164" t="str">
        <f>IF(main!A34&gt;0,main!C34,"")</f>
        <v/>
      </c>
      <c r="F28" s="304" t="str">
        <f>IF(main!A34&gt;0,main!R34,"")</f>
        <v/>
      </c>
      <c r="G28" s="1002">
        <f>main!BE34</f>
        <v>0</v>
      </c>
      <c r="H28" s="164" t="s">
        <v>628</v>
      </c>
      <c r="I28" s="164">
        <f>main!BH34</f>
        <v>0</v>
      </c>
      <c r="J28" s="164"/>
      <c r="K28" s="305"/>
      <c r="L28" s="306"/>
      <c r="M28" s="306"/>
      <c r="N28" s="306"/>
      <c r="O28" s="306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</row>
    <row r="29" spans="1:37" s="308" customFormat="1" ht="35.1" customHeight="1">
      <c r="A29" s="164" t="str">
        <f>IF(main!A35&gt;0,main!A35,"")</f>
        <v/>
      </c>
      <c r="B29" s="165" t="str">
        <f>IF(main!A35&gt;0,main!B35,"")</f>
        <v/>
      </c>
      <c r="C29" s="164" t="str">
        <f>IF(main!A35&gt;0,main!D35,"")</f>
        <v/>
      </c>
      <c r="D29" s="164" t="str">
        <f>IF(main!A35&gt;0,main!E35,"")</f>
        <v/>
      </c>
      <c r="E29" s="164" t="str">
        <f>IF(main!A35&gt;0,main!C35,"")</f>
        <v/>
      </c>
      <c r="F29" s="304" t="str">
        <f>IF(main!A35&gt;0,main!R35,"")</f>
        <v/>
      </c>
      <c r="G29" s="1002">
        <f>main!BE35</f>
        <v>0</v>
      </c>
      <c r="H29" s="164" t="s">
        <v>628</v>
      </c>
      <c r="I29" s="164">
        <f>main!BH35</f>
        <v>0</v>
      </c>
      <c r="J29" s="164"/>
      <c r="K29" s="305"/>
      <c r="L29" s="306"/>
      <c r="M29" s="306"/>
      <c r="N29" s="306"/>
      <c r="O29" s="306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</row>
    <row r="30" spans="1:37" s="311" customFormat="1" ht="35.1" customHeight="1" thickBot="1">
      <c r="A30" s="164" t="str">
        <f>IF(main!A36&gt;0,main!A36,"")</f>
        <v/>
      </c>
      <c r="B30" s="165" t="str">
        <f>IF(main!A36&gt;0,main!B36,"")</f>
        <v/>
      </c>
      <c r="C30" s="164" t="str">
        <f>IF(main!A36&gt;0,main!D36,"")</f>
        <v/>
      </c>
      <c r="D30" s="164" t="str">
        <f>IF(main!A36&gt;0,main!E36,"")</f>
        <v/>
      </c>
      <c r="E30" s="164" t="str">
        <f>IF(main!A36&gt;0,main!C36,"")</f>
        <v/>
      </c>
      <c r="F30" s="304" t="str">
        <f>IF(main!A36&gt;0,main!R36,"")</f>
        <v/>
      </c>
      <c r="G30" s="1002">
        <f>main!BE36</f>
        <v>0</v>
      </c>
      <c r="H30" s="164" t="s">
        <v>628</v>
      </c>
      <c r="I30" s="164">
        <f>main!BH36</f>
        <v>0</v>
      </c>
      <c r="J30" s="164"/>
      <c r="K30" s="305"/>
      <c r="L30" s="306"/>
      <c r="M30" s="306"/>
      <c r="N30" s="306"/>
      <c r="O30" s="306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  <c r="AK30" s="307"/>
    </row>
    <row r="31" spans="1:37" s="316" customFormat="1" ht="35.1" customHeight="1" thickTop="1" thickBot="1">
      <c r="A31" s="225"/>
      <c r="B31" s="1035" t="s">
        <v>630</v>
      </c>
      <c r="C31" s="1036"/>
      <c r="D31" s="1036"/>
      <c r="E31" s="1037"/>
      <c r="F31" s="225"/>
      <c r="G31" s="225">
        <f>SUMIF(I3:I30,"",G3:G30)</f>
        <v>0</v>
      </c>
      <c r="H31" s="225"/>
      <c r="I31" s="312">
        <f>SUM(I3:I30)</f>
        <v>0</v>
      </c>
      <c r="J31" s="313">
        <f>SUM(J3:J30)</f>
        <v>0</v>
      </c>
      <c r="K31" s="314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5"/>
      <c r="AG31" s="315"/>
      <c r="AH31" s="315"/>
      <c r="AI31" s="315"/>
      <c r="AJ31" s="315"/>
      <c r="AK31" s="315"/>
    </row>
    <row r="32" spans="1:37" s="318" customFormat="1" ht="35.1" customHeight="1" thickTop="1" thickBot="1">
      <c r="A32" s="225" t="str">
        <f>IF(OR('[1]חישובי מקורות א'!$F47="קצבה", '[1]חישובי מקורות א'!$F47="הוני", '[1]חישובי מקורות א'!$F47="קרן פנסיה",'[1]חישובי מקורות א'!$F47="קופג"), '[1]חישובי מקורות א'!A47,"")</f>
        <v/>
      </c>
      <c r="B32" s="1035" t="s">
        <v>631</v>
      </c>
      <c r="C32" s="1036"/>
      <c r="D32" s="1036"/>
      <c r="E32" s="1037"/>
      <c r="F32" s="225"/>
      <c r="G32" s="225">
        <f>SUM(G3:G30)</f>
        <v>0</v>
      </c>
      <c r="H32" s="225"/>
      <c r="I32" s="312">
        <f>SUMIF(G3:G30,"",I3:I30)</f>
        <v>0</v>
      </c>
      <c r="J32" s="317"/>
      <c r="L32" s="319"/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20"/>
      <c r="Z32" s="320"/>
      <c r="AA32" s="320"/>
      <c r="AB32" s="320"/>
      <c r="AC32" s="320"/>
      <c r="AD32" s="320"/>
      <c r="AE32" s="320"/>
      <c r="AF32" s="320"/>
      <c r="AG32" s="320"/>
      <c r="AH32" s="320"/>
      <c r="AI32" s="320"/>
      <c r="AJ32" s="320"/>
      <c r="AK32" s="320"/>
    </row>
    <row r="33" spans="1:37" s="321" customFormat="1" ht="34.5" customHeight="1" thickTop="1" thickBot="1">
      <c r="A33" s="225" t="str">
        <f>IF(OR('[1]חישובי מקורות א'!$F48="קצבה", '[1]חישובי מקורות א'!$F48="הוני", '[1]חישובי מקורות א'!$F48="קרן פנסיה",'[1]חישובי מקורות א'!$F48="קופג"), '[1]חישובי מקורות א'!A48,"")</f>
        <v/>
      </c>
      <c r="B33" s="1035" t="s">
        <v>632</v>
      </c>
      <c r="C33" s="1036"/>
      <c r="D33" s="1036"/>
      <c r="E33" s="1037"/>
      <c r="F33" s="225"/>
      <c r="G33" s="225"/>
      <c r="H33" s="225"/>
      <c r="I33" s="312">
        <f>'קצבה מזכה 2016'!D12</f>
        <v>0</v>
      </c>
      <c r="J33" s="317"/>
      <c r="K33" s="318"/>
      <c r="L33" s="296"/>
      <c r="M33" s="296"/>
      <c r="N33" s="296"/>
      <c r="O33" s="296"/>
      <c r="P33" s="296"/>
      <c r="Q33" s="296"/>
      <c r="R33" s="296"/>
      <c r="S33" s="296"/>
      <c r="T33" s="296"/>
      <c r="U33" s="296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</row>
    <row r="34" spans="1:37" s="296" customFormat="1" ht="15.75" thickTop="1">
      <c r="A34" s="322" t="str">
        <f>IF(OR('[1]חישובי מקורות א'!$F49="קצבה", '[1]חישובי מקורות א'!$F49="הוני", '[1]חישובי מקורות א'!$F49="קרן פנסיה",'[1]חישובי מקורות א'!$F49="קופג"), '[1]חישובי מקורות א'!A49,"")</f>
        <v/>
      </c>
      <c r="B34" s="322" t="str">
        <f>IF(OR('[1]חישובי מקורות א'!$F49="קצבה", '[1]חישובי מקורות א'!$F49="הוני", '[1]חישובי מקורות א'!$F49="קרן פנסיה",'[1]חישובי מקורות א'!$F49="קופג"), '[1]חישובי מקורות א'!B49,"")</f>
        <v/>
      </c>
      <c r="D34" s="322" t="str">
        <f>IF(OR('[1]חישובי מקורות א'!$F49="קצבה", '[1]חישובי מקורות א'!$F49="הוני", '[1]חישובי מקורות א'!$F49="קרן פנסיה",'[1]חישובי מקורות א'!$F49="קופג"), '[1]חישובי מקורות א'!D49,"")</f>
        <v/>
      </c>
      <c r="E34" s="322" t="str">
        <f>IF(OR('[1]חישובי מקורות א'!$F49="קצבה", '[1]חישובי מקורות א'!$F49="הוני", '[1]חישובי מקורות א'!$F49="קרן פנסיה",'[1]חישובי מקורות א'!$F49="קופג"), '[1]חישובי מקורות א'!E49,"")</f>
        <v/>
      </c>
      <c r="F34" s="323" t="str">
        <f>IF(OR('[1]חישובי מקורות א'!$F49="קצבה", '[1]חישובי מקורות א'!$F49="הוני", '[1]חישובי מקורות א'!$F49="קרן פנסיה",'[1]חישובי מקורות א'!$F49="קופג"), '[1]חישובי מקורות א'!H49,"")</f>
        <v/>
      </c>
      <c r="J34" s="324" t="str">
        <f>IF(OR('[1]חישובי מקורות א'!$F49="קצבה", '[1]חישובי מקורות א'!$F49="הוני", '[1]חישובי מקורות א'!$F49="קרן פנסיה",'[1]חישובי מקורות א'!$F49="קופג"), '[1]דווח ביטוחים'!O46,"")</f>
        <v/>
      </c>
    </row>
    <row r="35" spans="1:37" s="296" customFormat="1" ht="15">
      <c r="A35" s="322" t="str">
        <f>IF(OR('[1]חישובי מקורות א'!$F50="קצבה", '[1]חישובי מקורות א'!$F50="הוני", '[1]חישובי מקורות א'!$F50="קרן פנסיה",'[1]חישובי מקורות א'!$F50="קופג"), '[1]חישובי מקורות א'!A50,"")</f>
        <v/>
      </c>
      <c r="B35" s="322" t="str">
        <f>IF(OR('[1]חישובי מקורות א'!$F50="קצבה", '[1]חישובי מקורות א'!$F50="הוני", '[1]חישובי מקורות א'!$F50="קרן פנסיה",'[1]חישובי מקורות א'!$F50="קופג"), '[1]חישובי מקורות א'!B50,"")</f>
        <v/>
      </c>
      <c r="D35" s="322" t="str">
        <f>IF(OR('[1]חישובי מקורות א'!$F50="קצבה", '[1]חישובי מקורות א'!$F50="הוני", '[1]חישובי מקורות א'!$F50="קרן פנסיה",'[1]חישובי מקורות א'!$F50="קופג"), '[1]חישובי מקורות א'!D50,"")</f>
        <v/>
      </c>
      <c r="E35" s="322" t="str">
        <f>IF(OR('[1]חישובי מקורות א'!$F50="קצבה", '[1]חישובי מקורות א'!$F50="הוני", '[1]חישובי מקורות א'!$F50="קרן פנסיה",'[1]חישובי מקורות א'!$F50="קופג"), '[1]חישובי מקורות א'!E50,"")</f>
        <v/>
      </c>
      <c r="F35" s="323" t="str">
        <f>IF(OR('[1]חישובי מקורות א'!$F50="קצבה", '[1]חישובי מקורות א'!$F50="הוני", '[1]חישובי מקורות א'!$F50="קרן פנסיה",'[1]חישובי מקורות א'!$F50="קופג"), '[1]חישובי מקורות א'!H50,"")</f>
        <v/>
      </c>
      <c r="J35" s="324" t="str">
        <f>IF(OR('[1]חישובי מקורות א'!$F50="קצבה", '[1]חישובי מקורות א'!$F50="הוני", '[1]חישובי מקורות א'!$F50="קרן פנסיה",'[1]חישובי מקורות א'!$F50="קופג"), '[1]דווח ביטוחים'!O47,"")</f>
        <v/>
      </c>
    </row>
    <row r="36" spans="1:37" s="296" customFormat="1" ht="15">
      <c r="A36" s="322" t="str">
        <f>IF(OR('[1]חישובי מקורות א'!$F51="קצבה", '[1]חישובי מקורות א'!$F51="הוני", '[1]חישובי מקורות א'!$F51="קרן פנסיה",'[1]חישובי מקורות א'!$F51="קופג"), '[1]חישובי מקורות א'!A51,"")</f>
        <v/>
      </c>
      <c r="B36" s="322" t="str">
        <f>IF(OR('[1]חישובי מקורות א'!$F51="קצבה", '[1]חישובי מקורות א'!$F51="הוני", '[1]חישובי מקורות א'!$F51="קרן פנסיה",'[1]חישובי מקורות א'!$F51="קופג"), '[1]חישובי מקורות א'!B51,"")</f>
        <v/>
      </c>
      <c r="D36" s="322" t="str">
        <f>IF(OR('[1]חישובי מקורות א'!$F51="קצבה", '[1]חישובי מקורות א'!$F51="הוני", '[1]חישובי מקורות א'!$F51="קרן פנסיה",'[1]חישובי מקורות א'!$F51="קופג"), '[1]חישובי מקורות א'!D51,"")</f>
        <v/>
      </c>
      <c r="E36" s="322" t="str">
        <f>IF(OR('[1]חישובי מקורות א'!$F51="קצבה", '[1]חישובי מקורות א'!$F51="הוני", '[1]חישובי מקורות א'!$F51="קרן פנסיה",'[1]חישובי מקורות א'!$F51="קופג"), '[1]חישובי מקורות א'!E51,"")</f>
        <v/>
      </c>
      <c r="F36" s="323" t="str">
        <f>IF(OR('[1]חישובי מקורות א'!$F51="קצבה", '[1]חישובי מקורות א'!$F51="הוני", '[1]חישובי מקורות א'!$F51="קרן פנסיה",'[1]חישובי מקורות א'!$F51="קופג"), '[1]חישובי מקורות א'!H51,"")</f>
        <v/>
      </c>
      <c r="J36" s="324" t="str">
        <f>IF(OR('[1]חישובי מקורות א'!$F51="קצבה", '[1]חישובי מקורות א'!$F51="הוני", '[1]חישובי מקורות א'!$F51="קרן פנסיה",'[1]חישובי מקורות א'!$F51="קופג"), '[1]דווח ביטוחים'!O48,"")</f>
        <v/>
      </c>
    </row>
    <row r="37" spans="1:37" s="296" customFormat="1">
      <c r="J37" s="325"/>
    </row>
    <row r="38" spans="1:37" s="296" customFormat="1" ht="15">
      <c r="A38" s="322" t="str">
        <f>IF(OR('[1]חישובי מקורות א'!$F53="קצבה", '[1]חישובי מקורות א'!$F53="הוני", '[1]חישובי מקורות א'!$F53="קרן פנסיה",'[1]חישובי מקורות א'!$F53="קופג"), '[1]חישובי מקורות א'!A53,"")</f>
        <v/>
      </c>
      <c r="D38" s="322" t="str">
        <f>IF(OR('[1]חישובי מקורות א'!$F53="קצבה", '[1]חישובי מקורות א'!$F53="הוני", '[1]חישובי מקורות א'!$F53="קרן פנסיה",'[1]חישובי מקורות א'!$F53="קופג"), '[1]חישובי מקורות א'!D53,"")</f>
        <v/>
      </c>
      <c r="E38" s="322" t="str">
        <f>IF(OR('[1]חישובי מקורות א'!$F53="קצבה", '[1]חישובי מקורות א'!$F53="הוני", '[1]חישובי מקורות א'!$F53="קרן פנסיה",'[1]חישובי מקורות א'!$F53="קופג"), '[1]חישובי מקורות א'!E53,"")</f>
        <v/>
      </c>
      <c r="F38" s="323" t="str">
        <f>IF(OR('[1]חישובי מקורות א'!$F53="קצבה", '[1]חישובי מקורות א'!$F53="הוני", '[1]חישובי מקורות א'!$F53="קרן פנסיה",'[1]חישובי מקורות א'!$F53="קופג"), '[1]חישובי מקורות א'!H53,"")</f>
        <v/>
      </c>
      <c r="J38" s="324" t="str">
        <f>IF(OR('[1]חישובי מקורות א'!$F53="קצבה", '[1]חישובי מקורות א'!$F53="הוני", '[1]חישובי מקורות א'!$F53="קרן פנסיה",'[1]חישובי מקורות א'!$F53="קופג"), '[1]דווח ביטוחים'!O50,"")</f>
        <v/>
      </c>
    </row>
    <row r="39" spans="1:37" s="296" customFormat="1" ht="15">
      <c r="A39" s="322" t="str">
        <f>IF(OR('[1]חישובי מקורות א'!$F54="קצבה", '[1]חישובי מקורות א'!$F54="הוני", '[1]חישובי מקורות א'!$F54="קרן פנסיה",'[1]חישובי מקורות א'!$F54="קופג"), '[1]חישובי מקורות א'!A54,"")</f>
        <v/>
      </c>
      <c r="D39" s="322" t="str">
        <f>IF(OR('[1]חישובי מקורות א'!$F54="קצבה", '[1]חישובי מקורות א'!$F54="הוני", '[1]חישובי מקורות א'!$F54="קרן פנסיה",'[1]חישובי מקורות א'!$F54="קופג"), '[1]חישובי מקורות א'!D54,"")</f>
        <v/>
      </c>
      <c r="E39" s="322" t="str">
        <f>IF(OR('[1]חישובי מקורות א'!$F54="קצבה", '[1]חישובי מקורות א'!$F54="הוני", '[1]חישובי מקורות א'!$F54="קרן פנסיה",'[1]חישובי מקורות א'!$F54="קופג"), '[1]חישובי מקורות א'!E54,"")</f>
        <v/>
      </c>
      <c r="F39" s="323" t="str">
        <f>IF(OR('[1]חישובי מקורות א'!$F54="קצבה", '[1]חישובי מקורות א'!$F54="הוני", '[1]חישובי מקורות א'!$F54="קרן פנסיה",'[1]חישובי מקורות א'!$F54="קופג"), '[1]חישובי מקורות א'!H54,"")</f>
        <v/>
      </c>
      <c r="J39" s="324" t="str">
        <f>IF(OR('[1]חישובי מקורות א'!$F54="קצבה", '[1]חישובי מקורות א'!$F54="הוני", '[1]חישובי מקורות א'!$F54="קרן פנסיה",'[1]חישובי מקורות א'!$F54="קופג"), '[1]דווח ביטוחים'!O51,"")</f>
        <v/>
      </c>
    </row>
    <row r="40" spans="1:37" s="296" customFormat="1" ht="15">
      <c r="A40" s="322" t="str">
        <f>IF(OR('[1]חישובי מקורות א'!$F55="קצבה", '[1]חישובי מקורות א'!$F55="הוני", '[1]חישובי מקורות א'!$F55="קרן פנסיה",'[1]חישובי מקורות א'!$F55="קופג"), '[1]חישובי מקורות א'!A55,"")</f>
        <v/>
      </c>
      <c r="D40" s="322" t="str">
        <f>IF(OR('[1]חישובי מקורות א'!$F55="קצבה", '[1]חישובי מקורות א'!$F55="הוני", '[1]חישובי מקורות א'!$F55="קרן פנסיה",'[1]חישובי מקורות א'!$F55="קופג"), '[1]חישובי מקורות א'!D55,"")</f>
        <v/>
      </c>
      <c r="E40" s="322" t="str">
        <f>IF(OR('[1]חישובי מקורות א'!$F55="קצבה", '[1]חישובי מקורות א'!$F55="הוני", '[1]חישובי מקורות א'!$F55="קרן פנסיה",'[1]חישובי מקורות א'!$F55="קופג"), '[1]חישובי מקורות א'!E55,"")</f>
        <v/>
      </c>
      <c r="F40" s="323" t="str">
        <f>IF(OR('[1]חישובי מקורות א'!$F55="קצבה", '[1]חישובי מקורות א'!$F55="הוני", '[1]חישובי מקורות א'!$F55="קרן פנסיה",'[1]חישובי מקורות א'!$F55="קופג"), '[1]חישובי מקורות א'!H55,"")</f>
        <v/>
      </c>
      <c r="J40" s="324" t="str">
        <f>IF(OR('[1]חישובי מקורות א'!$F55="קצבה", '[1]חישובי מקורות א'!$F55="הוני", '[1]חישובי מקורות א'!$F55="קרן פנסיה",'[1]חישובי מקורות א'!$F55="קופג"), '[1]דווח ביטוחים'!O52,"")</f>
        <v/>
      </c>
    </row>
    <row r="41" spans="1:37" s="296" customFormat="1" ht="15">
      <c r="A41" s="322" t="str">
        <f>IF(OR('[1]חישובי מקורות א'!$F56="קצבה", '[1]חישובי מקורות א'!$F56="הוני", '[1]חישובי מקורות א'!$F56="קרן פנסיה",'[1]חישובי מקורות א'!$F56="קופג"), '[1]חישובי מקורות א'!A56,"")</f>
        <v/>
      </c>
      <c r="D41" s="322" t="str">
        <f>IF(OR('[1]חישובי מקורות א'!$F56="קצבה", '[1]חישובי מקורות א'!$F56="הוני", '[1]חישובי מקורות א'!$F56="קרן פנסיה",'[1]חישובי מקורות א'!$F56="קופג"), '[1]חישובי מקורות א'!D56,"")</f>
        <v/>
      </c>
      <c r="E41" s="322" t="str">
        <f>IF(OR('[1]חישובי מקורות א'!$F56="קצבה", '[1]חישובי מקורות א'!$F56="הוני", '[1]חישובי מקורות א'!$F56="קרן פנסיה",'[1]חישובי מקורות א'!$F56="קופג"), '[1]חישובי מקורות א'!E56,"")</f>
        <v/>
      </c>
      <c r="F41" s="323" t="str">
        <f>IF(OR('[1]חישובי מקורות א'!$F56="קצבה", '[1]חישובי מקורות א'!$F56="הוני", '[1]חישובי מקורות א'!$F56="קרן פנסיה",'[1]חישובי מקורות א'!$F56="קופג"), '[1]חישובי מקורות א'!H56,"")</f>
        <v/>
      </c>
      <c r="J41" s="324" t="str">
        <f>IF(OR('[1]חישובי מקורות א'!$F56="קצבה", '[1]חישובי מקורות א'!$F56="הוני", '[1]חישובי מקורות א'!$F56="קרן פנסיה",'[1]חישובי מקורות א'!$F56="קופג"), '[1]דווח ביטוחים'!O53,"")</f>
        <v/>
      </c>
    </row>
    <row r="42" spans="1:37" s="296" customFormat="1" ht="38.25">
      <c r="A42" s="322" t="str">
        <f>IF(OR('[1]חישובי מקורות א'!$F57="קצבה", '[1]חישובי מקורות א'!$F57="הוני", '[1]חישובי מקורות א'!$F57="קרן פנסיה",'[1]חישובי מקורות א'!$F57="קופג"), '[1]חישובי מקורות א'!A57,"")</f>
        <v/>
      </c>
      <c r="D42" s="322" t="str">
        <f>IF(OR('[1]חישובי מקורות א'!$F57="קצבה", '[1]חישובי מקורות א'!$F57="הוני", '[1]חישובי מקורות א'!$F57="קרן פנסיה",'[1]חישובי מקורות א'!$F57="קופג"), '[1]חישובי מקורות א'!D57,"")</f>
        <v/>
      </c>
      <c r="E42" s="322" t="str">
        <f>IF(OR('[1]חישובי מקורות א'!$F57="קצבה", '[1]חישובי מקורות א'!$F57="הוני", '[1]חישובי מקורות א'!$F57="קרן פנסיה",'[1]חישובי מקורות א'!$F57="קופג"), '[1]חישובי מקורות א'!E57,"")</f>
        <v/>
      </c>
      <c r="F42" s="323" t="str">
        <f>IF(OR('[1]חישובי מקורות א'!$F57="קצבה", '[1]חישובי מקורות א'!$F57="הוני", '[1]חישובי מקורות א'!$F57="קרן פנסיה",'[1]חישובי מקורות א'!$F57="קופג"), '[1]חישובי מקורות א'!H57,"")</f>
        <v/>
      </c>
      <c r="J42" s="324" t="str">
        <f>IF(OR('[1]חישובי מקורות א'!$F57="קצבה", '[1]חישובי מקורות א'!$F57="הוני", '[1]חישובי מקורות א'!$F57="קרן פנסיה",'[1]חישובי מקורות א'!$F57="קופג"), '[1]דווח ביטוחים'!O54,"")</f>
        <v/>
      </c>
      <c r="L42" s="186" t="s">
        <v>525</v>
      </c>
      <c r="M42" s="187" t="s">
        <v>505</v>
      </c>
    </row>
    <row r="43" spans="1:37" s="296" customFormat="1" ht="20.100000000000001" customHeight="1">
      <c r="A43" s="322" t="str">
        <f>IF(OR('[1]חישובי מקורות א'!$F58="קצבה", '[1]חישובי מקורות א'!$F58="הוני", '[1]חישובי מקורות א'!$F58="קרן פנסיה",'[1]חישובי מקורות א'!$F58="קופג"), '[1]חישובי מקורות א'!A58,"")</f>
        <v/>
      </c>
      <c r="D43" s="322" t="str">
        <f>IF(OR('[1]חישובי מקורות א'!$F58="קצבה", '[1]חישובי מקורות א'!$F58="הוני", '[1]חישובי מקורות א'!$F58="קרן פנסיה",'[1]חישובי מקורות א'!$F58="קופג"), '[1]חישובי מקורות א'!D58,"")</f>
        <v/>
      </c>
      <c r="E43" s="322" t="str">
        <f>IF(OR('[1]חישובי מקורות א'!$F58="קצבה", '[1]חישובי מקורות א'!$F58="הוני", '[1]חישובי מקורות א'!$F58="קרן פנסיה",'[1]חישובי מקורות א'!$F58="קופג"), '[1]חישובי מקורות א'!E58,"")</f>
        <v/>
      </c>
      <c r="F43" s="323"/>
      <c r="J43" s="324" t="str">
        <f>IF(OR('[1]חישובי מקורות א'!$F58="קצבה", '[1]חישובי מקורות א'!$F58="הוני", '[1]חישובי מקורות א'!$F58="קרן פנסיה",'[1]חישובי מקורות א'!$F58="קופג"), '[1]דווח ביטוחים'!O55,"")</f>
        <v/>
      </c>
      <c r="L43" s="205"/>
      <c r="M43" s="206"/>
    </row>
    <row r="44" spans="1:37" s="296" customFormat="1" ht="20.100000000000001" customHeight="1">
      <c r="A44" s="296" t="str">
        <f>IF(ISBLANK(A3),3:3=4:4,"")</f>
        <v/>
      </c>
      <c r="D44" s="322"/>
      <c r="E44" s="322"/>
      <c r="F44" s="323"/>
      <c r="J44" s="325"/>
      <c r="L44" s="205"/>
      <c r="M44" s="206"/>
    </row>
    <row r="45" spans="1:37" s="296" customFormat="1" ht="20.100000000000001" customHeight="1">
      <c r="D45" s="322"/>
      <c r="E45" s="322"/>
      <c r="F45" s="323"/>
      <c r="J45" s="325"/>
      <c r="L45" s="205"/>
      <c r="M45" s="206"/>
    </row>
    <row r="46" spans="1:37" s="296" customFormat="1" ht="20.100000000000001" customHeight="1">
      <c r="D46" s="322"/>
      <c r="E46" s="322"/>
      <c r="F46" s="323"/>
      <c r="J46" s="325"/>
      <c r="L46" s="205"/>
      <c r="M46" s="206"/>
    </row>
    <row r="47" spans="1:37" s="296" customFormat="1" ht="20.100000000000001" customHeight="1">
      <c r="D47" s="322"/>
      <c r="E47" s="322"/>
      <c r="F47" s="323"/>
      <c r="J47" s="325"/>
      <c r="L47" s="205"/>
      <c r="M47" s="206"/>
    </row>
    <row r="48" spans="1:37" s="296" customFormat="1" ht="20.100000000000001" customHeight="1">
      <c r="D48" s="322"/>
      <c r="E48" s="322"/>
      <c r="F48" s="323"/>
      <c r="J48" s="325"/>
      <c r="L48" s="205"/>
      <c r="M48" s="206"/>
    </row>
    <row r="49" spans="4:13" s="296" customFormat="1" ht="20.100000000000001" customHeight="1">
      <c r="D49" s="322"/>
      <c r="E49" s="322"/>
      <c r="F49" s="323"/>
      <c r="J49" s="325"/>
      <c r="L49" s="205"/>
      <c r="M49" s="206"/>
    </row>
    <row r="50" spans="4:13" s="296" customFormat="1" ht="20.100000000000001" customHeight="1">
      <c r="D50" s="322"/>
      <c r="E50" s="322"/>
      <c r="F50" s="323"/>
      <c r="J50" s="325"/>
      <c r="L50" s="205"/>
      <c r="M50" s="206"/>
    </row>
    <row r="51" spans="4:13" s="296" customFormat="1" ht="20.100000000000001" customHeight="1">
      <c r="D51" s="322"/>
      <c r="E51" s="322"/>
      <c r="F51" s="323"/>
      <c r="J51" s="325"/>
      <c r="L51" s="205"/>
      <c r="M51" s="206"/>
    </row>
    <row r="52" spans="4:13" s="296" customFormat="1" ht="15">
      <c r="D52" s="322"/>
      <c r="E52" s="322"/>
      <c r="F52" s="323"/>
      <c r="J52" s="325"/>
    </row>
    <row r="53" spans="4:13" s="296" customFormat="1" ht="15">
      <c r="D53" s="322"/>
      <c r="E53" s="322"/>
      <c r="F53" s="323"/>
      <c r="J53" s="325"/>
    </row>
    <row r="54" spans="4:13" s="296" customFormat="1" ht="15">
      <c r="D54" s="322"/>
      <c r="E54" s="322"/>
      <c r="F54" s="323"/>
      <c r="J54" s="325"/>
    </row>
    <row r="55" spans="4:13" s="296" customFormat="1" ht="15">
      <c r="D55" s="322"/>
      <c r="E55" s="322"/>
      <c r="F55" s="323"/>
      <c r="J55" s="325"/>
    </row>
    <row r="56" spans="4:13" s="296" customFormat="1" ht="15">
      <c r="D56" s="322"/>
      <c r="E56" s="322"/>
      <c r="F56" s="323"/>
      <c r="J56" s="325"/>
    </row>
    <row r="57" spans="4:13" s="296" customFormat="1" ht="15">
      <c r="D57" s="322"/>
      <c r="E57" s="322"/>
      <c r="F57" s="323"/>
      <c r="J57" s="325"/>
    </row>
    <row r="58" spans="4:13" s="296" customFormat="1" ht="15">
      <c r="D58" s="322"/>
      <c r="E58" s="322"/>
      <c r="F58" s="323"/>
      <c r="J58" s="325"/>
    </row>
    <row r="59" spans="4:13" s="296" customFormat="1" ht="15">
      <c r="D59" s="322"/>
      <c r="E59" s="322"/>
      <c r="F59" s="323"/>
      <c r="J59" s="325"/>
    </row>
    <row r="60" spans="4:13" s="296" customFormat="1" ht="15">
      <c r="D60" s="322"/>
      <c r="E60" s="322"/>
      <c r="F60" s="323"/>
      <c r="J60" s="325"/>
    </row>
    <row r="61" spans="4:13" s="296" customFormat="1" ht="15">
      <c r="D61" s="322"/>
      <c r="E61" s="322"/>
      <c r="F61" s="323"/>
      <c r="J61" s="325"/>
    </row>
    <row r="62" spans="4:13" s="296" customFormat="1" ht="15">
      <c r="D62" s="322"/>
      <c r="E62" s="322"/>
      <c r="F62" s="323"/>
      <c r="J62" s="325"/>
    </row>
    <row r="63" spans="4:13" s="296" customFormat="1" ht="15">
      <c r="D63" s="322"/>
      <c r="E63" s="322"/>
      <c r="F63" s="323"/>
      <c r="J63" s="325"/>
    </row>
    <row r="64" spans="4:13" s="296" customFormat="1" ht="15">
      <c r="D64" s="322"/>
      <c r="E64" s="322"/>
      <c r="F64" s="323"/>
      <c r="J64" s="325"/>
    </row>
    <row r="65" spans="4:10" s="296" customFormat="1" ht="15">
      <c r="D65" s="322"/>
      <c r="E65" s="322"/>
      <c r="F65" s="323"/>
      <c r="J65" s="325"/>
    </row>
    <row r="66" spans="4:10" s="296" customFormat="1" ht="15">
      <c r="D66" s="322"/>
      <c r="E66" s="322"/>
      <c r="F66" s="323"/>
      <c r="J66" s="325"/>
    </row>
    <row r="67" spans="4:10" s="296" customFormat="1" ht="15">
      <c r="D67" s="322"/>
      <c r="E67" s="322"/>
      <c r="F67" s="323"/>
      <c r="J67" s="325"/>
    </row>
    <row r="68" spans="4:10" s="296" customFormat="1" ht="15">
      <c r="D68" s="322"/>
      <c r="E68" s="322"/>
      <c r="F68" s="323"/>
      <c r="J68" s="325"/>
    </row>
    <row r="69" spans="4:10" s="296" customFormat="1" ht="15">
      <c r="D69" s="322"/>
      <c r="E69" s="322"/>
      <c r="F69" s="323"/>
      <c r="J69" s="325"/>
    </row>
    <row r="70" spans="4:10" s="296" customFormat="1" ht="15">
      <c r="D70" s="322"/>
      <c r="E70" s="322"/>
      <c r="F70" s="323"/>
      <c r="J70" s="325"/>
    </row>
    <row r="71" spans="4:10" s="296" customFormat="1" ht="15">
      <c r="D71" s="322"/>
      <c r="E71" s="322"/>
      <c r="F71" s="323"/>
      <c r="J71" s="325"/>
    </row>
    <row r="72" spans="4:10" s="296" customFormat="1" ht="15">
      <c r="D72" s="322"/>
      <c r="E72" s="322"/>
      <c r="F72" s="323"/>
      <c r="J72" s="325"/>
    </row>
    <row r="73" spans="4:10" s="296" customFormat="1" ht="15">
      <c r="D73" s="322"/>
      <c r="E73" s="322"/>
      <c r="F73" s="323"/>
      <c r="J73" s="325"/>
    </row>
    <row r="74" spans="4:10" s="296" customFormat="1" ht="15">
      <c r="D74" s="322"/>
      <c r="E74" s="322"/>
      <c r="F74" s="323"/>
      <c r="J74" s="325"/>
    </row>
    <row r="75" spans="4:10" s="296" customFormat="1" ht="15">
      <c r="D75" s="322"/>
      <c r="E75" s="322"/>
      <c r="F75" s="323"/>
      <c r="J75" s="325"/>
    </row>
    <row r="76" spans="4:10" s="296" customFormat="1" ht="15">
      <c r="D76" s="322"/>
      <c r="E76" s="322"/>
      <c r="F76" s="323"/>
      <c r="J76" s="325"/>
    </row>
    <row r="77" spans="4:10" s="296" customFormat="1" ht="15">
      <c r="D77" s="322"/>
      <c r="E77" s="322"/>
      <c r="F77" s="323"/>
      <c r="J77" s="325"/>
    </row>
    <row r="78" spans="4:10" s="296" customFormat="1" ht="15">
      <c r="D78" s="322"/>
      <c r="E78" s="322"/>
      <c r="F78" s="323"/>
      <c r="J78" s="325"/>
    </row>
    <row r="79" spans="4:10" s="296" customFormat="1" ht="15">
      <c r="D79" s="322"/>
      <c r="E79" s="322"/>
      <c r="F79" s="323"/>
      <c r="J79" s="325"/>
    </row>
    <row r="80" spans="4:10" s="296" customFormat="1" ht="15">
      <c r="D80" s="322"/>
      <c r="E80" s="322"/>
      <c r="F80" s="323"/>
      <c r="J80" s="325"/>
    </row>
    <row r="81" spans="6:10" s="296" customFormat="1" ht="15">
      <c r="F81" s="323"/>
      <c r="J81" s="325"/>
    </row>
    <row r="82" spans="6:10" s="296" customFormat="1" ht="15">
      <c r="F82" s="323"/>
      <c r="J82" s="325"/>
    </row>
    <row r="83" spans="6:10" s="296" customFormat="1" ht="15">
      <c r="F83" s="323"/>
      <c r="J83" s="325"/>
    </row>
    <row r="84" spans="6:10" s="296" customFormat="1" ht="15">
      <c r="F84" s="323"/>
      <c r="J84" s="325"/>
    </row>
    <row r="85" spans="6:10" s="296" customFormat="1" ht="15">
      <c r="F85" s="323"/>
      <c r="J85" s="325"/>
    </row>
    <row r="86" spans="6:10" s="296" customFormat="1" ht="15">
      <c r="F86" s="323"/>
      <c r="J86" s="325"/>
    </row>
    <row r="87" spans="6:10" s="296" customFormat="1" ht="15">
      <c r="F87" s="323"/>
      <c r="J87" s="325"/>
    </row>
    <row r="88" spans="6:10" s="296" customFormat="1" ht="15">
      <c r="F88" s="323"/>
      <c r="J88" s="325"/>
    </row>
    <row r="89" spans="6:10" s="296" customFormat="1" ht="15">
      <c r="F89" s="323"/>
      <c r="J89" s="325"/>
    </row>
    <row r="90" spans="6:10" s="296" customFormat="1">
      <c r="J90" s="325"/>
    </row>
    <row r="91" spans="6:10" s="296" customFormat="1">
      <c r="J91" s="325"/>
    </row>
    <row r="92" spans="6:10" s="296" customFormat="1">
      <c r="J92" s="325"/>
    </row>
    <row r="93" spans="6:10" s="296" customFormat="1">
      <c r="J93" s="325"/>
    </row>
    <row r="94" spans="6:10" s="296" customFormat="1">
      <c r="J94" s="325"/>
    </row>
    <row r="95" spans="6:10" s="296" customFormat="1">
      <c r="J95" s="325"/>
    </row>
    <row r="96" spans="6:10" s="296" customFormat="1">
      <c r="J96" s="325"/>
    </row>
    <row r="97" spans="10:10" s="296" customFormat="1">
      <c r="J97" s="325"/>
    </row>
    <row r="98" spans="10:10" s="296" customFormat="1">
      <c r="J98" s="325"/>
    </row>
    <row r="99" spans="10:10" s="296" customFormat="1">
      <c r="J99" s="325"/>
    </row>
    <row r="100" spans="10:10" s="296" customFormat="1">
      <c r="J100" s="325"/>
    </row>
    <row r="101" spans="10:10" s="296" customFormat="1">
      <c r="J101" s="325"/>
    </row>
    <row r="102" spans="10:10" s="296" customFormat="1">
      <c r="J102" s="325"/>
    </row>
    <row r="103" spans="10:10" s="296" customFormat="1">
      <c r="J103" s="325"/>
    </row>
    <row r="104" spans="10:10" s="296" customFormat="1">
      <c r="J104" s="325"/>
    </row>
    <row r="105" spans="10:10" s="296" customFormat="1">
      <c r="J105" s="325"/>
    </row>
    <row r="106" spans="10:10" s="296" customFormat="1">
      <c r="J106" s="325"/>
    </row>
    <row r="107" spans="10:10" s="296" customFormat="1">
      <c r="J107" s="325"/>
    </row>
    <row r="108" spans="10:10" s="296" customFormat="1">
      <c r="J108" s="325"/>
    </row>
    <row r="109" spans="10:10" s="296" customFormat="1">
      <c r="J109" s="325"/>
    </row>
    <row r="110" spans="10:10" s="296" customFormat="1">
      <c r="J110" s="325"/>
    </row>
    <row r="111" spans="10:10" s="296" customFormat="1">
      <c r="J111" s="325"/>
    </row>
    <row r="112" spans="10:10" s="296" customFormat="1">
      <c r="J112" s="325"/>
    </row>
    <row r="113" spans="10:10" s="296" customFormat="1">
      <c r="J113" s="325"/>
    </row>
    <row r="114" spans="10:10" s="296" customFormat="1">
      <c r="J114" s="325"/>
    </row>
    <row r="115" spans="10:10" s="296" customFormat="1">
      <c r="J115" s="325"/>
    </row>
    <row r="116" spans="10:10" s="296" customFormat="1">
      <c r="J116" s="325"/>
    </row>
    <row r="117" spans="10:10" s="296" customFormat="1">
      <c r="J117" s="325"/>
    </row>
    <row r="118" spans="10:10" s="296" customFormat="1">
      <c r="J118" s="325"/>
    </row>
    <row r="119" spans="10:10" s="296" customFormat="1">
      <c r="J119" s="325"/>
    </row>
    <row r="120" spans="10:10" s="296" customFormat="1">
      <c r="J120" s="325"/>
    </row>
    <row r="121" spans="10:10" s="296" customFormat="1">
      <c r="J121" s="325"/>
    </row>
    <row r="122" spans="10:10" s="296" customFormat="1">
      <c r="J122" s="325"/>
    </row>
    <row r="123" spans="10:10" s="296" customFormat="1">
      <c r="J123" s="325"/>
    </row>
    <row r="124" spans="10:10" s="296" customFormat="1">
      <c r="J124" s="325"/>
    </row>
    <row r="125" spans="10:10" s="296" customFormat="1">
      <c r="J125" s="325"/>
    </row>
    <row r="126" spans="10:10" s="296" customFormat="1">
      <c r="J126" s="325"/>
    </row>
    <row r="127" spans="10:10" s="296" customFormat="1">
      <c r="J127" s="325"/>
    </row>
    <row r="128" spans="10:10" s="296" customFormat="1">
      <c r="J128" s="325"/>
    </row>
    <row r="129" spans="10:10" s="296" customFormat="1">
      <c r="J129" s="325"/>
    </row>
    <row r="130" spans="10:10" s="296" customFormat="1">
      <c r="J130" s="325"/>
    </row>
    <row r="131" spans="10:10" s="296" customFormat="1">
      <c r="J131" s="325"/>
    </row>
    <row r="132" spans="10:10" s="296" customFormat="1">
      <c r="J132" s="325"/>
    </row>
    <row r="133" spans="10:10" s="296" customFormat="1">
      <c r="J133" s="325"/>
    </row>
    <row r="134" spans="10:10" s="296" customFormat="1">
      <c r="J134" s="325"/>
    </row>
    <row r="135" spans="10:10" s="296" customFormat="1">
      <c r="J135" s="325"/>
    </row>
    <row r="136" spans="10:10" s="296" customFormat="1">
      <c r="J136" s="325"/>
    </row>
    <row r="137" spans="10:10" s="296" customFormat="1">
      <c r="J137" s="325"/>
    </row>
    <row r="138" spans="10:10" s="296" customFormat="1">
      <c r="J138" s="325"/>
    </row>
    <row r="139" spans="10:10" s="296" customFormat="1">
      <c r="J139" s="325"/>
    </row>
    <row r="140" spans="10:10" s="296" customFormat="1">
      <c r="J140" s="325"/>
    </row>
    <row r="141" spans="10:10" s="296" customFormat="1">
      <c r="J141" s="325"/>
    </row>
    <row r="142" spans="10:10" s="296" customFormat="1">
      <c r="J142" s="325"/>
    </row>
    <row r="143" spans="10:10" s="296" customFormat="1">
      <c r="J143" s="325"/>
    </row>
    <row r="144" spans="10:10" s="296" customFormat="1">
      <c r="J144" s="325"/>
    </row>
    <row r="145" spans="10:10" s="296" customFormat="1">
      <c r="J145" s="325"/>
    </row>
    <row r="146" spans="10:10" s="296" customFormat="1">
      <c r="J146" s="325"/>
    </row>
    <row r="147" spans="10:10" s="296" customFormat="1">
      <c r="J147" s="325"/>
    </row>
    <row r="148" spans="10:10" s="296" customFormat="1">
      <c r="J148" s="325"/>
    </row>
    <row r="149" spans="10:10" s="296" customFormat="1">
      <c r="J149" s="325"/>
    </row>
    <row r="150" spans="10:10" s="296" customFormat="1">
      <c r="J150" s="325"/>
    </row>
    <row r="151" spans="10:10" s="296" customFormat="1">
      <c r="J151" s="325"/>
    </row>
    <row r="152" spans="10:10" s="296" customFormat="1">
      <c r="J152" s="325"/>
    </row>
    <row r="153" spans="10:10" s="296" customFormat="1">
      <c r="J153" s="325"/>
    </row>
    <row r="154" spans="10:10" s="296" customFormat="1">
      <c r="J154" s="325"/>
    </row>
    <row r="155" spans="10:10" s="296" customFormat="1">
      <c r="J155" s="325"/>
    </row>
    <row r="156" spans="10:10" s="296" customFormat="1">
      <c r="J156" s="325"/>
    </row>
    <row r="157" spans="10:10" s="296" customFormat="1">
      <c r="J157" s="325"/>
    </row>
    <row r="158" spans="10:10" s="296" customFormat="1">
      <c r="J158" s="325"/>
    </row>
    <row r="159" spans="10:10" s="296" customFormat="1">
      <c r="J159" s="325"/>
    </row>
    <row r="160" spans="10:10" s="296" customFormat="1">
      <c r="J160" s="325"/>
    </row>
    <row r="161" spans="10:10" s="296" customFormat="1">
      <c r="J161" s="325"/>
    </row>
    <row r="162" spans="10:10" s="296" customFormat="1">
      <c r="J162" s="325"/>
    </row>
    <row r="163" spans="10:10" s="296" customFormat="1">
      <c r="J163" s="325"/>
    </row>
    <row r="164" spans="10:10" s="296" customFormat="1">
      <c r="J164" s="325"/>
    </row>
    <row r="165" spans="10:10" s="296" customFormat="1">
      <c r="J165" s="325"/>
    </row>
    <row r="166" spans="10:10" s="296" customFormat="1">
      <c r="J166" s="325"/>
    </row>
    <row r="167" spans="10:10" s="296" customFormat="1">
      <c r="J167" s="325"/>
    </row>
    <row r="168" spans="10:10" s="296" customFormat="1">
      <c r="J168" s="325"/>
    </row>
    <row r="169" spans="10:10" s="296" customFormat="1">
      <c r="J169" s="325"/>
    </row>
    <row r="170" spans="10:10" s="296" customFormat="1">
      <c r="J170" s="325"/>
    </row>
    <row r="171" spans="10:10" s="296" customFormat="1">
      <c r="J171" s="325"/>
    </row>
    <row r="172" spans="10:10" s="296" customFormat="1">
      <c r="J172" s="325"/>
    </row>
    <row r="173" spans="10:10" s="296" customFormat="1">
      <c r="J173" s="325"/>
    </row>
    <row r="174" spans="10:10" s="296" customFormat="1">
      <c r="J174" s="325"/>
    </row>
    <row r="175" spans="10:10" s="296" customFormat="1">
      <c r="J175" s="325"/>
    </row>
    <row r="176" spans="10:10" s="296" customFormat="1">
      <c r="J176" s="325"/>
    </row>
    <row r="177" spans="10:10" s="296" customFormat="1">
      <c r="J177" s="325"/>
    </row>
    <row r="178" spans="10:10" s="296" customFormat="1">
      <c r="J178" s="325"/>
    </row>
    <row r="179" spans="10:10" s="296" customFormat="1">
      <c r="J179" s="325"/>
    </row>
    <row r="180" spans="10:10" s="296" customFormat="1">
      <c r="J180" s="325"/>
    </row>
    <row r="181" spans="10:10" s="296" customFormat="1">
      <c r="J181" s="325"/>
    </row>
    <row r="182" spans="10:10" s="296" customFormat="1">
      <c r="J182" s="325"/>
    </row>
    <row r="183" spans="10:10" s="296" customFormat="1">
      <c r="J183" s="325"/>
    </row>
    <row r="184" spans="10:10" s="296" customFormat="1">
      <c r="J184" s="325"/>
    </row>
    <row r="185" spans="10:10" s="296" customFormat="1">
      <c r="J185" s="325"/>
    </row>
    <row r="186" spans="10:10" s="296" customFormat="1">
      <c r="J186" s="325"/>
    </row>
    <row r="187" spans="10:10" s="296" customFormat="1">
      <c r="J187" s="325"/>
    </row>
    <row r="188" spans="10:10" s="296" customFormat="1">
      <c r="J188" s="325"/>
    </row>
    <row r="189" spans="10:10" s="296" customFormat="1">
      <c r="J189" s="325"/>
    </row>
    <row r="190" spans="10:10" s="296" customFormat="1">
      <c r="J190" s="325"/>
    </row>
    <row r="191" spans="10:10" s="296" customFormat="1">
      <c r="J191" s="325"/>
    </row>
    <row r="192" spans="10:10" s="296" customFormat="1">
      <c r="J192" s="325"/>
    </row>
    <row r="193" spans="10:10" s="296" customFormat="1">
      <c r="J193" s="325"/>
    </row>
    <row r="194" spans="10:10" s="296" customFormat="1">
      <c r="J194" s="325"/>
    </row>
    <row r="195" spans="10:10" s="296" customFormat="1">
      <c r="J195" s="325"/>
    </row>
    <row r="196" spans="10:10" s="296" customFormat="1">
      <c r="J196" s="325"/>
    </row>
    <row r="197" spans="10:10" s="296" customFormat="1">
      <c r="J197" s="325"/>
    </row>
    <row r="198" spans="10:10" s="296" customFormat="1">
      <c r="J198" s="325"/>
    </row>
    <row r="199" spans="10:10" s="296" customFormat="1">
      <c r="J199" s="325"/>
    </row>
    <row r="200" spans="10:10" s="296" customFormat="1">
      <c r="J200" s="325"/>
    </row>
    <row r="201" spans="10:10" s="296" customFormat="1">
      <c r="J201" s="325"/>
    </row>
    <row r="202" spans="10:10" s="296" customFormat="1">
      <c r="J202" s="325"/>
    </row>
    <row r="203" spans="10:10" s="296" customFormat="1">
      <c r="J203" s="325"/>
    </row>
    <row r="204" spans="10:10" s="296" customFormat="1">
      <c r="J204" s="325"/>
    </row>
    <row r="205" spans="10:10" s="296" customFormat="1">
      <c r="J205" s="325"/>
    </row>
    <row r="206" spans="10:10" s="296" customFormat="1">
      <c r="J206" s="325"/>
    </row>
    <row r="207" spans="10:10" s="296" customFormat="1">
      <c r="J207" s="325"/>
    </row>
    <row r="208" spans="10:10" s="296" customFormat="1">
      <c r="J208" s="325"/>
    </row>
    <row r="209" spans="10:10" s="296" customFormat="1">
      <c r="J209" s="325"/>
    </row>
    <row r="210" spans="10:10" s="296" customFormat="1">
      <c r="J210" s="325"/>
    </row>
    <row r="211" spans="10:10" s="296" customFormat="1">
      <c r="J211" s="325"/>
    </row>
    <row r="212" spans="10:10" s="296" customFormat="1">
      <c r="J212" s="325"/>
    </row>
    <row r="213" spans="10:10" s="296" customFormat="1">
      <c r="J213" s="325"/>
    </row>
    <row r="214" spans="10:10" s="296" customFormat="1">
      <c r="J214" s="325"/>
    </row>
    <row r="215" spans="10:10" s="296" customFormat="1">
      <c r="J215" s="325"/>
    </row>
    <row r="216" spans="10:10" s="296" customFormat="1">
      <c r="J216" s="325"/>
    </row>
    <row r="217" spans="10:10" s="296" customFormat="1">
      <c r="J217" s="325"/>
    </row>
    <row r="218" spans="10:10" s="296" customFormat="1">
      <c r="J218" s="325"/>
    </row>
    <row r="219" spans="10:10" s="296" customFormat="1">
      <c r="J219" s="325"/>
    </row>
    <row r="220" spans="10:10" s="296" customFormat="1">
      <c r="J220" s="325"/>
    </row>
    <row r="221" spans="10:10" s="296" customFormat="1">
      <c r="J221" s="325"/>
    </row>
    <row r="222" spans="10:10" s="296" customFormat="1">
      <c r="J222" s="325"/>
    </row>
    <row r="223" spans="10:10" s="296" customFormat="1">
      <c r="J223" s="325"/>
    </row>
    <row r="224" spans="10:10" s="296" customFormat="1">
      <c r="J224" s="325"/>
    </row>
    <row r="225" spans="10:10" s="296" customFormat="1">
      <c r="J225" s="325"/>
    </row>
    <row r="226" spans="10:10" s="296" customFormat="1">
      <c r="J226" s="325"/>
    </row>
    <row r="227" spans="10:10" s="296" customFormat="1">
      <c r="J227" s="325"/>
    </row>
    <row r="228" spans="10:10" s="296" customFormat="1">
      <c r="J228" s="325"/>
    </row>
    <row r="229" spans="10:10" s="296" customFormat="1">
      <c r="J229" s="325"/>
    </row>
    <row r="230" spans="10:10" s="296" customFormat="1">
      <c r="J230" s="325"/>
    </row>
    <row r="231" spans="10:10" s="296" customFormat="1">
      <c r="J231" s="325"/>
    </row>
    <row r="232" spans="10:10" s="296" customFormat="1">
      <c r="J232" s="325"/>
    </row>
    <row r="233" spans="10:10" s="296" customFormat="1">
      <c r="J233" s="325"/>
    </row>
    <row r="234" spans="10:10" s="296" customFormat="1">
      <c r="J234" s="325"/>
    </row>
    <row r="235" spans="10:10" s="296" customFormat="1">
      <c r="J235" s="325"/>
    </row>
    <row r="236" spans="10:10" s="296" customFormat="1">
      <c r="J236" s="325"/>
    </row>
    <row r="237" spans="10:10" s="296" customFormat="1">
      <c r="J237" s="325"/>
    </row>
    <row r="238" spans="10:10" s="296" customFormat="1">
      <c r="J238" s="325"/>
    </row>
    <row r="239" spans="10:10" s="296" customFormat="1">
      <c r="J239" s="325"/>
    </row>
    <row r="240" spans="10:10" s="296" customFormat="1">
      <c r="J240" s="325"/>
    </row>
    <row r="241" spans="10:10" s="296" customFormat="1">
      <c r="J241" s="325"/>
    </row>
    <row r="242" spans="10:10" s="296" customFormat="1">
      <c r="J242" s="325"/>
    </row>
    <row r="243" spans="10:10" s="296" customFormat="1">
      <c r="J243" s="325"/>
    </row>
    <row r="244" spans="10:10" s="296" customFormat="1">
      <c r="J244" s="325"/>
    </row>
    <row r="245" spans="10:10" s="296" customFormat="1">
      <c r="J245" s="325"/>
    </row>
    <row r="246" spans="10:10" s="296" customFormat="1">
      <c r="J246" s="325"/>
    </row>
    <row r="247" spans="10:10" s="296" customFormat="1">
      <c r="J247" s="325"/>
    </row>
    <row r="248" spans="10:10" s="296" customFormat="1">
      <c r="J248" s="325"/>
    </row>
    <row r="249" spans="10:10" s="296" customFormat="1">
      <c r="J249" s="325"/>
    </row>
    <row r="250" spans="10:10" s="296" customFormat="1">
      <c r="J250" s="325"/>
    </row>
    <row r="251" spans="10:10" s="296" customFormat="1">
      <c r="J251" s="325"/>
    </row>
    <row r="252" spans="10:10" s="296" customFormat="1">
      <c r="J252" s="325"/>
    </row>
    <row r="253" spans="10:10" s="296" customFormat="1">
      <c r="J253" s="325"/>
    </row>
    <row r="254" spans="10:10" s="296" customFormat="1">
      <c r="J254" s="325"/>
    </row>
    <row r="255" spans="10:10" s="296" customFormat="1">
      <c r="J255" s="325"/>
    </row>
    <row r="256" spans="10:10" s="296" customFormat="1">
      <c r="J256" s="325"/>
    </row>
    <row r="257" spans="10:10" s="296" customFormat="1">
      <c r="J257" s="325"/>
    </row>
    <row r="258" spans="10:10" s="296" customFormat="1">
      <c r="J258" s="325"/>
    </row>
    <row r="259" spans="10:10" s="296" customFormat="1">
      <c r="J259" s="325"/>
    </row>
    <row r="260" spans="10:10" s="296" customFormat="1">
      <c r="J260" s="325"/>
    </row>
    <row r="261" spans="10:10" s="296" customFormat="1">
      <c r="J261" s="325"/>
    </row>
    <row r="262" spans="10:10" s="296" customFormat="1">
      <c r="J262" s="325"/>
    </row>
    <row r="263" spans="10:10" s="296" customFormat="1">
      <c r="J263" s="325"/>
    </row>
    <row r="264" spans="10:10" s="296" customFormat="1">
      <c r="J264" s="325"/>
    </row>
    <row r="265" spans="10:10" s="296" customFormat="1">
      <c r="J265" s="325"/>
    </row>
    <row r="266" spans="10:10" s="296" customFormat="1">
      <c r="J266" s="325"/>
    </row>
    <row r="267" spans="10:10" s="296" customFormat="1">
      <c r="J267" s="325"/>
    </row>
    <row r="268" spans="10:10" s="296" customFormat="1">
      <c r="J268" s="325"/>
    </row>
    <row r="269" spans="10:10" s="296" customFormat="1">
      <c r="J269" s="325"/>
    </row>
    <row r="270" spans="10:10" s="296" customFormat="1">
      <c r="J270" s="325"/>
    </row>
    <row r="271" spans="10:10" s="296" customFormat="1">
      <c r="J271" s="325"/>
    </row>
    <row r="272" spans="10:10" s="296" customFormat="1">
      <c r="J272" s="325"/>
    </row>
    <row r="273" spans="10:10" s="296" customFormat="1">
      <c r="J273" s="325"/>
    </row>
    <row r="274" spans="10:10" s="296" customFormat="1">
      <c r="J274" s="325"/>
    </row>
    <row r="275" spans="10:10" s="296" customFormat="1">
      <c r="J275" s="325"/>
    </row>
    <row r="276" spans="10:10" s="296" customFormat="1">
      <c r="J276" s="325"/>
    </row>
    <row r="277" spans="10:10" s="296" customFormat="1">
      <c r="J277" s="325"/>
    </row>
    <row r="278" spans="10:10" s="296" customFormat="1">
      <c r="J278" s="325"/>
    </row>
    <row r="279" spans="10:10" s="296" customFormat="1">
      <c r="J279" s="325"/>
    </row>
    <row r="280" spans="10:10" s="296" customFormat="1">
      <c r="J280" s="325"/>
    </row>
    <row r="281" spans="10:10" s="296" customFormat="1">
      <c r="J281" s="325"/>
    </row>
    <row r="282" spans="10:10" s="296" customFormat="1">
      <c r="J282" s="325"/>
    </row>
    <row r="283" spans="10:10" s="296" customFormat="1">
      <c r="J283" s="325"/>
    </row>
    <row r="284" spans="10:10" s="296" customFormat="1">
      <c r="J284" s="325"/>
    </row>
    <row r="285" spans="10:10" s="296" customFormat="1">
      <c r="J285" s="325"/>
    </row>
    <row r="286" spans="10:10" s="296" customFormat="1">
      <c r="J286" s="325"/>
    </row>
    <row r="287" spans="10:10" s="296" customFormat="1">
      <c r="J287" s="325"/>
    </row>
    <row r="288" spans="10:10" s="296" customFormat="1">
      <c r="J288" s="325"/>
    </row>
    <row r="289" spans="10:10" s="296" customFormat="1">
      <c r="J289" s="325"/>
    </row>
    <row r="290" spans="10:10" s="296" customFormat="1">
      <c r="J290" s="325"/>
    </row>
    <row r="291" spans="10:10" s="296" customFormat="1">
      <c r="J291" s="325"/>
    </row>
    <row r="292" spans="10:10" s="296" customFormat="1">
      <c r="J292" s="325"/>
    </row>
    <row r="293" spans="10:10" s="296" customFormat="1">
      <c r="J293" s="325"/>
    </row>
    <row r="294" spans="10:10" s="296" customFormat="1">
      <c r="J294" s="325"/>
    </row>
    <row r="295" spans="10:10" s="296" customFormat="1">
      <c r="J295" s="325"/>
    </row>
    <row r="296" spans="10:10" s="296" customFormat="1">
      <c r="J296" s="325"/>
    </row>
    <row r="297" spans="10:10" s="296" customFormat="1">
      <c r="J297" s="325"/>
    </row>
    <row r="298" spans="10:10" s="296" customFormat="1">
      <c r="J298" s="325"/>
    </row>
    <row r="299" spans="10:10" s="296" customFormat="1">
      <c r="J299" s="325"/>
    </row>
    <row r="300" spans="10:10" s="296" customFormat="1">
      <c r="J300" s="325"/>
    </row>
    <row r="301" spans="10:10" s="296" customFormat="1">
      <c r="J301" s="325"/>
    </row>
    <row r="302" spans="10:10" s="296" customFormat="1">
      <c r="J302" s="325"/>
    </row>
    <row r="303" spans="10:10" s="296" customFormat="1">
      <c r="J303" s="325"/>
    </row>
    <row r="304" spans="10:10" s="296" customFormat="1">
      <c r="J304" s="325"/>
    </row>
    <row r="305" spans="10:10" s="296" customFormat="1">
      <c r="J305" s="325"/>
    </row>
    <row r="306" spans="10:10" s="296" customFormat="1">
      <c r="J306" s="325"/>
    </row>
    <row r="307" spans="10:10" s="296" customFormat="1">
      <c r="J307" s="325"/>
    </row>
    <row r="308" spans="10:10" s="296" customFormat="1">
      <c r="J308" s="325"/>
    </row>
    <row r="309" spans="10:10" s="296" customFormat="1">
      <c r="J309" s="325"/>
    </row>
    <row r="310" spans="10:10" s="296" customFormat="1">
      <c r="J310" s="325"/>
    </row>
    <row r="311" spans="10:10" s="296" customFormat="1">
      <c r="J311" s="325"/>
    </row>
    <row r="312" spans="10:10" s="296" customFormat="1">
      <c r="J312" s="325"/>
    </row>
    <row r="313" spans="10:10" s="296" customFormat="1">
      <c r="J313" s="325"/>
    </row>
    <row r="314" spans="10:10" s="296" customFormat="1">
      <c r="J314" s="325"/>
    </row>
    <row r="315" spans="10:10" s="296" customFormat="1">
      <c r="J315" s="325"/>
    </row>
    <row r="316" spans="10:10" s="296" customFormat="1">
      <c r="J316" s="325"/>
    </row>
    <row r="317" spans="10:10" s="296" customFormat="1">
      <c r="J317" s="325"/>
    </row>
    <row r="318" spans="10:10" s="296" customFormat="1">
      <c r="J318" s="325"/>
    </row>
    <row r="319" spans="10:10" s="296" customFormat="1">
      <c r="J319" s="325"/>
    </row>
    <row r="320" spans="10:10" s="296" customFormat="1">
      <c r="J320" s="325"/>
    </row>
    <row r="321" spans="10:10" s="296" customFormat="1">
      <c r="J321" s="325"/>
    </row>
    <row r="322" spans="10:10" s="296" customFormat="1">
      <c r="J322" s="325"/>
    </row>
    <row r="323" spans="10:10" s="296" customFormat="1">
      <c r="J323" s="325"/>
    </row>
    <row r="324" spans="10:10" s="296" customFormat="1">
      <c r="J324" s="325"/>
    </row>
    <row r="325" spans="10:10" s="296" customFormat="1">
      <c r="J325" s="325"/>
    </row>
    <row r="326" spans="10:10" s="296" customFormat="1">
      <c r="J326" s="325"/>
    </row>
    <row r="327" spans="10:10" s="296" customFormat="1">
      <c r="J327" s="325"/>
    </row>
    <row r="328" spans="10:10" s="296" customFormat="1">
      <c r="J328" s="325"/>
    </row>
    <row r="329" spans="10:10" s="296" customFormat="1">
      <c r="J329" s="325"/>
    </row>
    <row r="330" spans="10:10" s="296" customFormat="1">
      <c r="J330" s="325"/>
    </row>
    <row r="331" spans="10:10" s="296" customFormat="1">
      <c r="J331" s="325"/>
    </row>
    <row r="332" spans="10:10" s="296" customFormat="1">
      <c r="J332" s="325"/>
    </row>
    <row r="333" spans="10:10" s="296" customFormat="1">
      <c r="J333" s="325"/>
    </row>
    <row r="334" spans="10:10" s="296" customFormat="1">
      <c r="J334" s="325"/>
    </row>
    <row r="335" spans="10:10" s="296" customFormat="1">
      <c r="J335" s="325"/>
    </row>
    <row r="336" spans="10:10" s="296" customFormat="1">
      <c r="J336" s="325"/>
    </row>
    <row r="337" spans="10:10" s="296" customFormat="1">
      <c r="J337" s="325"/>
    </row>
    <row r="338" spans="10:10" s="296" customFormat="1">
      <c r="J338" s="325"/>
    </row>
    <row r="339" spans="10:10" s="296" customFormat="1">
      <c r="J339" s="325"/>
    </row>
    <row r="340" spans="10:10" s="296" customFormat="1">
      <c r="J340" s="325"/>
    </row>
    <row r="341" spans="10:10" s="296" customFormat="1">
      <c r="J341" s="325"/>
    </row>
    <row r="342" spans="10:10" s="296" customFormat="1">
      <c r="J342" s="325"/>
    </row>
    <row r="343" spans="10:10" s="296" customFormat="1">
      <c r="J343" s="325"/>
    </row>
    <row r="344" spans="10:10" s="296" customFormat="1">
      <c r="J344" s="325"/>
    </row>
    <row r="345" spans="10:10" s="296" customFormat="1">
      <c r="J345" s="325"/>
    </row>
    <row r="346" spans="10:10" s="296" customFormat="1">
      <c r="J346" s="325"/>
    </row>
    <row r="347" spans="10:10" s="296" customFormat="1">
      <c r="J347" s="325"/>
    </row>
    <row r="348" spans="10:10" s="296" customFormat="1">
      <c r="J348" s="325"/>
    </row>
    <row r="349" spans="10:10" s="296" customFormat="1">
      <c r="J349" s="325"/>
    </row>
    <row r="350" spans="10:10" s="296" customFormat="1">
      <c r="J350" s="325"/>
    </row>
    <row r="351" spans="10:10" s="296" customFormat="1">
      <c r="J351" s="325"/>
    </row>
    <row r="352" spans="10:10" s="296" customFormat="1">
      <c r="J352" s="325"/>
    </row>
    <row r="353" spans="10:10" s="296" customFormat="1">
      <c r="J353" s="325"/>
    </row>
    <row r="354" spans="10:10" s="296" customFormat="1">
      <c r="J354" s="325"/>
    </row>
    <row r="355" spans="10:10" s="296" customFormat="1">
      <c r="J355" s="325"/>
    </row>
    <row r="356" spans="10:10" s="296" customFormat="1">
      <c r="J356" s="325"/>
    </row>
    <row r="357" spans="10:10" s="296" customFormat="1">
      <c r="J357" s="325"/>
    </row>
    <row r="358" spans="10:10" s="296" customFormat="1">
      <c r="J358" s="325"/>
    </row>
    <row r="359" spans="10:10" s="296" customFormat="1">
      <c r="J359" s="325"/>
    </row>
    <row r="360" spans="10:10" s="296" customFormat="1">
      <c r="J360" s="325"/>
    </row>
    <row r="361" spans="10:10" s="296" customFormat="1">
      <c r="J361" s="325"/>
    </row>
    <row r="362" spans="10:10" s="296" customFormat="1">
      <c r="J362" s="325"/>
    </row>
    <row r="363" spans="10:10" s="296" customFormat="1">
      <c r="J363" s="325"/>
    </row>
    <row r="364" spans="10:10" s="296" customFormat="1">
      <c r="J364" s="325"/>
    </row>
    <row r="365" spans="10:10" s="296" customFormat="1">
      <c r="J365" s="325"/>
    </row>
    <row r="366" spans="10:10" s="296" customFormat="1">
      <c r="J366" s="325"/>
    </row>
    <row r="367" spans="10:10" s="296" customFormat="1">
      <c r="J367" s="325"/>
    </row>
    <row r="368" spans="10:10" s="296" customFormat="1">
      <c r="J368" s="325"/>
    </row>
    <row r="369" spans="10:10" s="296" customFormat="1">
      <c r="J369" s="325"/>
    </row>
    <row r="370" spans="10:10" s="296" customFormat="1">
      <c r="J370" s="325"/>
    </row>
    <row r="371" spans="10:10" s="296" customFormat="1">
      <c r="J371" s="325"/>
    </row>
    <row r="372" spans="10:10" s="296" customFormat="1">
      <c r="J372" s="325"/>
    </row>
    <row r="373" spans="10:10" s="296" customFormat="1">
      <c r="J373" s="325"/>
    </row>
    <row r="374" spans="10:10" s="296" customFormat="1">
      <c r="J374" s="325"/>
    </row>
    <row r="375" spans="10:10" s="296" customFormat="1">
      <c r="J375" s="325"/>
    </row>
    <row r="376" spans="10:10" s="296" customFormat="1">
      <c r="J376" s="325"/>
    </row>
    <row r="377" spans="10:10" s="296" customFormat="1">
      <c r="J377" s="325"/>
    </row>
    <row r="378" spans="10:10" s="296" customFormat="1">
      <c r="J378" s="325"/>
    </row>
    <row r="379" spans="10:10" s="296" customFormat="1">
      <c r="J379" s="325"/>
    </row>
    <row r="380" spans="10:10" s="296" customFormat="1">
      <c r="J380" s="325"/>
    </row>
    <row r="381" spans="10:10" s="296" customFormat="1">
      <c r="J381" s="325"/>
    </row>
    <row r="382" spans="10:10" s="296" customFormat="1">
      <c r="J382" s="325"/>
    </row>
    <row r="383" spans="10:10" s="296" customFormat="1">
      <c r="J383" s="325"/>
    </row>
    <row r="384" spans="10:10" s="296" customFormat="1">
      <c r="J384" s="325"/>
    </row>
    <row r="385" spans="10:10" s="296" customFormat="1">
      <c r="J385" s="325"/>
    </row>
    <row r="386" spans="10:10" s="296" customFormat="1">
      <c r="J386" s="325"/>
    </row>
    <row r="387" spans="10:10" s="296" customFormat="1">
      <c r="J387" s="325"/>
    </row>
    <row r="388" spans="10:10" s="296" customFormat="1">
      <c r="J388" s="325"/>
    </row>
    <row r="389" spans="10:10" s="296" customFormat="1">
      <c r="J389" s="325"/>
    </row>
    <row r="390" spans="10:10" s="296" customFormat="1">
      <c r="J390" s="325"/>
    </row>
    <row r="391" spans="10:10" s="296" customFormat="1">
      <c r="J391" s="325"/>
    </row>
    <row r="392" spans="10:10" s="296" customFormat="1">
      <c r="J392" s="325"/>
    </row>
    <row r="393" spans="10:10" s="296" customFormat="1">
      <c r="J393" s="325"/>
    </row>
    <row r="394" spans="10:10" s="296" customFormat="1">
      <c r="J394" s="325"/>
    </row>
    <row r="395" spans="10:10" s="296" customFormat="1">
      <c r="J395" s="325"/>
    </row>
    <row r="396" spans="10:10" s="296" customFormat="1">
      <c r="J396" s="325"/>
    </row>
    <row r="397" spans="10:10" s="296" customFormat="1">
      <c r="J397" s="325"/>
    </row>
    <row r="398" spans="10:10" s="296" customFormat="1">
      <c r="J398" s="325"/>
    </row>
    <row r="399" spans="10:10" s="296" customFormat="1">
      <c r="J399" s="325"/>
    </row>
    <row r="400" spans="10:10" s="296" customFormat="1">
      <c r="J400" s="325"/>
    </row>
    <row r="401" spans="10:10" s="296" customFormat="1">
      <c r="J401" s="325"/>
    </row>
    <row r="402" spans="10:10" s="296" customFormat="1">
      <c r="J402" s="325"/>
    </row>
    <row r="403" spans="10:10" s="296" customFormat="1">
      <c r="J403" s="325"/>
    </row>
    <row r="404" spans="10:10" s="296" customFormat="1">
      <c r="J404" s="325"/>
    </row>
    <row r="405" spans="10:10" s="296" customFormat="1">
      <c r="J405" s="325"/>
    </row>
    <row r="406" spans="10:10" s="296" customFormat="1">
      <c r="J406" s="325"/>
    </row>
    <row r="407" spans="10:10" s="296" customFormat="1">
      <c r="J407" s="325"/>
    </row>
    <row r="408" spans="10:10" s="296" customFormat="1">
      <c r="J408" s="325"/>
    </row>
    <row r="409" spans="10:10" s="296" customFormat="1">
      <c r="J409" s="325"/>
    </row>
    <row r="410" spans="10:10" s="296" customFormat="1">
      <c r="J410" s="325"/>
    </row>
    <row r="411" spans="10:10" s="296" customFormat="1">
      <c r="J411" s="325"/>
    </row>
    <row r="412" spans="10:10" s="296" customFormat="1">
      <c r="J412" s="325"/>
    </row>
    <row r="413" spans="10:10" s="296" customFormat="1">
      <c r="J413" s="325"/>
    </row>
    <row r="414" spans="10:10" s="296" customFormat="1">
      <c r="J414" s="325"/>
    </row>
    <row r="415" spans="10:10" s="296" customFormat="1">
      <c r="J415" s="325"/>
    </row>
    <row r="416" spans="10:10" s="296" customFormat="1">
      <c r="J416" s="325"/>
    </row>
    <row r="417" spans="10:37" s="296" customFormat="1">
      <c r="J417" s="325"/>
    </row>
    <row r="418" spans="10:37" s="296" customFormat="1">
      <c r="J418" s="325"/>
    </row>
    <row r="419" spans="10:37" s="296" customFormat="1">
      <c r="J419" s="325"/>
    </row>
    <row r="420" spans="10:37" s="296" customFormat="1">
      <c r="J420" s="325"/>
    </row>
    <row r="421" spans="10:37" s="296" customFormat="1">
      <c r="J421" s="325"/>
    </row>
    <row r="422" spans="10:37" s="296" customFormat="1">
      <c r="J422" s="325"/>
    </row>
    <row r="423" spans="10:37" s="326" customFormat="1">
      <c r="K423" s="296"/>
      <c r="L423" s="296"/>
      <c r="M423" s="296"/>
      <c r="N423" s="296"/>
      <c r="O423" s="296"/>
      <c r="P423" s="296"/>
      <c r="Q423" s="296"/>
      <c r="R423" s="296"/>
      <c r="S423" s="296"/>
      <c r="T423" s="296"/>
      <c r="U423" s="296"/>
      <c r="V423" s="296"/>
      <c r="W423" s="296"/>
      <c r="X423" s="296"/>
      <c r="Y423" s="296"/>
      <c r="Z423" s="296"/>
      <c r="AA423" s="296"/>
      <c r="AB423" s="296"/>
      <c r="AC423" s="296"/>
      <c r="AD423" s="296"/>
      <c r="AE423" s="296"/>
      <c r="AF423" s="296"/>
      <c r="AG423" s="296"/>
      <c r="AH423" s="296"/>
      <c r="AI423" s="296"/>
      <c r="AJ423" s="296"/>
      <c r="AK423" s="296"/>
    </row>
    <row r="424" spans="10:37">
      <c r="K424" s="296"/>
      <c r="L424" s="296"/>
      <c r="M424" s="296"/>
      <c r="N424" s="296"/>
      <c r="O424" s="296"/>
      <c r="P424" s="296"/>
      <c r="Q424" s="296"/>
      <c r="R424" s="296"/>
      <c r="S424" s="296"/>
      <c r="T424" s="296"/>
      <c r="U424" s="296"/>
      <c r="V424" s="296"/>
      <c r="W424" s="296"/>
      <c r="X424" s="296"/>
      <c r="Y424" s="296"/>
      <c r="Z424" s="296"/>
      <c r="AA424" s="296"/>
      <c r="AB424" s="296"/>
      <c r="AC424" s="296"/>
      <c r="AD424" s="296"/>
      <c r="AE424" s="296"/>
      <c r="AF424" s="296"/>
      <c r="AG424" s="296"/>
      <c r="AH424" s="296"/>
      <c r="AI424" s="296"/>
      <c r="AJ424" s="296"/>
      <c r="AK424" s="296"/>
    </row>
    <row r="425" spans="10:37">
      <c r="K425" s="296"/>
      <c r="L425" s="296"/>
      <c r="M425" s="296"/>
      <c r="N425" s="296"/>
      <c r="O425" s="296"/>
      <c r="P425" s="296"/>
      <c r="Q425" s="296"/>
      <c r="R425" s="296"/>
      <c r="S425" s="296"/>
      <c r="T425" s="296"/>
      <c r="U425" s="296"/>
      <c r="V425" s="296"/>
      <c r="W425" s="296"/>
      <c r="X425" s="296"/>
      <c r="Y425" s="296"/>
      <c r="Z425" s="296"/>
      <c r="AA425" s="296"/>
      <c r="AB425" s="296"/>
      <c r="AC425" s="296"/>
      <c r="AD425" s="296"/>
      <c r="AE425" s="296"/>
      <c r="AF425" s="296"/>
      <c r="AG425" s="296"/>
      <c r="AH425" s="296"/>
      <c r="AI425" s="296"/>
      <c r="AJ425" s="296"/>
      <c r="AK425" s="296"/>
    </row>
    <row r="426" spans="10:37">
      <c r="K426" s="296"/>
      <c r="L426" s="296"/>
      <c r="M426" s="296"/>
      <c r="N426" s="296"/>
      <c r="O426" s="296"/>
      <c r="P426" s="296"/>
      <c r="Q426" s="296"/>
      <c r="R426" s="296"/>
      <c r="S426" s="296"/>
      <c r="T426" s="296"/>
      <c r="U426" s="296"/>
      <c r="V426" s="296"/>
      <c r="W426" s="296"/>
      <c r="X426" s="296"/>
      <c r="Y426" s="296"/>
      <c r="Z426" s="296"/>
      <c r="AA426" s="296"/>
      <c r="AB426" s="296"/>
      <c r="AC426" s="296"/>
      <c r="AD426" s="296"/>
      <c r="AE426" s="296"/>
      <c r="AF426" s="296"/>
      <c r="AG426" s="296"/>
      <c r="AH426" s="296"/>
      <c r="AI426" s="296"/>
      <c r="AJ426" s="296"/>
      <c r="AK426" s="296"/>
    </row>
    <row r="427" spans="10:37">
      <c r="K427" s="296"/>
      <c r="L427" s="296"/>
      <c r="M427" s="296"/>
      <c r="N427" s="296"/>
      <c r="O427" s="296"/>
      <c r="P427" s="296"/>
      <c r="Q427" s="296"/>
      <c r="R427" s="296"/>
      <c r="S427" s="296"/>
      <c r="T427" s="296"/>
      <c r="U427" s="296"/>
      <c r="V427" s="296"/>
      <c r="W427" s="296"/>
      <c r="X427" s="296"/>
      <c r="Y427" s="296"/>
      <c r="Z427" s="296"/>
      <c r="AA427" s="296"/>
      <c r="AB427" s="296"/>
      <c r="AC427" s="296"/>
      <c r="AD427" s="296"/>
      <c r="AE427" s="296"/>
      <c r="AF427" s="296"/>
      <c r="AG427" s="296"/>
      <c r="AH427" s="296"/>
      <c r="AI427" s="296"/>
      <c r="AJ427" s="296"/>
      <c r="AK427" s="296"/>
    </row>
    <row r="428" spans="10:37">
      <c r="K428" s="296"/>
      <c r="L428" s="296"/>
      <c r="M428" s="296"/>
      <c r="N428" s="296"/>
      <c r="O428" s="296"/>
      <c r="P428" s="296"/>
      <c r="Q428" s="296"/>
      <c r="R428" s="296"/>
      <c r="S428" s="296"/>
      <c r="T428" s="296"/>
      <c r="U428" s="296"/>
      <c r="V428" s="296"/>
      <c r="W428" s="296"/>
      <c r="X428" s="296"/>
      <c r="Y428" s="296"/>
      <c r="Z428" s="296"/>
      <c r="AA428" s="296"/>
      <c r="AB428" s="296"/>
      <c r="AC428" s="296"/>
      <c r="AD428" s="296"/>
      <c r="AE428" s="296"/>
      <c r="AF428" s="296"/>
      <c r="AG428" s="296"/>
      <c r="AH428" s="296"/>
      <c r="AI428" s="296"/>
      <c r="AJ428" s="296"/>
      <c r="AK428" s="296"/>
    </row>
    <row r="429" spans="10:37">
      <c r="K429" s="296"/>
      <c r="L429" s="296"/>
      <c r="M429" s="296"/>
      <c r="N429" s="296"/>
      <c r="O429" s="296"/>
      <c r="P429" s="296"/>
      <c r="Q429" s="296"/>
      <c r="R429" s="296"/>
      <c r="S429" s="296"/>
      <c r="T429" s="296"/>
      <c r="U429" s="296"/>
      <c r="V429" s="296"/>
      <c r="W429" s="296"/>
      <c r="X429" s="296"/>
      <c r="Y429" s="296"/>
      <c r="Z429" s="296"/>
      <c r="AA429" s="296"/>
      <c r="AB429" s="296"/>
      <c r="AC429" s="296"/>
      <c r="AD429" s="296"/>
      <c r="AE429" s="296"/>
      <c r="AF429" s="296"/>
      <c r="AG429" s="296"/>
      <c r="AH429" s="296"/>
      <c r="AI429" s="296"/>
      <c r="AJ429" s="296"/>
      <c r="AK429" s="296"/>
    </row>
    <row r="430" spans="10:37">
      <c r="K430" s="296"/>
      <c r="L430" s="296"/>
      <c r="M430" s="296"/>
      <c r="N430" s="296"/>
      <c r="O430" s="296"/>
      <c r="P430" s="296"/>
      <c r="Q430" s="296"/>
      <c r="R430" s="296"/>
      <c r="S430" s="296"/>
      <c r="T430" s="296"/>
      <c r="U430" s="296"/>
      <c r="V430" s="296"/>
      <c r="W430" s="296"/>
      <c r="X430" s="296"/>
      <c r="Y430" s="296"/>
      <c r="Z430" s="296"/>
      <c r="AA430" s="296"/>
      <c r="AB430" s="296"/>
      <c r="AC430" s="296"/>
      <c r="AD430" s="296"/>
      <c r="AE430" s="296"/>
      <c r="AF430" s="296"/>
      <c r="AG430" s="296"/>
      <c r="AH430" s="296"/>
      <c r="AI430" s="296"/>
      <c r="AJ430" s="296"/>
      <c r="AK430" s="296"/>
    </row>
    <row r="431" spans="10:37">
      <c r="K431" s="296"/>
      <c r="L431" s="296"/>
      <c r="M431" s="296"/>
      <c r="N431" s="296"/>
      <c r="O431" s="296"/>
      <c r="P431" s="296"/>
      <c r="Q431" s="296"/>
      <c r="R431" s="296"/>
      <c r="S431" s="296"/>
      <c r="T431" s="296"/>
      <c r="U431" s="296"/>
      <c r="V431" s="296"/>
      <c r="W431" s="296"/>
      <c r="X431" s="296"/>
      <c r="Y431" s="296"/>
      <c r="Z431" s="296"/>
      <c r="AA431" s="296"/>
      <c r="AB431" s="296"/>
      <c r="AC431" s="296"/>
      <c r="AD431" s="296"/>
      <c r="AE431" s="296"/>
      <c r="AF431" s="296"/>
      <c r="AG431" s="296"/>
      <c r="AH431" s="296"/>
      <c r="AI431" s="296"/>
      <c r="AJ431" s="296"/>
      <c r="AK431" s="296"/>
    </row>
    <row r="432" spans="10:37">
      <c r="K432" s="296"/>
      <c r="L432" s="296"/>
      <c r="M432" s="296"/>
      <c r="N432" s="296"/>
      <c r="O432" s="296"/>
      <c r="P432" s="296"/>
      <c r="Q432" s="296"/>
      <c r="R432" s="296"/>
      <c r="S432" s="296"/>
      <c r="T432" s="296"/>
      <c r="U432" s="296"/>
      <c r="V432" s="296"/>
      <c r="W432" s="296"/>
      <c r="X432" s="296"/>
      <c r="Y432" s="296"/>
      <c r="Z432" s="296"/>
      <c r="AA432" s="296"/>
      <c r="AB432" s="296"/>
      <c r="AC432" s="296"/>
      <c r="AD432" s="296"/>
      <c r="AE432" s="296"/>
      <c r="AF432" s="296"/>
      <c r="AG432" s="296"/>
      <c r="AH432" s="296"/>
      <c r="AI432" s="296"/>
      <c r="AJ432" s="296"/>
      <c r="AK432" s="296"/>
    </row>
    <row r="433" spans="11:37">
      <c r="K433" s="296"/>
      <c r="L433" s="296"/>
      <c r="M433" s="296"/>
      <c r="N433" s="296"/>
      <c r="O433" s="296"/>
      <c r="P433" s="296"/>
      <c r="Q433" s="296"/>
      <c r="R433" s="296"/>
      <c r="S433" s="296"/>
      <c r="T433" s="296"/>
      <c r="U433" s="296"/>
      <c r="V433" s="296"/>
      <c r="W433" s="296"/>
      <c r="X433" s="296"/>
      <c r="Y433" s="296"/>
      <c r="Z433" s="296"/>
      <c r="AA433" s="296"/>
      <c r="AB433" s="296"/>
      <c r="AC433" s="296"/>
      <c r="AD433" s="296"/>
      <c r="AE433" s="296"/>
      <c r="AF433" s="296"/>
      <c r="AG433" s="296"/>
      <c r="AH433" s="296"/>
      <c r="AI433" s="296"/>
      <c r="AJ433" s="296"/>
      <c r="AK433" s="296"/>
    </row>
    <row r="434" spans="11:37">
      <c r="K434" s="296"/>
      <c r="L434" s="296"/>
      <c r="M434" s="296"/>
      <c r="N434" s="296"/>
      <c r="O434" s="296"/>
      <c r="P434" s="296"/>
      <c r="Q434" s="296"/>
      <c r="R434" s="296"/>
      <c r="S434" s="296"/>
      <c r="T434" s="296"/>
      <c r="U434" s="296"/>
      <c r="V434" s="296"/>
      <c r="W434" s="296"/>
      <c r="X434" s="296"/>
      <c r="Y434" s="296"/>
      <c r="Z434" s="296"/>
      <c r="AA434" s="296"/>
      <c r="AB434" s="296"/>
      <c r="AC434" s="296"/>
      <c r="AD434" s="296"/>
      <c r="AE434" s="296"/>
      <c r="AF434" s="296"/>
      <c r="AG434" s="296"/>
      <c r="AH434" s="296"/>
      <c r="AI434" s="296"/>
      <c r="AJ434" s="296"/>
      <c r="AK434" s="296"/>
    </row>
    <row r="435" spans="11:37">
      <c r="K435" s="296"/>
      <c r="L435" s="296"/>
      <c r="M435" s="296"/>
      <c r="N435" s="296"/>
      <c r="O435" s="296"/>
      <c r="P435" s="296"/>
      <c r="Q435" s="296"/>
      <c r="R435" s="296"/>
      <c r="S435" s="296"/>
      <c r="T435" s="296"/>
      <c r="U435" s="296"/>
      <c r="V435" s="296"/>
      <c r="W435" s="296"/>
      <c r="X435" s="296"/>
      <c r="Y435" s="296"/>
      <c r="Z435" s="296"/>
      <c r="AA435" s="296"/>
      <c r="AB435" s="296"/>
      <c r="AC435" s="296"/>
      <c r="AD435" s="296"/>
      <c r="AE435" s="296"/>
      <c r="AF435" s="296"/>
      <c r="AG435" s="296"/>
      <c r="AH435" s="296"/>
      <c r="AI435" s="296"/>
      <c r="AJ435" s="296"/>
      <c r="AK435" s="296"/>
    </row>
    <row r="436" spans="11:37">
      <c r="K436" s="296"/>
      <c r="L436" s="296"/>
      <c r="M436" s="296"/>
      <c r="N436" s="296"/>
      <c r="O436" s="296"/>
      <c r="P436" s="296"/>
      <c r="Q436" s="296"/>
      <c r="R436" s="296"/>
      <c r="S436" s="296"/>
      <c r="T436" s="296"/>
      <c r="U436" s="296"/>
      <c r="V436" s="296"/>
      <c r="W436" s="296"/>
      <c r="X436" s="296"/>
      <c r="Y436" s="296"/>
      <c r="Z436" s="296"/>
      <c r="AA436" s="296"/>
      <c r="AB436" s="296"/>
      <c r="AC436" s="296"/>
      <c r="AD436" s="296"/>
      <c r="AE436" s="296"/>
      <c r="AF436" s="296"/>
      <c r="AG436" s="296"/>
      <c r="AH436" s="296"/>
      <c r="AI436" s="296"/>
      <c r="AJ436" s="296"/>
      <c r="AK436" s="296"/>
    </row>
    <row r="437" spans="11:37">
      <c r="K437" s="296"/>
      <c r="L437" s="296"/>
      <c r="M437" s="296"/>
      <c r="N437" s="296"/>
      <c r="O437" s="296"/>
      <c r="P437" s="296"/>
      <c r="Q437" s="296"/>
      <c r="R437" s="296"/>
      <c r="S437" s="296"/>
      <c r="T437" s="296"/>
      <c r="U437" s="296"/>
      <c r="V437" s="296"/>
      <c r="W437" s="296"/>
      <c r="X437" s="296"/>
      <c r="Y437" s="296"/>
      <c r="Z437" s="296"/>
      <c r="AA437" s="296"/>
      <c r="AB437" s="296"/>
      <c r="AC437" s="296"/>
      <c r="AD437" s="296"/>
      <c r="AE437" s="296"/>
      <c r="AF437" s="296"/>
      <c r="AG437" s="296"/>
      <c r="AH437" s="296"/>
      <c r="AI437" s="296"/>
      <c r="AJ437" s="296"/>
      <c r="AK437" s="296"/>
    </row>
    <row r="438" spans="11:37">
      <c r="K438" s="296"/>
      <c r="L438" s="296"/>
      <c r="M438" s="296"/>
      <c r="N438" s="296"/>
      <c r="O438" s="296"/>
      <c r="P438" s="296"/>
      <c r="Q438" s="296"/>
      <c r="R438" s="296"/>
      <c r="S438" s="296"/>
      <c r="T438" s="296"/>
      <c r="U438" s="296"/>
      <c r="V438" s="296"/>
      <c r="W438" s="296"/>
      <c r="X438" s="296"/>
      <c r="Y438" s="296"/>
      <c r="Z438" s="296"/>
      <c r="AA438" s="296"/>
      <c r="AB438" s="296"/>
      <c r="AC438" s="296"/>
      <c r="AD438" s="296"/>
      <c r="AE438" s="296"/>
      <c r="AF438" s="296"/>
      <c r="AG438" s="296"/>
      <c r="AH438" s="296"/>
      <c r="AI438" s="296"/>
      <c r="AJ438" s="296"/>
      <c r="AK438" s="296"/>
    </row>
    <row r="439" spans="11:37">
      <c r="K439" s="296"/>
      <c r="L439" s="296"/>
      <c r="M439" s="296"/>
      <c r="N439" s="296"/>
      <c r="O439" s="296"/>
      <c r="P439" s="296"/>
      <c r="Q439" s="296"/>
      <c r="R439" s="296"/>
      <c r="S439" s="296"/>
      <c r="T439" s="296"/>
      <c r="U439" s="296"/>
      <c r="V439" s="296"/>
      <c r="W439" s="296"/>
      <c r="X439" s="296"/>
      <c r="Y439" s="296"/>
      <c r="Z439" s="296"/>
      <c r="AA439" s="296"/>
      <c r="AB439" s="296"/>
      <c r="AC439" s="296"/>
      <c r="AD439" s="296"/>
      <c r="AE439" s="296"/>
      <c r="AF439" s="296"/>
      <c r="AG439" s="296"/>
      <c r="AH439" s="296"/>
      <c r="AI439" s="296"/>
      <c r="AJ439" s="296"/>
      <c r="AK439" s="296"/>
    </row>
    <row r="440" spans="11:37">
      <c r="K440" s="296"/>
      <c r="L440" s="296"/>
      <c r="M440" s="296"/>
      <c r="N440" s="296"/>
      <c r="O440" s="296"/>
      <c r="P440" s="296"/>
      <c r="Q440" s="296"/>
      <c r="R440" s="296"/>
      <c r="S440" s="296"/>
      <c r="T440" s="296"/>
      <c r="U440" s="296"/>
      <c r="V440" s="296"/>
      <c r="W440" s="296"/>
      <c r="X440" s="296"/>
      <c r="Y440" s="296"/>
      <c r="Z440" s="296"/>
      <c r="AA440" s="296"/>
      <c r="AB440" s="296"/>
      <c r="AC440" s="296"/>
      <c r="AD440" s="296"/>
      <c r="AE440" s="296"/>
      <c r="AF440" s="296"/>
      <c r="AG440" s="296"/>
      <c r="AH440" s="296"/>
      <c r="AI440" s="296"/>
      <c r="AJ440" s="296"/>
      <c r="AK440" s="296"/>
    </row>
    <row r="441" spans="11:37">
      <c r="K441" s="296"/>
      <c r="L441" s="296"/>
      <c r="M441" s="296"/>
      <c r="N441" s="296"/>
      <c r="O441" s="296"/>
      <c r="P441" s="296"/>
      <c r="Q441" s="296"/>
      <c r="R441" s="296"/>
      <c r="S441" s="296"/>
      <c r="T441" s="296"/>
      <c r="U441" s="296"/>
      <c r="V441" s="296"/>
      <c r="W441" s="296"/>
      <c r="X441" s="296"/>
      <c r="Y441" s="296"/>
      <c r="Z441" s="296"/>
      <c r="AA441" s="296"/>
      <c r="AB441" s="296"/>
      <c r="AC441" s="296"/>
      <c r="AD441" s="296"/>
      <c r="AE441" s="296"/>
      <c r="AF441" s="296"/>
      <c r="AG441" s="296"/>
      <c r="AH441" s="296"/>
      <c r="AI441" s="296"/>
      <c r="AJ441" s="296"/>
      <c r="AK441" s="296"/>
    </row>
    <row r="442" spans="11:37">
      <c r="K442" s="296"/>
      <c r="L442" s="296"/>
      <c r="M442" s="296"/>
      <c r="N442" s="296"/>
      <c r="O442" s="296"/>
      <c r="P442" s="296"/>
      <c r="Q442" s="296"/>
      <c r="R442" s="296"/>
      <c r="S442" s="296"/>
      <c r="T442" s="296"/>
      <c r="U442" s="296"/>
      <c r="V442" s="296"/>
      <c r="W442" s="296"/>
      <c r="X442" s="296"/>
      <c r="Y442" s="296"/>
      <c r="Z442" s="296"/>
      <c r="AA442" s="296"/>
      <c r="AB442" s="296"/>
      <c r="AC442" s="296"/>
      <c r="AD442" s="296"/>
      <c r="AE442" s="296"/>
      <c r="AF442" s="296"/>
      <c r="AG442" s="296"/>
      <c r="AH442" s="296"/>
      <c r="AI442" s="296"/>
      <c r="AJ442" s="296"/>
      <c r="AK442" s="296"/>
    </row>
    <row r="443" spans="11:37">
      <c r="K443" s="296"/>
      <c r="L443" s="296"/>
      <c r="M443" s="296"/>
      <c r="N443" s="296"/>
      <c r="O443" s="296"/>
      <c r="P443" s="296"/>
      <c r="Q443" s="296"/>
      <c r="R443" s="296"/>
      <c r="S443" s="296"/>
      <c r="T443" s="296"/>
      <c r="U443" s="296"/>
      <c r="V443" s="296"/>
      <c r="W443" s="296"/>
      <c r="X443" s="296"/>
      <c r="Y443" s="296"/>
      <c r="Z443" s="296"/>
      <c r="AA443" s="296"/>
      <c r="AB443" s="296"/>
      <c r="AC443" s="296"/>
      <c r="AD443" s="296"/>
      <c r="AE443" s="296"/>
      <c r="AF443" s="296"/>
      <c r="AG443" s="296"/>
      <c r="AH443" s="296"/>
      <c r="AI443" s="296"/>
      <c r="AJ443" s="296"/>
      <c r="AK443" s="296"/>
    </row>
    <row r="444" spans="11:37">
      <c r="K444" s="296"/>
      <c r="L444" s="296"/>
      <c r="M444" s="296"/>
      <c r="N444" s="296"/>
      <c r="O444" s="296"/>
      <c r="P444" s="296"/>
      <c r="Q444" s="296"/>
      <c r="R444" s="296"/>
      <c r="S444" s="296"/>
      <c r="T444" s="296"/>
      <c r="U444" s="296"/>
      <c r="V444" s="296"/>
      <c r="W444" s="296"/>
      <c r="X444" s="296"/>
      <c r="Y444" s="296"/>
      <c r="Z444" s="296"/>
      <c r="AA444" s="296"/>
      <c r="AB444" s="296"/>
      <c r="AC444" s="296"/>
      <c r="AD444" s="296"/>
      <c r="AE444" s="296"/>
      <c r="AF444" s="296"/>
      <c r="AG444" s="296"/>
      <c r="AH444" s="296"/>
      <c r="AI444" s="296"/>
      <c r="AJ444" s="296"/>
      <c r="AK444" s="296"/>
    </row>
    <row r="445" spans="11:37">
      <c r="K445" s="296"/>
      <c r="L445" s="296"/>
      <c r="M445" s="296"/>
      <c r="N445" s="296"/>
      <c r="O445" s="296"/>
      <c r="P445" s="296"/>
      <c r="Q445" s="296"/>
      <c r="R445" s="296"/>
      <c r="S445" s="296"/>
      <c r="T445" s="296"/>
      <c r="U445" s="296"/>
      <c r="V445" s="296"/>
      <c r="W445" s="296"/>
      <c r="X445" s="296"/>
      <c r="Y445" s="296"/>
      <c r="Z445" s="296"/>
      <c r="AA445" s="296"/>
      <c r="AB445" s="296"/>
      <c r="AC445" s="296"/>
      <c r="AD445" s="296"/>
      <c r="AE445" s="296"/>
      <c r="AF445" s="296"/>
      <c r="AG445" s="296"/>
      <c r="AH445" s="296"/>
      <c r="AI445" s="296"/>
      <c r="AJ445" s="296"/>
      <c r="AK445" s="296"/>
    </row>
    <row r="446" spans="11:37">
      <c r="K446" s="296"/>
      <c r="L446" s="296"/>
      <c r="M446" s="296"/>
      <c r="N446" s="296"/>
      <c r="O446" s="296"/>
      <c r="P446" s="296"/>
      <c r="Q446" s="296"/>
      <c r="R446" s="296"/>
      <c r="S446" s="296"/>
      <c r="T446" s="296"/>
      <c r="U446" s="296"/>
      <c r="V446" s="296"/>
      <c r="W446" s="296"/>
      <c r="X446" s="296"/>
      <c r="Y446" s="296"/>
      <c r="Z446" s="296"/>
      <c r="AA446" s="296"/>
      <c r="AB446" s="296"/>
      <c r="AC446" s="296"/>
      <c r="AD446" s="296"/>
      <c r="AE446" s="296"/>
      <c r="AF446" s="296"/>
      <c r="AG446" s="296"/>
      <c r="AH446" s="296"/>
      <c r="AI446" s="296"/>
      <c r="AJ446" s="296"/>
      <c r="AK446" s="296"/>
    </row>
    <row r="447" spans="11:37">
      <c r="K447" s="296"/>
      <c r="L447" s="296"/>
      <c r="M447" s="296"/>
      <c r="N447" s="296"/>
      <c r="O447" s="296"/>
      <c r="P447" s="296"/>
      <c r="Q447" s="296"/>
      <c r="R447" s="296"/>
      <c r="S447" s="296"/>
      <c r="T447" s="296"/>
      <c r="U447" s="296"/>
      <c r="V447" s="296"/>
      <c r="W447" s="296"/>
      <c r="X447" s="296"/>
      <c r="Y447" s="296"/>
      <c r="Z447" s="296"/>
      <c r="AA447" s="296"/>
      <c r="AB447" s="296"/>
      <c r="AC447" s="296"/>
      <c r="AD447" s="296"/>
      <c r="AE447" s="296"/>
      <c r="AF447" s="296"/>
      <c r="AG447" s="296"/>
      <c r="AH447" s="296"/>
      <c r="AI447" s="296"/>
      <c r="AJ447" s="296"/>
      <c r="AK447" s="296"/>
    </row>
    <row r="448" spans="11:37">
      <c r="K448" s="296"/>
      <c r="L448" s="296"/>
      <c r="M448" s="296"/>
      <c r="N448" s="296"/>
      <c r="O448" s="296"/>
      <c r="P448" s="296"/>
      <c r="Q448" s="296"/>
      <c r="R448" s="296"/>
      <c r="S448" s="296"/>
      <c r="T448" s="296"/>
      <c r="U448" s="296"/>
      <c r="V448" s="296"/>
      <c r="W448" s="296"/>
      <c r="X448" s="296"/>
      <c r="Y448" s="296"/>
      <c r="Z448" s="296"/>
      <c r="AA448" s="296"/>
      <c r="AB448" s="296"/>
      <c r="AC448" s="296"/>
      <c r="AD448" s="296"/>
      <c r="AE448" s="296"/>
      <c r="AF448" s="296"/>
      <c r="AG448" s="296"/>
      <c r="AH448" s="296"/>
      <c r="AI448" s="296"/>
      <c r="AJ448" s="296"/>
      <c r="AK448" s="296"/>
    </row>
    <row r="449" spans="11:37">
      <c r="K449" s="296"/>
      <c r="L449" s="296"/>
      <c r="M449" s="296"/>
      <c r="N449" s="296"/>
      <c r="O449" s="296"/>
      <c r="P449" s="296"/>
      <c r="Q449" s="296"/>
      <c r="R449" s="296"/>
      <c r="S449" s="296"/>
      <c r="T449" s="296"/>
      <c r="U449" s="296"/>
      <c r="V449" s="296"/>
      <c r="W449" s="296"/>
      <c r="X449" s="296"/>
      <c r="Y449" s="296"/>
      <c r="Z449" s="296"/>
      <c r="AA449" s="296"/>
      <c r="AB449" s="296"/>
      <c r="AC449" s="296"/>
      <c r="AD449" s="296"/>
      <c r="AE449" s="296"/>
      <c r="AF449" s="296"/>
      <c r="AG449" s="296"/>
      <c r="AH449" s="296"/>
      <c r="AI449" s="296"/>
      <c r="AJ449" s="296"/>
      <c r="AK449" s="296"/>
    </row>
    <row r="450" spans="11:37">
      <c r="K450" s="296"/>
      <c r="L450" s="296"/>
      <c r="M450" s="296"/>
      <c r="N450" s="296"/>
      <c r="O450" s="296"/>
      <c r="P450" s="296"/>
      <c r="Q450" s="296"/>
      <c r="R450" s="296"/>
      <c r="S450" s="296"/>
      <c r="T450" s="296"/>
      <c r="U450" s="296"/>
      <c r="V450" s="296"/>
      <c r="W450" s="296"/>
      <c r="X450" s="296"/>
      <c r="Y450" s="296"/>
      <c r="Z450" s="296"/>
      <c r="AA450" s="296"/>
      <c r="AB450" s="296"/>
      <c r="AC450" s="296"/>
      <c r="AD450" s="296"/>
      <c r="AE450" s="296"/>
      <c r="AF450" s="296"/>
      <c r="AG450" s="296"/>
      <c r="AH450" s="296"/>
      <c r="AI450" s="296"/>
      <c r="AJ450" s="296"/>
      <c r="AK450" s="296"/>
    </row>
    <row r="451" spans="11:37">
      <c r="K451" s="296"/>
      <c r="L451" s="296"/>
      <c r="M451" s="296"/>
      <c r="N451" s="296"/>
      <c r="O451" s="296"/>
      <c r="P451" s="296"/>
      <c r="Q451" s="296"/>
      <c r="R451" s="296"/>
      <c r="S451" s="296"/>
      <c r="T451" s="296"/>
      <c r="U451" s="296"/>
      <c r="V451" s="296"/>
      <c r="W451" s="296"/>
      <c r="X451" s="296"/>
      <c r="Y451" s="296"/>
      <c r="Z451" s="296"/>
      <c r="AA451" s="296"/>
      <c r="AB451" s="296"/>
      <c r="AC451" s="296"/>
      <c r="AD451" s="296"/>
      <c r="AE451" s="296"/>
      <c r="AF451" s="296"/>
      <c r="AG451" s="296"/>
      <c r="AH451" s="296"/>
      <c r="AI451" s="296"/>
      <c r="AJ451" s="296"/>
      <c r="AK451" s="296"/>
    </row>
    <row r="452" spans="11:37">
      <c r="K452" s="296"/>
      <c r="L452" s="296"/>
      <c r="M452" s="296"/>
      <c r="N452" s="296"/>
      <c r="O452" s="296"/>
      <c r="P452" s="296"/>
      <c r="Q452" s="296"/>
      <c r="R452" s="296"/>
      <c r="S452" s="296"/>
      <c r="T452" s="296"/>
      <c r="U452" s="296"/>
      <c r="V452" s="296"/>
      <c r="W452" s="296"/>
      <c r="X452" s="296"/>
      <c r="Y452" s="296"/>
      <c r="Z452" s="296"/>
      <c r="AA452" s="296"/>
      <c r="AB452" s="296"/>
      <c r="AC452" s="296"/>
      <c r="AD452" s="296"/>
      <c r="AE452" s="296"/>
      <c r="AF452" s="296"/>
      <c r="AG452" s="296"/>
      <c r="AH452" s="296"/>
      <c r="AI452" s="296"/>
      <c r="AJ452" s="296"/>
      <c r="AK452" s="296"/>
    </row>
    <row r="453" spans="11:37">
      <c r="K453" s="296"/>
      <c r="L453" s="296"/>
      <c r="M453" s="296"/>
      <c r="N453" s="296"/>
      <c r="O453" s="296"/>
      <c r="P453" s="296"/>
      <c r="Q453" s="296"/>
      <c r="R453" s="296"/>
      <c r="S453" s="296"/>
      <c r="T453" s="296"/>
      <c r="U453" s="296"/>
      <c r="V453" s="296"/>
      <c r="W453" s="296"/>
      <c r="X453" s="296"/>
      <c r="Y453" s="296"/>
      <c r="Z453" s="296"/>
      <c r="AA453" s="296"/>
      <c r="AB453" s="296"/>
      <c r="AC453" s="296"/>
      <c r="AD453" s="296"/>
      <c r="AE453" s="296"/>
      <c r="AF453" s="296"/>
      <c r="AG453" s="296"/>
      <c r="AH453" s="296"/>
      <c r="AI453" s="296"/>
      <c r="AJ453" s="296"/>
      <c r="AK453" s="296"/>
    </row>
    <row r="454" spans="11:37">
      <c r="K454" s="296"/>
      <c r="L454" s="296"/>
      <c r="M454" s="296"/>
      <c r="N454" s="296"/>
      <c r="O454" s="296"/>
      <c r="P454" s="296"/>
      <c r="Q454" s="296"/>
      <c r="R454" s="296"/>
      <c r="S454" s="296"/>
      <c r="T454" s="296"/>
      <c r="U454" s="296"/>
      <c r="V454" s="296"/>
      <c r="W454" s="296"/>
      <c r="X454" s="296"/>
      <c r="Y454" s="296"/>
      <c r="Z454" s="296"/>
      <c r="AA454" s="296"/>
      <c r="AB454" s="296"/>
      <c r="AC454" s="296"/>
      <c r="AD454" s="296"/>
      <c r="AE454" s="296"/>
      <c r="AF454" s="296"/>
      <c r="AG454" s="296"/>
      <c r="AH454" s="296"/>
      <c r="AI454" s="296"/>
      <c r="AJ454" s="296"/>
      <c r="AK454" s="296"/>
    </row>
    <row r="455" spans="11:37">
      <c r="K455" s="296"/>
      <c r="L455" s="296"/>
      <c r="M455" s="296"/>
      <c r="N455" s="296"/>
      <c r="O455" s="296"/>
      <c r="P455" s="296"/>
      <c r="Q455" s="296"/>
      <c r="R455" s="296"/>
      <c r="S455" s="296"/>
      <c r="T455" s="296"/>
      <c r="U455" s="296"/>
      <c r="V455" s="296"/>
      <c r="W455" s="296"/>
      <c r="X455" s="296"/>
      <c r="Y455" s="296"/>
      <c r="Z455" s="296"/>
      <c r="AA455" s="296"/>
      <c r="AB455" s="296"/>
      <c r="AC455" s="296"/>
      <c r="AD455" s="296"/>
      <c r="AE455" s="296"/>
      <c r="AF455" s="296"/>
      <c r="AG455" s="296"/>
      <c r="AH455" s="296"/>
      <c r="AI455" s="296"/>
      <c r="AJ455" s="296"/>
      <c r="AK455" s="296"/>
    </row>
    <row r="456" spans="11:37">
      <c r="K456" s="296"/>
      <c r="L456" s="296"/>
      <c r="M456" s="296"/>
      <c r="N456" s="296"/>
      <c r="O456" s="296"/>
      <c r="P456" s="296"/>
      <c r="Q456" s="296"/>
      <c r="R456" s="296"/>
      <c r="S456" s="296"/>
      <c r="T456" s="296"/>
      <c r="U456" s="296"/>
      <c r="V456" s="296"/>
      <c r="W456" s="296"/>
      <c r="X456" s="296"/>
      <c r="Y456" s="296"/>
      <c r="Z456" s="296"/>
      <c r="AA456" s="296"/>
      <c r="AB456" s="296"/>
      <c r="AC456" s="296"/>
      <c r="AD456" s="296"/>
      <c r="AE456" s="296"/>
      <c r="AF456" s="296"/>
      <c r="AG456" s="296"/>
      <c r="AH456" s="296"/>
      <c r="AI456" s="296"/>
      <c r="AJ456" s="296"/>
      <c r="AK456" s="296"/>
    </row>
    <row r="457" spans="11:37">
      <c r="K457" s="296"/>
      <c r="L457" s="296"/>
      <c r="M457" s="296"/>
      <c r="N457" s="296"/>
      <c r="O457" s="296"/>
      <c r="P457" s="296"/>
      <c r="Q457" s="296"/>
      <c r="R457" s="296"/>
      <c r="S457" s="296"/>
      <c r="T457" s="296"/>
      <c r="U457" s="296"/>
      <c r="V457" s="296"/>
      <c r="W457" s="296"/>
      <c r="X457" s="296"/>
      <c r="Y457" s="296"/>
      <c r="Z457" s="296"/>
      <c r="AA457" s="296"/>
      <c r="AB457" s="296"/>
      <c r="AC457" s="296"/>
      <c r="AD457" s="296"/>
      <c r="AE457" s="296"/>
      <c r="AF457" s="296"/>
      <c r="AG457" s="296"/>
      <c r="AH457" s="296"/>
      <c r="AI457" s="296"/>
      <c r="AJ457" s="296"/>
      <c r="AK457" s="296"/>
    </row>
    <row r="458" spans="11:37">
      <c r="K458" s="296"/>
      <c r="L458" s="296"/>
      <c r="M458" s="296"/>
      <c r="N458" s="296"/>
      <c r="O458" s="296"/>
      <c r="P458" s="296"/>
      <c r="Q458" s="296"/>
      <c r="R458" s="296"/>
      <c r="S458" s="296"/>
      <c r="T458" s="296"/>
      <c r="U458" s="296"/>
      <c r="V458" s="296"/>
      <c r="W458" s="296"/>
      <c r="X458" s="296"/>
      <c r="Y458" s="296"/>
      <c r="Z458" s="296"/>
      <c r="AA458" s="296"/>
      <c r="AB458" s="296"/>
      <c r="AC458" s="296"/>
      <c r="AD458" s="296"/>
      <c r="AE458" s="296"/>
      <c r="AF458" s="296"/>
      <c r="AG458" s="296"/>
      <c r="AH458" s="296"/>
      <c r="AI458" s="296"/>
      <c r="AJ458" s="296"/>
      <c r="AK458" s="296"/>
    </row>
    <row r="459" spans="11:37">
      <c r="K459" s="296"/>
      <c r="L459" s="296"/>
      <c r="M459" s="296"/>
      <c r="N459" s="296"/>
      <c r="O459" s="296"/>
      <c r="P459" s="296"/>
      <c r="Q459" s="296"/>
      <c r="R459" s="296"/>
      <c r="S459" s="296"/>
      <c r="T459" s="296"/>
      <c r="U459" s="296"/>
      <c r="V459" s="296"/>
      <c r="W459" s="296"/>
      <c r="X459" s="296"/>
      <c r="Y459" s="296"/>
      <c r="Z459" s="296"/>
      <c r="AA459" s="296"/>
      <c r="AB459" s="296"/>
      <c r="AC459" s="296"/>
      <c r="AD459" s="296"/>
      <c r="AE459" s="296"/>
      <c r="AF459" s="296"/>
      <c r="AG459" s="296"/>
      <c r="AH459" s="296"/>
      <c r="AI459" s="296"/>
      <c r="AJ459" s="296"/>
      <c r="AK459" s="296"/>
    </row>
    <row r="460" spans="11:37">
      <c r="K460" s="296"/>
      <c r="L460" s="296"/>
      <c r="M460" s="296"/>
      <c r="N460" s="296"/>
      <c r="O460" s="296"/>
      <c r="P460" s="296"/>
      <c r="Q460" s="296"/>
      <c r="R460" s="296"/>
      <c r="S460" s="296"/>
      <c r="T460" s="296"/>
      <c r="U460" s="296"/>
      <c r="V460" s="296"/>
      <c r="W460" s="296"/>
      <c r="X460" s="296"/>
      <c r="Y460" s="296"/>
      <c r="Z460" s="296"/>
      <c r="AA460" s="296"/>
      <c r="AB460" s="296"/>
      <c r="AC460" s="296"/>
      <c r="AD460" s="296"/>
      <c r="AE460" s="296"/>
      <c r="AF460" s="296"/>
      <c r="AG460" s="296"/>
      <c r="AH460" s="296"/>
      <c r="AI460" s="296"/>
      <c r="AJ460" s="296"/>
      <c r="AK460" s="296"/>
    </row>
    <row r="461" spans="11:37">
      <c r="K461" s="296"/>
      <c r="L461" s="296"/>
      <c r="M461" s="296"/>
      <c r="N461" s="296"/>
      <c r="O461" s="296"/>
      <c r="P461" s="296"/>
      <c r="Q461" s="296"/>
      <c r="R461" s="296"/>
      <c r="S461" s="296"/>
      <c r="T461" s="296"/>
      <c r="U461" s="296"/>
      <c r="V461" s="296"/>
      <c r="W461" s="296"/>
      <c r="X461" s="296"/>
      <c r="Y461" s="296"/>
      <c r="Z461" s="296"/>
      <c r="AA461" s="296"/>
      <c r="AB461" s="296"/>
      <c r="AC461" s="296"/>
      <c r="AD461" s="296"/>
      <c r="AE461" s="296"/>
      <c r="AF461" s="296"/>
      <c r="AG461" s="296"/>
      <c r="AH461" s="296"/>
      <c r="AI461" s="296"/>
      <c r="AJ461" s="296"/>
      <c r="AK461" s="296"/>
    </row>
    <row r="462" spans="11:37">
      <c r="K462" s="296"/>
      <c r="L462" s="296"/>
      <c r="M462" s="296"/>
      <c r="N462" s="296"/>
      <c r="O462" s="296"/>
      <c r="P462" s="296"/>
      <c r="Q462" s="296"/>
      <c r="R462" s="296"/>
      <c r="S462" s="296"/>
      <c r="T462" s="296"/>
      <c r="U462" s="296"/>
      <c r="V462" s="296"/>
      <c r="W462" s="296"/>
      <c r="X462" s="296"/>
      <c r="Y462" s="296"/>
      <c r="Z462" s="296"/>
      <c r="AA462" s="296"/>
      <c r="AB462" s="296"/>
      <c r="AC462" s="296"/>
      <c r="AD462" s="296"/>
      <c r="AE462" s="296"/>
      <c r="AF462" s="296"/>
      <c r="AG462" s="296"/>
      <c r="AH462" s="296"/>
      <c r="AI462" s="296"/>
      <c r="AJ462" s="296"/>
      <c r="AK462" s="296"/>
    </row>
    <row r="463" spans="11:37">
      <c r="K463" s="296"/>
      <c r="L463" s="296"/>
      <c r="M463" s="296"/>
      <c r="N463" s="296"/>
      <c r="O463" s="296"/>
      <c r="P463" s="296"/>
      <c r="Q463" s="296"/>
      <c r="R463" s="296"/>
      <c r="S463" s="296"/>
      <c r="T463" s="296"/>
      <c r="U463" s="296"/>
      <c r="V463" s="296"/>
      <c r="W463" s="296"/>
      <c r="X463" s="296"/>
      <c r="Y463" s="296"/>
      <c r="Z463" s="296"/>
      <c r="AA463" s="296"/>
      <c r="AB463" s="296"/>
      <c r="AC463" s="296"/>
      <c r="AD463" s="296"/>
      <c r="AE463" s="296"/>
      <c r="AF463" s="296"/>
      <c r="AG463" s="296"/>
      <c r="AH463" s="296"/>
      <c r="AI463" s="296"/>
      <c r="AJ463" s="296"/>
      <c r="AK463" s="296"/>
    </row>
    <row r="464" spans="11:37">
      <c r="K464" s="296"/>
      <c r="L464" s="296"/>
      <c r="M464" s="296"/>
      <c r="N464" s="296"/>
      <c r="O464" s="296"/>
      <c r="P464" s="296"/>
      <c r="Q464" s="296"/>
      <c r="R464" s="296"/>
      <c r="S464" s="296"/>
      <c r="T464" s="296"/>
      <c r="U464" s="296"/>
      <c r="V464" s="296"/>
      <c r="W464" s="296"/>
      <c r="X464" s="296"/>
      <c r="Y464" s="296"/>
      <c r="Z464" s="296"/>
      <c r="AA464" s="296"/>
      <c r="AB464" s="296"/>
      <c r="AC464" s="296"/>
      <c r="AD464" s="296"/>
      <c r="AE464" s="296"/>
      <c r="AF464" s="296"/>
      <c r="AG464" s="296"/>
      <c r="AH464" s="296"/>
      <c r="AI464" s="296"/>
      <c r="AJ464" s="296"/>
      <c r="AK464" s="296"/>
    </row>
    <row r="465" spans="11:37">
      <c r="K465" s="296"/>
      <c r="L465" s="296"/>
      <c r="M465" s="296"/>
      <c r="N465" s="296"/>
      <c r="O465" s="296"/>
      <c r="P465" s="296"/>
      <c r="Q465" s="296"/>
      <c r="R465" s="296"/>
      <c r="S465" s="296"/>
      <c r="T465" s="296"/>
      <c r="U465" s="296"/>
      <c r="V465" s="296"/>
      <c r="W465" s="296"/>
      <c r="X465" s="296"/>
      <c r="Y465" s="296"/>
      <c r="Z465" s="296"/>
      <c r="AA465" s="296"/>
      <c r="AB465" s="296"/>
      <c r="AC465" s="296"/>
      <c r="AD465" s="296"/>
      <c r="AE465" s="296"/>
      <c r="AF465" s="296"/>
      <c r="AG465" s="296"/>
      <c r="AH465" s="296"/>
      <c r="AI465" s="296"/>
      <c r="AJ465" s="296"/>
      <c r="AK465" s="296"/>
    </row>
    <row r="466" spans="11:37">
      <c r="K466" s="296"/>
      <c r="L466" s="296"/>
      <c r="M466" s="296"/>
      <c r="N466" s="296"/>
      <c r="O466" s="296"/>
      <c r="P466" s="296"/>
      <c r="Q466" s="296"/>
      <c r="R466" s="296"/>
      <c r="S466" s="296"/>
      <c r="T466" s="296"/>
      <c r="U466" s="296"/>
      <c r="V466" s="296"/>
      <c r="W466" s="296"/>
      <c r="X466" s="296"/>
      <c r="Y466" s="296"/>
      <c r="Z466" s="296"/>
      <c r="AA466" s="296"/>
      <c r="AB466" s="296"/>
      <c r="AC466" s="296"/>
      <c r="AD466" s="296"/>
      <c r="AE466" s="296"/>
      <c r="AF466" s="296"/>
      <c r="AG466" s="296"/>
      <c r="AH466" s="296"/>
      <c r="AI466" s="296"/>
      <c r="AJ466" s="296"/>
      <c r="AK466" s="296"/>
    </row>
    <row r="467" spans="11:37">
      <c r="K467" s="296"/>
      <c r="L467" s="296"/>
      <c r="M467" s="296"/>
      <c r="N467" s="296"/>
      <c r="O467" s="296"/>
      <c r="P467" s="296"/>
      <c r="Q467" s="296"/>
      <c r="R467" s="296"/>
      <c r="S467" s="296"/>
      <c r="T467" s="296"/>
      <c r="U467" s="296"/>
      <c r="V467" s="296"/>
      <c r="W467" s="296"/>
      <c r="X467" s="296"/>
      <c r="Y467" s="296"/>
      <c r="Z467" s="296"/>
      <c r="AA467" s="296"/>
      <c r="AB467" s="296"/>
      <c r="AC467" s="296"/>
      <c r="AD467" s="296"/>
      <c r="AE467" s="296"/>
      <c r="AF467" s="296"/>
      <c r="AG467" s="296"/>
      <c r="AH467" s="296"/>
      <c r="AI467" s="296"/>
      <c r="AJ467" s="296"/>
      <c r="AK467" s="296"/>
    </row>
    <row r="468" spans="11:37">
      <c r="K468" s="296"/>
      <c r="L468" s="296"/>
      <c r="M468" s="296"/>
      <c r="N468" s="296"/>
      <c r="O468" s="296"/>
      <c r="P468" s="296"/>
      <c r="Q468" s="296"/>
      <c r="R468" s="296"/>
      <c r="S468" s="296"/>
      <c r="T468" s="296"/>
      <c r="U468" s="296"/>
      <c r="V468" s="296"/>
      <c r="W468" s="296"/>
      <c r="X468" s="296"/>
      <c r="Y468" s="296"/>
      <c r="Z468" s="296"/>
      <c r="AA468" s="296"/>
      <c r="AB468" s="296"/>
      <c r="AC468" s="296"/>
      <c r="AD468" s="296"/>
      <c r="AE468" s="296"/>
      <c r="AF468" s="296"/>
      <c r="AG468" s="296"/>
      <c r="AH468" s="296"/>
      <c r="AI468" s="296"/>
      <c r="AJ468" s="296"/>
      <c r="AK468" s="296"/>
    </row>
    <row r="469" spans="11:37">
      <c r="K469" s="296"/>
      <c r="L469" s="296"/>
      <c r="M469" s="296"/>
      <c r="N469" s="296"/>
      <c r="O469" s="296"/>
      <c r="P469" s="296"/>
      <c r="Q469" s="296"/>
      <c r="R469" s="296"/>
      <c r="S469" s="296"/>
      <c r="T469" s="296"/>
      <c r="U469" s="296"/>
      <c r="V469" s="296"/>
      <c r="W469" s="296"/>
      <c r="X469" s="296"/>
      <c r="Y469" s="296"/>
      <c r="Z469" s="296"/>
      <c r="AA469" s="296"/>
      <c r="AB469" s="296"/>
      <c r="AC469" s="296"/>
      <c r="AD469" s="296"/>
      <c r="AE469" s="296"/>
      <c r="AF469" s="296"/>
      <c r="AG469" s="296"/>
      <c r="AH469" s="296"/>
      <c r="AI469" s="296"/>
      <c r="AJ469" s="296"/>
      <c r="AK469" s="296"/>
    </row>
    <row r="470" spans="11:37">
      <c r="K470" s="296"/>
      <c r="L470" s="296"/>
      <c r="M470" s="296"/>
      <c r="N470" s="296"/>
      <c r="O470" s="296"/>
      <c r="P470" s="296"/>
      <c r="Q470" s="296"/>
      <c r="R470" s="296"/>
      <c r="S470" s="296"/>
      <c r="T470" s="296"/>
      <c r="U470" s="296"/>
      <c r="V470" s="296"/>
      <c r="W470" s="296"/>
      <c r="X470" s="296"/>
      <c r="Y470" s="296"/>
      <c r="Z470" s="296"/>
      <c r="AA470" s="296"/>
      <c r="AB470" s="296"/>
      <c r="AC470" s="296"/>
      <c r="AD470" s="296"/>
      <c r="AE470" s="296"/>
      <c r="AF470" s="296"/>
      <c r="AG470" s="296"/>
      <c r="AH470" s="296"/>
      <c r="AI470" s="296"/>
      <c r="AJ470" s="296"/>
      <c r="AK470" s="296"/>
    </row>
    <row r="471" spans="11:37">
      <c r="K471" s="296"/>
      <c r="L471" s="296"/>
      <c r="M471" s="296"/>
      <c r="N471" s="296"/>
      <c r="O471" s="296"/>
      <c r="P471" s="296"/>
      <c r="Q471" s="296"/>
      <c r="R471" s="296"/>
      <c r="S471" s="296"/>
      <c r="T471" s="296"/>
      <c r="U471" s="296"/>
      <c r="V471" s="296"/>
      <c r="W471" s="296"/>
      <c r="X471" s="296"/>
      <c r="Y471" s="296"/>
      <c r="Z471" s="296"/>
      <c r="AA471" s="296"/>
      <c r="AB471" s="296"/>
      <c r="AC471" s="296"/>
      <c r="AD471" s="296"/>
      <c r="AE471" s="296"/>
      <c r="AF471" s="296"/>
      <c r="AG471" s="296"/>
      <c r="AH471" s="296"/>
      <c r="AI471" s="296"/>
      <c r="AJ471" s="296"/>
      <c r="AK471" s="296"/>
    </row>
    <row r="472" spans="11:37">
      <c r="K472" s="296"/>
      <c r="L472" s="296"/>
      <c r="M472" s="296"/>
      <c r="N472" s="296"/>
      <c r="O472" s="296"/>
      <c r="P472" s="296"/>
      <c r="Q472" s="296"/>
      <c r="R472" s="296"/>
      <c r="S472" s="296"/>
      <c r="T472" s="296"/>
      <c r="U472" s="296"/>
      <c r="V472" s="296"/>
      <c r="W472" s="296"/>
      <c r="X472" s="296"/>
      <c r="Y472" s="296"/>
      <c r="Z472" s="296"/>
      <c r="AA472" s="296"/>
      <c r="AB472" s="296"/>
      <c r="AC472" s="296"/>
      <c r="AD472" s="296"/>
      <c r="AE472" s="296"/>
      <c r="AF472" s="296"/>
      <c r="AG472" s="296"/>
      <c r="AH472" s="296"/>
      <c r="AI472" s="296"/>
      <c r="AJ472" s="296"/>
      <c r="AK472" s="296"/>
    </row>
    <row r="473" spans="11:37">
      <c r="K473" s="296"/>
      <c r="L473" s="296"/>
      <c r="M473" s="296"/>
      <c r="N473" s="296"/>
      <c r="O473" s="296"/>
      <c r="P473" s="296"/>
      <c r="Q473" s="296"/>
      <c r="R473" s="296"/>
      <c r="S473" s="296"/>
      <c r="T473" s="296"/>
      <c r="U473" s="296"/>
      <c r="V473" s="296"/>
      <c r="W473" s="296"/>
      <c r="X473" s="296"/>
      <c r="Y473" s="296"/>
      <c r="Z473" s="296"/>
      <c r="AA473" s="296"/>
      <c r="AB473" s="296"/>
      <c r="AC473" s="296"/>
      <c r="AD473" s="296"/>
      <c r="AE473" s="296"/>
      <c r="AF473" s="296"/>
      <c r="AG473" s="296"/>
      <c r="AH473" s="296"/>
      <c r="AI473" s="296"/>
      <c r="AJ473" s="296"/>
      <c r="AK473" s="296"/>
    </row>
    <row r="474" spans="11:37">
      <c r="K474" s="296"/>
      <c r="L474" s="296"/>
      <c r="M474" s="296"/>
      <c r="N474" s="296"/>
      <c r="O474" s="296"/>
      <c r="P474" s="296"/>
      <c r="Q474" s="296"/>
      <c r="R474" s="296"/>
      <c r="S474" s="296"/>
      <c r="T474" s="296"/>
      <c r="U474" s="296"/>
      <c r="V474" s="296"/>
      <c r="W474" s="296"/>
      <c r="X474" s="296"/>
      <c r="Y474" s="296"/>
      <c r="Z474" s="296"/>
      <c r="AA474" s="296"/>
      <c r="AB474" s="296"/>
      <c r="AC474" s="296"/>
      <c r="AD474" s="296"/>
      <c r="AE474" s="296"/>
      <c r="AF474" s="296"/>
      <c r="AG474" s="296"/>
      <c r="AH474" s="296"/>
      <c r="AI474" s="296"/>
      <c r="AJ474" s="296"/>
      <c r="AK474" s="296"/>
    </row>
    <row r="475" spans="11:37">
      <c r="K475" s="296"/>
      <c r="L475" s="296"/>
      <c r="M475" s="296"/>
      <c r="N475" s="296"/>
      <c r="O475" s="296"/>
      <c r="P475" s="296"/>
      <c r="Q475" s="296"/>
      <c r="R475" s="296"/>
      <c r="S475" s="296"/>
      <c r="T475" s="296"/>
      <c r="U475" s="296"/>
      <c r="V475" s="296"/>
      <c r="W475" s="296"/>
      <c r="X475" s="296"/>
      <c r="Y475" s="296"/>
      <c r="Z475" s="296"/>
      <c r="AA475" s="296"/>
      <c r="AB475" s="296"/>
      <c r="AC475" s="296"/>
      <c r="AD475" s="296"/>
      <c r="AE475" s="296"/>
      <c r="AF475" s="296"/>
      <c r="AG475" s="296"/>
      <c r="AH475" s="296"/>
      <c r="AI475" s="296"/>
      <c r="AJ475" s="296"/>
      <c r="AK475" s="296"/>
    </row>
    <row r="476" spans="11:37">
      <c r="K476" s="296"/>
      <c r="L476" s="296"/>
      <c r="M476" s="296"/>
      <c r="N476" s="296"/>
      <c r="O476" s="296"/>
      <c r="P476" s="296"/>
      <c r="Q476" s="296"/>
      <c r="R476" s="296"/>
      <c r="S476" s="296"/>
      <c r="T476" s="296"/>
      <c r="U476" s="296"/>
      <c r="V476" s="296"/>
      <c r="W476" s="296"/>
      <c r="X476" s="296"/>
      <c r="Y476" s="296"/>
      <c r="Z476" s="296"/>
      <c r="AA476" s="296"/>
      <c r="AB476" s="296"/>
      <c r="AC476" s="296"/>
      <c r="AD476" s="296"/>
      <c r="AE476" s="296"/>
      <c r="AF476" s="296"/>
      <c r="AG476" s="296"/>
      <c r="AH476" s="296"/>
      <c r="AI476" s="296"/>
      <c r="AJ476" s="296"/>
      <c r="AK476" s="296"/>
    </row>
    <row r="477" spans="11:37">
      <c r="K477" s="296"/>
      <c r="L477" s="296"/>
      <c r="M477" s="296"/>
      <c r="N477" s="296"/>
      <c r="O477" s="296"/>
      <c r="P477" s="296"/>
      <c r="Q477" s="296"/>
      <c r="R477" s="296"/>
      <c r="S477" s="296"/>
      <c r="T477" s="296"/>
      <c r="U477" s="296"/>
      <c r="V477" s="296"/>
      <c r="W477" s="296"/>
      <c r="X477" s="296"/>
      <c r="Y477" s="296"/>
      <c r="Z477" s="296"/>
      <c r="AA477" s="296"/>
      <c r="AB477" s="296"/>
      <c r="AC477" s="296"/>
      <c r="AD477" s="296"/>
      <c r="AE477" s="296"/>
      <c r="AF477" s="296"/>
      <c r="AG477" s="296"/>
      <c r="AH477" s="296"/>
      <c r="AI477" s="296"/>
      <c r="AJ477" s="296"/>
      <c r="AK477" s="296"/>
    </row>
    <row r="478" spans="11:37">
      <c r="K478" s="296"/>
      <c r="L478" s="296"/>
      <c r="M478" s="296"/>
      <c r="N478" s="296"/>
      <c r="O478" s="296"/>
      <c r="P478" s="296"/>
      <c r="Q478" s="296"/>
      <c r="R478" s="296"/>
      <c r="S478" s="296"/>
      <c r="T478" s="296"/>
      <c r="U478" s="296"/>
      <c r="V478" s="296"/>
      <c r="W478" s="296"/>
      <c r="X478" s="296"/>
      <c r="Y478" s="296"/>
      <c r="Z478" s="296"/>
      <c r="AA478" s="296"/>
      <c r="AB478" s="296"/>
      <c r="AC478" s="296"/>
      <c r="AD478" s="296"/>
      <c r="AE478" s="296"/>
      <c r="AF478" s="296"/>
      <c r="AG478" s="296"/>
      <c r="AH478" s="296"/>
      <c r="AI478" s="296"/>
      <c r="AJ478" s="296"/>
      <c r="AK478" s="296"/>
    </row>
    <row r="479" spans="11:37">
      <c r="K479" s="296"/>
      <c r="L479" s="296"/>
      <c r="M479" s="296"/>
      <c r="N479" s="296"/>
      <c r="O479" s="296"/>
      <c r="P479" s="296"/>
      <c r="Q479" s="296"/>
      <c r="R479" s="296"/>
      <c r="S479" s="296"/>
      <c r="T479" s="296"/>
      <c r="U479" s="296"/>
      <c r="V479" s="296"/>
      <c r="W479" s="296"/>
      <c r="X479" s="296"/>
      <c r="Y479" s="296"/>
      <c r="Z479" s="296"/>
      <c r="AA479" s="296"/>
      <c r="AB479" s="296"/>
      <c r="AC479" s="296"/>
      <c r="AD479" s="296"/>
      <c r="AE479" s="296"/>
      <c r="AF479" s="296"/>
      <c r="AG479" s="296"/>
      <c r="AH479" s="296"/>
      <c r="AI479" s="296"/>
      <c r="AJ479" s="296"/>
      <c r="AK479" s="296"/>
    </row>
    <row r="480" spans="11:37">
      <c r="K480" s="296"/>
      <c r="L480" s="296"/>
      <c r="M480" s="296"/>
      <c r="N480" s="296"/>
      <c r="O480" s="296"/>
      <c r="P480" s="296"/>
      <c r="Q480" s="296"/>
      <c r="R480" s="296"/>
      <c r="S480" s="296"/>
      <c r="T480" s="296"/>
      <c r="U480" s="296"/>
      <c r="V480" s="296"/>
      <c r="W480" s="296"/>
      <c r="X480" s="296"/>
      <c r="Y480" s="296"/>
      <c r="Z480" s="296"/>
      <c r="AA480" s="296"/>
      <c r="AB480" s="296"/>
      <c r="AC480" s="296"/>
      <c r="AD480" s="296"/>
      <c r="AE480" s="296"/>
      <c r="AF480" s="296"/>
      <c r="AG480" s="296"/>
      <c r="AH480" s="296"/>
      <c r="AI480" s="296"/>
      <c r="AJ480" s="296"/>
      <c r="AK480" s="296"/>
    </row>
    <row r="481" spans="11:37">
      <c r="K481" s="296"/>
      <c r="L481" s="296"/>
      <c r="M481" s="296"/>
      <c r="N481" s="296"/>
      <c r="O481" s="296"/>
      <c r="P481" s="296"/>
      <c r="Q481" s="296"/>
      <c r="R481" s="296"/>
      <c r="S481" s="296"/>
      <c r="T481" s="296"/>
      <c r="U481" s="296"/>
      <c r="V481" s="296"/>
      <c r="W481" s="296"/>
      <c r="X481" s="296"/>
      <c r="Y481" s="296"/>
      <c r="Z481" s="296"/>
      <c r="AA481" s="296"/>
      <c r="AB481" s="296"/>
      <c r="AC481" s="296"/>
      <c r="AD481" s="296"/>
      <c r="AE481" s="296"/>
      <c r="AF481" s="296"/>
      <c r="AG481" s="296"/>
      <c r="AH481" s="296"/>
      <c r="AI481" s="296"/>
      <c r="AJ481" s="296"/>
      <c r="AK481" s="296"/>
    </row>
    <row r="482" spans="11:37">
      <c r="K482" s="296"/>
      <c r="L482" s="296"/>
      <c r="M482" s="296"/>
      <c r="N482" s="296"/>
      <c r="O482" s="296"/>
      <c r="P482" s="296"/>
      <c r="Q482" s="296"/>
      <c r="R482" s="296"/>
      <c r="S482" s="296"/>
      <c r="T482" s="296"/>
      <c r="U482" s="296"/>
      <c r="V482" s="296"/>
      <c r="W482" s="296"/>
      <c r="X482" s="296"/>
      <c r="Y482" s="296"/>
      <c r="Z482" s="296"/>
      <c r="AA482" s="296"/>
      <c r="AB482" s="296"/>
      <c r="AC482" s="296"/>
      <c r="AD482" s="296"/>
      <c r="AE482" s="296"/>
      <c r="AF482" s="296"/>
      <c r="AG482" s="296"/>
      <c r="AH482" s="296"/>
      <c r="AI482" s="296"/>
      <c r="AJ482" s="296"/>
      <c r="AK482" s="296"/>
    </row>
    <row r="483" spans="11:37">
      <c r="K483" s="296"/>
      <c r="L483" s="296"/>
      <c r="M483" s="296"/>
      <c r="N483" s="296"/>
      <c r="O483" s="296"/>
      <c r="P483" s="296"/>
      <c r="Q483" s="296"/>
      <c r="R483" s="296"/>
      <c r="S483" s="296"/>
      <c r="T483" s="296"/>
      <c r="U483" s="296"/>
      <c r="V483" s="296"/>
      <c r="W483" s="296"/>
      <c r="X483" s="296"/>
      <c r="Y483" s="296"/>
      <c r="Z483" s="296"/>
      <c r="AA483" s="296"/>
      <c r="AB483" s="296"/>
      <c r="AC483" s="296"/>
      <c r="AD483" s="296"/>
      <c r="AE483" s="296"/>
      <c r="AF483" s="296"/>
      <c r="AG483" s="296"/>
      <c r="AH483" s="296"/>
      <c r="AI483" s="296"/>
      <c r="AJ483" s="296"/>
      <c r="AK483" s="296"/>
    </row>
    <row r="484" spans="11:37">
      <c r="K484" s="296"/>
      <c r="L484" s="296"/>
      <c r="M484" s="296"/>
      <c r="N484" s="296"/>
      <c r="O484" s="296"/>
      <c r="P484" s="296"/>
      <c r="Q484" s="296"/>
      <c r="R484" s="296"/>
      <c r="S484" s="296"/>
      <c r="T484" s="296"/>
      <c r="U484" s="296"/>
      <c r="V484" s="296"/>
      <c r="W484" s="296"/>
      <c r="X484" s="296"/>
      <c r="Y484" s="296"/>
      <c r="Z484" s="296"/>
      <c r="AA484" s="296"/>
      <c r="AB484" s="296"/>
      <c r="AC484" s="296"/>
      <c r="AD484" s="296"/>
      <c r="AE484" s="296"/>
      <c r="AF484" s="296"/>
      <c r="AG484" s="296"/>
      <c r="AH484" s="296"/>
      <c r="AI484" s="296"/>
      <c r="AJ484" s="296"/>
      <c r="AK484" s="296"/>
    </row>
    <row r="485" spans="11:37">
      <c r="K485" s="296"/>
      <c r="L485" s="296"/>
      <c r="M485" s="296"/>
      <c r="N485" s="296"/>
      <c r="O485" s="296"/>
      <c r="P485" s="296"/>
      <c r="Q485" s="296"/>
      <c r="R485" s="296"/>
      <c r="S485" s="296"/>
      <c r="T485" s="296"/>
      <c r="U485" s="296"/>
      <c r="V485" s="296"/>
      <c r="W485" s="296"/>
      <c r="X485" s="296"/>
      <c r="Y485" s="296"/>
      <c r="Z485" s="296"/>
      <c r="AA485" s="296"/>
      <c r="AB485" s="296"/>
      <c r="AC485" s="296"/>
      <c r="AD485" s="296"/>
      <c r="AE485" s="296"/>
      <c r="AF485" s="296"/>
      <c r="AG485" s="296"/>
      <c r="AH485" s="296"/>
      <c r="AI485" s="296"/>
      <c r="AJ485" s="296"/>
      <c r="AK485" s="296"/>
    </row>
    <row r="486" spans="11:37">
      <c r="K486" s="296"/>
      <c r="L486" s="296"/>
      <c r="M486" s="296"/>
      <c r="N486" s="296"/>
      <c r="O486" s="296"/>
      <c r="P486" s="296"/>
      <c r="Q486" s="296"/>
      <c r="R486" s="296"/>
      <c r="S486" s="296"/>
      <c r="T486" s="296"/>
      <c r="U486" s="296"/>
      <c r="V486" s="296"/>
      <c r="W486" s="296"/>
      <c r="X486" s="296"/>
      <c r="Y486" s="296"/>
      <c r="Z486" s="296"/>
      <c r="AA486" s="296"/>
      <c r="AB486" s="296"/>
      <c r="AC486" s="296"/>
      <c r="AD486" s="296"/>
      <c r="AE486" s="296"/>
      <c r="AF486" s="296"/>
      <c r="AG486" s="296"/>
      <c r="AH486" s="296"/>
      <c r="AI486" s="296"/>
      <c r="AJ486" s="296"/>
      <c r="AK486" s="296"/>
    </row>
    <row r="487" spans="11:37">
      <c r="K487" s="296"/>
      <c r="L487" s="296"/>
      <c r="M487" s="296"/>
      <c r="N487" s="296"/>
      <c r="O487" s="296"/>
      <c r="P487" s="296"/>
      <c r="Q487" s="296"/>
      <c r="R487" s="296"/>
      <c r="S487" s="296"/>
      <c r="T487" s="296"/>
      <c r="U487" s="296"/>
      <c r="V487" s="296"/>
      <c r="W487" s="296"/>
      <c r="X487" s="296"/>
      <c r="Y487" s="296"/>
      <c r="Z487" s="296"/>
      <c r="AA487" s="296"/>
      <c r="AB487" s="296"/>
      <c r="AC487" s="296"/>
      <c r="AD487" s="296"/>
      <c r="AE487" s="296"/>
      <c r="AF487" s="296"/>
      <c r="AG487" s="296"/>
      <c r="AH487" s="296"/>
      <c r="AI487" s="296"/>
      <c r="AJ487" s="296"/>
      <c r="AK487" s="296"/>
    </row>
    <row r="488" spans="11:37">
      <c r="K488" s="296"/>
      <c r="L488" s="296"/>
      <c r="M488" s="296"/>
      <c r="N488" s="296"/>
      <c r="O488" s="296"/>
      <c r="P488" s="296"/>
      <c r="Q488" s="296"/>
      <c r="R488" s="296"/>
      <c r="S488" s="296"/>
      <c r="T488" s="296"/>
      <c r="U488" s="296"/>
      <c r="V488" s="296"/>
      <c r="W488" s="296"/>
      <c r="X488" s="296"/>
      <c r="Y488" s="296"/>
      <c r="Z488" s="296"/>
      <c r="AA488" s="296"/>
      <c r="AB488" s="296"/>
      <c r="AC488" s="296"/>
      <c r="AD488" s="296"/>
      <c r="AE488" s="296"/>
      <c r="AF488" s="296"/>
      <c r="AG488" s="296"/>
      <c r="AH488" s="296"/>
      <c r="AI488" s="296"/>
      <c r="AJ488" s="296"/>
      <c r="AK488" s="296"/>
    </row>
    <row r="489" spans="11:37">
      <c r="K489" s="296"/>
      <c r="L489" s="296"/>
      <c r="M489" s="296"/>
      <c r="N489" s="296"/>
      <c r="O489" s="296"/>
      <c r="P489" s="296"/>
      <c r="Q489" s="296"/>
      <c r="R489" s="296"/>
      <c r="S489" s="296"/>
      <c r="T489" s="296"/>
      <c r="U489" s="296"/>
      <c r="V489" s="296"/>
      <c r="W489" s="296"/>
      <c r="X489" s="296"/>
      <c r="Y489" s="296"/>
      <c r="Z489" s="296"/>
      <c r="AA489" s="296"/>
      <c r="AB489" s="296"/>
      <c r="AC489" s="296"/>
      <c r="AD489" s="296"/>
      <c r="AE489" s="296"/>
      <c r="AF489" s="296"/>
      <c r="AG489" s="296"/>
      <c r="AH489" s="296"/>
      <c r="AI489" s="296"/>
      <c r="AJ489" s="296"/>
      <c r="AK489" s="296"/>
    </row>
    <row r="490" spans="11:37">
      <c r="K490" s="296"/>
      <c r="L490" s="296"/>
      <c r="M490" s="296"/>
      <c r="N490" s="296"/>
      <c r="O490" s="296"/>
      <c r="P490" s="296"/>
      <c r="Q490" s="296"/>
      <c r="R490" s="296"/>
      <c r="S490" s="296"/>
      <c r="T490" s="296"/>
      <c r="U490" s="296"/>
      <c r="V490" s="296"/>
      <c r="W490" s="296"/>
      <c r="X490" s="296"/>
      <c r="Y490" s="296"/>
      <c r="Z490" s="296"/>
      <c r="AA490" s="296"/>
      <c r="AB490" s="296"/>
      <c r="AC490" s="296"/>
      <c r="AD490" s="296"/>
      <c r="AE490" s="296"/>
      <c r="AF490" s="296"/>
      <c r="AG490" s="296"/>
      <c r="AH490" s="296"/>
      <c r="AI490" s="296"/>
      <c r="AJ490" s="296"/>
      <c r="AK490" s="296"/>
    </row>
    <row r="491" spans="11:37">
      <c r="K491" s="296"/>
      <c r="L491" s="296"/>
      <c r="M491" s="296"/>
      <c r="N491" s="296"/>
      <c r="O491" s="296"/>
      <c r="P491" s="296"/>
      <c r="Q491" s="296"/>
      <c r="R491" s="296"/>
      <c r="S491" s="296"/>
      <c r="T491" s="296"/>
      <c r="U491" s="296"/>
      <c r="V491" s="296"/>
      <c r="W491" s="296"/>
      <c r="X491" s="296"/>
      <c r="Y491" s="296"/>
      <c r="Z491" s="296"/>
      <c r="AA491" s="296"/>
      <c r="AB491" s="296"/>
      <c r="AC491" s="296"/>
      <c r="AD491" s="296"/>
      <c r="AE491" s="296"/>
      <c r="AF491" s="296"/>
      <c r="AG491" s="296"/>
      <c r="AH491" s="296"/>
      <c r="AI491" s="296"/>
      <c r="AJ491" s="296"/>
      <c r="AK491" s="296"/>
    </row>
    <row r="492" spans="11:37">
      <c r="K492" s="296"/>
      <c r="L492" s="296"/>
      <c r="M492" s="296"/>
      <c r="N492" s="296"/>
      <c r="O492" s="296"/>
      <c r="P492" s="296"/>
      <c r="Q492" s="296"/>
      <c r="R492" s="296"/>
      <c r="S492" s="296"/>
      <c r="T492" s="296"/>
      <c r="U492" s="296"/>
      <c r="V492" s="296"/>
      <c r="W492" s="296"/>
      <c r="X492" s="296"/>
      <c r="Y492" s="296"/>
      <c r="Z492" s="296"/>
      <c r="AA492" s="296"/>
      <c r="AB492" s="296"/>
      <c r="AC492" s="296"/>
      <c r="AD492" s="296"/>
      <c r="AE492" s="296"/>
      <c r="AF492" s="296"/>
      <c r="AG492" s="296"/>
      <c r="AH492" s="296"/>
      <c r="AI492" s="296"/>
      <c r="AJ492" s="296"/>
      <c r="AK492" s="296"/>
    </row>
    <row r="493" spans="11:37">
      <c r="K493" s="296"/>
      <c r="L493" s="296"/>
      <c r="M493" s="296"/>
      <c r="N493" s="296"/>
      <c r="O493" s="296"/>
      <c r="P493" s="296"/>
      <c r="Q493" s="296"/>
      <c r="R493" s="296"/>
      <c r="S493" s="296"/>
      <c r="T493" s="296"/>
      <c r="U493" s="296"/>
      <c r="V493" s="296"/>
      <c r="W493" s="296"/>
      <c r="X493" s="296"/>
      <c r="Y493" s="296"/>
      <c r="Z493" s="296"/>
      <c r="AA493" s="296"/>
      <c r="AB493" s="296"/>
      <c r="AC493" s="296"/>
      <c r="AD493" s="296"/>
      <c r="AE493" s="296"/>
      <c r="AF493" s="296"/>
      <c r="AG493" s="296"/>
      <c r="AH493" s="296"/>
      <c r="AI493" s="296"/>
      <c r="AJ493" s="296"/>
      <c r="AK493" s="296"/>
    </row>
    <row r="494" spans="11:37">
      <c r="K494" s="296"/>
      <c r="L494" s="296"/>
      <c r="M494" s="296"/>
      <c r="N494" s="296"/>
      <c r="O494" s="296"/>
      <c r="P494" s="296"/>
      <c r="Q494" s="296"/>
      <c r="R494" s="296"/>
      <c r="S494" s="296"/>
      <c r="T494" s="296"/>
      <c r="U494" s="296"/>
      <c r="V494" s="296"/>
      <c r="W494" s="296"/>
      <c r="X494" s="296"/>
      <c r="Y494" s="296"/>
      <c r="Z494" s="296"/>
      <c r="AA494" s="296"/>
      <c r="AB494" s="296"/>
      <c r="AC494" s="296"/>
      <c r="AD494" s="296"/>
      <c r="AE494" s="296"/>
      <c r="AF494" s="296"/>
      <c r="AG494" s="296"/>
      <c r="AH494" s="296"/>
      <c r="AI494" s="296"/>
      <c r="AJ494" s="296"/>
      <c r="AK494" s="296"/>
    </row>
    <row r="495" spans="11:37">
      <c r="K495" s="296"/>
      <c r="L495" s="296"/>
      <c r="M495" s="296"/>
      <c r="N495" s="296"/>
      <c r="O495" s="296"/>
      <c r="P495" s="296"/>
      <c r="Q495" s="296"/>
      <c r="R495" s="296"/>
      <c r="S495" s="296"/>
      <c r="T495" s="296"/>
      <c r="U495" s="296"/>
      <c r="V495" s="296"/>
      <c r="W495" s="296"/>
      <c r="X495" s="296"/>
      <c r="Y495" s="296"/>
      <c r="Z495" s="296"/>
      <c r="AA495" s="296"/>
      <c r="AB495" s="296"/>
      <c r="AC495" s="296"/>
      <c r="AD495" s="296"/>
      <c r="AE495" s="296"/>
      <c r="AF495" s="296"/>
      <c r="AG495" s="296"/>
      <c r="AH495" s="296"/>
      <c r="AI495" s="296"/>
      <c r="AJ495" s="296"/>
      <c r="AK495" s="296"/>
    </row>
    <row r="496" spans="11:37">
      <c r="K496" s="296"/>
      <c r="L496" s="296"/>
      <c r="M496" s="296"/>
      <c r="N496" s="296"/>
      <c r="O496" s="296"/>
      <c r="P496" s="296"/>
      <c r="Q496" s="296"/>
      <c r="R496" s="296"/>
      <c r="S496" s="296"/>
      <c r="T496" s="296"/>
      <c r="U496" s="296"/>
      <c r="V496" s="296"/>
      <c r="W496" s="296"/>
      <c r="X496" s="296"/>
      <c r="Y496" s="296"/>
      <c r="Z496" s="296"/>
      <c r="AA496" s="296"/>
      <c r="AB496" s="296"/>
      <c r="AC496" s="296"/>
      <c r="AD496" s="296"/>
      <c r="AE496" s="296"/>
      <c r="AF496" s="296"/>
      <c r="AG496" s="296"/>
      <c r="AH496" s="296"/>
      <c r="AI496" s="296"/>
      <c r="AJ496" s="296"/>
      <c r="AK496" s="296"/>
    </row>
    <row r="497" spans="11:37">
      <c r="K497" s="296"/>
      <c r="L497" s="296"/>
      <c r="M497" s="296"/>
      <c r="N497" s="296"/>
      <c r="O497" s="296"/>
      <c r="P497" s="296"/>
      <c r="Q497" s="296"/>
      <c r="R497" s="296"/>
      <c r="S497" s="296"/>
      <c r="T497" s="296"/>
      <c r="U497" s="296"/>
      <c r="V497" s="296"/>
      <c r="W497" s="296"/>
      <c r="X497" s="296"/>
      <c r="Y497" s="296"/>
      <c r="Z497" s="296"/>
      <c r="AA497" s="296"/>
      <c r="AB497" s="296"/>
      <c r="AC497" s="296"/>
      <c r="AD497" s="296"/>
      <c r="AE497" s="296"/>
      <c r="AF497" s="296"/>
      <c r="AG497" s="296"/>
      <c r="AH497" s="296"/>
      <c r="AI497" s="296"/>
      <c r="AJ497" s="296"/>
      <c r="AK497" s="296"/>
    </row>
    <row r="498" spans="11:37">
      <c r="K498" s="296"/>
      <c r="L498" s="296"/>
      <c r="M498" s="296"/>
      <c r="N498" s="296"/>
      <c r="O498" s="296"/>
      <c r="P498" s="296"/>
      <c r="Q498" s="296"/>
      <c r="R498" s="296"/>
      <c r="S498" s="296"/>
      <c r="T498" s="296"/>
      <c r="U498" s="296"/>
      <c r="V498" s="296"/>
      <c r="W498" s="296"/>
      <c r="X498" s="296"/>
      <c r="Y498" s="296"/>
      <c r="Z498" s="296"/>
      <c r="AA498" s="296"/>
      <c r="AB498" s="296"/>
      <c r="AC498" s="296"/>
      <c r="AD498" s="296"/>
      <c r="AE498" s="296"/>
      <c r="AF498" s="296"/>
      <c r="AG498" s="296"/>
      <c r="AH498" s="296"/>
      <c r="AI498" s="296"/>
      <c r="AJ498" s="296"/>
      <c r="AK498" s="296"/>
    </row>
    <row r="499" spans="11:37">
      <c r="K499" s="296"/>
      <c r="L499" s="296"/>
      <c r="M499" s="296"/>
      <c r="N499" s="296"/>
      <c r="O499" s="296"/>
      <c r="P499" s="296"/>
      <c r="Q499" s="296"/>
      <c r="R499" s="296"/>
      <c r="S499" s="296"/>
      <c r="T499" s="296"/>
      <c r="U499" s="296"/>
      <c r="V499" s="296"/>
      <c r="W499" s="296"/>
      <c r="X499" s="296"/>
      <c r="Y499" s="296"/>
      <c r="Z499" s="296"/>
      <c r="AA499" s="296"/>
      <c r="AB499" s="296"/>
      <c r="AC499" s="296"/>
      <c r="AD499" s="296"/>
      <c r="AE499" s="296"/>
      <c r="AF499" s="296"/>
      <c r="AG499" s="296"/>
      <c r="AH499" s="296"/>
      <c r="AI499" s="296"/>
      <c r="AJ499" s="296"/>
      <c r="AK499" s="296"/>
    </row>
    <row r="500" spans="11:37">
      <c r="K500" s="296"/>
      <c r="L500" s="296"/>
      <c r="M500" s="296"/>
      <c r="N500" s="296"/>
      <c r="O500" s="296"/>
      <c r="P500" s="296"/>
      <c r="Q500" s="296"/>
      <c r="R500" s="296"/>
      <c r="S500" s="296"/>
      <c r="T500" s="296"/>
      <c r="U500" s="296"/>
      <c r="V500" s="296"/>
      <c r="W500" s="296"/>
      <c r="X500" s="296"/>
      <c r="Y500" s="296"/>
      <c r="Z500" s="296"/>
      <c r="AA500" s="296"/>
      <c r="AB500" s="296"/>
      <c r="AC500" s="296"/>
      <c r="AD500" s="296"/>
      <c r="AE500" s="296"/>
      <c r="AF500" s="296"/>
      <c r="AG500" s="296"/>
      <c r="AH500" s="296"/>
      <c r="AI500" s="296"/>
      <c r="AJ500" s="296"/>
      <c r="AK500" s="296"/>
    </row>
    <row r="501" spans="11:37">
      <c r="K501" s="296"/>
      <c r="L501" s="296"/>
      <c r="M501" s="296"/>
      <c r="N501" s="296"/>
      <c r="O501" s="296"/>
      <c r="P501" s="296"/>
      <c r="Q501" s="296"/>
      <c r="R501" s="296"/>
      <c r="S501" s="296"/>
      <c r="T501" s="296"/>
      <c r="U501" s="296"/>
      <c r="V501" s="296"/>
      <c r="W501" s="296"/>
      <c r="X501" s="296"/>
      <c r="Y501" s="296"/>
      <c r="Z501" s="296"/>
      <c r="AA501" s="296"/>
      <c r="AB501" s="296"/>
      <c r="AC501" s="296"/>
      <c r="AD501" s="296"/>
      <c r="AE501" s="296"/>
      <c r="AF501" s="296"/>
      <c r="AG501" s="296"/>
      <c r="AH501" s="296"/>
      <c r="AI501" s="296"/>
      <c r="AJ501" s="296"/>
      <c r="AK501" s="296"/>
    </row>
    <row r="502" spans="11:37">
      <c r="K502" s="296"/>
      <c r="L502" s="296"/>
      <c r="M502" s="296"/>
      <c r="N502" s="296"/>
      <c r="O502" s="296"/>
      <c r="P502" s="296"/>
      <c r="Q502" s="296"/>
      <c r="R502" s="296"/>
      <c r="S502" s="296"/>
      <c r="T502" s="296"/>
      <c r="U502" s="296"/>
      <c r="V502" s="296"/>
      <c r="W502" s="296"/>
      <c r="X502" s="296"/>
      <c r="Y502" s="296"/>
      <c r="Z502" s="296"/>
      <c r="AA502" s="296"/>
      <c r="AB502" s="296"/>
      <c r="AC502" s="296"/>
      <c r="AD502" s="296"/>
      <c r="AE502" s="296"/>
      <c r="AF502" s="296"/>
      <c r="AG502" s="296"/>
      <c r="AH502" s="296"/>
      <c r="AI502" s="296"/>
      <c r="AJ502" s="296"/>
      <c r="AK502" s="296"/>
    </row>
    <row r="503" spans="11:37">
      <c r="K503" s="296"/>
      <c r="L503" s="296"/>
      <c r="M503" s="296"/>
      <c r="N503" s="296"/>
      <c r="O503" s="296"/>
      <c r="P503" s="296"/>
      <c r="Q503" s="296"/>
      <c r="R503" s="296"/>
      <c r="S503" s="296"/>
      <c r="T503" s="296"/>
      <c r="U503" s="296"/>
      <c r="V503" s="296"/>
      <c r="W503" s="296"/>
      <c r="X503" s="296"/>
      <c r="Y503" s="296"/>
      <c r="Z503" s="296"/>
      <c r="AA503" s="296"/>
      <c r="AB503" s="296"/>
      <c r="AC503" s="296"/>
      <c r="AD503" s="296"/>
      <c r="AE503" s="296"/>
      <c r="AF503" s="296"/>
      <c r="AG503" s="296"/>
      <c r="AH503" s="296"/>
      <c r="AI503" s="296"/>
      <c r="AJ503" s="296"/>
      <c r="AK503" s="296"/>
    </row>
    <row r="504" spans="11:37">
      <c r="K504" s="296"/>
      <c r="L504" s="296"/>
      <c r="M504" s="296"/>
      <c r="N504" s="296"/>
      <c r="O504" s="296"/>
      <c r="P504" s="296"/>
      <c r="Q504" s="296"/>
      <c r="R504" s="296"/>
      <c r="S504" s="296"/>
      <c r="T504" s="296"/>
      <c r="U504" s="296"/>
      <c r="V504" s="296"/>
      <c r="W504" s="296"/>
      <c r="X504" s="296"/>
      <c r="Y504" s="296"/>
      <c r="Z504" s="296"/>
      <c r="AA504" s="296"/>
      <c r="AB504" s="296"/>
      <c r="AC504" s="296"/>
      <c r="AD504" s="296"/>
      <c r="AE504" s="296"/>
      <c r="AF504" s="296"/>
      <c r="AG504" s="296"/>
      <c r="AH504" s="296"/>
      <c r="AI504" s="296"/>
      <c r="AJ504" s="296"/>
      <c r="AK504" s="296"/>
    </row>
    <row r="505" spans="11:37">
      <c r="K505" s="296"/>
      <c r="L505" s="296"/>
      <c r="M505" s="296"/>
      <c r="N505" s="296"/>
      <c r="O505" s="296"/>
      <c r="P505" s="296"/>
      <c r="Q505" s="296"/>
      <c r="R505" s="296"/>
      <c r="S505" s="296"/>
      <c r="T505" s="296"/>
      <c r="U505" s="296"/>
      <c r="V505" s="296"/>
      <c r="W505" s="296"/>
      <c r="X505" s="296"/>
      <c r="Y505" s="296"/>
      <c r="Z505" s="296"/>
      <c r="AA505" s="296"/>
      <c r="AB505" s="296"/>
      <c r="AC505" s="296"/>
      <c r="AD505" s="296"/>
      <c r="AE505" s="296"/>
      <c r="AF505" s="296"/>
      <c r="AG505" s="296"/>
      <c r="AH505" s="296"/>
      <c r="AI505" s="296"/>
      <c r="AJ505" s="296"/>
      <c r="AK505" s="296"/>
    </row>
    <row r="506" spans="11:37">
      <c r="K506" s="296"/>
      <c r="L506" s="296"/>
      <c r="M506" s="296"/>
      <c r="N506" s="296"/>
      <c r="O506" s="296"/>
      <c r="P506" s="296"/>
      <c r="Q506" s="296"/>
      <c r="R506" s="296"/>
      <c r="S506" s="296"/>
      <c r="T506" s="296"/>
      <c r="U506" s="296"/>
      <c r="V506" s="296"/>
      <c r="W506" s="296"/>
      <c r="X506" s="296"/>
      <c r="Y506" s="296"/>
      <c r="Z506" s="296"/>
      <c r="AA506" s="296"/>
      <c r="AB506" s="296"/>
      <c r="AC506" s="296"/>
      <c r="AD506" s="296"/>
      <c r="AE506" s="296"/>
      <c r="AF506" s="296"/>
      <c r="AG506" s="296"/>
      <c r="AH506" s="296"/>
      <c r="AI506" s="296"/>
      <c r="AJ506" s="296"/>
      <c r="AK506" s="296"/>
    </row>
    <row r="507" spans="11:37">
      <c r="K507" s="296"/>
      <c r="L507" s="296"/>
      <c r="M507" s="296"/>
      <c r="N507" s="296"/>
      <c r="O507" s="296"/>
      <c r="P507" s="296"/>
      <c r="Q507" s="296"/>
      <c r="R507" s="296"/>
      <c r="S507" s="296"/>
      <c r="T507" s="296"/>
      <c r="U507" s="296"/>
      <c r="V507" s="296"/>
      <c r="W507" s="296"/>
      <c r="X507" s="296"/>
      <c r="Y507" s="296"/>
      <c r="Z507" s="296"/>
      <c r="AA507" s="296"/>
      <c r="AB507" s="296"/>
      <c r="AC507" s="296"/>
      <c r="AD507" s="296"/>
      <c r="AE507" s="296"/>
      <c r="AF507" s="296"/>
      <c r="AG507" s="296"/>
      <c r="AH507" s="296"/>
      <c r="AI507" s="296"/>
      <c r="AJ507" s="296"/>
      <c r="AK507" s="296"/>
    </row>
    <row r="508" spans="11:37">
      <c r="K508" s="296"/>
      <c r="L508" s="296"/>
      <c r="M508" s="296"/>
      <c r="N508" s="296"/>
      <c r="O508" s="296"/>
      <c r="P508" s="296"/>
      <c r="Q508" s="296"/>
      <c r="R508" s="296"/>
      <c r="S508" s="296"/>
      <c r="T508" s="296"/>
      <c r="U508" s="296"/>
      <c r="V508" s="296"/>
      <c r="W508" s="296"/>
      <c r="X508" s="296"/>
      <c r="Y508" s="296"/>
      <c r="Z508" s="296"/>
      <c r="AA508" s="296"/>
      <c r="AB508" s="296"/>
      <c r="AC508" s="296"/>
      <c r="AD508" s="296"/>
      <c r="AE508" s="296"/>
      <c r="AF508" s="296"/>
      <c r="AG508" s="296"/>
      <c r="AH508" s="296"/>
      <c r="AI508" s="296"/>
      <c r="AJ508" s="296"/>
      <c r="AK508" s="296"/>
    </row>
    <row r="509" spans="11:37">
      <c r="K509" s="296"/>
      <c r="L509" s="296"/>
      <c r="M509" s="296"/>
      <c r="N509" s="296"/>
      <c r="O509" s="296"/>
      <c r="P509" s="296"/>
      <c r="Q509" s="296"/>
      <c r="R509" s="296"/>
      <c r="S509" s="296"/>
      <c r="T509" s="296"/>
      <c r="U509" s="296"/>
      <c r="V509" s="296"/>
      <c r="W509" s="296"/>
      <c r="X509" s="296"/>
      <c r="Y509" s="296"/>
      <c r="Z509" s="296"/>
      <c r="AA509" s="296"/>
      <c r="AB509" s="296"/>
      <c r="AC509" s="296"/>
      <c r="AD509" s="296"/>
      <c r="AE509" s="296"/>
      <c r="AF509" s="296"/>
      <c r="AG509" s="296"/>
      <c r="AH509" s="296"/>
      <c r="AI509" s="296"/>
      <c r="AJ509" s="296"/>
      <c r="AK509" s="296"/>
    </row>
    <row r="510" spans="11:37">
      <c r="K510" s="296"/>
      <c r="L510" s="296"/>
      <c r="M510" s="296"/>
      <c r="N510" s="296"/>
      <c r="O510" s="296"/>
      <c r="P510" s="296"/>
      <c r="Q510" s="296"/>
      <c r="R510" s="296"/>
      <c r="S510" s="296"/>
      <c r="T510" s="296"/>
      <c r="U510" s="296"/>
      <c r="V510" s="296"/>
      <c r="W510" s="296"/>
      <c r="X510" s="296"/>
      <c r="Y510" s="296"/>
      <c r="Z510" s="296"/>
      <c r="AA510" s="296"/>
      <c r="AB510" s="296"/>
      <c r="AC510" s="296"/>
      <c r="AD510" s="296"/>
      <c r="AE510" s="296"/>
      <c r="AF510" s="296"/>
      <c r="AG510" s="296"/>
      <c r="AH510" s="296"/>
      <c r="AI510" s="296"/>
      <c r="AJ510" s="296"/>
      <c r="AK510" s="296"/>
    </row>
    <row r="511" spans="11:37">
      <c r="K511" s="296"/>
      <c r="L511" s="296"/>
      <c r="M511" s="296"/>
      <c r="N511" s="296"/>
      <c r="O511" s="296"/>
      <c r="P511" s="296"/>
      <c r="Q511" s="296"/>
      <c r="R511" s="296"/>
      <c r="S511" s="296"/>
      <c r="T511" s="296"/>
      <c r="U511" s="296"/>
      <c r="V511" s="296"/>
      <c r="W511" s="296"/>
      <c r="X511" s="296"/>
      <c r="Y511" s="296"/>
      <c r="Z511" s="296"/>
      <c r="AA511" s="296"/>
      <c r="AB511" s="296"/>
      <c r="AC511" s="296"/>
      <c r="AD511" s="296"/>
      <c r="AE511" s="296"/>
      <c r="AF511" s="296"/>
      <c r="AG511" s="296"/>
      <c r="AH511" s="296"/>
      <c r="AI511" s="296"/>
      <c r="AJ511" s="296"/>
      <c r="AK511" s="296"/>
    </row>
    <row r="512" spans="11:37">
      <c r="K512" s="296"/>
      <c r="L512" s="296"/>
      <c r="M512" s="296"/>
      <c r="N512" s="296"/>
      <c r="O512" s="296"/>
      <c r="P512" s="296"/>
      <c r="Q512" s="296"/>
      <c r="R512" s="296"/>
      <c r="S512" s="296"/>
      <c r="T512" s="296"/>
      <c r="U512" s="296"/>
      <c r="V512" s="296"/>
      <c r="W512" s="296"/>
      <c r="X512" s="296"/>
      <c r="Y512" s="296"/>
      <c r="Z512" s="296"/>
      <c r="AA512" s="296"/>
      <c r="AB512" s="296"/>
      <c r="AC512" s="296"/>
      <c r="AD512" s="296"/>
      <c r="AE512" s="296"/>
      <c r="AF512" s="296"/>
      <c r="AG512" s="296"/>
      <c r="AH512" s="296"/>
      <c r="AI512" s="296"/>
      <c r="AJ512" s="296"/>
      <c r="AK512" s="296"/>
    </row>
    <row r="513" spans="11:37">
      <c r="K513" s="296"/>
      <c r="L513" s="296"/>
      <c r="M513" s="296"/>
      <c r="N513" s="296"/>
      <c r="O513" s="296"/>
      <c r="P513" s="296"/>
      <c r="Q513" s="296"/>
      <c r="R513" s="296"/>
      <c r="S513" s="296"/>
      <c r="T513" s="296"/>
      <c r="U513" s="296"/>
      <c r="V513" s="296"/>
      <c r="W513" s="296"/>
      <c r="X513" s="296"/>
      <c r="Y513" s="296"/>
      <c r="Z513" s="296"/>
      <c r="AA513" s="296"/>
      <c r="AB513" s="296"/>
      <c r="AC513" s="296"/>
      <c r="AD513" s="296"/>
      <c r="AE513" s="296"/>
      <c r="AF513" s="296"/>
      <c r="AG513" s="296"/>
      <c r="AH513" s="296"/>
      <c r="AI513" s="296"/>
      <c r="AJ513" s="296"/>
      <c r="AK513" s="296"/>
    </row>
    <row r="514" spans="11:37">
      <c r="K514" s="296"/>
      <c r="L514" s="296"/>
      <c r="M514" s="296"/>
      <c r="N514" s="296"/>
      <c r="O514" s="296"/>
      <c r="P514" s="296"/>
      <c r="Q514" s="296"/>
      <c r="R514" s="296"/>
      <c r="S514" s="296"/>
      <c r="T514" s="296"/>
      <c r="U514" s="296"/>
      <c r="V514" s="296"/>
      <c r="W514" s="296"/>
      <c r="X514" s="296"/>
      <c r="Y514" s="296"/>
      <c r="Z514" s="296"/>
      <c r="AA514" s="296"/>
      <c r="AB514" s="296"/>
      <c r="AC514" s="296"/>
      <c r="AD514" s="296"/>
      <c r="AE514" s="296"/>
      <c r="AF514" s="296"/>
      <c r="AG514" s="296"/>
      <c r="AH514" s="296"/>
      <c r="AI514" s="296"/>
      <c r="AJ514" s="296"/>
      <c r="AK514" s="296"/>
    </row>
    <row r="515" spans="11:37">
      <c r="K515" s="296"/>
      <c r="L515" s="296"/>
      <c r="M515" s="296"/>
      <c r="N515" s="296"/>
      <c r="O515" s="296"/>
      <c r="P515" s="296"/>
      <c r="Q515" s="296"/>
      <c r="R515" s="296"/>
      <c r="S515" s="296"/>
      <c r="T515" s="296"/>
      <c r="U515" s="296"/>
      <c r="V515" s="296"/>
      <c r="W515" s="296"/>
      <c r="X515" s="296"/>
      <c r="Y515" s="296"/>
      <c r="Z515" s="296"/>
      <c r="AA515" s="296"/>
      <c r="AB515" s="296"/>
      <c r="AC515" s="296"/>
      <c r="AD515" s="296"/>
      <c r="AE515" s="296"/>
      <c r="AF515" s="296"/>
      <c r="AG515" s="296"/>
      <c r="AH515" s="296"/>
      <c r="AI515" s="296"/>
      <c r="AJ515" s="296"/>
      <c r="AK515" s="296"/>
    </row>
    <row r="516" spans="11:37">
      <c r="K516" s="296"/>
      <c r="L516" s="296"/>
      <c r="M516" s="296"/>
      <c r="N516" s="296"/>
      <c r="O516" s="296"/>
      <c r="P516" s="296"/>
      <c r="Q516" s="296"/>
      <c r="R516" s="296"/>
      <c r="S516" s="296"/>
      <c r="T516" s="296"/>
      <c r="U516" s="296"/>
      <c r="V516" s="296"/>
      <c r="W516" s="296"/>
      <c r="X516" s="296"/>
      <c r="Y516" s="296"/>
      <c r="Z516" s="296"/>
      <c r="AA516" s="296"/>
      <c r="AB516" s="296"/>
      <c r="AC516" s="296"/>
      <c r="AD516" s="296"/>
      <c r="AE516" s="296"/>
      <c r="AF516" s="296"/>
      <c r="AG516" s="296"/>
      <c r="AH516" s="296"/>
      <c r="AI516" s="296"/>
      <c r="AJ516" s="296"/>
      <c r="AK516" s="296"/>
    </row>
    <row r="517" spans="11:37">
      <c r="K517" s="296"/>
      <c r="L517" s="296"/>
      <c r="M517" s="296"/>
      <c r="N517" s="296"/>
      <c r="O517" s="296"/>
      <c r="P517" s="296"/>
      <c r="Q517" s="296"/>
      <c r="R517" s="296"/>
      <c r="S517" s="296"/>
      <c r="T517" s="296"/>
      <c r="U517" s="296"/>
      <c r="V517" s="296"/>
      <c r="W517" s="296"/>
      <c r="X517" s="296"/>
      <c r="Y517" s="296"/>
      <c r="Z517" s="296"/>
      <c r="AA517" s="296"/>
      <c r="AB517" s="296"/>
      <c r="AC517" s="296"/>
      <c r="AD517" s="296"/>
      <c r="AE517" s="296"/>
      <c r="AF517" s="296"/>
      <c r="AG517" s="296"/>
      <c r="AH517" s="296"/>
      <c r="AI517" s="296"/>
      <c r="AJ517" s="296"/>
      <c r="AK517" s="296"/>
    </row>
    <row r="518" spans="11:37">
      <c r="K518" s="296"/>
      <c r="L518" s="296"/>
      <c r="M518" s="296"/>
      <c r="N518" s="296"/>
      <c r="O518" s="296"/>
      <c r="P518" s="296"/>
      <c r="Q518" s="296"/>
      <c r="R518" s="296"/>
      <c r="S518" s="296"/>
      <c r="T518" s="296"/>
      <c r="U518" s="296"/>
      <c r="V518" s="296"/>
      <c r="W518" s="296"/>
      <c r="X518" s="296"/>
      <c r="Y518" s="296"/>
      <c r="Z518" s="296"/>
      <c r="AA518" s="296"/>
      <c r="AB518" s="296"/>
      <c r="AC518" s="296"/>
      <c r="AD518" s="296"/>
      <c r="AE518" s="296"/>
      <c r="AF518" s="296"/>
      <c r="AG518" s="296"/>
      <c r="AH518" s="296"/>
      <c r="AI518" s="296"/>
      <c r="AJ518" s="296"/>
      <c r="AK518" s="296"/>
    </row>
    <row r="519" spans="11:37">
      <c r="K519" s="296"/>
      <c r="L519" s="296"/>
      <c r="M519" s="296"/>
      <c r="N519" s="296"/>
      <c r="O519" s="296"/>
      <c r="P519" s="296"/>
      <c r="Q519" s="296"/>
      <c r="R519" s="296"/>
      <c r="S519" s="296"/>
      <c r="T519" s="296"/>
      <c r="U519" s="296"/>
      <c r="V519" s="296"/>
      <c r="W519" s="296"/>
      <c r="X519" s="296"/>
      <c r="Y519" s="296"/>
      <c r="Z519" s="296"/>
      <c r="AA519" s="296"/>
      <c r="AB519" s="296"/>
      <c r="AC519" s="296"/>
      <c r="AD519" s="296"/>
      <c r="AE519" s="296"/>
      <c r="AF519" s="296"/>
      <c r="AG519" s="296"/>
      <c r="AH519" s="296"/>
      <c r="AI519" s="296"/>
      <c r="AJ519" s="296"/>
      <c r="AK519" s="296"/>
    </row>
    <row r="520" spans="11:37">
      <c r="K520" s="296"/>
      <c r="L520" s="296"/>
      <c r="M520" s="296"/>
      <c r="N520" s="296"/>
      <c r="O520" s="296"/>
      <c r="P520" s="296"/>
      <c r="Q520" s="296"/>
      <c r="R520" s="296"/>
      <c r="S520" s="296"/>
      <c r="T520" s="296"/>
      <c r="U520" s="296"/>
      <c r="V520" s="296"/>
      <c r="W520" s="296"/>
      <c r="X520" s="296"/>
      <c r="Y520" s="296"/>
      <c r="Z520" s="296"/>
      <c r="AA520" s="296"/>
      <c r="AB520" s="296"/>
      <c r="AC520" s="296"/>
      <c r="AD520" s="296"/>
      <c r="AE520" s="296"/>
      <c r="AF520" s="296"/>
      <c r="AG520" s="296"/>
      <c r="AH520" s="296"/>
      <c r="AI520" s="296"/>
      <c r="AJ520" s="296"/>
      <c r="AK520" s="296"/>
    </row>
    <row r="521" spans="11:37">
      <c r="K521" s="296"/>
      <c r="L521" s="296"/>
      <c r="M521" s="296"/>
      <c r="N521" s="296"/>
      <c r="O521" s="296"/>
      <c r="P521" s="296"/>
      <c r="Q521" s="296"/>
      <c r="R521" s="296"/>
      <c r="S521" s="296"/>
      <c r="T521" s="296"/>
      <c r="U521" s="296"/>
      <c r="V521" s="296"/>
      <c r="W521" s="296"/>
      <c r="X521" s="296"/>
      <c r="Y521" s="296"/>
      <c r="Z521" s="296"/>
      <c r="AA521" s="296"/>
      <c r="AB521" s="296"/>
      <c r="AC521" s="296"/>
      <c r="AD521" s="296"/>
      <c r="AE521" s="296"/>
      <c r="AF521" s="296"/>
      <c r="AG521" s="296"/>
      <c r="AH521" s="296"/>
      <c r="AI521" s="296"/>
      <c r="AJ521" s="296"/>
      <c r="AK521" s="296"/>
    </row>
    <row r="522" spans="11:37">
      <c r="K522" s="296"/>
      <c r="L522" s="296"/>
      <c r="M522" s="296"/>
      <c r="N522" s="296"/>
      <c r="O522" s="296"/>
      <c r="P522" s="296"/>
      <c r="Q522" s="296"/>
      <c r="R522" s="296"/>
      <c r="S522" s="296"/>
      <c r="T522" s="296"/>
      <c r="U522" s="296"/>
      <c r="V522" s="296"/>
      <c r="W522" s="296"/>
      <c r="X522" s="296"/>
      <c r="Y522" s="296"/>
      <c r="Z522" s="296"/>
      <c r="AA522" s="296"/>
      <c r="AB522" s="296"/>
      <c r="AC522" s="296"/>
      <c r="AD522" s="296"/>
      <c r="AE522" s="296"/>
      <c r="AF522" s="296"/>
      <c r="AG522" s="296"/>
      <c r="AH522" s="296"/>
      <c r="AI522" s="296"/>
      <c r="AJ522" s="296"/>
      <c r="AK522" s="296"/>
    </row>
    <row r="523" spans="11:37">
      <c r="K523" s="296"/>
      <c r="L523" s="296"/>
      <c r="M523" s="296"/>
      <c r="N523" s="296"/>
      <c r="O523" s="296"/>
      <c r="P523" s="296"/>
      <c r="Q523" s="296"/>
      <c r="R523" s="296"/>
      <c r="S523" s="296"/>
      <c r="T523" s="296"/>
      <c r="U523" s="296"/>
      <c r="V523" s="296"/>
      <c r="W523" s="296"/>
      <c r="X523" s="296"/>
      <c r="Y523" s="296"/>
      <c r="Z523" s="296"/>
      <c r="AA523" s="296"/>
      <c r="AB523" s="296"/>
      <c r="AC523" s="296"/>
      <c r="AD523" s="296"/>
      <c r="AE523" s="296"/>
      <c r="AF523" s="296"/>
      <c r="AG523" s="296"/>
      <c r="AH523" s="296"/>
      <c r="AI523" s="296"/>
      <c r="AJ523" s="296"/>
      <c r="AK523" s="296"/>
    </row>
    <row r="524" spans="11:37">
      <c r="K524" s="296"/>
      <c r="L524" s="296"/>
      <c r="M524" s="296"/>
      <c r="N524" s="296"/>
      <c r="O524" s="296"/>
      <c r="P524" s="296"/>
      <c r="Q524" s="296"/>
      <c r="R524" s="296"/>
      <c r="S524" s="296"/>
      <c r="T524" s="296"/>
      <c r="U524" s="296"/>
      <c r="V524" s="296"/>
      <c r="W524" s="296"/>
      <c r="X524" s="296"/>
      <c r="Y524" s="296"/>
      <c r="Z524" s="296"/>
      <c r="AA524" s="296"/>
      <c r="AB524" s="296"/>
      <c r="AC524" s="296"/>
      <c r="AD524" s="296"/>
      <c r="AE524" s="296"/>
      <c r="AF524" s="296"/>
      <c r="AG524" s="296"/>
      <c r="AH524" s="296"/>
      <c r="AI524" s="296"/>
      <c r="AJ524" s="296"/>
      <c r="AK524" s="296"/>
    </row>
    <row r="525" spans="11:37">
      <c r="K525" s="296"/>
      <c r="L525" s="296"/>
      <c r="M525" s="296"/>
      <c r="N525" s="296"/>
      <c r="O525" s="296"/>
      <c r="P525" s="296"/>
      <c r="Q525" s="296"/>
      <c r="R525" s="296"/>
      <c r="S525" s="296"/>
      <c r="T525" s="296"/>
      <c r="U525" s="296"/>
      <c r="V525" s="296"/>
      <c r="W525" s="296"/>
      <c r="X525" s="296"/>
      <c r="Y525" s="296"/>
      <c r="Z525" s="296"/>
      <c r="AA525" s="296"/>
      <c r="AB525" s="296"/>
      <c r="AC525" s="296"/>
      <c r="AD525" s="296"/>
      <c r="AE525" s="296"/>
      <c r="AF525" s="296"/>
      <c r="AG525" s="296"/>
      <c r="AH525" s="296"/>
      <c r="AI525" s="296"/>
      <c r="AJ525" s="296"/>
      <c r="AK525" s="296"/>
    </row>
    <row r="526" spans="11:37">
      <c r="K526" s="296"/>
      <c r="L526" s="296"/>
      <c r="M526" s="296"/>
      <c r="N526" s="296"/>
      <c r="O526" s="296"/>
      <c r="P526" s="296"/>
      <c r="Q526" s="296"/>
      <c r="R526" s="296"/>
      <c r="S526" s="296"/>
      <c r="T526" s="296"/>
      <c r="U526" s="296"/>
      <c r="V526" s="296"/>
      <c r="W526" s="296"/>
      <c r="X526" s="296"/>
      <c r="Y526" s="296"/>
      <c r="Z526" s="296"/>
      <c r="AA526" s="296"/>
      <c r="AB526" s="296"/>
      <c r="AC526" s="296"/>
      <c r="AD526" s="296"/>
      <c r="AE526" s="296"/>
      <c r="AF526" s="296"/>
      <c r="AG526" s="296"/>
      <c r="AH526" s="296"/>
      <c r="AI526" s="296"/>
      <c r="AJ526" s="296"/>
      <c r="AK526" s="296"/>
    </row>
    <row r="527" spans="11:37">
      <c r="K527" s="296"/>
      <c r="L527" s="296"/>
      <c r="M527" s="296"/>
      <c r="N527" s="296"/>
      <c r="O527" s="296"/>
      <c r="P527" s="296"/>
      <c r="Q527" s="296"/>
      <c r="R527" s="296"/>
      <c r="S527" s="296"/>
      <c r="T527" s="296"/>
      <c r="U527" s="296"/>
      <c r="V527" s="296"/>
      <c r="W527" s="296"/>
      <c r="X527" s="296"/>
      <c r="Y527" s="296"/>
      <c r="Z527" s="296"/>
      <c r="AA527" s="296"/>
      <c r="AB527" s="296"/>
      <c r="AC527" s="296"/>
      <c r="AD527" s="296"/>
      <c r="AE527" s="296"/>
      <c r="AF527" s="296"/>
      <c r="AG527" s="296"/>
      <c r="AH527" s="296"/>
      <c r="AI527" s="296"/>
      <c r="AJ527" s="296"/>
      <c r="AK527" s="296"/>
    </row>
    <row r="528" spans="11:37">
      <c r="K528" s="296"/>
      <c r="L528" s="296"/>
      <c r="M528" s="296"/>
      <c r="N528" s="296"/>
      <c r="O528" s="296"/>
      <c r="P528" s="296"/>
      <c r="Q528" s="296"/>
      <c r="R528" s="296"/>
      <c r="S528" s="296"/>
      <c r="T528" s="296"/>
      <c r="U528" s="296"/>
      <c r="V528" s="296"/>
      <c r="W528" s="296"/>
      <c r="X528" s="296"/>
      <c r="Y528" s="296"/>
      <c r="Z528" s="296"/>
      <c r="AA528" s="296"/>
      <c r="AB528" s="296"/>
      <c r="AC528" s="296"/>
      <c r="AD528" s="296"/>
      <c r="AE528" s="296"/>
      <c r="AF528" s="296"/>
      <c r="AG528" s="296"/>
      <c r="AH528" s="296"/>
      <c r="AI528" s="296"/>
      <c r="AJ528" s="296"/>
      <c r="AK528" s="296"/>
    </row>
    <row r="529" spans="11:37">
      <c r="K529" s="296"/>
      <c r="L529" s="296"/>
      <c r="M529" s="296"/>
      <c r="N529" s="296"/>
      <c r="O529" s="296"/>
      <c r="P529" s="296"/>
      <c r="Q529" s="296"/>
      <c r="R529" s="296"/>
      <c r="S529" s="296"/>
      <c r="T529" s="296"/>
      <c r="U529" s="296"/>
      <c r="V529" s="296"/>
      <c r="W529" s="296"/>
      <c r="X529" s="296"/>
      <c r="Y529" s="296"/>
      <c r="Z529" s="296"/>
      <c r="AA529" s="296"/>
      <c r="AB529" s="296"/>
      <c r="AC529" s="296"/>
      <c r="AD529" s="296"/>
      <c r="AE529" s="296"/>
      <c r="AF529" s="296"/>
      <c r="AG529" s="296"/>
      <c r="AH529" s="296"/>
      <c r="AI529" s="296"/>
      <c r="AJ529" s="296"/>
      <c r="AK529" s="296"/>
    </row>
    <row r="530" spans="11:37">
      <c r="K530" s="296"/>
      <c r="L530" s="296"/>
      <c r="M530" s="296"/>
      <c r="N530" s="296"/>
      <c r="O530" s="296"/>
      <c r="P530" s="296"/>
      <c r="Q530" s="296"/>
      <c r="R530" s="296"/>
      <c r="S530" s="296"/>
      <c r="T530" s="296"/>
      <c r="U530" s="296"/>
      <c r="V530" s="296"/>
      <c r="W530" s="296"/>
      <c r="X530" s="296"/>
      <c r="Y530" s="296"/>
      <c r="Z530" s="296"/>
      <c r="AA530" s="296"/>
      <c r="AB530" s="296"/>
      <c r="AC530" s="296"/>
      <c r="AD530" s="296"/>
      <c r="AE530" s="296"/>
      <c r="AF530" s="296"/>
      <c r="AG530" s="296"/>
      <c r="AH530" s="296"/>
      <c r="AI530" s="296"/>
      <c r="AJ530" s="296"/>
      <c r="AK530" s="296"/>
    </row>
    <row r="531" spans="11:37">
      <c r="K531" s="296"/>
      <c r="L531" s="296"/>
      <c r="M531" s="296"/>
      <c r="N531" s="296"/>
      <c r="O531" s="296"/>
      <c r="P531" s="296"/>
      <c r="Q531" s="296"/>
      <c r="R531" s="296"/>
      <c r="S531" s="296"/>
      <c r="T531" s="296"/>
      <c r="U531" s="296"/>
      <c r="V531" s="296"/>
      <c r="W531" s="296"/>
      <c r="X531" s="296"/>
      <c r="Y531" s="296"/>
      <c r="Z531" s="296"/>
      <c r="AA531" s="296"/>
      <c r="AB531" s="296"/>
      <c r="AC531" s="296"/>
      <c r="AD531" s="296"/>
      <c r="AE531" s="296"/>
      <c r="AF531" s="296"/>
      <c r="AG531" s="296"/>
      <c r="AH531" s="296"/>
      <c r="AI531" s="296"/>
      <c r="AJ531" s="296"/>
      <c r="AK531" s="296"/>
    </row>
    <row r="532" spans="11:37">
      <c r="K532" s="296"/>
      <c r="L532" s="296"/>
      <c r="M532" s="296"/>
      <c r="N532" s="296"/>
      <c r="O532" s="296"/>
      <c r="P532" s="296"/>
      <c r="Q532" s="296"/>
      <c r="R532" s="296"/>
      <c r="S532" s="296"/>
      <c r="T532" s="296"/>
      <c r="U532" s="296"/>
      <c r="V532" s="296"/>
      <c r="W532" s="296"/>
      <c r="X532" s="296"/>
      <c r="Y532" s="296"/>
      <c r="Z532" s="296"/>
      <c r="AA532" s="296"/>
      <c r="AB532" s="296"/>
      <c r="AC532" s="296"/>
      <c r="AD532" s="296"/>
      <c r="AE532" s="296"/>
      <c r="AF532" s="296"/>
      <c r="AG532" s="296"/>
      <c r="AH532" s="296"/>
      <c r="AI532" s="296"/>
      <c r="AJ532" s="296"/>
      <c r="AK532" s="296"/>
    </row>
    <row r="533" spans="11:37">
      <c r="K533" s="296"/>
      <c r="L533" s="296"/>
      <c r="M533" s="296"/>
      <c r="N533" s="296"/>
      <c r="O533" s="296"/>
      <c r="P533" s="296"/>
      <c r="Q533" s="296"/>
      <c r="R533" s="296"/>
      <c r="S533" s="296"/>
      <c r="T533" s="296"/>
      <c r="U533" s="296"/>
      <c r="V533" s="296"/>
      <c r="W533" s="296"/>
      <c r="X533" s="296"/>
      <c r="Y533" s="296"/>
      <c r="Z533" s="296"/>
      <c r="AA533" s="296"/>
      <c r="AB533" s="296"/>
      <c r="AC533" s="296"/>
      <c r="AD533" s="296"/>
      <c r="AE533" s="296"/>
      <c r="AF533" s="296"/>
      <c r="AG533" s="296"/>
      <c r="AH533" s="296"/>
      <c r="AI533" s="296"/>
      <c r="AJ533" s="296"/>
      <c r="AK533" s="296"/>
    </row>
    <row r="534" spans="11:37">
      <c r="K534" s="296"/>
      <c r="L534" s="296"/>
      <c r="M534" s="296"/>
      <c r="N534" s="296"/>
      <c r="O534" s="296"/>
      <c r="P534" s="296"/>
      <c r="Q534" s="296"/>
      <c r="R534" s="296"/>
      <c r="S534" s="296"/>
      <c r="T534" s="296"/>
      <c r="U534" s="296"/>
      <c r="V534" s="296"/>
      <c r="W534" s="296"/>
      <c r="X534" s="296"/>
      <c r="Y534" s="296"/>
      <c r="Z534" s="296"/>
      <c r="AA534" s="296"/>
      <c r="AB534" s="296"/>
      <c r="AC534" s="296"/>
      <c r="AD534" s="296"/>
      <c r="AE534" s="296"/>
      <c r="AF534" s="296"/>
      <c r="AG534" s="296"/>
      <c r="AH534" s="296"/>
      <c r="AI534" s="296"/>
      <c r="AJ534" s="296"/>
      <c r="AK534" s="296"/>
    </row>
    <row r="535" spans="11:37">
      <c r="K535" s="296"/>
      <c r="L535" s="296"/>
      <c r="M535" s="296"/>
      <c r="N535" s="296"/>
      <c r="O535" s="296"/>
      <c r="P535" s="296"/>
      <c r="Q535" s="296"/>
      <c r="R535" s="296"/>
      <c r="S535" s="296"/>
      <c r="T535" s="296"/>
      <c r="U535" s="296"/>
      <c r="V535" s="296"/>
      <c r="W535" s="296"/>
      <c r="X535" s="296"/>
      <c r="Y535" s="296"/>
      <c r="Z535" s="296"/>
      <c r="AA535" s="296"/>
      <c r="AB535" s="296"/>
      <c r="AC535" s="296"/>
      <c r="AD535" s="296"/>
      <c r="AE535" s="296"/>
      <c r="AF535" s="296"/>
      <c r="AG535" s="296"/>
      <c r="AH535" s="296"/>
      <c r="AI535" s="296"/>
      <c r="AJ535" s="296"/>
      <c r="AK535" s="296"/>
    </row>
    <row r="536" spans="11:37">
      <c r="K536" s="296"/>
      <c r="L536" s="296"/>
      <c r="M536" s="296"/>
      <c r="N536" s="296"/>
      <c r="O536" s="296"/>
      <c r="P536" s="296"/>
      <c r="Q536" s="296"/>
      <c r="R536" s="296"/>
      <c r="S536" s="296"/>
      <c r="T536" s="296"/>
      <c r="U536" s="296"/>
      <c r="V536" s="296"/>
      <c r="W536" s="296"/>
      <c r="X536" s="296"/>
      <c r="Y536" s="296"/>
      <c r="Z536" s="296"/>
      <c r="AA536" s="296"/>
      <c r="AB536" s="296"/>
      <c r="AC536" s="296"/>
      <c r="AD536" s="296"/>
      <c r="AE536" s="296"/>
      <c r="AF536" s="296"/>
      <c r="AG536" s="296"/>
      <c r="AH536" s="296"/>
      <c r="AI536" s="296"/>
      <c r="AJ536" s="296"/>
      <c r="AK536" s="296"/>
    </row>
    <row r="537" spans="11:37">
      <c r="K537" s="296"/>
      <c r="L537" s="296"/>
      <c r="M537" s="296"/>
      <c r="N537" s="296"/>
      <c r="O537" s="296"/>
      <c r="P537" s="296"/>
      <c r="Q537" s="296"/>
      <c r="R537" s="296"/>
      <c r="S537" s="296"/>
      <c r="T537" s="296"/>
      <c r="U537" s="296"/>
      <c r="V537" s="296"/>
      <c r="W537" s="296"/>
      <c r="X537" s="296"/>
      <c r="Y537" s="296"/>
      <c r="Z537" s="296"/>
      <c r="AA537" s="296"/>
      <c r="AB537" s="296"/>
      <c r="AC537" s="296"/>
      <c r="AD537" s="296"/>
      <c r="AE537" s="296"/>
      <c r="AF537" s="296"/>
      <c r="AG537" s="296"/>
      <c r="AH537" s="296"/>
      <c r="AI537" s="296"/>
      <c r="AJ537" s="296"/>
      <c r="AK537" s="296"/>
    </row>
    <row r="538" spans="11:37">
      <c r="K538" s="296"/>
      <c r="L538" s="296"/>
      <c r="M538" s="296"/>
      <c r="N538" s="296"/>
      <c r="O538" s="296"/>
      <c r="P538" s="296"/>
      <c r="Q538" s="296"/>
      <c r="R538" s="296"/>
      <c r="S538" s="296"/>
      <c r="T538" s="296"/>
      <c r="U538" s="296"/>
      <c r="V538" s="296"/>
      <c r="W538" s="296"/>
      <c r="X538" s="296"/>
      <c r="Y538" s="296"/>
      <c r="Z538" s="296"/>
      <c r="AA538" s="296"/>
      <c r="AB538" s="296"/>
      <c r="AC538" s="296"/>
      <c r="AD538" s="296"/>
      <c r="AE538" s="296"/>
      <c r="AF538" s="296"/>
      <c r="AG538" s="296"/>
      <c r="AH538" s="296"/>
      <c r="AI538" s="296"/>
      <c r="AJ538" s="296"/>
      <c r="AK538" s="296"/>
    </row>
    <row r="539" spans="11:37">
      <c r="K539" s="296"/>
      <c r="L539" s="296"/>
      <c r="M539" s="296"/>
      <c r="N539" s="296"/>
      <c r="O539" s="296"/>
      <c r="P539" s="296"/>
      <c r="Q539" s="296"/>
      <c r="R539" s="296"/>
      <c r="S539" s="296"/>
      <c r="T539" s="296"/>
      <c r="U539" s="296"/>
      <c r="V539" s="296"/>
      <c r="W539" s="296"/>
      <c r="X539" s="296"/>
      <c r="Y539" s="296"/>
      <c r="Z539" s="296"/>
      <c r="AA539" s="296"/>
      <c r="AB539" s="296"/>
      <c r="AC539" s="296"/>
      <c r="AD539" s="296"/>
      <c r="AE539" s="296"/>
      <c r="AF539" s="296"/>
      <c r="AG539" s="296"/>
      <c r="AH539" s="296"/>
      <c r="AI539" s="296"/>
      <c r="AJ539" s="296"/>
      <c r="AK539" s="296"/>
    </row>
    <row r="540" spans="11:37">
      <c r="K540" s="296"/>
      <c r="L540" s="296"/>
      <c r="M540" s="296"/>
      <c r="N540" s="296"/>
      <c r="O540" s="296"/>
      <c r="P540" s="296"/>
      <c r="Q540" s="296"/>
      <c r="R540" s="296"/>
      <c r="S540" s="296"/>
      <c r="T540" s="296"/>
      <c r="U540" s="296"/>
      <c r="V540" s="296"/>
      <c r="W540" s="296"/>
      <c r="X540" s="296"/>
      <c r="Y540" s="296"/>
      <c r="Z540" s="296"/>
      <c r="AA540" s="296"/>
      <c r="AB540" s="296"/>
      <c r="AC540" s="296"/>
      <c r="AD540" s="296"/>
      <c r="AE540" s="296"/>
      <c r="AF540" s="296"/>
      <c r="AG540" s="296"/>
      <c r="AH540" s="296"/>
      <c r="AI540" s="296"/>
      <c r="AJ540" s="296"/>
      <c r="AK540" s="296"/>
    </row>
    <row r="541" spans="11:37">
      <c r="K541" s="296"/>
      <c r="L541" s="296"/>
      <c r="M541" s="296"/>
      <c r="N541" s="296"/>
      <c r="O541" s="296"/>
      <c r="P541" s="296"/>
      <c r="Q541" s="296"/>
      <c r="R541" s="296"/>
      <c r="S541" s="296"/>
      <c r="T541" s="296"/>
      <c r="U541" s="296"/>
      <c r="V541" s="296"/>
      <c r="W541" s="296"/>
      <c r="X541" s="296"/>
      <c r="Y541" s="296"/>
      <c r="Z541" s="296"/>
      <c r="AA541" s="296"/>
      <c r="AB541" s="296"/>
      <c r="AC541" s="296"/>
      <c r="AD541" s="296"/>
      <c r="AE541" s="296"/>
      <c r="AF541" s="296"/>
      <c r="AG541" s="296"/>
      <c r="AH541" s="296"/>
      <c r="AI541" s="296"/>
      <c r="AJ541" s="296"/>
      <c r="AK541" s="296"/>
    </row>
    <row r="542" spans="11:37">
      <c r="K542" s="296"/>
      <c r="L542" s="296"/>
      <c r="M542" s="296"/>
      <c r="N542" s="296"/>
      <c r="O542" s="296"/>
      <c r="P542" s="296"/>
      <c r="Q542" s="296"/>
      <c r="R542" s="296"/>
      <c r="S542" s="296"/>
      <c r="T542" s="296"/>
      <c r="U542" s="296"/>
      <c r="V542" s="296"/>
      <c r="W542" s="296"/>
      <c r="X542" s="296"/>
      <c r="Y542" s="296"/>
      <c r="Z542" s="296"/>
      <c r="AA542" s="296"/>
      <c r="AB542" s="296"/>
      <c r="AC542" s="296"/>
      <c r="AD542" s="296"/>
      <c r="AE542" s="296"/>
      <c r="AF542" s="296"/>
      <c r="AG542" s="296"/>
      <c r="AH542" s="296"/>
      <c r="AI542" s="296"/>
      <c r="AJ542" s="296"/>
      <c r="AK542" s="296"/>
    </row>
    <row r="543" spans="11:37">
      <c r="K543" s="296"/>
      <c r="L543" s="296"/>
      <c r="M543" s="296"/>
      <c r="N543" s="296"/>
      <c r="O543" s="296"/>
      <c r="P543" s="296"/>
      <c r="Q543" s="296"/>
      <c r="R543" s="296"/>
      <c r="S543" s="296"/>
      <c r="T543" s="296"/>
      <c r="U543" s="296"/>
      <c r="V543" s="296"/>
      <c r="W543" s="296"/>
      <c r="X543" s="296"/>
      <c r="Y543" s="296"/>
      <c r="Z543" s="296"/>
      <c r="AA543" s="296"/>
      <c r="AB543" s="296"/>
      <c r="AC543" s="296"/>
      <c r="AD543" s="296"/>
      <c r="AE543" s="296"/>
      <c r="AF543" s="296"/>
      <c r="AG543" s="296"/>
      <c r="AH543" s="296"/>
      <c r="AI543" s="296"/>
      <c r="AJ543" s="296"/>
      <c r="AK543" s="296"/>
    </row>
    <row r="544" spans="11:37">
      <c r="K544" s="296"/>
      <c r="L544" s="296"/>
      <c r="M544" s="296"/>
      <c r="N544" s="296"/>
      <c r="O544" s="296"/>
      <c r="P544" s="296"/>
      <c r="Q544" s="296"/>
      <c r="R544" s="296"/>
      <c r="S544" s="296"/>
      <c r="T544" s="296"/>
      <c r="U544" s="296"/>
      <c r="V544" s="296"/>
      <c r="W544" s="296"/>
      <c r="X544" s="296"/>
      <c r="Y544" s="296"/>
      <c r="Z544" s="296"/>
      <c r="AA544" s="296"/>
      <c r="AB544" s="296"/>
      <c r="AC544" s="296"/>
      <c r="AD544" s="296"/>
      <c r="AE544" s="296"/>
      <c r="AF544" s="296"/>
      <c r="AG544" s="296"/>
      <c r="AH544" s="296"/>
      <c r="AI544" s="296"/>
      <c r="AJ544" s="296"/>
      <c r="AK544" s="296"/>
    </row>
    <row r="545" spans="11:37">
      <c r="K545" s="296"/>
      <c r="L545" s="296"/>
      <c r="M545" s="296"/>
      <c r="N545" s="296"/>
      <c r="O545" s="296"/>
      <c r="P545" s="296"/>
      <c r="Q545" s="296"/>
      <c r="R545" s="296"/>
      <c r="S545" s="296"/>
      <c r="T545" s="296"/>
      <c r="U545" s="296"/>
      <c r="V545" s="296"/>
      <c r="W545" s="296"/>
      <c r="X545" s="296"/>
      <c r="Y545" s="296"/>
      <c r="Z545" s="296"/>
      <c r="AA545" s="296"/>
      <c r="AB545" s="296"/>
      <c r="AC545" s="296"/>
      <c r="AD545" s="296"/>
      <c r="AE545" s="296"/>
      <c r="AF545" s="296"/>
      <c r="AG545" s="296"/>
      <c r="AH545" s="296"/>
      <c r="AI545" s="296"/>
      <c r="AJ545" s="296"/>
      <c r="AK545" s="296"/>
    </row>
    <row r="546" spans="11:37">
      <c r="K546" s="296"/>
      <c r="L546" s="296"/>
      <c r="M546" s="296"/>
      <c r="N546" s="296"/>
      <c r="O546" s="296"/>
      <c r="P546" s="296"/>
      <c r="Q546" s="296"/>
      <c r="R546" s="296"/>
      <c r="S546" s="296"/>
      <c r="T546" s="296"/>
      <c r="U546" s="296"/>
      <c r="V546" s="296"/>
      <c r="W546" s="296"/>
      <c r="X546" s="296"/>
      <c r="Y546" s="296"/>
      <c r="Z546" s="296"/>
      <c r="AA546" s="296"/>
      <c r="AB546" s="296"/>
      <c r="AC546" s="296"/>
      <c r="AD546" s="296"/>
      <c r="AE546" s="296"/>
      <c r="AF546" s="296"/>
      <c r="AG546" s="296"/>
      <c r="AH546" s="296"/>
      <c r="AI546" s="296"/>
      <c r="AJ546" s="296"/>
      <c r="AK546" s="296"/>
    </row>
    <row r="547" spans="11:37">
      <c r="K547" s="296"/>
      <c r="L547" s="296"/>
      <c r="M547" s="296"/>
      <c r="N547" s="296"/>
      <c r="O547" s="296"/>
      <c r="P547" s="296"/>
      <c r="Q547" s="296"/>
      <c r="R547" s="296"/>
      <c r="S547" s="296"/>
      <c r="T547" s="296"/>
      <c r="U547" s="296"/>
      <c r="V547" s="296"/>
      <c r="W547" s="296"/>
      <c r="X547" s="296"/>
      <c r="Y547" s="296"/>
      <c r="Z547" s="296"/>
      <c r="AA547" s="296"/>
      <c r="AB547" s="296"/>
      <c r="AC547" s="296"/>
      <c r="AD547" s="296"/>
      <c r="AE547" s="296"/>
      <c r="AF547" s="296"/>
      <c r="AG547" s="296"/>
      <c r="AH547" s="296"/>
      <c r="AI547" s="296"/>
      <c r="AJ547" s="296"/>
      <c r="AK547" s="296"/>
    </row>
    <row r="548" spans="11:37">
      <c r="K548" s="296"/>
      <c r="L548" s="296"/>
      <c r="M548" s="296"/>
      <c r="N548" s="296"/>
      <c r="O548" s="296"/>
      <c r="P548" s="296"/>
      <c r="Q548" s="296"/>
      <c r="R548" s="296"/>
      <c r="S548" s="296"/>
      <c r="T548" s="296"/>
      <c r="U548" s="296"/>
      <c r="V548" s="296"/>
      <c r="W548" s="296"/>
      <c r="X548" s="296"/>
      <c r="Y548" s="296"/>
      <c r="Z548" s="296"/>
      <c r="AA548" s="296"/>
      <c r="AB548" s="296"/>
      <c r="AC548" s="296"/>
      <c r="AD548" s="296"/>
      <c r="AE548" s="296"/>
      <c r="AF548" s="296"/>
      <c r="AG548" s="296"/>
      <c r="AH548" s="296"/>
      <c r="AI548" s="296"/>
      <c r="AJ548" s="296"/>
      <c r="AK548" s="296"/>
    </row>
    <row r="549" spans="11:37">
      <c r="K549" s="296"/>
      <c r="L549" s="296"/>
      <c r="M549" s="296"/>
      <c r="N549" s="296"/>
      <c r="O549" s="296"/>
      <c r="P549" s="296"/>
      <c r="Q549" s="296"/>
      <c r="R549" s="296"/>
      <c r="S549" s="296"/>
      <c r="T549" s="296"/>
      <c r="U549" s="296"/>
      <c r="V549" s="296"/>
      <c r="W549" s="296"/>
      <c r="X549" s="296"/>
      <c r="Y549" s="296"/>
      <c r="Z549" s="296"/>
      <c r="AA549" s="296"/>
      <c r="AB549" s="296"/>
      <c r="AC549" s="296"/>
      <c r="AD549" s="296"/>
      <c r="AE549" s="296"/>
      <c r="AF549" s="296"/>
      <c r="AG549" s="296"/>
      <c r="AH549" s="296"/>
      <c r="AI549" s="296"/>
      <c r="AJ549" s="296"/>
      <c r="AK549" s="296"/>
    </row>
    <row r="550" spans="11:37">
      <c r="K550" s="296"/>
      <c r="L550" s="296"/>
      <c r="M550" s="296"/>
      <c r="N550" s="296"/>
      <c r="O550" s="296"/>
      <c r="P550" s="296"/>
      <c r="Q550" s="296"/>
      <c r="R550" s="296"/>
      <c r="S550" s="296"/>
      <c r="T550" s="296"/>
      <c r="U550" s="296"/>
      <c r="V550" s="296"/>
      <c r="W550" s="296"/>
      <c r="X550" s="296"/>
      <c r="Y550" s="296"/>
      <c r="Z550" s="296"/>
      <c r="AA550" s="296"/>
      <c r="AB550" s="296"/>
      <c r="AC550" s="296"/>
      <c r="AD550" s="296"/>
      <c r="AE550" s="296"/>
      <c r="AF550" s="296"/>
      <c r="AG550" s="296"/>
      <c r="AH550" s="296"/>
      <c r="AI550" s="296"/>
      <c r="AJ550" s="296"/>
      <c r="AK550" s="296"/>
    </row>
    <row r="551" spans="11:37">
      <c r="K551" s="296"/>
      <c r="L551" s="296"/>
      <c r="M551" s="296"/>
      <c r="N551" s="296"/>
      <c r="O551" s="296"/>
      <c r="P551" s="296"/>
      <c r="Q551" s="296"/>
      <c r="R551" s="296"/>
      <c r="S551" s="296"/>
      <c r="T551" s="296"/>
      <c r="U551" s="296"/>
      <c r="V551" s="296"/>
      <c r="W551" s="296"/>
      <c r="X551" s="296"/>
      <c r="Y551" s="296"/>
      <c r="Z551" s="296"/>
      <c r="AA551" s="296"/>
      <c r="AB551" s="296"/>
      <c r="AC551" s="296"/>
      <c r="AD551" s="296"/>
      <c r="AE551" s="296"/>
      <c r="AF551" s="296"/>
      <c r="AG551" s="296"/>
      <c r="AH551" s="296"/>
      <c r="AI551" s="296"/>
      <c r="AJ551" s="296"/>
      <c r="AK551" s="296"/>
    </row>
    <row r="552" spans="11:37">
      <c r="K552" s="296"/>
      <c r="L552" s="296"/>
      <c r="M552" s="296"/>
      <c r="N552" s="296"/>
      <c r="O552" s="296"/>
      <c r="P552" s="296"/>
      <c r="Q552" s="296"/>
      <c r="R552" s="296"/>
      <c r="S552" s="296"/>
      <c r="T552" s="296"/>
      <c r="U552" s="296"/>
      <c r="V552" s="296"/>
      <c r="W552" s="296"/>
      <c r="X552" s="296"/>
      <c r="Y552" s="296"/>
      <c r="Z552" s="296"/>
      <c r="AA552" s="296"/>
      <c r="AB552" s="296"/>
      <c r="AC552" s="296"/>
      <c r="AD552" s="296"/>
      <c r="AE552" s="296"/>
      <c r="AF552" s="296"/>
      <c r="AG552" s="296"/>
      <c r="AH552" s="296"/>
      <c r="AI552" s="296"/>
      <c r="AJ552" s="296"/>
      <c r="AK552" s="296"/>
    </row>
    <row r="553" spans="11:37">
      <c r="K553" s="296"/>
      <c r="L553" s="296"/>
      <c r="M553" s="296"/>
      <c r="N553" s="296"/>
      <c r="O553" s="296"/>
      <c r="P553" s="296"/>
      <c r="Q553" s="296"/>
      <c r="R553" s="296"/>
      <c r="S553" s="296"/>
      <c r="T553" s="296"/>
      <c r="U553" s="296"/>
      <c r="V553" s="296"/>
      <c r="W553" s="296"/>
      <c r="X553" s="296"/>
      <c r="Y553" s="296"/>
      <c r="Z553" s="296"/>
      <c r="AA553" s="296"/>
      <c r="AB553" s="296"/>
      <c r="AC553" s="296"/>
      <c r="AD553" s="296"/>
      <c r="AE553" s="296"/>
      <c r="AF553" s="296"/>
      <c r="AG553" s="296"/>
      <c r="AH553" s="296"/>
      <c r="AI553" s="296"/>
      <c r="AJ553" s="296"/>
      <c r="AK553" s="296"/>
    </row>
    <row r="554" spans="11:37">
      <c r="K554" s="296"/>
      <c r="L554" s="296"/>
      <c r="M554" s="296"/>
      <c r="N554" s="296"/>
      <c r="O554" s="296"/>
      <c r="P554" s="296"/>
      <c r="Q554" s="296"/>
      <c r="R554" s="296"/>
      <c r="S554" s="296"/>
      <c r="T554" s="296"/>
      <c r="U554" s="296"/>
      <c r="V554" s="296"/>
      <c r="W554" s="296"/>
      <c r="X554" s="296"/>
      <c r="Y554" s="296"/>
      <c r="Z554" s="296"/>
      <c r="AA554" s="296"/>
      <c r="AB554" s="296"/>
      <c r="AC554" s="296"/>
      <c r="AD554" s="296"/>
      <c r="AE554" s="296"/>
      <c r="AF554" s="296"/>
      <c r="AG554" s="296"/>
      <c r="AH554" s="296"/>
      <c r="AI554" s="296"/>
      <c r="AJ554" s="296"/>
      <c r="AK554" s="296"/>
    </row>
    <row r="555" spans="11:37">
      <c r="K555" s="296"/>
      <c r="L555" s="296"/>
      <c r="M555" s="296"/>
      <c r="N555" s="296"/>
      <c r="O555" s="296"/>
      <c r="P555" s="296"/>
      <c r="Q555" s="296"/>
      <c r="R555" s="296"/>
      <c r="S555" s="296"/>
      <c r="T555" s="296"/>
      <c r="U555" s="296"/>
      <c r="V555" s="296"/>
      <c r="W555" s="296"/>
      <c r="X555" s="296"/>
      <c r="Y555" s="296"/>
      <c r="Z555" s="296"/>
      <c r="AA555" s="296"/>
      <c r="AB555" s="296"/>
      <c r="AC555" s="296"/>
      <c r="AD555" s="296"/>
      <c r="AE555" s="296"/>
      <c r="AF555" s="296"/>
      <c r="AG555" s="296"/>
      <c r="AH555" s="296"/>
      <c r="AI555" s="296"/>
      <c r="AJ555" s="296"/>
      <c r="AK555" s="296"/>
    </row>
    <row r="556" spans="11:37">
      <c r="K556" s="296"/>
      <c r="L556" s="296"/>
      <c r="M556" s="296"/>
      <c r="N556" s="296"/>
      <c r="O556" s="296"/>
      <c r="P556" s="296"/>
      <c r="Q556" s="296"/>
      <c r="R556" s="296"/>
      <c r="S556" s="296"/>
      <c r="T556" s="296"/>
      <c r="U556" s="296"/>
      <c r="V556" s="296"/>
      <c r="W556" s="296"/>
      <c r="X556" s="296"/>
      <c r="Y556" s="296"/>
      <c r="Z556" s="296"/>
      <c r="AA556" s="296"/>
      <c r="AB556" s="296"/>
      <c r="AC556" s="296"/>
      <c r="AD556" s="296"/>
      <c r="AE556" s="296"/>
      <c r="AF556" s="296"/>
      <c r="AG556" s="296"/>
      <c r="AH556" s="296"/>
      <c r="AI556" s="296"/>
      <c r="AJ556" s="296"/>
      <c r="AK556" s="296"/>
    </row>
    <row r="557" spans="11:37">
      <c r="K557" s="296"/>
      <c r="L557" s="296"/>
      <c r="M557" s="296"/>
      <c r="N557" s="296"/>
      <c r="O557" s="296"/>
      <c r="P557" s="296"/>
      <c r="Q557" s="296"/>
      <c r="R557" s="296"/>
      <c r="S557" s="296"/>
      <c r="T557" s="296"/>
      <c r="U557" s="296"/>
      <c r="V557" s="296"/>
      <c r="W557" s="296"/>
      <c r="X557" s="296"/>
      <c r="Y557" s="296"/>
      <c r="Z557" s="296"/>
      <c r="AA557" s="296"/>
      <c r="AB557" s="296"/>
      <c r="AC557" s="296"/>
      <c r="AD557" s="296"/>
      <c r="AE557" s="296"/>
      <c r="AF557" s="296"/>
      <c r="AG557" s="296"/>
      <c r="AH557" s="296"/>
      <c r="AI557" s="296"/>
      <c r="AJ557" s="296"/>
      <c r="AK557" s="296"/>
    </row>
    <row r="558" spans="11:37">
      <c r="K558" s="296"/>
      <c r="L558" s="296"/>
      <c r="M558" s="296"/>
      <c r="N558" s="296"/>
      <c r="O558" s="296"/>
      <c r="P558" s="296"/>
      <c r="Q558" s="296"/>
      <c r="R558" s="296"/>
      <c r="S558" s="296"/>
      <c r="T558" s="296"/>
      <c r="U558" s="296"/>
      <c r="V558" s="296"/>
      <c r="W558" s="296"/>
      <c r="X558" s="296"/>
      <c r="Y558" s="296"/>
      <c r="Z558" s="296"/>
      <c r="AA558" s="296"/>
      <c r="AB558" s="296"/>
      <c r="AC558" s="296"/>
      <c r="AD558" s="296"/>
      <c r="AE558" s="296"/>
      <c r="AF558" s="296"/>
      <c r="AG558" s="296"/>
      <c r="AH558" s="296"/>
      <c r="AI558" s="296"/>
      <c r="AJ558" s="296"/>
      <c r="AK558" s="296"/>
    </row>
    <row r="559" spans="11:37">
      <c r="K559" s="296"/>
      <c r="L559" s="296"/>
      <c r="M559" s="296"/>
      <c r="N559" s="296"/>
      <c r="O559" s="296"/>
      <c r="P559" s="296"/>
      <c r="Q559" s="296"/>
      <c r="R559" s="296"/>
      <c r="S559" s="296"/>
      <c r="T559" s="296"/>
      <c r="U559" s="296"/>
      <c r="V559" s="296"/>
      <c r="W559" s="296"/>
      <c r="X559" s="296"/>
      <c r="Y559" s="296"/>
      <c r="Z559" s="296"/>
      <c r="AA559" s="296"/>
      <c r="AB559" s="296"/>
      <c r="AC559" s="296"/>
      <c r="AD559" s="296"/>
      <c r="AE559" s="296"/>
      <c r="AF559" s="296"/>
      <c r="AG559" s="296"/>
      <c r="AH559" s="296"/>
      <c r="AI559" s="296"/>
      <c r="AJ559" s="296"/>
      <c r="AK559" s="296"/>
    </row>
    <row r="560" spans="11:37">
      <c r="K560" s="296"/>
      <c r="L560" s="296"/>
      <c r="M560" s="296"/>
      <c r="N560" s="296"/>
      <c r="O560" s="296"/>
      <c r="P560" s="296"/>
      <c r="Q560" s="296"/>
      <c r="R560" s="296"/>
      <c r="S560" s="296"/>
      <c r="T560" s="296"/>
      <c r="U560" s="296"/>
      <c r="V560" s="296"/>
      <c r="W560" s="296"/>
      <c r="X560" s="296"/>
      <c r="Y560" s="296"/>
      <c r="Z560" s="296"/>
      <c r="AA560" s="296"/>
      <c r="AB560" s="296"/>
      <c r="AC560" s="296"/>
      <c r="AD560" s="296"/>
      <c r="AE560" s="296"/>
      <c r="AF560" s="296"/>
      <c r="AG560" s="296"/>
      <c r="AH560" s="296"/>
      <c r="AI560" s="296"/>
      <c r="AJ560" s="296"/>
      <c r="AK560" s="296"/>
    </row>
    <row r="561" spans="11:37">
      <c r="K561" s="296"/>
      <c r="L561" s="296"/>
      <c r="M561" s="296"/>
      <c r="N561" s="296"/>
      <c r="O561" s="296"/>
      <c r="P561" s="296"/>
      <c r="Q561" s="296"/>
      <c r="R561" s="296"/>
      <c r="S561" s="296"/>
      <c r="T561" s="296"/>
      <c r="U561" s="296"/>
      <c r="V561" s="296"/>
      <c r="W561" s="296"/>
      <c r="X561" s="296"/>
      <c r="Y561" s="296"/>
      <c r="Z561" s="296"/>
      <c r="AA561" s="296"/>
      <c r="AB561" s="296"/>
      <c r="AC561" s="296"/>
      <c r="AD561" s="296"/>
      <c r="AE561" s="296"/>
      <c r="AF561" s="296"/>
      <c r="AG561" s="296"/>
      <c r="AH561" s="296"/>
      <c r="AI561" s="296"/>
      <c r="AJ561" s="296"/>
      <c r="AK561" s="296"/>
    </row>
    <row r="562" spans="11:37">
      <c r="K562" s="296"/>
      <c r="L562" s="296"/>
      <c r="M562" s="296"/>
      <c r="N562" s="296"/>
      <c r="O562" s="296"/>
      <c r="P562" s="296"/>
      <c r="Q562" s="296"/>
      <c r="R562" s="296"/>
      <c r="S562" s="296"/>
      <c r="T562" s="296"/>
      <c r="U562" s="296"/>
      <c r="V562" s="296"/>
      <c r="W562" s="296"/>
      <c r="X562" s="296"/>
      <c r="Y562" s="296"/>
      <c r="Z562" s="296"/>
      <c r="AA562" s="296"/>
      <c r="AB562" s="296"/>
      <c r="AC562" s="296"/>
      <c r="AD562" s="296"/>
      <c r="AE562" s="296"/>
      <c r="AF562" s="296"/>
      <c r="AG562" s="296"/>
      <c r="AH562" s="296"/>
      <c r="AI562" s="296"/>
      <c r="AJ562" s="296"/>
      <c r="AK562" s="296"/>
    </row>
    <row r="563" spans="11:37">
      <c r="K563" s="296"/>
      <c r="L563" s="296"/>
      <c r="M563" s="296"/>
      <c r="N563" s="296"/>
      <c r="O563" s="296"/>
      <c r="P563" s="296"/>
      <c r="Q563" s="296"/>
      <c r="R563" s="296"/>
      <c r="S563" s="296"/>
      <c r="T563" s="296"/>
      <c r="U563" s="296"/>
      <c r="V563" s="296"/>
      <c r="W563" s="296"/>
      <c r="X563" s="296"/>
      <c r="Y563" s="296"/>
      <c r="Z563" s="296"/>
      <c r="AA563" s="296"/>
      <c r="AB563" s="296"/>
      <c r="AC563" s="296"/>
      <c r="AD563" s="296"/>
      <c r="AE563" s="296"/>
      <c r="AF563" s="296"/>
      <c r="AG563" s="296"/>
      <c r="AH563" s="296"/>
      <c r="AI563" s="296"/>
      <c r="AJ563" s="296"/>
      <c r="AK563" s="296"/>
    </row>
    <row r="564" spans="11:37">
      <c r="K564" s="296"/>
      <c r="L564" s="296"/>
      <c r="M564" s="296"/>
      <c r="N564" s="296"/>
      <c r="O564" s="296"/>
      <c r="P564" s="296"/>
      <c r="Q564" s="296"/>
      <c r="R564" s="296"/>
      <c r="S564" s="296"/>
      <c r="T564" s="296"/>
      <c r="U564" s="296"/>
      <c r="V564" s="296"/>
      <c r="W564" s="296"/>
      <c r="X564" s="296"/>
      <c r="Y564" s="296"/>
      <c r="Z564" s="296"/>
      <c r="AA564" s="296"/>
      <c r="AB564" s="296"/>
      <c r="AC564" s="296"/>
      <c r="AD564" s="296"/>
      <c r="AE564" s="296"/>
      <c r="AF564" s="296"/>
      <c r="AG564" s="296"/>
      <c r="AH564" s="296"/>
      <c r="AI564" s="296"/>
      <c r="AJ564" s="296"/>
      <c r="AK564" s="296"/>
    </row>
    <row r="565" spans="11:37">
      <c r="K565" s="296"/>
      <c r="L565" s="296"/>
      <c r="M565" s="296"/>
      <c r="N565" s="296"/>
      <c r="O565" s="296"/>
      <c r="P565" s="296"/>
      <c r="Q565" s="296"/>
      <c r="R565" s="296"/>
      <c r="S565" s="296"/>
      <c r="T565" s="296"/>
      <c r="U565" s="296"/>
      <c r="V565" s="296"/>
      <c r="W565" s="296"/>
      <c r="X565" s="296"/>
      <c r="Y565" s="296"/>
      <c r="Z565" s="296"/>
      <c r="AA565" s="296"/>
      <c r="AB565" s="296"/>
      <c r="AC565" s="296"/>
      <c r="AD565" s="296"/>
      <c r="AE565" s="296"/>
      <c r="AF565" s="296"/>
      <c r="AG565" s="296"/>
      <c r="AH565" s="296"/>
      <c r="AI565" s="296"/>
      <c r="AJ565" s="296"/>
      <c r="AK565" s="296"/>
    </row>
    <row r="566" spans="11:37">
      <c r="K566" s="296"/>
      <c r="L566" s="296"/>
      <c r="M566" s="296"/>
      <c r="N566" s="296"/>
      <c r="O566" s="296"/>
      <c r="P566" s="296"/>
      <c r="Q566" s="296"/>
      <c r="R566" s="296"/>
      <c r="S566" s="296"/>
      <c r="T566" s="296"/>
      <c r="U566" s="296"/>
      <c r="V566" s="296"/>
      <c r="W566" s="296"/>
      <c r="X566" s="296"/>
      <c r="Y566" s="296"/>
      <c r="Z566" s="296"/>
      <c r="AA566" s="296"/>
      <c r="AB566" s="296"/>
      <c r="AC566" s="296"/>
      <c r="AD566" s="296"/>
      <c r="AE566" s="296"/>
      <c r="AF566" s="296"/>
      <c r="AG566" s="296"/>
      <c r="AH566" s="296"/>
      <c r="AI566" s="296"/>
      <c r="AJ566" s="296"/>
      <c r="AK566" s="296"/>
    </row>
    <row r="567" spans="11:37">
      <c r="K567" s="296"/>
      <c r="L567" s="296"/>
      <c r="M567" s="296"/>
      <c r="N567" s="296"/>
      <c r="O567" s="296"/>
      <c r="P567" s="296"/>
      <c r="Q567" s="296"/>
      <c r="R567" s="296"/>
      <c r="S567" s="296"/>
      <c r="T567" s="296"/>
      <c r="U567" s="296"/>
      <c r="V567" s="296"/>
      <c r="W567" s="296"/>
      <c r="X567" s="296"/>
      <c r="Y567" s="296"/>
      <c r="Z567" s="296"/>
      <c r="AA567" s="296"/>
      <c r="AB567" s="296"/>
      <c r="AC567" s="296"/>
      <c r="AD567" s="296"/>
      <c r="AE567" s="296"/>
      <c r="AF567" s="296"/>
      <c r="AG567" s="296"/>
      <c r="AH567" s="296"/>
      <c r="AI567" s="296"/>
      <c r="AJ567" s="296"/>
      <c r="AK567" s="296"/>
    </row>
    <row r="568" spans="11:37">
      <c r="K568" s="296"/>
      <c r="L568" s="296"/>
      <c r="M568" s="296"/>
      <c r="N568" s="296"/>
      <c r="O568" s="296"/>
      <c r="P568" s="296"/>
      <c r="Q568" s="296"/>
      <c r="R568" s="296"/>
      <c r="S568" s="296"/>
      <c r="T568" s="296"/>
      <c r="U568" s="296"/>
      <c r="V568" s="296"/>
      <c r="W568" s="296"/>
      <c r="X568" s="296"/>
      <c r="Y568" s="296"/>
      <c r="Z568" s="296"/>
      <c r="AA568" s="296"/>
      <c r="AB568" s="296"/>
      <c r="AC568" s="296"/>
      <c r="AD568" s="296"/>
      <c r="AE568" s="296"/>
      <c r="AF568" s="296"/>
      <c r="AG568" s="296"/>
      <c r="AH568" s="296"/>
      <c r="AI568" s="296"/>
      <c r="AJ568" s="296"/>
      <c r="AK568" s="296"/>
    </row>
    <row r="569" spans="11:37">
      <c r="K569" s="296"/>
      <c r="L569" s="296"/>
      <c r="M569" s="296"/>
      <c r="N569" s="296"/>
      <c r="O569" s="296"/>
      <c r="P569" s="296"/>
      <c r="Q569" s="296"/>
      <c r="R569" s="296"/>
      <c r="S569" s="296"/>
      <c r="T569" s="296"/>
      <c r="U569" s="296"/>
      <c r="V569" s="296"/>
      <c r="W569" s="296"/>
      <c r="X569" s="296"/>
      <c r="Y569" s="296"/>
      <c r="Z569" s="296"/>
      <c r="AA569" s="296"/>
      <c r="AB569" s="296"/>
      <c r="AC569" s="296"/>
      <c r="AD569" s="296"/>
      <c r="AE569" s="296"/>
      <c r="AF569" s="296"/>
      <c r="AG569" s="296"/>
      <c r="AH569" s="296"/>
      <c r="AI569" s="296"/>
      <c r="AJ569" s="296"/>
      <c r="AK569" s="296"/>
    </row>
    <row r="570" spans="11:37">
      <c r="K570" s="296"/>
      <c r="L570" s="296"/>
      <c r="M570" s="296"/>
      <c r="N570" s="296"/>
      <c r="O570" s="296"/>
      <c r="P570" s="296"/>
      <c r="Q570" s="296"/>
      <c r="R570" s="296"/>
      <c r="S570" s="296"/>
      <c r="T570" s="296"/>
      <c r="U570" s="296"/>
      <c r="V570" s="296"/>
      <c r="W570" s="296"/>
      <c r="X570" s="296"/>
      <c r="Y570" s="296"/>
      <c r="Z570" s="296"/>
      <c r="AA570" s="296"/>
      <c r="AB570" s="296"/>
      <c r="AC570" s="296"/>
      <c r="AD570" s="296"/>
      <c r="AE570" s="296"/>
      <c r="AF570" s="296"/>
      <c r="AG570" s="296"/>
      <c r="AH570" s="296"/>
      <c r="AI570" s="296"/>
      <c r="AJ570" s="296"/>
      <c r="AK570" s="296"/>
    </row>
    <row r="571" spans="11:37">
      <c r="K571" s="296"/>
      <c r="L571" s="296"/>
      <c r="M571" s="296"/>
      <c r="N571" s="296"/>
      <c r="O571" s="296"/>
      <c r="P571" s="296"/>
      <c r="Q571" s="296"/>
      <c r="R571" s="296"/>
      <c r="S571" s="296"/>
      <c r="T571" s="296"/>
      <c r="U571" s="296"/>
      <c r="V571" s="296"/>
      <c r="W571" s="296"/>
      <c r="X571" s="296"/>
      <c r="Y571" s="296"/>
      <c r="Z571" s="296"/>
      <c r="AA571" s="296"/>
      <c r="AB571" s="296"/>
      <c r="AC571" s="296"/>
      <c r="AD571" s="296"/>
      <c r="AE571" s="296"/>
      <c r="AF571" s="296"/>
      <c r="AG571" s="296"/>
      <c r="AH571" s="296"/>
      <c r="AI571" s="296"/>
      <c r="AJ571" s="296"/>
      <c r="AK571" s="296"/>
    </row>
    <row r="572" spans="11:37">
      <c r="K572" s="296"/>
      <c r="L572" s="296"/>
      <c r="M572" s="296"/>
      <c r="N572" s="296"/>
      <c r="O572" s="296"/>
      <c r="P572" s="296"/>
      <c r="Q572" s="296"/>
      <c r="R572" s="296"/>
      <c r="S572" s="296"/>
      <c r="T572" s="296"/>
      <c r="U572" s="296"/>
      <c r="V572" s="296"/>
      <c r="W572" s="296"/>
      <c r="X572" s="296"/>
      <c r="Y572" s="296"/>
      <c r="Z572" s="296"/>
      <c r="AA572" s="296"/>
      <c r="AB572" s="296"/>
      <c r="AC572" s="296"/>
      <c r="AD572" s="296"/>
      <c r="AE572" s="296"/>
      <c r="AF572" s="296"/>
      <c r="AG572" s="296"/>
      <c r="AH572" s="296"/>
      <c r="AI572" s="296"/>
      <c r="AJ572" s="296"/>
      <c r="AK572" s="296"/>
    </row>
    <row r="573" spans="11:37">
      <c r="K573" s="296"/>
      <c r="L573" s="296"/>
      <c r="M573" s="296"/>
      <c r="N573" s="296"/>
      <c r="O573" s="296"/>
      <c r="P573" s="296"/>
      <c r="Q573" s="296"/>
      <c r="R573" s="296"/>
      <c r="S573" s="296"/>
      <c r="T573" s="296"/>
      <c r="U573" s="296"/>
      <c r="V573" s="296"/>
      <c r="W573" s="296"/>
      <c r="X573" s="296"/>
      <c r="Y573" s="296"/>
      <c r="Z573" s="296"/>
      <c r="AA573" s="296"/>
      <c r="AB573" s="296"/>
      <c r="AC573" s="296"/>
      <c r="AD573" s="296"/>
      <c r="AE573" s="296"/>
      <c r="AF573" s="296"/>
      <c r="AG573" s="296"/>
      <c r="AH573" s="296"/>
      <c r="AI573" s="296"/>
      <c r="AJ573" s="296"/>
      <c r="AK573" s="296"/>
    </row>
    <row r="574" spans="11:37">
      <c r="K574" s="296"/>
      <c r="L574" s="296"/>
      <c r="M574" s="296"/>
      <c r="N574" s="296"/>
      <c r="O574" s="296"/>
      <c r="P574" s="296"/>
      <c r="Q574" s="296"/>
      <c r="R574" s="296"/>
      <c r="S574" s="296"/>
      <c r="T574" s="296"/>
      <c r="U574" s="296"/>
      <c r="V574" s="296"/>
      <c r="W574" s="296"/>
      <c r="X574" s="296"/>
      <c r="Y574" s="296"/>
      <c r="Z574" s="296"/>
      <c r="AA574" s="296"/>
      <c r="AB574" s="296"/>
      <c r="AC574" s="296"/>
      <c r="AD574" s="296"/>
      <c r="AE574" s="296"/>
      <c r="AF574" s="296"/>
      <c r="AG574" s="296"/>
      <c r="AH574" s="296"/>
      <c r="AI574" s="296"/>
      <c r="AJ574" s="296"/>
      <c r="AK574" s="296"/>
    </row>
    <row r="575" spans="11:37">
      <c r="K575" s="296"/>
      <c r="L575" s="296"/>
      <c r="M575" s="296"/>
      <c r="N575" s="296"/>
      <c r="O575" s="296"/>
      <c r="P575" s="296"/>
      <c r="Q575" s="296"/>
      <c r="R575" s="296"/>
      <c r="S575" s="296"/>
      <c r="T575" s="296"/>
      <c r="U575" s="296"/>
      <c r="V575" s="296"/>
      <c r="W575" s="296"/>
      <c r="X575" s="296"/>
      <c r="Y575" s="296"/>
      <c r="Z575" s="296"/>
      <c r="AA575" s="296"/>
      <c r="AB575" s="296"/>
      <c r="AC575" s="296"/>
      <c r="AD575" s="296"/>
      <c r="AE575" s="296"/>
      <c r="AF575" s="296"/>
      <c r="AG575" s="296"/>
      <c r="AH575" s="296"/>
      <c r="AI575" s="296"/>
      <c r="AJ575" s="296"/>
      <c r="AK575" s="296"/>
    </row>
    <row r="576" spans="11:37">
      <c r="K576" s="296"/>
      <c r="L576" s="296"/>
      <c r="M576" s="296"/>
      <c r="N576" s="296"/>
      <c r="O576" s="296"/>
      <c r="P576" s="296"/>
      <c r="Q576" s="296"/>
      <c r="R576" s="296"/>
      <c r="S576" s="296"/>
      <c r="T576" s="296"/>
      <c r="U576" s="296"/>
      <c r="V576" s="296"/>
      <c r="W576" s="296"/>
      <c r="X576" s="296"/>
      <c r="Y576" s="296"/>
      <c r="Z576" s="296"/>
      <c r="AA576" s="296"/>
      <c r="AB576" s="296"/>
      <c r="AC576" s="296"/>
      <c r="AD576" s="296"/>
      <c r="AE576" s="296"/>
      <c r="AF576" s="296"/>
      <c r="AG576" s="296"/>
      <c r="AH576" s="296"/>
      <c r="AI576" s="296"/>
      <c r="AJ576" s="296"/>
      <c r="AK576" s="296"/>
    </row>
    <row r="577" spans="11:37">
      <c r="K577" s="296"/>
      <c r="L577" s="296"/>
      <c r="M577" s="296"/>
      <c r="N577" s="296"/>
      <c r="O577" s="296"/>
      <c r="P577" s="296"/>
      <c r="Q577" s="296"/>
      <c r="R577" s="296"/>
      <c r="S577" s="296"/>
      <c r="T577" s="296"/>
      <c r="U577" s="296"/>
      <c r="V577" s="296"/>
      <c r="W577" s="296"/>
      <c r="X577" s="296"/>
      <c r="Y577" s="296"/>
      <c r="Z577" s="296"/>
      <c r="AA577" s="296"/>
      <c r="AB577" s="296"/>
      <c r="AC577" s="296"/>
      <c r="AD577" s="296"/>
      <c r="AE577" s="296"/>
      <c r="AF577" s="296"/>
      <c r="AG577" s="296"/>
      <c r="AH577" s="296"/>
      <c r="AI577" s="296"/>
      <c r="AJ577" s="296"/>
      <c r="AK577" s="296"/>
    </row>
    <row r="578" spans="11:37">
      <c r="K578" s="296"/>
      <c r="L578" s="296"/>
      <c r="M578" s="296"/>
      <c r="N578" s="296"/>
      <c r="O578" s="296"/>
      <c r="P578" s="296"/>
      <c r="Q578" s="296"/>
      <c r="R578" s="296"/>
      <c r="S578" s="296"/>
      <c r="T578" s="296"/>
      <c r="U578" s="296"/>
      <c r="V578" s="296"/>
      <c r="W578" s="296"/>
      <c r="X578" s="296"/>
      <c r="Y578" s="296"/>
      <c r="Z578" s="296"/>
      <c r="AA578" s="296"/>
      <c r="AB578" s="296"/>
      <c r="AC578" s="296"/>
      <c r="AD578" s="296"/>
      <c r="AE578" s="296"/>
      <c r="AF578" s="296"/>
      <c r="AG578" s="296"/>
      <c r="AH578" s="296"/>
      <c r="AI578" s="296"/>
      <c r="AJ578" s="296"/>
      <c r="AK578" s="296"/>
    </row>
    <row r="579" spans="11:37">
      <c r="K579" s="296"/>
      <c r="L579" s="296"/>
      <c r="M579" s="296"/>
      <c r="N579" s="296"/>
      <c r="O579" s="296"/>
      <c r="P579" s="296"/>
      <c r="Q579" s="296"/>
      <c r="R579" s="296"/>
      <c r="S579" s="296"/>
      <c r="T579" s="296"/>
      <c r="U579" s="296"/>
      <c r="V579" s="296"/>
      <c r="W579" s="296"/>
      <c r="X579" s="296"/>
      <c r="Y579" s="296"/>
      <c r="Z579" s="296"/>
      <c r="AA579" s="296"/>
      <c r="AB579" s="296"/>
      <c r="AC579" s="296"/>
      <c r="AD579" s="296"/>
      <c r="AE579" s="296"/>
      <c r="AF579" s="296"/>
      <c r="AG579" s="296"/>
      <c r="AH579" s="296"/>
      <c r="AI579" s="296"/>
      <c r="AJ579" s="296"/>
      <c r="AK579" s="296"/>
    </row>
    <row r="580" spans="11:37">
      <c r="K580" s="296"/>
      <c r="L580" s="296"/>
      <c r="M580" s="296"/>
      <c r="N580" s="296"/>
      <c r="O580" s="296"/>
      <c r="P580" s="296"/>
      <c r="Q580" s="296"/>
      <c r="R580" s="296"/>
      <c r="S580" s="296"/>
      <c r="T580" s="296"/>
      <c r="U580" s="296"/>
      <c r="V580" s="296"/>
      <c r="W580" s="296"/>
      <c r="X580" s="296"/>
      <c r="Y580" s="296"/>
      <c r="Z580" s="296"/>
      <c r="AA580" s="296"/>
      <c r="AB580" s="296"/>
      <c r="AC580" s="296"/>
      <c r="AD580" s="296"/>
      <c r="AE580" s="296"/>
      <c r="AF580" s="296"/>
      <c r="AG580" s="296"/>
      <c r="AH580" s="296"/>
      <c r="AI580" s="296"/>
      <c r="AJ580" s="296"/>
      <c r="AK580" s="296"/>
    </row>
    <row r="581" spans="11:37">
      <c r="K581" s="296"/>
      <c r="L581" s="296"/>
      <c r="M581" s="296"/>
      <c r="N581" s="296"/>
      <c r="O581" s="296"/>
      <c r="P581" s="296"/>
      <c r="Q581" s="296"/>
      <c r="R581" s="296"/>
      <c r="S581" s="296"/>
      <c r="T581" s="296"/>
      <c r="U581" s="296"/>
      <c r="V581" s="296"/>
      <c r="W581" s="296"/>
      <c r="X581" s="296"/>
      <c r="Y581" s="296"/>
      <c r="Z581" s="296"/>
      <c r="AA581" s="296"/>
      <c r="AB581" s="296"/>
      <c r="AC581" s="296"/>
      <c r="AD581" s="296"/>
      <c r="AE581" s="296"/>
      <c r="AF581" s="296"/>
      <c r="AG581" s="296"/>
      <c r="AH581" s="296"/>
      <c r="AI581" s="296"/>
      <c r="AJ581" s="296"/>
      <c r="AK581" s="296"/>
    </row>
    <row r="582" spans="11:37">
      <c r="K582" s="296"/>
      <c r="L582" s="296"/>
      <c r="M582" s="296"/>
      <c r="N582" s="296"/>
      <c r="O582" s="296"/>
      <c r="P582" s="296"/>
      <c r="Q582" s="296"/>
      <c r="R582" s="296"/>
      <c r="S582" s="296"/>
      <c r="T582" s="296"/>
      <c r="U582" s="296"/>
      <c r="V582" s="296"/>
      <c r="W582" s="296"/>
      <c r="X582" s="296"/>
      <c r="Y582" s="296"/>
      <c r="Z582" s="296"/>
      <c r="AA582" s="296"/>
      <c r="AB582" s="296"/>
      <c r="AC582" s="296"/>
      <c r="AD582" s="296"/>
      <c r="AE582" s="296"/>
      <c r="AF582" s="296"/>
      <c r="AG582" s="296"/>
      <c r="AH582" s="296"/>
      <c r="AI582" s="296"/>
      <c r="AJ582" s="296"/>
      <c r="AK582" s="296"/>
    </row>
    <row r="583" spans="11:37">
      <c r="K583" s="296"/>
      <c r="L583" s="296"/>
      <c r="M583" s="296"/>
      <c r="N583" s="296"/>
      <c r="O583" s="296"/>
      <c r="P583" s="296"/>
      <c r="Q583" s="296"/>
      <c r="R583" s="296"/>
      <c r="S583" s="296"/>
      <c r="T583" s="296"/>
      <c r="U583" s="296"/>
      <c r="V583" s="296"/>
      <c r="W583" s="296"/>
      <c r="X583" s="296"/>
      <c r="Y583" s="296"/>
      <c r="Z583" s="296"/>
      <c r="AA583" s="296"/>
      <c r="AB583" s="296"/>
      <c r="AC583" s="296"/>
      <c r="AD583" s="296"/>
      <c r="AE583" s="296"/>
      <c r="AF583" s="296"/>
      <c r="AG583" s="296"/>
      <c r="AH583" s="296"/>
      <c r="AI583" s="296"/>
      <c r="AJ583" s="296"/>
      <c r="AK583" s="296"/>
    </row>
    <row r="584" spans="11:37">
      <c r="K584" s="296"/>
      <c r="L584" s="296"/>
      <c r="M584" s="296"/>
      <c r="N584" s="296"/>
      <c r="O584" s="296"/>
      <c r="P584" s="296"/>
      <c r="Q584" s="296"/>
      <c r="R584" s="296"/>
      <c r="S584" s="296"/>
      <c r="T584" s="296"/>
      <c r="U584" s="296"/>
      <c r="V584" s="296"/>
      <c r="W584" s="296"/>
      <c r="X584" s="296"/>
      <c r="Y584" s="296"/>
      <c r="Z584" s="296"/>
      <c r="AA584" s="296"/>
      <c r="AB584" s="296"/>
      <c r="AC584" s="296"/>
      <c r="AD584" s="296"/>
      <c r="AE584" s="296"/>
      <c r="AF584" s="296"/>
      <c r="AG584" s="296"/>
      <c r="AH584" s="296"/>
      <c r="AI584" s="296"/>
      <c r="AJ584" s="296"/>
      <c r="AK584" s="296"/>
    </row>
    <row r="585" spans="11:37">
      <c r="K585" s="296"/>
      <c r="L585" s="296"/>
      <c r="M585" s="296"/>
      <c r="N585" s="296"/>
      <c r="O585" s="296"/>
      <c r="P585" s="296"/>
      <c r="Q585" s="296"/>
      <c r="R585" s="296"/>
      <c r="S585" s="296"/>
      <c r="T585" s="296"/>
      <c r="U585" s="296"/>
      <c r="V585" s="296"/>
      <c r="W585" s="296"/>
      <c r="X585" s="296"/>
      <c r="Y585" s="296"/>
      <c r="Z585" s="296"/>
      <c r="AA585" s="296"/>
      <c r="AB585" s="296"/>
      <c r="AC585" s="296"/>
      <c r="AD585" s="296"/>
      <c r="AE585" s="296"/>
      <c r="AF585" s="296"/>
      <c r="AG585" s="296"/>
      <c r="AH585" s="296"/>
      <c r="AI585" s="296"/>
      <c r="AJ585" s="296"/>
      <c r="AK585" s="296"/>
    </row>
    <row r="586" spans="11:37">
      <c r="K586" s="296"/>
      <c r="L586" s="296"/>
      <c r="M586" s="296"/>
      <c r="N586" s="296"/>
      <c r="O586" s="296"/>
      <c r="P586" s="296"/>
      <c r="Q586" s="296"/>
      <c r="R586" s="296"/>
      <c r="S586" s="296"/>
      <c r="T586" s="296"/>
      <c r="U586" s="296"/>
      <c r="V586" s="296"/>
      <c r="W586" s="296"/>
      <c r="X586" s="296"/>
      <c r="Y586" s="296"/>
      <c r="Z586" s="296"/>
      <c r="AA586" s="296"/>
      <c r="AB586" s="296"/>
      <c r="AC586" s="296"/>
      <c r="AD586" s="296"/>
      <c r="AE586" s="296"/>
      <c r="AF586" s="296"/>
      <c r="AG586" s="296"/>
      <c r="AH586" s="296"/>
      <c r="AI586" s="296"/>
      <c r="AJ586" s="296"/>
      <c r="AK586" s="296"/>
    </row>
    <row r="587" spans="11:37">
      <c r="K587" s="296"/>
      <c r="L587" s="296"/>
      <c r="M587" s="296"/>
      <c r="N587" s="296"/>
      <c r="O587" s="296"/>
      <c r="P587" s="296"/>
      <c r="Q587" s="296"/>
      <c r="R587" s="296"/>
      <c r="S587" s="296"/>
      <c r="T587" s="296"/>
      <c r="U587" s="296"/>
      <c r="V587" s="296"/>
      <c r="W587" s="296"/>
      <c r="X587" s="296"/>
      <c r="Y587" s="296"/>
      <c r="Z587" s="296"/>
      <c r="AA587" s="296"/>
      <c r="AB587" s="296"/>
      <c r="AC587" s="296"/>
      <c r="AD587" s="296"/>
      <c r="AE587" s="296"/>
      <c r="AF587" s="296"/>
      <c r="AG587" s="296"/>
      <c r="AH587" s="296"/>
      <c r="AI587" s="296"/>
      <c r="AJ587" s="296"/>
      <c r="AK587" s="296"/>
    </row>
    <row r="588" spans="11:37">
      <c r="K588" s="296"/>
      <c r="L588" s="296"/>
      <c r="M588" s="296"/>
      <c r="N588" s="296"/>
      <c r="O588" s="296"/>
      <c r="P588" s="296"/>
      <c r="Q588" s="296"/>
      <c r="R588" s="296"/>
      <c r="S588" s="296"/>
      <c r="T588" s="296"/>
      <c r="U588" s="296"/>
      <c r="V588" s="296"/>
      <c r="W588" s="296"/>
      <c r="X588" s="296"/>
      <c r="Y588" s="296"/>
      <c r="Z588" s="296"/>
      <c r="AA588" s="296"/>
      <c r="AB588" s="296"/>
      <c r="AC588" s="296"/>
      <c r="AD588" s="296"/>
      <c r="AE588" s="296"/>
      <c r="AF588" s="296"/>
      <c r="AG588" s="296"/>
      <c r="AH588" s="296"/>
      <c r="AI588" s="296"/>
      <c r="AJ588" s="296"/>
      <c r="AK588" s="296"/>
    </row>
    <row r="589" spans="11:37">
      <c r="K589" s="296"/>
      <c r="L589" s="296"/>
      <c r="M589" s="296"/>
      <c r="N589" s="296"/>
      <c r="O589" s="296"/>
      <c r="P589" s="296"/>
      <c r="Q589" s="296"/>
      <c r="R589" s="296"/>
      <c r="S589" s="296"/>
      <c r="T589" s="296"/>
      <c r="U589" s="296"/>
      <c r="V589" s="296"/>
      <c r="W589" s="296"/>
      <c r="X589" s="296"/>
      <c r="Y589" s="296"/>
      <c r="Z589" s="296"/>
      <c r="AA589" s="296"/>
      <c r="AB589" s="296"/>
      <c r="AC589" s="296"/>
      <c r="AD589" s="296"/>
      <c r="AE589" s="296"/>
      <c r="AF589" s="296"/>
      <c r="AG589" s="296"/>
      <c r="AH589" s="296"/>
      <c r="AI589" s="296"/>
      <c r="AJ589" s="296"/>
      <c r="AK589" s="296"/>
    </row>
    <row r="590" spans="11:37">
      <c r="K590" s="296"/>
      <c r="L590" s="296"/>
      <c r="M590" s="296"/>
      <c r="N590" s="296"/>
      <c r="O590" s="296"/>
      <c r="P590" s="296"/>
      <c r="Q590" s="296"/>
      <c r="R590" s="296"/>
      <c r="S590" s="296"/>
      <c r="T590" s="296"/>
      <c r="U590" s="296"/>
      <c r="V590" s="296"/>
      <c r="W590" s="296"/>
      <c r="X590" s="296"/>
      <c r="Y590" s="296"/>
      <c r="Z590" s="296"/>
      <c r="AA590" s="296"/>
      <c r="AB590" s="296"/>
      <c r="AC590" s="296"/>
      <c r="AD590" s="296"/>
      <c r="AE590" s="296"/>
      <c r="AF590" s="296"/>
      <c r="AG590" s="296"/>
      <c r="AH590" s="296"/>
      <c r="AI590" s="296"/>
      <c r="AJ590" s="296"/>
      <c r="AK590" s="296"/>
    </row>
    <row r="591" spans="11:37">
      <c r="K591" s="296"/>
      <c r="L591" s="296"/>
      <c r="M591" s="296"/>
      <c r="N591" s="296"/>
      <c r="O591" s="296"/>
      <c r="P591" s="296"/>
      <c r="Q591" s="296"/>
      <c r="R591" s="296"/>
      <c r="S591" s="296"/>
      <c r="T591" s="296"/>
      <c r="U591" s="296"/>
      <c r="V591" s="296"/>
      <c r="W591" s="296"/>
      <c r="X591" s="296"/>
      <c r="Y591" s="296"/>
      <c r="Z591" s="296"/>
      <c r="AA591" s="296"/>
      <c r="AB591" s="296"/>
      <c r="AC591" s="296"/>
      <c r="AD591" s="296"/>
      <c r="AE591" s="296"/>
      <c r="AF591" s="296"/>
      <c r="AG591" s="296"/>
      <c r="AH591" s="296"/>
      <c r="AI591" s="296"/>
      <c r="AJ591" s="296"/>
      <c r="AK591" s="296"/>
    </row>
    <row r="592" spans="11:37">
      <c r="K592" s="296"/>
      <c r="L592" s="296"/>
      <c r="M592" s="296"/>
      <c r="N592" s="296"/>
      <c r="O592" s="296"/>
      <c r="P592" s="296"/>
      <c r="Q592" s="296"/>
      <c r="R592" s="296"/>
      <c r="S592" s="296"/>
      <c r="T592" s="296"/>
      <c r="U592" s="296"/>
      <c r="V592" s="296"/>
      <c r="W592" s="296"/>
      <c r="X592" s="296"/>
      <c r="Y592" s="296"/>
      <c r="Z592" s="296"/>
      <c r="AA592" s="296"/>
      <c r="AB592" s="296"/>
      <c r="AC592" s="296"/>
      <c r="AD592" s="296"/>
      <c r="AE592" s="296"/>
      <c r="AF592" s="296"/>
      <c r="AG592" s="296"/>
      <c r="AH592" s="296"/>
      <c r="AI592" s="296"/>
      <c r="AJ592" s="296"/>
      <c r="AK592" s="296"/>
    </row>
    <row r="593" spans="11:37">
      <c r="K593" s="296"/>
      <c r="L593" s="296"/>
      <c r="M593" s="296"/>
      <c r="N593" s="296"/>
      <c r="O593" s="296"/>
      <c r="P593" s="296"/>
      <c r="Q593" s="296"/>
      <c r="R593" s="296"/>
      <c r="S593" s="296"/>
      <c r="T593" s="296"/>
      <c r="U593" s="296"/>
      <c r="V593" s="296"/>
      <c r="W593" s="296"/>
      <c r="X593" s="296"/>
      <c r="Y593" s="296"/>
      <c r="Z593" s="296"/>
      <c r="AA593" s="296"/>
      <c r="AB593" s="296"/>
      <c r="AC593" s="296"/>
      <c r="AD593" s="296"/>
      <c r="AE593" s="296"/>
      <c r="AF593" s="296"/>
      <c r="AG593" s="296"/>
      <c r="AH593" s="296"/>
      <c r="AI593" s="296"/>
      <c r="AJ593" s="296"/>
      <c r="AK593" s="296"/>
    </row>
    <row r="594" spans="11:37">
      <c r="K594" s="296"/>
      <c r="L594" s="296"/>
      <c r="M594" s="296"/>
      <c r="N594" s="296"/>
      <c r="O594" s="296"/>
      <c r="P594" s="296"/>
      <c r="Q594" s="296"/>
      <c r="R594" s="296"/>
      <c r="S594" s="296"/>
      <c r="T594" s="296"/>
      <c r="U594" s="296"/>
      <c r="V594" s="296"/>
      <c r="W594" s="296"/>
      <c r="X594" s="296"/>
      <c r="Y594" s="296"/>
      <c r="Z594" s="296"/>
      <c r="AA594" s="296"/>
      <c r="AB594" s="296"/>
      <c r="AC594" s="296"/>
      <c r="AD594" s="296"/>
      <c r="AE594" s="296"/>
      <c r="AF594" s="296"/>
      <c r="AG594" s="296"/>
      <c r="AH594" s="296"/>
      <c r="AI594" s="296"/>
      <c r="AJ594" s="296"/>
      <c r="AK594" s="296"/>
    </row>
    <row r="595" spans="11:37">
      <c r="K595" s="296"/>
      <c r="L595" s="296"/>
      <c r="M595" s="296"/>
      <c r="N595" s="296"/>
      <c r="O595" s="296"/>
      <c r="P595" s="296"/>
      <c r="Q595" s="296"/>
      <c r="R595" s="296"/>
      <c r="S595" s="296"/>
      <c r="T595" s="296"/>
      <c r="U595" s="296"/>
      <c r="V595" s="296"/>
      <c r="W595" s="296"/>
      <c r="X595" s="296"/>
      <c r="Y595" s="296"/>
      <c r="Z595" s="296"/>
      <c r="AA595" s="296"/>
      <c r="AB595" s="296"/>
      <c r="AC595" s="296"/>
      <c r="AD595" s="296"/>
      <c r="AE595" s="296"/>
      <c r="AF595" s="296"/>
      <c r="AG595" s="296"/>
      <c r="AH595" s="296"/>
      <c r="AI595" s="296"/>
      <c r="AJ595" s="296"/>
      <c r="AK595" s="296"/>
    </row>
    <row r="596" spans="11:37">
      <c r="K596" s="296"/>
      <c r="L596" s="296"/>
      <c r="M596" s="296"/>
      <c r="N596" s="296"/>
      <c r="O596" s="296"/>
      <c r="P596" s="296"/>
      <c r="Q596" s="296"/>
      <c r="R596" s="296"/>
      <c r="S596" s="296"/>
      <c r="T596" s="296"/>
      <c r="U596" s="296"/>
      <c r="V596" s="296"/>
      <c r="W596" s="296"/>
      <c r="X596" s="296"/>
      <c r="Y596" s="296"/>
      <c r="Z596" s="296"/>
      <c r="AA596" s="296"/>
      <c r="AB596" s="296"/>
      <c r="AC596" s="296"/>
      <c r="AD596" s="296"/>
      <c r="AE596" s="296"/>
      <c r="AF596" s="296"/>
      <c r="AG596" s="296"/>
      <c r="AH596" s="296"/>
      <c r="AI596" s="296"/>
      <c r="AJ596" s="296"/>
      <c r="AK596" s="296"/>
    </row>
    <row r="597" spans="11:37">
      <c r="K597" s="296"/>
      <c r="L597" s="296"/>
      <c r="M597" s="296"/>
      <c r="N597" s="296"/>
      <c r="O597" s="296"/>
      <c r="P597" s="296"/>
      <c r="Q597" s="296"/>
      <c r="R597" s="296"/>
      <c r="S597" s="296"/>
      <c r="T597" s="296"/>
      <c r="U597" s="296"/>
      <c r="V597" s="296"/>
      <c r="W597" s="296"/>
      <c r="X597" s="296"/>
      <c r="Y597" s="296"/>
      <c r="Z597" s="296"/>
      <c r="AA597" s="296"/>
      <c r="AB597" s="296"/>
      <c r="AC597" s="296"/>
      <c r="AD597" s="296"/>
      <c r="AE597" s="296"/>
      <c r="AF597" s="296"/>
      <c r="AG597" s="296"/>
      <c r="AH597" s="296"/>
      <c r="AI597" s="296"/>
      <c r="AJ597" s="296"/>
      <c r="AK597" s="296"/>
    </row>
    <row r="598" spans="11:37">
      <c r="K598" s="296"/>
      <c r="L598" s="296"/>
      <c r="M598" s="296"/>
      <c r="N598" s="296"/>
      <c r="O598" s="296"/>
      <c r="P598" s="296"/>
      <c r="Q598" s="296"/>
      <c r="R598" s="296"/>
      <c r="S598" s="296"/>
      <c r="T598" s="296"/>
      <c r="U598" s="296"/>
      <c r="V598" s="296"/>
      <c r="W598" s="296"/>
      <c r="X598" s="296"/>
      <c r="Y598" s="296"/>
      <c r="Z598" s="296"/>
      <c r="AA598" s="296"/>
      <c r="AB598" s="296"/>
      <c r="AC598" s="296"/>
      <c r="AD598" s="296"/>
      <c r="AE598" s="296"/>
      <c r="AF598" s="296"/>
      <c r="AG598" s="296"/>
      <c r="AH598" s="296"/>
      <c r="AI598" s="296"/>
      <c r="AJ598" s="296"/>
      <c r="AK598" s="296"/>
    </row>
    <row r="599" spans="11:37">
      <c r="K599" s="296"/>
      <c r="L599" s="296"/>
      <c r="M599" s="296"/>
      <c r="N599" s="296"/>
      <c r="O599" s="296"/>
      <c r="P599" s="296"/>
      <c r="Q599" s="296"/>
      <c r="R599" s="296"/>
      <c r="S599" s="296"/>
      <c r="T599" s="296"/>
      <c r="U599" s="296"/>
      <c r="V599" s="296"/>
      <c r="W599" s="296"/>
      <c r="X599" s="296"/>
      <c r="Y599" s="296"/>
      <c r="Z599" s="296"/>
      <c r="AA599" s="296"/>
      <c r="AB599" s="296"/>
      <c r="AC599" s="296"/>
      <c r="AD599" s="296"/>
      <c r="AE599" s="296"/>
      <c r="AF599" s="296"/>
      <c r="AG599" s="296"/>
      <c r="AH599" s="296"/>
      <c r="AI599" s="296"/>
      <c r="AJ599" s="296"/>
      <c r="AK599" s="296"/>
    </row>
    <row r="600" spans="11:37">
      <c r="K600" s="296"/>
      <c r="L600" s="296"/>
      <c r="M600" s="296"/>
      <c r="N600" s="296"/>
      <c r="O600" s="296"/>
      <c r="P600" s="296"/>
      <c r="Q600" s="296"/>
      <c r="R600" s="296"/>
      <c r="S600" s="296"/>
      <c r="T600" s="296"/>
      <c r="U600" s="296"/>
      <c r="V600" s="296"/>
      <c r="W600" s="296"/>
      <c r="X600" s="296"/>
      <c r="Y600" s="296"/>
      <c r="Z600" s="296"/>
      <c r="AA600" s="296"/>
      <c r="AB600" s="296"/>
      <c r="AC600" s="296"/>
      <c r="AD600" s="296"/>
      <c r="AE600" s="296"/>
      <c r="AF600" s="296"/>
      <c r="AG600" s="296"/>
      <c r="AH600" s="296"/>
      <c r="AI600" s="296"/>
      <c r="AJ600" s="296"/>
      <c r="AK600" s="296"/>
    </row>
    <row r="601" spans="11:37">
      <c r="K601" s="296"/>
      <c r="L601" s="296"/>
      <c r="M601" s="296"/>
      <c r="N601" s="296"/>
      <c r="O601" s="296"/>
      <c r="P601" s="296"/>
      <c r="Q601" s="296"/>
      <c r="R601" s="296"/>
      <c r="S601" s="296"/>
      <c r="T601" s="296"/>
      <c r="U601" s="296"/>
      <c r="V601" s="296"/>
      <c r="W601" s="296"/>
      <c r="X601" s="296"/>
      <c r="Y601" s="296"/>
      <c r="Z601" s="296"/>
      <c r="AA601" s="296"/>
      <c r="AB601" s="296"/>
      <c r="AC601" s="296"/>
      <c r="AD601" s="296"/>
      <c r="AE601" s="296"/>
      <c r="AF601" s="296"/>
      <c r="AG601" s="296"/>
      <c r="AH601" s="296"/>
      <c r="AI601" s="296"/>
      <c r="AJ601" s="296"/>
      <c r="AK601" s="296"/>
    </row>
    <row r="602" spans="11:37">
      <c r="K602" s="296"/>
      <c r="L602" s="296"/>
      <c r="M602" s="296"/>
      <c r="N602" s="296"/>
      <c r="O602" s="296"/>
      <c r="P602" s="296"/>
      <c r="Q602" s="296"/>
      <c r="R602" s="296"/>
      <c r="S602" s="296"/>
      <c r="T602" s="296"/>
      <c r="U602" s="296"/>
      <c r="V602" s="296"/>
      <c r="W602" s="296"/>
      <c r="X602" s="296"/>
      <c r="Y602" s="296"/>
      <c r="Z602" s="296"/>
      <c r="AA602" s="296"/>
      <c r="AB602" s="296"/>
      <c r="AC602" s="296"/>
      <c r="AD602" s="296"/>
      <c r="AE602" s="296"/>
      <c r="AF602" s="296"/>
      <c r="AG602" s="296"/>
      <c r="AH602" s="296"/>
      <c r="AI602" s="296"/>
      <c r="AJ602" s="296"/>
      <c r="AK602" s="296"/>
    </row>
    <row r="603" spans="11:37">
      <c r="K603" s="296"/>
      <c r="L603" s="296"/>
      <c r="M603" s="296"/>
      <c r="N603" s="296"/>
      <c r="O603" s="296"/>
      <c r="P603" s="296"/>
      <c r="Q603" s="296"/>
      <c r="R603" s="296"/>
      <c r="S603" s="296"/>
      <c r="T603" s="296"/>
      <c r="U603" s="296"/>
      <c r="V603" s="296"/>
      <c r="W603" s="296"/>
      <c r="X603" s="296"/>
      <c r="Y603" s="296"/>
      <c r="Z603" s="296"/>
      <c r="AA603" s="296"/>
      <c r="AB603" s="296"/>
      <c r="AC603" s="296"/>
      <c r="AD603" s="296"/>
      <c r="AE603" s="296"/>
      <c r="AF603" s="296"/>
      <c r="AG603" s="296"/>
      <c r="AH603" s="296"/>
      <c r="AI603" s="296"/>
      <c r="AJ603" s="296"/>
      <c r="AK603" s="296"/>
    </row>
    <row r="604" spans="11:37">
      <c r="K604" s="296"/>
      <c r="L604" s="296"/>
      <c r="M604" s="296"/>
      <c r="N604" s="296"/>
      <c r="O604" s="296"/>
      <c r="P604" s="296"/>
      <c r="Q604" s="296"/>
      <c r="R604" s="296"/>
      <c r="S604" s="296"/>
      <c r="T604" s="296"/>
      <c r="U604" s="296"/>
      <c r="V604" s="296"/>
      <c r="W604" s="296"/>
      <c r="X604" s="296"/>
      <c r="Y604" s="296"/>
      <c r="Z604" s="296"/>
      <c r="AA604" s="296"/>
      <c r="AB604" s="296"/>
      <c r="AC604" s="296"/>
      <c r="AD604" s="296"/>
      <c r="AE604" s="296"/>
      <c r="AF604" s="296"/>
      <c r="AG604" s="296"/>
      <c r="AH604" s="296"/>
      <c r="AI604" s="296"/>
      <c r="AJ604" s="296"/>
      <c r="AK604" s="296"/>
    </row>
    <row r="605" spans="11:37">
      <c r="K605" s="296"/>
      <c r="L605" s="296"/>
      <c r="M605" s="296"/>
      <c r="N605" s="296"/>
      <c r="O605" s="296"/>
      <c r="P605" s="296"/>
      <c r="Q605" s="296"/>
      <c r="R605" s="296"/>
      <c r="S605" s="296"/>
      <c r="T605" s="296"/>
      <c r="U605" s="296"/>
      <c r="V605" s="296"/>
      <c r="W605" s="296"/>
      <c r="X605" s="296"/>
      <c r="Y605" s="296"/>
      <c r="Z605" s="296"/>
      <c r="AA605" s="296"/>
      <c r="AB605" s="296"/>
      <c r="AC605" s="296"/>
      <c r="AD605" s="296"/>
      <c r="AE605" s="296"/>
      <c r="AF605" s="296"/>
      <c r="AG605" s="296"/>
      <c r="AH605" s="296"/>
      <c r="AI605" s="296"/>
      <c r="AJ605" s="296"/>
      <c r="AK605" s="296"/>
    </row>
    <row r="606" spans="11:37">
      <c r="K606" s="296"/>
      <c r="L606" s="296"/>
      <c r="M606" s="296"/>
      <c r="N606" s="296"/>
      <c r="O606" s="296"/>
      <c r="P606" s="296"/>
      <c r="Q606" s="296"/>
      <c r="R606" s="296"/>
      <c r="S606" s="296"/>
      <c r="T606" s="296"/>
      <c r="U606" s="296"/>
      <c r="V606" s="296"/>
      <c r="W606" s="296"/>
      <c r="X606" s="296"/>
      <c r="Y606" s="296"/>
      <c r="Z606" s="296"/>
      <c r="AA606" s="296"/>
      <c r="AB606" s="296"/>
      <c r="AC606" s="296"/>
      <c r="AD606" s="296"/>
      <c r="AE606" s="296"/>
      <c r="AF606" s="296"/>
      <c r="AG606" s="296"/>
      <c r="AH606" s="296"/>
      <c r="AI606" s="296"/>
      <c r="AJ606" s="296"/>
      <c r="AK606" s="296"/>
    </row>
    <row r="607" spans="11:37">
      <c r="K607" s="296"/>
      <c r="L607" s="296"/>
      <c r="M607" s="296"/>
      <c r="N607" s="296"/>
      <c r="O607" s="296"/>
      <c r="P607" s="296"/>
      <c r="Q607" s="296"/>
      <c r="R607" s="296"/>
      <c r="S607" s="296"/>
      <c r="T607" s="296"/>
      <c r="U607" s="296"/>
      <c r="V607" s="296"/>
      <c r="W607" s="296"/>
      <c r="X607" s="296"/>
      <c r="Y607" s="296"/>
      <c r="Z607" s="296"/>
      <c r="AA607" s="296"/>
      <c r="AB607" s="296"/>
      <c r="AC607" s="296"/>
      <c r="AD607" s="296"/>
      <c r="AE607" s="296"/>
      <c r="AF607" s="296"/>
      <c r="AG607" s="296"/>
      <c r="AH607" s="296"/>
      <c r="AI607" s="296"/>
      <c r="AJ607" s="296"/>
      <c r="AK607" s="296"/>
    </row>
    <row r="608" spans="11:37">
      <c r="K608" s="296"/>
      <c r="L608" s="296"/>
      <c r="M608" s="296"/>
      <c r="N608" s="296"/>
      <c r="O608" s="296"/>
      <c r="P608" s="296"/>
      <c r="Q608" s="296"/>
      <c r="R608" s="296"/>
      <c r="S608" s="296"/>
      <c r="T608" s="296"/>
      <c r="U608" s="296"/>
      <c r="V608" s="296"/>
      <c r="W608" s="296"/>
      <c r="X608" s="296"/>
      <c r="Y608" s="296"/>
      <c r="Z608" s="296"/>
      <c r="AA608" s="296"/>
      <c r="AB608" s="296"/>
      <c r="AC608" s="296"/>
      <c r="AD608" s="296"/>
      <c r="AE608" s="296"/>
      <c r="AF608" s="296"/>
      <c r="AG608" s="296"/>
      <c r="AH608" s="296"/>
      <c r="AI608" s="296"/>
      <c r="AJ608" s="296"/>
      <c r="AK608" s="296"/>
    </row>
    <row r="609" spans="11:37">
      <c r="K609" s="296"/>
      <c r="L609" s="296"/>
      <c r="M609" s="296"/>
      <c r="N609" s="296"/>
      <c r="O609" s="296"/>
      <c r="P609" s="296"/>
      <c r="Q609" s="296"/>
      <c r="R609" s="296"/>
      <c r="S609" s="296"/>
      <c r="T609" s="296"/>
      <c r="U609" s="296"/>
      <c r="V609" s="296"/>
      <c r="W609" s="296"/>
      <c r="X609" s="296"/>
      <c r="Y609" s="296"/>
      <c r="Z609" s="296"/>
      <c r="AA609" s="296"/>
      <c r="AB609" s="296"/>
      <c r="AC609" s="296"/>
      <c r="AD609" s="296"/>
      <c r="AE609" s="296"/>
      <c r="AF609" s="296"/>
      <c r="AG609" s="296"/>
      <c r="AH609" s="296"/>
      <c r="AI609" s="296"/>
      <c r="AJ609" s="296"/>
      <c r="AK609" s="296"/>
    </row>
    <row r="610" spans="11:37">
      <c r="K610" s="296"/>
      <c r="L610" s="296"/>
      <c r="M610" s="296"/>
      <c r="N610" s="296"/>
      <c r="O610" s="296"/>
      <c r="P610" s="296"/>
      <c r="Q610" s="296"/>
      <c r="R610" s="296"/>
      <c r="S610" s="296"/>
      <c r="T610" s="296"/>
      <c r="U610" s="296"/>
      <c r="V610" s="296"/>
      <c r="W610" s="296"/>
      <c r="X610" s="296"/>
      <c r="Y610" s="296"/>
      <c r="Z610" s="296"/>
      <c r="AA610" s="296"/>
      <c r="AB610" s="296"/>
      <c r="AC610" s="296"/>
      <c r="AD610" s="296"/>
      <c r="AE610" s="296"/>
      <c r="AF610" s="296"/>
      <c r="AG610" s="296"/>
      <c r="AH610" s="296"/>
      <c r="AI610" s="296"/>
      <c r="AJ610" s="296"/>
      <c r="AK610" s="296"/>
    </row>
    <row r="611" spans="11:37">
      <c r="K611" s="296"/>
      <c r="L611" s="296"/>
      <c r="M611" s="296"/>
      <c r="N611" s="296"/>
      <c r="O611" s="296"/>
      <c r="P611" s="296"/>
      <c r="Q611" s="296"/>
      <c r="R611" s="296"/>
      <c r="S611" s="296"/>
      <c r="T611" s="296"/>
      <c r="U611" s="296"/>
      <c r="V611" s="296"/>
      <c r="W611" s="296"/>
      <c r="X611" s="296"/>
      <c r="Y611" s="296"/>
      <c r="Z611" s="296"/>
      <c r="AA611" s="296"/>
      <c r="AB611" s="296"/>
      <c r="AC611" s="296"/>
      <c r="AD611" s="296"/>
      <c r="AE611" s="296"/>
      <c r="AF611" s="296"/>
      <c r="AG611" s="296"/>
      <c r="AH611" s="296"/>
      <c r="AI611" s="296"/>
      <c r="AJ611" s="296"/>
      <c r="AK611" s="296"/>
    </row>
    <row r="612" spans="11:37">
      <c r="K612" s="296"/>
      <c r="L612" s="296"/>
      <c r="M612" s="296"/>
      <c r="N612" s="296"/>
      <c r="O612" s="296"/>
      <c r="P612" s="296"/>
      <c r="Q612" s="296"/>
      <c r="R612" s="296"/>
      <c r="S612" s="296"/>
      <c r="T612" s="296"/>
      <c r="U612" s="296"/>
      <c r="V612" s="296"/>
      <c r="W612" s="296"/>
      <c r="X612" s="296"/>
      <c r="Y612" s="296"/>
      <c r="Z612" s="296"/>
      <c r="AA612" s="296"/>
      <c r="AB612" s="296"/>
      <c r="AC612" s="296"/>
      <c r="AD612" s="296"/>
      <c r="AE612" s="296"/>
      <c r="AF612" s="296"/>
      <c r="AG612" s="296"/>
      <c r="AH612" s="296"/>
      <c r="AI612" s="296"/>
      <c r="AJ612" s="296"/>
      <c r="AK612" s="296"/>
    </row>
    <row r="613" spans="11:37">
      <c r="K613" s="296"/>
      <c r="L613" s="296"/>
      <c r="M613" s="296"/>
      <c r="N613" s="296"/>
      <c r="O613" s="296"/>
      <c r="P613" s="296"/>
      <c r="Q613" s="296"/>
      <c r="R613" s="296"/>
      <c r="S613" s="296"/>
      <c r="T613" s="296"/>
      <c r="U613" s="296"/>
      <c r="V613" s="296"/>
      <c r="W613" s="296"/>
      <c r="X613" s="296"/>
      <c r="Y613" s="296"/>
      <c r="Z613" s="296"/>
      <c r="AA613" s="296"/>
      <c r="AB613" s="296"/>
      <c r="AC613" s="296"/>
      <c r="AD613" s="296"/>
      <c r="AE613" s="296"/>
      <c r="AF613" s="296"/>
      <c r="AG613" s="296"/>
      <c r="AH613" s="296"/>
      <c r="AI613" s="296"/>
      <c r="AJ613" s="296"/>
      <c r="AK613" s="296"/>
    </row>
    <row r="614" spans="11:37">
      <c r="K614" s="296"/>
      <c r="L614" s="296"/>
      <c r="M614" s="296"/>
      <c r="N614" s="296"/>
      <c r="O614" s="296"/>
      <c r="P614" s="296"/>
      <c r="Q614" s="296"/>
      <c r="R614" s="296"/>
      <c r="S614" s="296"/>
      <c r="T614" s="296"/>
      <c r="U614" s="296"/>
      <c r="V614" s="296"/>
      <c r="W614" s="296"/>
      <c r="X614" s="296"/>
      <c r="Y614" s="296"/>
      <c r="Z614" s="296"/>
      <c r="AA614" s="296"/>
      <c r="AB614" s="296"/>
      <c r="AC614" s="296"/>
      <c r="AD614" s="296"/>
      <c r="AE614" s="296"/>
      <c r="AF614" s="296"/>
      <c r="AG614" s="296"/>
      <c r="AH614" s="296"/>
      <c r="AI614" s="296"/>
      <c r="AJ614" s="296"/>
      <c r="AK614" s="296"/>
    </row>
    <row r="615" spans="11:37">
      <c r="K615" s="296"/>
      <c r="L615" s="296"/>
      <c r="M615" s="296"/>
      <c r="N615" s="296"/>
      <c r="O615" s="296"/>
      <c r="P615" s="296"/>
      <c r="Q615" s="296"/>
      <c r="R615" s="296"/>
      <c r="S615" s="296"/>
      <c r="T615" s="296"/>
      <c r="U615" s="296"/>
      <c r="V615" s="296"/>
      <c r="W615" s="296"/>
      <c r="X615" s="296"/>
      <c r="Y615" s="296"/>
      <c r="Z615" s="296"/>
      <c r="AA615" s="296"/>
      <c r="AB615" s="296"/>
      <c r="AC615" s="296"/>
      <c r="AD615" s="296"/>
      <c r="AE615" s="296"/>
      <c r="AF615" s="296"/>
      <c r="AG615" s="296"/>
      <c r="AH615" s="296"/>
      <c r="AI615" s="296"/>
      <c r="AJ615" s="296"/>
      <c r="AK615" s="296"/>
    </row>
    <row r="616" spans="11:37">
      <c r="K616" s="296"/>
      <c r="L616" s="296"/>
      <c r="M616" s="296"/>
      <c r="N616" s="296"/>
      <c r="O616" s="296"/>
      <c r="P616" s="296"/>
      <c r="Q616" s="296"/>
      <c r="R616" s="296"/>
      <c r="S616" s="296"/>
      <c r="T616" s="296"/>
      <c r="U616" s="296"/>
      <c r="V616" s="296"/>
      <c r="W616" s="296"/>
      <c r="X616" s="296"/>
      <c r="Y616" s="296"/>
      <c r="Z616" s="296"/>
      <c r="AA616" s="296"/>
      <c r="AB616" s="296"/>
      <c r="AC616" s="296"/>
      <c r="AD616" s="296"/>
      <c r="AE616" s="296"/>
      <c r="AF616" s="296"/>
      <c r="AG616" s="296"/>
      <c r="AH616" s="296"/>
      <c r="AI616" s="296"/>
      <c r="AJ616" s="296"/>
      <c r="AK616" s="296"/>
    </row>
    <row r="617" spans="11:37">
      <c r="K617" s="296"/>
      <c r="L617" s="296"/>
      <c r="M617" s="296"/>
      <c r="N617" s="296"/>
      <c r="O617" s="296"/>
      <c r="P617" s="296"/>
      <c r="Q617" s="296"/>
      <c r="R617" s="296"/>
      <c r="S617" s="296"/>
      <c r="T617" s="296"/>
      <c r="U617" s="296"/>
      <c r="V617" s="296"/>
      <c r="W617" s="296"/>
      <c r="X617" s="296"/>
      <c r="Y617" s="296"/>
      <c r="Z617" s="296"/>
      <c r="AA617" s="296"/>
      <c r="AB617" s="296"/>
      <c r="AC617" s="296"/>
      <c r="AD617" s="296"/>
      <c r="AE617" s="296"/>
      <c r="AF617" s="296"/>
      <c r="AG617" s="296"/>
      <c r="AH617" s="296"/>
      <c r="AI617" s="296"/>
      <c r="AJ617" s="296"/>
      <c r="AK617" s="296"/>
    </row>
    <row r="618" spans="11:37">
      <c r="K618" s="296"/>
      <c r="L618" s="296"/>
      <c r="M618" s="296"/>
      <c r="N618" s="296"/>
      <c r="O618" s="296"/>
      <c r="P618" s="296"/>
      <c r="Q618" s="296"/>
      <c r="R618" s="296"/>
      <c r="S618" s="296"/>
      <c r="T618" s="296"/>
      <c r="U618" s="296"/>
      <c r="V618" s="296"/>
      <c r="W618" s="296"/>
      <c r="X618" s="296"/>
      <c r="Y618" s="296"/>
      <c r="Z618" s="296"/>
      <c r="AA618" s="296"/>
      <c r="AB618" s="296"/>
      <c r="AC618" s="296"/>
      <c r="AD618" s="296"/>
      <c r="AE618" s="296"/>
      <c r="AF618" s="296"/>
      <c r="AG618" s="296"/>
      <c r="AH618" s="296"/>
      <c r="AI618" s="296"/>
      <c r="AJ618" s="296"/>
      <c r="AK618" s="296"/>
    </row>
    <row r="619" spans="11:37">
      <c r="K619" s="296"/>
      <c r="L619" s="296"/>
      <c r="M619" s="296"/>
      <c r="N619" s="296"/>
      <c r="O619" s="296"/>
      <c r="P619" s="296"/>
      <c r="Q619" s="296"/>
      <c r="R619" s="296"/>
      <c r="S619" s="296"/>
      <c r="T619" s="296"/>
      <c r="U619" s="296"/>
      <c r="V619" s="296"/>
      <c r="W619" s="296"/>
      <c r="X619" s="296"/>
      <c r="Y619" s="296"/>
      <c r="Z619" s="296"/>
      <c r="AA619" s="296"/>
      <c r="AB619" s="296"/>
      <c r="AC619" s="296"/>
      <c r="AD619" s="296"/>
      <c r="AE619" s="296"/>
      <c r="AF619" s="296"/>
      <c r="AG619" s="296"/>
      <c r="AH619" s="296"/>
      <c r="AI619" s="296"/>
      <c r="AJ619" s="296"/>
      <c r="AK619" s="296"/>
    </row>
    <row r="620" spans="11:37">
      <c r="K620" s="296"/>
      <c r="L620" s="296"/>
      <c r="M620" s="296"/>
      <c r="N620" s="296"/>
      <c r="O620" s="296"/>
      <c r="P620" s="296"/>
      <c r="Q620" s="296"/>
      <c r="R620" s="296"/>
      <c r="S620" s="296"/>
      <c r="T620" s="296"/>
      <c r="U620" s="296"/>
      <c r="V620" s="296"/>
      <c r="W620" s="296"/>
      <c r="X620" s="296"/>
      <c r="Y620" s="296"/>
      <c r="Z620" s="296"/>
      <c r="AA620" s="296"/>
      <c r="AB620" s="296"/>
      <c r="AC620" s="296"/>
      <c r="AD620" s="296"/>
      <c r="AE620" s="296"/>
      <c r="AF620" s="296"/>
      <c r="AG620" s="296"/>
      <c r="AH620" s="296"/>
      <c r="AI620" s="296"/>
      <c r="AJ620" s="296"/>
      <c r="AK620" s="296"/>
    </row>
    <row r="621" spans="11:37">
      <c r="K621" s="296"/>
      <c r="L621" s="296"/>
      <c r="M621" s="296"/>
      <c r="N621" s="296"/>
      <c r="O621" s="296"/>
      <c r="P621" s="296"/>
      <c r="Q621" s="296"/>
      <c r="R621" s="296"/>
      <c r="S621" s="296"/>
      <c r="T621" s="296"/>
      <c r="U621" s="296"/>
      <c r="V621" s="296"/>
      <c r="W621" s="296"/>
      <c r="X621" s="296"/>
      <c r="Y621" s="296"/>
      <c r="Z621" s="296"/>
      <c r="AA621" s="296"/>
      <c r="AB621" s="296"/>
      <c r="AC621" s="296"/>
      <c r="AD621" s="296"/>
      <c r="AE621" s="296"/>
      <c r="AF621" s="296"/>
      <c r="AG621" s="296"/>
      <c r="AH621" s="296"/>
      <c r="AI621" s="296"/>
      <c r="AJ621" s="296"/>
      <c r="AK621" s="296"/>
    </row>
    <row r="622" spans="11:37">
      <c r="K622" s="296"/>
      <c r="L622" s="296"/>
      <c r="M622" s="296"/>
      <c r="N622" s="296"/>
      <c r="O622" s="296"/>
      <c r="P622" s="296"/>
      <c r="Q622" s="296"/>
      <c r="R622" s="296"/>
      <c r="S622" s="296"/>
      <c r="T622" s="296"/>
      <c r="U622" s="296"/>
      <c r="V622" s="296"/>
      <c r="W622" s="296"/>
      <c r="X622" s="296"/>
      <c r="Y622" s="296"/>
      <c r="Z622" s="296"/>
      <c r="AA622" s="296"/>
      <c r="AB622" s="296"/>
      <c r="AC622" s="296"/>
      <c r="AD622" s="296"/>
      <c r="AE622" s="296"/>
      <c r="AF622" s="296"/>
      <c r="AG622" s="296"/>
      <c r="AH622" s="296"/>
      <c r="AI622" s="296"/>
      <c r="AJ622" s="296"/>
      <c r="AK622" s="296"/>
    </row>
    <row r="623" spans="11:37">
      <c r="K623" s="296"/>
      <c r="L623" s="296"/>
      <c r="M623" s="296"/>
      <c r="N623" s="296"/>
      <c r="O623" s="296"/>
      <c r="P623" s="296"/>
      <c r="Q623" s="296"/>
      <c r="R623" s="296"/>
      <c r="S623" s="296"/>
      <c r="T623" s="296"/>
      <c r="U623" s="296"/>
      <c r="V623" s="296"/>
      <c r="W623" s="296"/>
      <c r="X623" s="296"/>
      <c r="Y623" s="296"/>
      <c r="Z623" s="296"/>
      <c r="AA623" s="296"/>
      <c r="AB623" s="296"/>
      <c r="AC623" s="296"/>
      <c r="AD623" s="296"/>
      <c r="AE623" s="296"/>
      <c r="AF623" s="296"/>
      <c r="AG623" s="296"/>
      <c r="AH623" s="296"/>
      <c r="AI623" s="296"/>
      <c r="AJ623" s="296"/>
      <c r="AK623" s="296"/>
    </row>
    <row r="624" spans="11:37">
      <c r="K624" s="296"/>
      <c r="L624" s="296"/>
      <c r="M624" s="296"/>
      <c r="N624" s="296"/>
      <c r="O624" s="296"/>
      <c r="P624" s="296"/>
      <c r="Q624" s="296"/>
      <c r="R624" s="296"/>
      <c r="S624" s="296"/>
      <c r="T624" s="296"/>
      <c r="U624" s="296"/>
      <c r="V624" s="296"/>
      <c r="W624" s="296"/>
      <c r="X624" s="296"/>
      <c r="Y624" s="296"/>
      <c r="Z624" s="296"/>
      <c r="AA624" s="296"/>
      <c r="AB624" s="296"/>
      <c r="AC624" s="296"/>
      <c r="AD624" s="296"/>
      <c r="AE624" s="296"/>
      <c r="AF624" s="296"/>
      <c r="AG624" s="296"/>
      <c r="AH624" s="296"/>
      <c r="AI624" s="296"/>
      <c r="AJ624" s="296"/>
      <c r="AK624" s="296"/>
    </row>
    <row r="625" spans="11:37">
      <c r="K625" s="296"/>
      <c r="L625" s="296"/>
      <c r="M625" s="296"/>
      <c r="N625" s="296"/>
      <c r="O625" s="296"/>
      <c r="P625" s="296"/>
      <c r="Q625" s="296"/>
      <c r="R625" s="296"/>
      <c r="S625" s="296"/>
      <c r="T625" s="296"/>
      <c r="U625" s="296"/>
      <c r="V625" s="296"/>
      <c r="W625" s="296"/>
      <c r="X625" s="296"/>
      <c r="Y625" s="296"/>
      <c r="Z625" s="296"/>
      <c r="AA625" s="296"/>
      <c r="AB625" s="296"/>
      <c r="AC625" s="296"/>
      <c r="AD625" s="296"/>
      <c r="AE625" s="296"/>
      <c r="AF625" s="296"/>
      <c r="AG625" s="296"/>
      <c r="AH625" s="296"/>
      <c r="AI625" s="296"/>
      <c r="AJ625" s="296"/>
      <c r="AK625" s="296"/>
    </row>
    <row r="626" spans="11:37">
      <c r="K626" s="296"/>
      <c r="L626" s="296"/>
      <c r="M626" s="296"/>
      <c r="N626" s="296"/>
      <c r="O626" s="296"/>
      <c r="P626" s="296"/>
      <c r="Q626" s="296"/>
      <c r="R626" s="296"/>
      <c r="S626" s="296"/>
      <c r="T626" s="296"/>
      <c r="U626" s="296"/>
      <c r="V626" s="296"/>
      <c r="W626" s="296"/>
      <c r="X626" s="296"/>
      <c r="Y626" s="296"/>
      <c r="Z626" s="296"/>
      <c r="AA626" s="296"/>
      <c r="AB626" s="296"/>
      <c r="AC626" s="296"/>
      <c r="AD626" s="296"/>
      <c r="AE626" s="296"/>
      <c r="AF626" s="296"/>
      <c r="AG626" s="296"/>
      <c r="AH626" s="296"/>
      <c r="AI626" s="296"/>
      <c r="AJ626" s="296"/>
      <c r="AK626" s="296"/>
    </row>
    <row r="627" spans="11:37">
      <c r="K627" s="296"/>
      <c r="L627" s="296"/>
      <c r="M627" s="296"/>
      <c r="N627" s="296"/>
      <c r="O627" s="296"/>
      <c r="P627" s="296"/>
      <c r="Q627" s="296"/>
      <c r="R627" s="296"/>
      <c r="S627" s="296"/>
      <c r="T627" s="296"/>
      <c r="U627" s="296"/>
      <c r="V627" s="296"/>
      <c r="W627" s="296"/>
      <c r="X627" s="296"/>
      <c r="Y627" s="296"/>
      <c r="Z627" s="296"/>
      <c r="AA627" s="296"/>
      <c r="AB627" s="296"/>
      <c r="AC627" s="296"/>
      <c r="AD627" s="296"/>
      <c r="AE627" s="296"/>
      <c r="AF627" s="296"/>
      <c r="AG627" s="296"/>
      <c r="AH627" s="296"/>
      <c r="AI627" s="296"/>
      <c r="AJ627" s="296"/>
      <c r="AK627" s="296"/>
    </row>
    <row r="628" spans="11:37">
      <c r="K628" s="296"/>
      <c r="L628" s="296"/>
      <c r="M628" s="296"/>
      <c r="N628" s="296"/>
      <c r="O628" s="296"/>
      <c r="P628" s="296"/>
      <c r="Q628" s="296"/>
      <c r="R628" s="296"/>
      <c r="S628" s="296"/>
      <c r="T628" s="296"/>
      <c r="U628" s="296"/>
      <c r="V628" s="296"/>
      <c r="W628" s="296"/>
      <c r="X628" s="296"/>
      <c r="Y628" s="296"/>
      <c r="Z628" s="296"/>
      <c r="AA628" s="296"/>
      <c r="AB628" s="296"/>
      <c r="AC628" s="296"/>
      <c r="AD628" s="296"/>
      <c r="AE628" s="296"/>
      <c r="AF628" s="296"/>
      <c r="AG628" s="296"/>
      <c r="AH628" s="296"/>
      <c r="AI628" s="296"/>
      <c r="AJ628" s="296"/>
      <c r="AK628" s="296"/>
    </row>
    <row r="629" spans="11:37">
      <c r="K629" s="296"/>
      <c r="L629" s="296"/>
      <c r="M629" s="296"/>
      <c r="N629" s="296"/>
      <c r="O629" s="296"/>
      <c r="P629" s="296"/>
      <c r="Q629" s="296"/>
      <c r="R629" s="296"/>
      <c r="S629" s="296"/>
      <c r="T629" s="296"/>
      <c r="U629" s="296"/>
      <c r="V629" s="296"/>
      <c r="W629" s="296"/>
      <c r="X629" s="296"/>
      <c r="Y629" s="296"/>
      <c r="Z629" s="296"/>
      <c r="AA629" s="296"/>
      <c r="AB629" s="296"/>
      <c r="AC629" s="296"/>
      <c r="AD629" s="296"/>
      <c r="AE629" s="296"/>
      <c r="AF629" s="296"/>
      <c r="AG629" s="296"/>
      <c r="AH629" s="296"/>
      <c r="AI629" s="296"/>
      <c r="AJ629" s="296"/>
      <c r="AK629" s="296"/>
    </row>
    <row r="630" spans="11:37">
      <c r="K630" s="296"/>
      <c r="L630" s="296"/>
      <c r="M630" s="296"/>
      <c r="N630" s="296"/>
      <c r="O630" s="296"/>
      <c r="P630" s="296"/>
      <c r="Q630" s="296"/>
      <c r="R630" s="296"/>
      <c r="S630" s="296"/>
      <c r="T630" s="296"/>
      <c r="U630" s="296"/>
      <c r="V630" s="296"/>
      <c r="W630" s="296"/>
      <c r="X630" s="296"/>
      <c r="Y630" s="296"/>
      <c r="Z630" s="296"/>
      <c r="AA630" s="296"/>
      <c r="AB630" s="296"/>
      <c r="AC630" s="296"/>
      <c r="AD630" s="296"/>
      <c r="AE630" s="296"/>
      <c r="AF630" s="296"/>
      <c r="AG630" s="296"/>
      <c r="AH630" s="296"/>
      <c r="AI630" s="296"/>
      <c r="AJ630" s="296"/>
      <c r="AK630" s="296"/>
    </row>
    <row r="631" spans="11:37">
      <c r="K631" s="296"/>
      <c r="L631" s="296"/>
      <c r="M631" s="296"/>
      <c r="N631" s="296"/>
      <c r="O631" s="296"/>
      <c r="P631" s="296"/>
      <c r="Q631" s="296"/>
      <c r="R631" s="296"/>
      <c r="S631" s="296"/>
      <c r="T631" s="296"/>
      <c r="U631" s="296"/>
      <c r="V631" s="296"/>
      <c r="W631" s="296"/>
      <c r="X631" s="296"/>
      <c r="Y631" s="296"/>
      <c r="Z631" s="296"/>
      <c r="AA631" s="296"/>
      <c r="AB631" s="296"/>
      <c r="AC631" s="296"/>
      <c r="AD631" s="296"/>
      <c r="AE631" s="296"/>
      <c r="AF631" s="296"/>
      <c r="AG631" s="296"/>
      <c r="AH631" s="296"/>
      <c r="AI631" s="296"/>
      <c r="AJ631" s="296"/>
      <c r="AK631" s="296"/>
    </row>
    <row r="632" spans="11:37">
      <c r="K632" s="296"/>
      <c r="L632" s="296"/>
      <c r="M632" s="296"/>
      <c r="N632" s="296"/>
      <c r="O632" s="296"/>
      <c r="P632" s="296"/>
      <c r="Q632" s="296"/>
      <c r="R632" s="296"/>
      <c r="S632" s="296"/>
      <c r="T632" s="296"/>
      <c r="U632" s="296"/>
      <c r="V632" s="296"/>
      <c r="W632" s="296"/>
      <c r="X632" s="296"/>
      <c r="Y632" s="296"/>
      <c r="Z632" s="296"/>
      <c r="AA632" s="296"/>
      <c r="AB632" s="296"/>
      <c r="AC632" s="296"/>
      <c r="AD632" s="296"/>
      <c r="AE632" s="296"/>
      <c r="AF632" s="296"/>
      <c r="AG632" s="296"/>
      <c r="AH632" s="296"/>
      <c r="AI632" s="296"/>
      <c r="AJ632" s="296"/>
      <c r="AK632" s="296"/>
    </row>
    <row r="633" spans="11:37">
      <c r="K633" s="296"/>
      <c r="L633" s="296"/>
      <c r="M633" s="296"/>
      <c r="N633" s="296"/>
      <c r="O633" s="296"/>
      <c r="P633" s="296"/>
      <c r="Q633" s="296"/>
      <c r="R633" s="296"/>
      <c r="S633" s="296"/>
      <c r="T633" s="296"/>
      <c r="U633" s="296"/>
      <c r="V633" s="296"/>
      <c r="W633" s="296"/>
      <c r="X633" s="296"/>
      <c r="Y633" s="296"/>
      <c r="Z633" s="296"/>
      <c r="AA633" s="296"/>
      <c r="AB633" s="296"/>
      <c r="AC633" s="296"/>
      <c r="AD633" s="296"/>
      <c r="AE633" s="296"/>
      <c r="AF633" s="296"/>
      <c r="AG633" s="296"/>
      <c r="AH633" s="296"/>
      <c r="AI633" s="296"/>
      <c r="AJ633" s="296"/>
      <c r="AK633" s="296"/>
    </row>
    <row r="634" spans="11:37">
      <c r="K634" s="296"/>
      <c r="L634" s="296"/>
      <c r="M634" s="296"/>
      <c r="N634" s="296"/>
      <c r="O634" s="296"/>
      <c r="P634" s="296"/>
      <c r="Q634" s="296"/>
      <c r="R634" s="296"/>
      <c r="S634" s="296"/>
      <c r="T634" s="296"/>
      <c r="U634" s="296"/>
      <c r="V634" s="296"/>
      <c r="W634" s="296"/>
      <c r="X634" s="296"/>
      <c r="Y634" s="296"/>
      <c r="Z634" s="296"/>
      <c r="AA634" s="296"/>
      <c r="AB634" s="296"/>
      <c r="AC634" s="296"/>
      <c r="AD634" s="296"/>
      <c r="AE634" s="296"/>
      <c r="AF634" s="296"/>
      <c r="AG634" s="296"/>
      <c r="AH634" s="296"/>
      <c r="AI634" s="296"/>
      <c r="AJ634" s="296"/>
      <c r="AK634" s="296"/>
    </row>
    <row r="635" spans="11:37">
      <c r="K635" s="296"/>
      <c r="L635" s="296"/>
      <c r="M635" s="296"/>
      <c r="N635" s="296"/>
      <c r="O635" s="296"/>
      <c r="P635" s="296"/>
      <c r="Q635" s="296"/>
      <c r="R635" s="296"/>
      <c r="S635" s="296"/>
      <c r="T635" s="296"/>
      <c r="U635" s="296"/>
      <c r="V635" s="296"/>
      <c r="W635" s="296"/>
      <c r="X635" s="296"/>
      <c r="Y635" s="296"/>
      <c r="Z635" s="296"/>
      <c r="AA635" s="296"/>
      <c r="AB635" s="296"/>
      <c r="AC635" s="296"/>
      <c r="AD635" s="296"/>
      <c r="AE635" s="296"/>
      <c r="AF635" s="296"/>
      <c r="AG635" s="296"/>
      <c r="AH635" s="296"/>
      <c r="AI635" s="296"/>
      <c r="AJ635" s="296"/>
      <c r="AK635" s="296"/>
    </row>
    <row r="636" spans="11:37">
      <c r="K636" s="296"/>
      <c r="L636" s="296"/>
      <c r="M636" s="296"/>
      <c r="N636" s="296"/>
      <c r="O636" s="296"/>
      <c r="P636" s="296"/>
      <c r="Q636" s="296"/>
      <c r="R636" s="296"/>
      <c r="S636" s="296"/>
      <c r="T636" s="296"/>
      <c r="U636" s="296"/>
      <c r="V636" s="296"/>
      <c r="W636" s="296"/>
      <c r="X636" s="296"/>
      <c r="Y636" s="296"/>
      <c r="Z636" s="296"/>
      <c r="AA636" s="296"/>
      <c r="AB636" s="296"/>
      <c r="AC636" s="296"/>
      <c r="AD636" s="296"/>
      <c r="AE636" s="296"/>
      <c r="AF636" s="296"/>
      <c r="AG636" s="296"/>
      <c r="AH636" s="296"/>
      <c r="AI636" s="296"/>
      <c r="AJ636" s="296"/>
      <c r="AK636" s="296"/>
    </row>
    <row r="637" spans="11:37">
      <c r="K637" s="296"/>
      <c r="L637" s="296"/>
      <c r="M637" s="296"/>
      <c r="N637" s="296"/>
      <c r="O637" s="296"/>
      <c r="P637" s="296"/>
      <c r="Q637" s="296"/>
      <c r="R637" s="296"/>
      <c r="S637" s="296"/>
      <c r="T637" s="296"/>
      <c r="U637" s="296"/>
      <c r="V637" s="296"/>
      <c r="W637" s="296"/>
      <c r="X637" s="296"/>
      <c r="Y637" s="296"/>
      <c r="Z637" s="296"/>
      <c r="AA637" s="296"/>
      <c r="AB637" s="296"/>
      <c r="AC637" s="296"/>
      <c r="AD637" s="296"/>
      <c r="AE637" s="296"/>
      <c r="AF637" s="296"/>
      <c r="AG637" s="296"/>
      <c r="AH637" s="296"/>
      <c r="AI637" s="296"/>
      <c r="AJ637" s="296"/>
      <c r="AK637" s="296"/>
    </row>
    <row r="638" spans="11:37">
      <c r="K638" s="296"/>
      <c r="L638" s="296"/>
      <c r="M638" s="296"/>
      <c r="N638" s="296"/>
      <c r="O638" s="296"/>
      <c r="P638" s="296"/>
      <c r="Q638" s="296"/>
      <c r="R638" s="296"/>
      <c r="S638" s="296"/>
      <c r="T638" s="296"/>
      <c r="U638" s="296"/>
      <c r="V638" s="296"/>
      <c r="W638" s="296"/>
      <c r="X638" s="296"/>
      <c r="Y638" s="296"/>
      <c r="Z638" s="296"/>
      <c r="AA638" s="296"/>
      <c r="AB638" s="296"/>
      <c r="AC638" s="296"/>
      <c r="AD638" s="296"/>
      <c r="AE638" s="296"/>
      <c r="AF638" s="296"/>
      <c r="AG638" s="296"/>
      <c r="AH638" s="296"/>
      <c r="AI638" s="296"/>
      <c r="AJ638" s="296"/>
      <c r="AK638" s="296"/>
    </row>
    <row r="639" spans="11:37">
      <c r="K639" s="296"/>
      <c r="L639" s="296"/>
      <c r="M639" s="296"/>
      <c r="N639" s="296"/>
      <c r="O639" s="296"/>
      <c r="P639" s="296"/>
      <c r="Q639" s="296"/>
      <c r="R639" s="296"/>
      <c r="S639" s="296"/>
      <c r="T639" s="296"/>
      <c r="U639" s="296"/>
      <c r="V639" s="296"/>
      <c r="W639" s="296"/>
      <c r="X639" s="296"/>
      <c r="Y639" s="296"/>
      <c r="Z639" s="296"/>
      <c r="AA639" s="296"/>
      <c r="AB639" s="296"/>
      <c r="AC639" s="296"/>
      <c r="AD639" s="296"/>
      <c r="AE639" s="296"/>
      <c r="AF639" s="296"/>
      <c r="AG639" s="296"/>
      <c r="AH639" s="296"/>
      <c r="AI639" s="296"/>
      <c r="AJ639" s="296"/>
      <c r="AK639" s="296"/>
    </row>
    <row r="640" spans="11:37">
      <c r="K640" s="296"/>
      <c r="L640" s="296"/>
      <c r="M640" s="296"/>
      <c r="N640" s="296"/>
      <c r="O640" s="296"/>
      <c r="P640" s="296"/>
      <c r="Q640" s="296"/>
      <c r="R640" s="296"/>
      <c r="S640" s="296"/>
      <c r="T640" s="296"/>
      <c r="U640" s="296"/>
      <c r="V640" s="296"/>
      <c r="W640" s="296"/>
      <c r="X640" s="296"/>
      <c r="Y640" s="296"/>
      <c r="Z640" s="296"/>
      <c r="AA640" s="296"/>
      <c r="AB640" s="296"/>
      <c r="AC640" s="296"/>
      <c r="AD640" s="296"/>
      <c r="AE640" s="296"/>
      <c r="AF640" s="296"/>
      <c r="AG640" s="296"/>
      <c r="AH640" s="296"/>
      <c r="AI640" s="296"/>
      <c r="AJ640" s="296"/>
      <c r="AK640" s="296"/>
    </row>
    <row r="641" spans="11:37">
      <c r="K641" s="296"/>
      <c r="L641" s="296"/>
      <c r="M641" s="296"/>
      <c r="N641" s="296"/>
      <c r="O641" s="296"/>
      <c r="P641" s="296"/>
      <c r="Q641" s="296"/>
      <c r="R641" s="296"/>
      <c r="S641" s="296"/>
      <c r="T641" s="296"/>
      <c r="U641" s="296"/>
      <c r="V641" s="296"/>
      <c r="W641" s="296"/>
      <c r="X641" s="296"/>
      <c r="Y641" s="296"/>
      <c r="Z641" s="296"/>
      <c r="AA641" s="296"/>
      <c r="AB641" s="296"/>
      <c r="AC641" s="296"/>
      <c r="AD641" s="296"/>
      <c r="AE641" s="296"/>
      <c r="AF641" s="296"/>
      <c r="AG641" s="296"/>
      <c r="AH641" s="296"/>
      <c r="AI641" s="296"/>
      <c r="AJ641" s="296"/>
      <c r="AK641" s="296"/>
    </row>
    <row r="642" spans="11:37">
      <c r="K642" s="296"/>
      <c r="L642" s="296"/>
      <c r="M642" s="296"/>
      <c r="N642" s="296"/>
      <c r="O642" s="296"/>
      <c r="P642" s="296"/>
      <c r="Q642" s="296"/>
      <c r="R642" s="296"/>
      <c r="S642" s="296"/>
      <c r="T642" s="296"/>
      <c r="U642" s="296"/>
      <c r="V642" s="296"/>
      <c r="W642" s="296"/>
      <c r="X642" s="296"/>
      <c r="Y642" s="296"/>
      <c r="Z642" s="296"/>
      <c r="AA642" s="296"/>
      <c r="AB642" s="296"/>
      <c r="AC642" s="296"/>
      <c r="AD642" s="296"/>
      <c r="AE642" s="296"/>
      <c r="AF642" s="296"/>
      <c r="AG642" s="296"/>
      <c r="AH642" s="296"/>
      <c r="AI642" s="296"/>
      <c r="AJ642" s="296"/>
      <c r="AK642" s="296"/>
    </row>
    <row r="643" spans="11:37">
      <c r="K643" s="296"/>
      <c r="L643" s="296"/>
      <c r="M643" s="296"/>
      <c r="N643" s="296"/>
      <c r="O643" s="296"/>
      <c r="P643" s="296"/>
      <c r="Q643" s="296"/>
      <c r="R643" s="296"/>
      <c r="S643" s="296"/>
      <c r="T643" s="296"/>
      <c r="U643" s="296"/>
      <c r="V643" s="296"/>
      <c r="W643" s="296"/>
      <c r="X643" s="296"/>
      <c r="Y643" s="296"/>
      <c r="Z643" s="296"/>
      <c r="AA643" s="296"/>
      <c r="AB643" s="296"/>
      <c r="AC643" s="296"/>
      <c r="AD643" s="296"/>
      <c r="AE643" s="296"/>
      <c r="AF643" s="296"/>
      <c r="AG643" s="296"/>
      <c r="AH643" s="296"/>
      <c r="AI643" s="296"/>
      <c r="AJ643" s="296"/>
      <c r="AK643" s="296"/>
    </row>
    <row r="644" spans="11:37">
      <c r="K644" s="296"/>
      <c r="L644" s="296"/>
      <c r="M644" s="296"/>
      <c r="N644" s="296"/>
      <c r="O644" s="296"/>
      <c r="P644" s="296"/>
      <c r="Q644" s="296"/>
      <c r="R644" s="296"/>
      <c r="S644" s="296"/>
      <c r="T644" s="296"/>
      <c r="U644" s="296"/>
      <c r="V644" s="296"/>
      <c r="W644" s="296"/>
      <c r="X644" s="296"/>
      <c r="Y644" s="296"/>
      <c r="Z644" s="296"/>
      <c r="AA644" s="296"/>
      <c r="AB644" s="296"/>
      <c r="AC644" s="296"/>
      <c r="AD644" s="296"/>
      <c r="AE644" s="296"/>
      <c r="AF644" s="296"/>
      <c r="AG644" s="296"/>
      <c r="AH644" s="296"/>
      <c r="AI644" s="296"/>
      <c r="AJ644" s="296"/>
      <c r="AK644" s="296"/>
    </row>
    <row r="645" spans="11:37">
      <c r="K645" s="296"/>
      <c r="L645" s="296"/>
      <c r="M645" s="296"/>
      <c r="N645" s="296"/>
      <c r="O645" s="296"/>
      <c r="P645" s="296"/>
      <c r="Q645" s="296"/>
      <c r="R645" s="296"/>
      <c r="S645" s="296"/>
      <c r="T645" s="296"/>
      <c r="U645" s="296"/>
      <c r="V645" s="296"/>
      <c r="W645" s="296"/>
      <c r="X645" s="296"/>
      <c r="Y645" s="296"/>
      <c r="Z645" s="296"/>
      <c r="AA645" s="296"/>
      <c r="AB645" s="296"/>
      <c r="AC645" s="296"/>
      <c r="AD645" s="296"/>
      <c r="AE645" s="296"/>
      <c r="AF645" s="296"/>
      <c r="AG645" s="296"/>
      <c r="AH645" s="296"/>
      <c r="AI645" s="296"/>
      <c r="AJ645" s="296"/>
      <c r="AK645" s="296"/>
    </row>
    <row r="646" spans="11:37">
      <c r="K646" s="296"/>
      <c r="L646" s="296"/>
      <c r="M646" s="296"/>
      <c r="N646" s="296"/>
      <c r="O646" s="296"/>
      <c r="P646" s="296"/>
      <c r="Q646" s="296"/>
      <c r="R646" s="296"/>
      <c r="S646" s="296"/>
      <c r="T646" s="296"/>
      <c r="U646" s="296"/>
      <c r="V646" s="296"/>
      <c r="W646" s="296"/>
      <c r="X646" s="296"/>
      <c r="Y646" s="296"/>
      <c r="Z646" s="296"/>
      <c r="AA646" s="296"/>
      <c r="AB646" s="296"/>
      <c r="AC646" s="296"/>
      <c r="AD646" s="296"/>
      <c r="AE646" s="296"/>
      <c r="AF646" s="296"/>
      <c r="AG646" s="296"/>
      <c r="AH646" s="296"/>
      <c r="AI646" s="296"/>
      <c r="AJ646" s="296"/>
      <c r="AK646" s="296"/>
    </row>
    <row r="647" spans="11:37">
      <c r="K647" s="296"/>
      <c r="L647" s="296"/>
      <c r="M647" s="296"/>
      <c r="N647" s="296"/>
      <c r="O647" s="296"/>
      <c r="P647" s="296"/>
      <c r="Q647" s="296"/>
      <c r="R647" s="296"/>
      <c r="S647" s="296"/>
      <c r="T647" s="296"/>
      <c r="U647" s="296"/>
      <c r="V647" s="296"/>
      <c r="W647" s="296"/>
      <c r="X647" s="296"/>
      <c r="Y647" s="296"/>
      <c r="Z647" s="296"/>
      <c r="AA647" s="296"/>
      <c r="AB647" s="296"/>
      <c r="AC647" s="296"/>
      <c r="AD647" s="296"/>
      <c r="AE647" s="296"/>
      <c r="AF647" s="296"/>
      <c r="AG647" s="296"/>
      <c r="AH647" s="296"/>
      <c r="AI647" s="296"/>
      <c r="AJ647" s="296"/>
      <c r="AK647" s="296"/>
    </row>
    <row r="648" spans="11:37">
      <c r="K648" s="296"/>
      <c r="L648" s="296"/>
      <c r="M648" s="296"/>
      <c r="N648" s="296"/>
      <c r="O648" s="296"/>
      <c r="P648" s="296"/>
      <c r="Q648" s="296"/>
      <c r="R648" s="296"/>
      <c r="S648" s="296"/>
      <c r="T648" s="296"/>
      <c r="U648" s="296"/>
      <c r="V648" s="296"/>
      <c r="W648" s="296"/>
      <c r="X648" s="296"/>
      <c r="Y648" s="296"/>
      <c r="Z648" s="296"/>
      <c r="AA648" s="296"/>
      <c r="AB648" s="296"/>
      <c r="AC648" s="296"/>
      <c r="AD648" s="296"/>
      <c r="AE648" s="296"/>
      <c r="AF648" s="296"/>
      <c r="AG648" s="296"/>
      <c r="AH648" s="296"/>
      <c r="AI648" s="296"/>
      <c r="AJ648" s="296"/>
      <c r="AK648" s="296"/>
    </row>
    <row r="649" spans="11:37">
      <c r="K649" s="296"/>
      <c r="L649" s="296"/>
      <c r="M649" s="296"/>
      <c r="N649" s="296"/>
      <c r="O649" s="296"/>
      <c r="P649" s="296"/>
      <c r="Q649" s="296"/>
      <c r="R649" s="296"/>
      <c r="S649" s="296"/>
      <c r="T649" s="296"/>
      <c r="U649" s="296"/>
      <c r="V649" s="296"/>
      <c r="W649" s="296"/>
      <c r="X649" s="296"/>
      <c r="Y649" s="296"/>
      <c r="Z649" s="296"/>
      <c r="AA649" s="296"/>
      <c r="AB649" s="296"/>
      <c r="AC649" s="296"/>
      <c r="AD649" s="296"/>
      <c r="AE649" s="296"/>
      <c r="AF649" s="296"/>
      <c r="AG649" s="296"/>
      <c r="AH649" s="296"/>
      <c r="AI649" s="296"/>
      <c r="AJ649" s="296"/>
      <c r="AK649" s="296"/>
    </row>
    <row r="650" spans="11:37">
      <c r="K650" s="296"/>
      <c r="L650" s="296"/>
      <c r="M650" s="296"/>
      <c r="N650" s="296"/>
      <c r="O650" s="296"/>
      <c r="P650" s="296"/>
      <c r="Q650" s="296"/>
      <c r="R650" s="296"/>
      <c r="S650" s="296"/>
      <c r="T650" s="296"/>
      <c r="U650" s="296"/>
      <c r="V650" s="296"/>
      <c r="W650" s="296"/>
      <c r="X650" s="296"/>
      <c r="Y650" s="296"/>
      <c r="Z650" s="296"/>
      <c r="AA650" s="296"/>
      <c r="AB650" s="296"/>
      <c r="AC650" s="296"/>
      <c r="AD650" s="296"/>
      <c r="AE650" s="296"/>
      <c r="AF650" s="296"/>
      <c r="AG650" s="296"/>
      <c r="AH650" s="296"/>
      <c r="AI650" s="296"/>
      <c r="AJ650" s="296"/>
      <c r="AK650" s="296"/>
    </row>
    <row r="651" spans="11:37">
      <c r="K651" s="296"/>
      <c r="L651" s="296"/>
      <c r="M651" s="296"/>
      <c r="N651" s="296"/>
      <c r="O651" s="296"/>
      <c r="P651" s="296"/>
      <c r="Q651" s="296"/>
      <c r="R651" s="296"/>
      <c r="S651" s="296"/>
      <c r="T651" s="296"/>
      <c r="U651" s="296"/>
      <c r="V651" s="296"/>
      <c r="W651" s="296"/>
      <c r="X651" s="296"/>
      <c r="Y651" s="296"/>
      <c r="Z651" s="296"/>
      <c r="AA651" s="296"/>
      <c r="AB651" s="296"/>
      <c r="AC651" s="296"/>
      <c r="AD651" s="296"/>
      <c r="AE651" s="296"/>
      <c r="AF651" s="296"/>
      <c r="AG651" s="296"/>
      <c r="AH651" s="296"/>
      <c r="AI651" s="296"/>
      <c r="AJ651" s="296"/>
      <c r="AK651" s="296"/>
    </row>
    <row r="652" spans="11:37">
      <c r="K652" s="296"/>
      <c r="L652" s="296"/>
      <c r="M652" s="296"/>
      <c r="N652" s="296"/>
      <c r="O652" s="296"/>
      <c r="P652" s="296"/>
      <c r="Q652" s="296"/>
      <c r="R652" s="296"/>
      <c r="S652" s="296"/>
      <c r="T652" s="296"/>
      <c r="U652" s="296"/>
      <c r="V652" s="296"/>
      <c r="W652" s="296"/>
      <c r="X652" s="296"/>
      <c r="Y652" s="296"/>
      <c r="Z652" s="296"/>
      <c r="AA652" s="296"/>
      <c r="AB652" s="296"/>
      <c r="AC652" s="296"/>
      <c r="AD652" s="296"/>
      <c r="AE652" s="296"/>
      <c r="AF652" s="296"/>
      <c r="AG652" s="296"/>
      <c r="AH652" s="296"/>
      <c r="AI652" s="296"/>
      <c r="AJ652" s="296"/>
      <c r="AK652" s="296"/>
    </row>
    <row r="653" spans="11:37">
      <c r="K653" s="296"/>
      <c r="L653" s="296"/>
      <c r="M653" s="296"/>
      <c r="N653" s="296"/>
      <c r="O653" s="296"/>
      <c r="P653" s="296"/>
      <c r="Q653" s="296"/>
      <c r="R653" s="296"/>
      <c r="S653" s="296"/>
      <c r="T653" s="296"/>
      <c r="U653" s="296"/>
      <c r="V653" s="296"/>
      <c r="W653" s="296"/>
      <c r="X653" s="296"/>
      <c r="Y653" s="296"/>
      <c r="Z653" s="296"/>
      <c r="AA653" s="296"/>
      <c r="AB653" s="296"/>
      <c r="AC653" s="296"/>
      <c r="AD653" s="296"/>
      <c r="AE653" s="296"/>
      <c r="AF653" s="296"/>
      <c r="AG653" s="296"/>
      <c r="AH653" s="296"/>
      <c r="AI653" s="296"/>
      <c r="AJ653" s="296"/>
      <c r="AK653" s="296"/>
    </row>
    <row r="654" spans="11:37">
      <c r="K654" s="296"/>
      <c r="L654" s="296"/>
      <c r="M654" s="296"/>
      <c r="N654" s="296"/>
      <c r="O654" s="296"/>
      <c r="P654" s="296"/>
      <c r="Q654" s="296"/>
      <c r="R654" s="296"/>
      <c r="S654" s="296"/>
      <c r="T654" s="296"/>
      <c r="U654" s="296"/>
      <c r="V654" s="296"/>
      <c r="W654" s="296"/>
      <c r="X654" s="296"/>
      <c r="Y654" s="296"/>
      <c r="Z654" s="296"/>
      <c r="AA654" s="296"/>
      <c r="AB654" s="296"/>
      <c r="AC654" s="296"/>
      <c r="AD654" s="296"/>
      <c r="AE654" s="296"/>
      <c r="AF654" s="296"/>
      <c r="AG654" s="296"/>
      <c r="AH654" s="296"/>
      <c r="AI654" s="296"/>
      <c r="AJ654" s="296"/>
      <c r="AK654" s="296"/>
    </row>
    <row r="655" spans="11:37">
      <c r="K655" s="296"/>
      <c r="L655" s="296"/>
      <c r="M655" s="296"/>
      <c r="N655" s="296"/>
      <c r="O655" s="296"/>
      <c r="P655" s="296"/>
      <c r="Q655" s="296"/>
      <c r="R655" s="296"/>
      <c r="S655" s="296"/>
      <c r="T655" s="296"/>
      <c r="U655" s="296"/>
      <c r="V655" s="296"/>
      <c r="W655" s="296"/>
      <c r="X655" s="296"/>
      <c r="Y655" s="296"/>
      <c r="Z655" s="296"/>
      <c r="AA655" s="296"/>
      <c r="AB655" s="296"/>
      <c r="AC655" s="296"/>
      <c r="AD655" s="296"/>
      <c r="AE655" s="296"/>
      <c r="AF655" s="296"/>
      <c r="AG655" s="296"/>
      <c r="AH655" s="296"/>
      <c r="AI655" s="296"/>
      <c r="AJ655" s="296"/>
      <c r="AK655" s="296"/>
    </row>
    <row r="656" spans="11:37">
      <c r="K656" s="296"/>
      <c r="L656" s="296"/>
      <c r="M656" s="296"/>
      <c r="N656" s="296"/>
      <c r="O656" s="296"/>
      <c r="P656" s="296"/>
      <c r="Q656" s="296"/>
      <c r="R656" s="296"/>
      <c r="S656" s="296"/>
      <c r="T656" s="296"/>
      <c r="U656" s="296"/>
      <c r="V656" s="296"/>
      <c r="W656" s="296"/>
      <c r="X656" s="296"/>
      <c r="Y656" s="296"/>
      <c r="Z656" s="296"/>
      <c r="AA656" s="296"/>
      <c r="AB656" s="296"/>
      <c r="AC656" s="296"/>
      <c r="AD656" s="296"/>
      <c r="AE656" s="296"/>
      <c r="AF656" s="296"/>
      <c r="AG656" s="296"/>
      <c r="AH656" s="296"/>
      <c r="AI656" s="296"/>
      <c r="AJ656" s="296"/>
      <c r="AK656" s="296"/>
    </row>
    <row r="657" spans="11:37">
      <c r="K657" s="296"/>
      <c r="L657" s="296"/>
      <c r="M657" s="296"/>
      <c r="N657" s="296"/>
      <c r="O657" s="296"/>
      <c r="P657" s="296"/>
      <c r="Q657" s="296"/>
      <c r="R657" s="296"/>
      <c r="S657" s="296"/>
      <c r="T657" s="296"/>
      <c r="U657" s="296"/>
      <c r="V657" s="296"/>
      <c r="W657" s="296"/>
      <c r="X657" s="296"/>
      <c r="Y657" s="296"/>
      <c r="Z657" s="296"/>
      <c r="AA657" s="296"/>
      <c r="AB657" s="296"/>
      <c r="AC657" s="296"/>
      <c r="AD657" s="296"/>
      <c r="AE657" s="296"/>
      <c r="AF657" s="296"/>
      <c r="AG657" s="296"/>
      <c r="AH657" s="296"/>
      <c r="AI657" s="296"/>
      <c r="AJ657" s="296"/>
      <c r="AK657" s="296"/>
    </row>
    <row r="658" spans="11:37">
      <c r="K658" s="296"/>
      <c r="L658" s="296"/>
      <c r="M658" s="296"/>
      <c r="N658" s="296"/>
      <c r="O658" s="296"/>
      <c r="P658" s="296"/>
      <c r="Q658" s="296"/>
      <c r="R658" s="296"/>
      <c r="S658" s="296"/>
      <c r="T658" s="296"/>
      <c r="U658" s="296"/>
      <c r="V658" s="296"/>
      <c r="W658" s="296"/>
      <c r="X658" s="296"/>
      <c r="Y658" s="296"/>
      <c r="Z658" s="296"/>
      <c r="AA658" s="296"/>
      <c r="AB658" s="296"/>
      <c r="AC658" s="296"/>
      <c r="AD658" s="296"/>
      <c r="AE658" s="296"/>
      <c r="AF658" s="296"/>
      <c r="AG658" s="296"/>
      <c r="AH658" s="296"/>
      <c r="AI658" s="296"/>
      <c r="AJ658" s="296"/>
      <c r="AK658" s="296"/>
    </row>
    <row r="659" spans="11:37">
      <c r="K659" s="296"/>
      <c r="L659" s="296"/>
      <c r="M659" s="296"/>
      <c r="N659" s="296"/>
      <c r="O659" s="296"/>
      <c r="P659" s="296"/>
      <c r="Q659" s="296"/>
      <c r="R659" s="296"/>
      <c r="S659" s="296"/>
      <c r="T659" s="296"/>
      <c r="U659" s="296"/>
      <c r="V659" s="296"/>
      <c r="W659" s="296"/>
      <c r="X659" s="296"/>
      <c r="Y659" s="296"/>
      <c r="Z659" s="296"/>
      <c r="AA659" s="296"/>
      <c r="AB659" s="296"/>
      <c r="AC659" s="296"/>
      <c r="AD659" s="296"/>
      <c r="AE659" s="296"/>
      <c r="AF659" s="296"/>
      <c r="AG659" s="296"/>
      <c r="AH659" s="296"/>
      <c r="AI659" s="296"/>
      <c r="AJ659" s="296"/>
      <c r="AK659" s="296"/>
    </row>
    <row r="660" spans="11:37">
      <c r="K660" s="296"/>
      <c r="L660" s="296"/>
      <c r="M660" s="296"/>
      <c r="N660" s="296"/>
      <c r="O660" s="296"/>
      <c r="P660" s="296"/>
      <c r="Q660" s="296"/>
      <c r="R660" s="296"/>
      <c r="S660" s="296"/>
      <c r="T660" s="296"/>
      <c r="U660" s="296"/>
      <c r="V660" s="296"/>
      <c r="W660" s="296"/>
      <c r="X660" s="296"/>
      <c r="Y660" s="296"/>
      <c r="Z660" s="296"/>
      <c r="AA660" s="296"/>
      <c r="AB660" s="296"/>
      <c r="AC660" s="296"/>
      <c r="AD660" s="296"/>
      <c r="AE660" s="296"/>
      <c r="AF660" s="296"/>
      <c r="AG660" s="296"/>
      <c r="AH660" s="296"/>
      <c r="AI660" s="296"/>
      <c r="AJ660" s="296"/>
      <c r="AK660" s="296"/>
    </row>
    <row r="661" spans="11:37">
      <c r="K661" s="296"/>
      <c r="L661" s="296"/>
      <c r="M661" s="296"/>
      <c r="N661" s="296"/>
      <c r="O661" s="296"/>
      <c r="P661" s="296"/>
      <c r="Q661" s="296"/>
      <c r="R661" s="296"/>
      <c r="S661" s="296"/>
      <c r="T661" s="296"/>
      <c r="U661" s="296"/>
      <c r="V661" s="296"/>
      <c r="W661" s="296"/>
      <c r="X661" s="296"/>
      <c r="Y661" s="296"/>
      <c r="Z661" s="296"/>
      <c r="AA661" s="296"/>
      <c r="AB661" s="296"/>
      <c r="AC661" s="296"/>
      <c r="AD661" s="296"/>
      <c r="AE661" s="296"/>
      <c r="AF661" s="296"/>
      <c r="AG661" s="296"/>
      <c r="AH661" s="296"/>
      <c r="AI661" s="296"/>
      <c r="AJ661" s="296"/>
      <c r="AK661" s="296"/>
    </row>
    <row r="662" spans="11:37">
      <c r="K662" s="296"/>
      <c r="L662" s="296"/>
      <c r="M662" s="296"/>
      <c r="N662" s="296"/>
      <c r="O662" s="296"/>
      <c r="P662" s="296"/>
      <c r="Q662" s="296"/>
      <c r="R662" s="296"/>
      <c r="S662" s="296"/>
      <c r="T662" s="296"/>
      <c r="U662" s="296"/>
      <c r="V662" s="296"/>
      <c r="W662" s="296"/>
      <c r="X662" s="296"/>
      <c r="Y662" s="296"/>
      <c r="Z662" s="296"/>
      <c r="AA662" s="296"/>
      <c r="AB662" s="296"/>
      <c r="AC662" s="296"/>
      <c r="AD662" s="296"/>
      <c r="AE662" s="296"/>
      <c r="AF662" s="296"/>
      <c r="AG662" s="296"/>
      <c r="AH662" s="296"/>
      <c r="AI662" s="296"/>
      <c r="AJ662" s="296"/>
      <c r="AK662" s="296"/>
    </row>
    <row r="663" spans="11:37">
      <c r="K663" s="296"/>
      <c r="L663" s="296"/>
      <c r="M663" s="296"/>
      <c r="N663" s="296"/>
      <c r="O663" s="296"/>
      <c r="P663" s="296"/>
      <c r="Q663" s="296"/>
      <c r="R663" s="296"/>
      <c r="S663" s="296"/>
      <c r="T663" s="296"/>
      <c r="U663" s="296"/>
      <c r="V663" s="296"/>
      <c r="W663" s="296"/>
      <c r="X663" s="296"/>
      <c r="Y663" s="296"/>
      <c r="Z663" s="296"/>
      <c r="AA663" s="296"/>
      <c r="AB663" s="296"/>
      <c r="AC663" s="296"/>
      <c r="AD663" s="296"/>
      <c r="AE663" s="296"/>
      <c r="AF663" s="296"/>
      <c r="AG663" s="296"/>
      <c r="AH663" s="296"/>
      <c r="AI663" s="296"/>
      <c r="AJ663" s="296"/>
      <c r="AK663" s="296"/>
    </row>
    <row r="664" spans="11:37">
      <c r="K664" s="296"/>
      <c r="L664" s="296"/>
      <c r="M664" s="296"/>
      <c r="N664" s="296"/>
      <c r="O664" s="296"/>
      <c r="P664" s="296"/>
      <c r="Q664" s="296"/>
      <c r="R664" s="296"/>
      <c r="S664" s="296"/>
      <c r="T664" s="296"/>
      <c r="U664" s="296"/>
      <c r="V664" s="296"/>
      <c r="W664" s="296"/>
      <c r="X664" s="296"/>
      <c r="Y664" s="296"/>
      <c r="Z664" s="296"/>
      <c r="AA664" s="296"/>
      <c r="AB664" s="296"/>
      <c r="AC664" s="296"/>
      <c r="AD664" s="296"/>
      <c r="AE664" s="296"/>
      <c r="AF664" s="296"/>
      <c r="AG664" s="296"/>
      <c r="AH664" s="296"/>
      <c r="AI664" s="296"/>
      <c r="AJ664" s="296"/>
      <c r="AK664" s="296"/>
    </row>
    <row r="665" spans="11:37">
      <c r="K665" s="296"/>
      <c r="L665" s="296"/>
      <c r="M665" s="296"/>
      <c r="N665" s="296"/>
      <c r="O665" s="296"/>
      <c r="P665" s="296"/>
      <c r="Q665" s="296"/>
      <c r="R665" s="296"/>
      <c r="S665" s="296"/>
      <c r="T665" s="296"/>
      <c r="U665" s="296"/>
      <c r="V665" s="296"/>
      <c r="W665" s="296"/>
      <c r="X665" s="296"/>
      <c r="Y665" s="296"/>
      <c r="Z665" s="296"/>
      <c r="AA665" s="296"/>
      <c r="AB665" s="296"/>
      <c r="AC665" s="296"/>
      <c r="AD665" s="296"/>
      <c r="AE665" s="296"/>
      <c r="AF665" s="296"/>
      <c r="AG665" s="296"/>
      <c r="AH665" s="296"/>
      <c r="AI665" s="296"/>
      <c r="AJ665" s="296"/>
      <c r="AK665" s="296"/>
    </row>
    <row r="666" spans="11:37">
      <c r="K666" s="296"/>
      <c r="L666" s="296"/>
      <c r="M666" s="296"/>
      <c r="N666" s="296"/>
      <c r="O666" s="296"/>
      <c r="P666" s="296"/>
      <c r="Q666" s="296"/>
      <c r="R666" s="296"/>
      <c r="S666" s="296"/>
      <c r="T666" s="296"/>
      <c r="U666" s="296"/>
      <c r="V666" s="296"/>
      <c r="W666" s="296"/>
      <c r="X666" s="296"/>
      <c r="Y666" s="296"/>
      <c r="Z666" s="296"/>
      <c r="AA666" s="296"/>
      <c r="AB666" s="296"/>
      <c r="AC666" s="296"/>
      <c r="AD666" s="296"/>
      <c r="AE666" s="296"/>
      <c r="AF666" s="296"/>
      <c r="AG666" s="296"/>
      <c r="AH666" s="296"/>
      <c r="AI666" s="296"/>
      <c r="AJ666" s="296"/>
      <c r="AK666" s="296"/>
    </row>
    <row r="667" spans="11:37">
      <c r="K667" s="296"/>
      <c r="L667" s="296"/>
      <c r="M667" s="296"/>
      <c r="N667" s="296"/>
      <c r="O667" s="296"/>
      <c r="P667" s="296"/>
      <c r="Q667" s="296"/>
      <c r="R667" s="296"/>
      <c r="S667" s="296"/>
      <c r="T667" s="296"/>
      <c r="U667" s="296"/>
      <c r="V667" s="296"/>
      <c r="W667" s="296"/>
      <c r="X667" s="296"/>
      <c r="Y667" s="296"/>
      <c r="Z667" s="296"/>
      <c r="AA667" s="296"/>
      <c r="AB667" s="296"/>
      <c r="AC667" s="296"/>
      <c r="AD667" s="296"/>
      <c r="AE667" s="296"/>
      <c r="AF667" s="296"/>
      <c r="AG667" s="296"/>
      <c r="AH667" s="296"/>
      <c r="AI667" s="296"/>
      <c r="AJ667" s="296"/>
      <c r="AK667" s="296"/>
    </row>
    <row r="668" spans="11:37">
      <c r="K668" s="296"/>
      <c r="L668" s="296"/>
      <c r="M668" s="296"/>
      <c r="N668" s="296"/>
      <c r="O668" s="296"/>
      <c r="P668" s="296"/>
      <c r="Q668" s="296"/>
      <c r="R668" s="296"/>
      <c r="S668" s="296"/>
      <c r="T668" s="296"/>
      <c r="U668" s="296"/>
      <c r="V668" s="296"/>
      <c r="W668" s="296"/>
      <c r="X668" s="296"/>
      <c r="Y668" s="296"/>
      <c r="Z668" s="296"/>
      <c r="AA668" s="296"/>
      <c r="AB668" s="296"/>
      <c r="AC668" s="296"/>
      <c r="AD668" s="296"/>
      <c r="AE668" s="296"/>
      <c r="AF668" s="296"/>
      <c r="AG668" s="296"/>
      <c r="AH668" s="296"/>
      <c r="AI668" s="296"/>
      <c r="AJ668" s="296"/>
      <c r="AK668" s="296"/>
    </row>
    <row r="669" spans="11:37">
      <c r="K669" s="296"/>
      <c r="L669" s="296"/>
      <c r="M669" s="296"/>
      <c r="N669" s="296"/>
      <c r="O669" s="296"/>
      <c r="P669" s="296"/>
      <c r="Q669" s="296"/>
      <c r="R669" s="296"/>
      <c r="S669" s="296"/>
      <c r="T669" s="296"/>
      <c r="U669" s="296"/>
      <c r="V669" s="296"/>
      <c r="W669" s="296"/>
      <c r="X669" s="296"/>
      <c r="Y669" s="296"/>
      <c r="Z669" s="296"/>
      <c r="AA669" s="296"/>
      <c r="AB669" s="296"/>
      <c r="AC669" s="296"/>
      <c r="AD669" s="296"/>
      <c r="AE669" s="296"/>
      <c r="AF669" s="296"/>
      <c r="AG669" s="296"/>
      <c r="AH669" s="296"/>
      <c r="AI669" s="296"/>
      <c r="AJ669" s="296"/>
      <c r="AK669" s="296"/>
    </row>
    <row r="670" spans="11:37">
      <c r="K670" s="296"/>
      <c r="L670" s="296"/>
      <c r="M670" s="296"/>
      <c r="N670" s="296"/>
      <c r="O670" s="296"/>
      <c r="P670" s="296"/>
      <c r="Q670" s="296"/>
      <c r="R670" s="296"/>
      <c r="S670" s="296"/>
      <c r="T670" s="296"/>
      <c r="U670" s="296"/>
      <c r="V670" s="296"/>
      <c r="W670" s="296"/>
      <c r="X670" s="296"/>
      <c r="Y670" s="296"/>
      <c r="Z670" s="296"/>
      <c r="AA670" s="296"/>
      <c r="AB670" s="296"/>
      <c r="AC670" s="296"/>
      <c r="AD670" s="296"/>
      <c r="AE670" s="296"/>
      <c r="AF670" s="296"/>
      <c r="AG670" s="296"/>
      <c r="AH670" s="296"/>
      <c r="AI670" s="296"/>
      <c r="AJ670" s="296"/>
      <c r="AK670" s="296"/>
    </row>
    <row r="671" spans="11:37">
      <c r="K671" s="296"/>
      <c r="L671" s="296"/>
      <c r="M671" s="296"/>
      <c r="N671" s="296"/>
      <c r="O671" s="296"/>
      <c r="P671" s="296"/>
      <c r="Q671" s="296"/>
      <c r="R671" s="296"/>
      <c r="S671" s="296"/>
      <c r="T671" s="296"/>
      <c r="U671" s="296"/>
      <c r="V671" s="296"/>
      <c r="W671" s="296"/>
      <c r="X671" s="296"/>
      <c r="Y671" s="296"/>
      <c r="Z671" s="296"/>
      <c r="AA671" s="296"/>
      <c r="AB671" s="296"/>
      <c r="AC671" s="296"/>
      <c r="AD671" s="296"/>
      <c r="AE671" s="296"/>
      <c r="AF671" s="296"/>
      <c r="AG671" s="296"/>
      <c r="AH671" s="296"/>
      <c r="AI671" s="296"/>
      <c r="AJ671" s="296"/>
      <c r="AK671" s="296"/>
    </row>
    <row r="672" spans="11:37">
      <c r="K672" s="296"/>
      <c r="L672" s="296"/>
      <c r="M672" s="296"/>
      <c r="N672" s="296"/>
      <c r="O672" s="296"/>
      <c r="P672" s="296"/>
      <c r="Q672" s="296"/>
      <c r="R672" s="296"/>
      <c r="S672" s="296"/>
      <c r="T672" s="296"/>
      <c r="U672" s="296"/>
      <c r="V672" s="296"/>
      <c r="W672" s="296"/>
      <c r="X672" s="296"/>
      <c r="Y672" s="296"/>
      <c r="Z672" s="296"/>
      <c r="AA672" s="296"/>
      <c r="AB672" s="296"/>
      <c r="AC672" s="296"/>
      <c r="AD672" s="296"/>
      <c r="AE672" s="296"/>
      <c r="AF672" s="296"/>
      <c r="AG672" s="296"/>
      <c r="AH672" s="296"/>
      <c r="AI672" s="296"/>
      <c r="AJ672" s="296"/>
      <c r="AK672" s="296"/>
    </row>
    <row r="673" spans="11:37">
      <c r="K673" s="296"/>
      <c r="L673" s="296"/>
      <c r="M673" s="296"/>
      <c r="N673" s="296"/>
      <c r="O673" s="296"/>
      <c r="P673" s="296"/>
      <c r="Q673" s="296"/>
      <c r="R673" s="296"/>
      <c r="S673" s="296"/>
      <c r="T673" s="296"/>
      <c r="U673" s="296"/>
      <c r="V673" s="296"/>
      <c r="W673" s="296"/>
      <c r="X673" s="296"/>
      <c r="Y673" s="296"/>
      <c r="Z673" s="296"/>
      <c r="AA673" s="296"/>
      <c r="AB673" s="296"/>
      <c r="AC673" s="296"/>
      <c r="AD673" s="296"/>
      <c r="AE673" s="296"/>
      <c r="AF673" s="296"/>
      <c r="AG673" s="296"/>
      <c r="AH673" s="296"/>
      <c r="AI673" s="296"/>
      <c r="AJ673" s="296"/>
      <c r="AK673" s="296"/>
    </row>
    <row r="674" spans="11:37">
      <c r="K674" s="296"/>
      <c r="L674" s="296"/>
      <c r="M674" s="296"/>
      <c r="N674" s="296"/>
      <c r="O674" s="296"/>
      <c r="P674" s="296"/>
      <c r="Q674" s="296"/>
      <c r="R674" s="296"/>
      <c r="S674" s="296"/>
      <c r="T674" s="296"/>
      <c r="U674" s="296"/>
      <c r="V674" s="296"/>
      <c r="W674" s="296"/>
      <c r="X674" s="296"/>
      <c r="Y674" s="296"/>
      <c r="Z674" s="296"/>
      <c r="AA674" s="296"/>
      <c r="AB674" s="296"/>
      <c r="AC674" s="296"/>
      <c r="AD674" s="296"/>
      <c r="AE674" s="296"/>
      <c r="AF674" s="296"/>
      <c r="AG674" s="296"/>
      <c r="AH674" s="296"/>
      <c r="AI674" s="296"/>
      <c r="AJ674" s="296"/>
      <c r="AK674" s="296"/>
    </row>
    <row r="675" spans="11:37">
      <c r="K675" s="296"/>
      <c r="L675" s="296"/>
      <c r="M675" s="296"/>
      <c r="N675" s="296"/>
      <c r="O675" s="296"/>
      <c r="P675" s="296"/>
      <c r="Q675" s="296"/>
      <c r="R675" s="296"/>
      <c r="S675" s="296"/>
      <c r="T675" s="296"/>
      <c r="U675" s="296"/>
      <c r="V675" s="296"/>
      <c r="W675" s="296"/>
      <c r="X675" s="296"/>
      <c r="Y675" s="296"/>
      <c r="Z675" s="296"/>
      <c r="AA675" s="296"/>
      <c r="AB675" s="296"/>
      <c r="AC675" s="296"/>
      <c r="AD675" s="296"/>
      <c r="AE675" s="296"/>
      <c r="AF675" s="296"/>
      <c r="AG675" s="296"/>
      <c r="AH675" s="296"/>
      <c r="AI675" s="296"/>
      <c r="AJ675" s="296"/>
      <c r="AK675" s="296"/>
    </row>
    <row r="676" spans="11:37">
      <c r="K676" s="296"/>
      <c r="L676" s="296"/>
      <c r="M676" s="296"/>
      <c r="N676" s="296"/>
      <c r="O676" s="296"/>
      <c r="P676" s="296"/>
      <c r="Q676" s="296"/>
      <c r="R676" s="296"/>
      <c r="S676" s="296"/>
      <c r="T676" s="296"/>
      <c r="U676" s="296"/>
      <c r="V676" s="296"/>
      <c r="W676" s="296"/>
      <c r="X676" s="296"/>
      <c r="Y676" s="296"/>
      <c r="Z676" s="296"/>
      <c r="AA676" s="296"/>
      <c r="AB676" s="296"/>
      <c r="AC676" s="296"/>
      <c r="AD676" s="296"/>
      <c r="AE676" s="296"/>
      <c r="AF676" s="296"/>
      <c r="AG676" s="296"/>
      <c r="AH676" s="296"/>
      <c r="AI676" s="296"/>
      <c r="AJ676" s="296"/>
      <c r="AK676" s="296"/>
    </row>
    <row r="677" spans="11:37">
      <c r="K677" s="296"/>
      <c r="L677" s="296"/>
      <c r="M677" s="296"/>
      <c r="N677" s="296"/>
      <c r="O677" s="296"/>
      <c r="P677" s="296"/>
      <c r="Q677" s="296"/>
      <c r="R677" s="296"/>
      <c r="S677" s="296"/>
      <c r="T677" s="296"/>
      <c r="U677" s="296"/>
      <c r="V677" s="296"/>
      <c r="W677" s="296"/>
      <c r="X677" s="296"/>
      <c r="Y677" s="296"/>
      <c r="Z677" s="296"/>
      <c r="AA677" s="296"/>
      <c r="AB677" s="296"/>
      <c r="AC677" s="296"/>
      <c r="AD677" s="296"/>
      <c r="AE677" s="296"/>
      <c r="AF677" s="296"/>
      <c r="AG677" s="296"/>
      <c r="AH677" s="296"/>
      <c r="AI677" s="296"/>
      <c r="AJ677" s="296"/>
      <c r="AK677" s="296"/>
    </row>
    <row r="678" spans="11:37">
      <c r="K678" s="296"/>
      <c r="L678" s="296"/>
      <c r="M678" s="296"/>
      <c r="N678" s="296"/>
      <c r="O678" s="296"/>
      <c r="P678" s="296"/>
      <c r="Q678" s="296"/>
      <c r="R678" s="296"/>
      <c r="S678" s="296"/>
      <c r="T678" s="296"/>
      <c r="U678" s="296"/>
      <c r="V678" s="296"/>
      <c r="W678" s="296"/>
      <c r="X678" s="296"/>
      <c r="Y678" s="296"/>
      <c r="Z678" s="296"/>
      <c r="AA678" s="296"/>
      <c r="AB678" s="296"/>
      <c r="AC678" s="296"/>
      <c r="AD678" s="296"/>
      <c r="AE678" s="296"/>
      <c r="AF678" s="296"/>
      <c r="AG678" s="296"/>
      <c r="AH678" s="296"/>
      <c r="AI678" s="296"/>
      <c r="AJ678" s="296"/>
      <c r="AK678" s="296"/>
    </row>
    <row r="679" spans="11:37">
      <c r="K679" s="296"/>
      <c r="L679" s="296"/>
      <c r="M679" s="296"/>
      <c r="N679" s="296"/>
      <c r="O679" s="296"/>
      <c r="P679" s="296"/>
      <c r="Q679" s="296"/>
      <c r="R679" s="296"/>
      <c r="S679" s="296"/>
      <c r="T679" s="296"/>
      <c r="U679" s="296"/>
      <c r="V679" s="296"/>
      <c r="W679" s="296"/>
      <c r="X679" s="296"/>
      <c r="Y679" s="296"/>
      <c r="Z679" s="296"/>
      <c r="AA679" s="296"/>
      <c r="AB679" s="296"/>
      <c r="AC679" s="296"/>
      <c r="AD679" s="296"/>
      <c r="AE679" s="296"/>
      <c r="AF679" s="296"/>
      <c r="AG679" s="296"/>
      <c r="AH679" s="296"/>
      <c r="AI679" s="296"/>
      <c r="AJ679" s="296"/>
      <c r="AK679" s="296"/>
    </row>
    <row r="680" spans="11:37">
      <c r="K680" s="296"/>
      <c r="L680" s="296"/>
      <c r="M680" s="296"/>
      <c r="N680" s="296"/>
      <c r="O680" s="296"/>
      <c r="P680" s="296"/>
      <c r="Q680" s="296"/>
      <c r="R680" s="296"/>
      <c r="S680" s="296"/>
      <c r="T680" s="296"/>
      <c r="U680" s="296"/>
      <c r="V680" s="296"/>
      <c r="W680" s="296"/>
      <c r="X680" s="296"/>
      <c r="Y680" s="296"/>
      <c r="Z680" s="296"/>
      <c r="AA680" s="296"/>
      <c r="AB680" s="296"/>
      <c r="AC680" s="296"/>
      <c r="AD680" s="296"/>
      <c r="AE680" s="296"/>
      <c r="AF680" s="296"/>
      <c r="AG680" s="296"/>
      <c r="AH680" s="296"/>
      <c r="AI680" s="296"/>
      <c r="AJ680" s="296"/>
      <c r="AK680" s="296"/>
    </row>
    <row r="681" spans="11:37">
      <c r="K681" s="296"/>
      <c r="L681" s="296"/>
      <c r="M681" s="296"/>
      <c r="N681" s="296"/>
      <c r="O681" s="296"/>
      <c r="P681" s="296"/>
      <c r="Q681" s="296"/>
      <c r="R681" s="296"/>
      <c r="S681" s="296"/>
      <c r="T681" s="296"/>
      <c r="U681" s="296"/>
      <c r="V681" s="296"/>
      <c r="W681" s="296"/>
      <c r="X681" s="296"/>
      <c r="Y681" s="296"/>
      <c r="Z681" s="296"/>
      <c r="AA681" s="296"/>
      <c r="AB681" s="296"/>
      <c r="AC681" s="296"/>
      <c r="AD681" s="296"/>
      <c r="AE681" s="296"/>
      <c r="AF681" s="296"/>
      <c r="AG681" s="296"/>
      <c r="AH681" s="296"/>
      <c r="AI681" s="296"/>
      <c r="AJ681" s="296"/>
      <c r="AK681" s="296"/>
    </row>
    <row r="682" spans="11:37">
      <c r="K682" s="296"/>
      <c r="L682" s="296"/>
      <c r="M682" s="296"/>
      <c r="N682" s="296"/>
      <c r="O682" s="296"/>
      <c r="P682" s="296"/>
      <c r="Q682" s="296"/>
      <c r="R682" s="296"/>
      <c r="S682" s="296"/>
      <c r="T682" s="296"/>
      <c r="U682" s="296"/>
      <c r="V682" s="296"/>
      <c r="W682" s="296"/>
      <c r="X682" s="296"/>
      <c r="Y682" s="296"/>
      <c r="Z682" s="296"/>
      <c r="AA682" s="296"/>
      <c r="AB682" s="296"/>
      <c r="AC682" s="296"/>
      <c r="AD682" s="296"/>
      <c r="AE682" s="296"/>
      <c r="AF682" s="296"/>
      <c r="AG682" s="296"/>
      <c r="AH682" s="296"/>
      <c r="AI682" s="296"/>
      <c r="AJ682" s="296"/>
      <c r="AK682" s="296"/>
    </row>
    <row r="683" spans="11:37">
      <c r="K683" s="296"/>
      <c r="L683" s="296"/>
      <c r="M683" s="296"/>
      <c r="N683" s="296"/>
      <c r="O683" s="296"/>
      <c r="P683" s="296"/>
      <c r="Q683" s="296"/>
      <c r="R683" s="296"/>
      <c r="S683" s="296"/>
      <c r="T683" s="296"/>
      <c r="U683" s="296"/>
      <c r="V683" s="296"/>
      <c r="W683" s="296"/>
      <c r="X683" s="296"/>
      <c r="Y683" s="296"/>
      <c r="Z683" s="296"/>
      <c r="AA683" s="296"/>
      <c r="AB683" s="296"/>
      <c r="AC683" s="296"/>
      <c r="AD683" s="296"/>
      <c r="AE683" s="296"/>
      <c r="AF683" s="296"/>
      <c r="AG683" s="296"/>
      <c r="AH683" s="296"/>
      <c r="AI683" s="296"/>
      <c r="AJ683" s="296"/>
      <c r="AK683" s="296"/>
    </row>
    <row r="684" spans="11:37">
      <c r="K684" s="296"/>
      <c r="L684" s="296"/>
      <c r="M684" s="296"/>
      <c r="N684" s="296"/>
      <c r="O684" s="296"/>
      <c r="P684" s="296"/>
      <c r="Q684" s="296"/>
      <c r="R684" s="296"/>
      <c r="S684" s="296"/>
      <c r="T684" s="296"/>
      <c r="U684" s="296"/>
      <c r="V684" s="296"/>
      <c r="W684" s="296"/>
      <c r="X684" s="296"/>
      <c r="Y684" s="296"/>
      <c r="Z684" s="296"/>
      <c r="AA684" s="296"/>
      <c r="AB684" s="296"/>
      <c r="AC684" s="296"/>
      <c r="AD684" s="296"/>
      <c r="AE684" s="296"/>
      <c r="AF684" s="296"/>
      <c r="AG684" s="296"/>
      <c r="AH684" s="296"/>
      <c r="AI684" s="296"/>
      <c r="AJ684" s="296"/>
      <c r="AK684" s="296"/>
    </row>
    <row r="685" spans="11:37">
      <c r="K685" s="296"/>
      <c r="L685" s="296"/>
      <c r="M685" s="296"/>
      <c r="N685" s="296"/>
      <c r="O685" s="296"/>
      <c r="P685" s="296"/>
      <c r="Q685" s="296"/>
      <c r="R685" s="296"/>
      <c r="S685" s="296"/>
      <c r="T685" s="296"/>
      <c r="U685" s="296"/>
      <c r="V685" s="296"/>
      <c r="W685" s="296"/>
      <c r="X685" s="296"/>
      <c r="Y685" s="296"/>
      <c r="Z685" s="296"/>
      <c r="AA685" s="296"/>
      <c r="AB685" s="296"/>
      <c r="AC685" s="296"/>
      <c r="AD685" s="296"/>
      <c r="AE685" s="296"/>
      <c r="AF685" s="296"/>
      <c r="AG685" s="296"/>
      <c r="AH685" s="296"/>
      <c r="AI685" s="296"/>
      <c r="AJ685" s="296"/>
      <c r="AK685" s="296"/>
    </row>
    <row r="686" spans="11:37">
      <c r="K686" s="296"/>
      <c r="L686" s="296"/>
      <c r="M686" s="296"/>
      <c r="N686" s="296"/>
      <c r="O686" s="296"/>
      <c r="P686" s="296"/>
      <c r="Q686" s="296"/>
      <c r="R686" s="296"/>
      <c r="S686" s="296"/>
      <c r="T686" s="296"/>
      <c r="U686" s="296"/>
      <c r="V686" s="296"/>
      <c r="W686" s="296"/>
      <c r="X686" s="296"/>
      <c r="Y686" s="296"/>
      <c r="Z686" s="296"/>
      <c r="AA686" s="296"/>
      <c r="AB686" s="296"/>
      <c r="AC686" s="296"/>
      <c r="AD686" s="296"/>
      <c r="AE686" s="296"/>
      <c r="AF686" s="296"/>
      <c r="AG686" s="296"/>
      <c r="AH686" s="296"/>
      <c r="AI686" s="296"/>
      <c r="AJ686" s="296"/>
      <c r="AK686" s="296"/>
    </row>
    <row r="687" spans="11:37">
      <c r="K687" s="296"/>
      <c r="L687" s="296"/>
      <c r="M687" s="296"/>
      <c r="N687" s="296"/>
      <c r="O687" s="296"/>
      <c r="P687" s="296"/>
      <c r="Q687" s="296"/>
      <c r="R687" s="296"/>
      <c r="S687" s="296"/>
      <c r="T687" s="296"/>
      <c r="U687" s="296"/>
      <c r="V687" s="296"/>
      <c r="W687" s="296"/>
      <c r="X687" s="296"/>
      <c r="Y687" s="296"/>
      <c r="Z687" s="296"/>
      <c r="AA687" s="296"/>
      <c r="AB687" s="296"/>
      <c r="AC687" s="296"/>
      <c r="AD687" s="296"/>
      <c r="AE687" s="296"/>
      <c r="AF687" s="296"/>
      <c r="AG687" s="296"/>
      <c r="AH687" s="296"/>
      <c r="AI687" s="296"/>
      <c r="AJ687" s="296"/>
      <c r="AK687" s="296"/>
    </row>
    <row r="688" spans="11:37">
      <c r="K688" s="296"/>
      <c r="L688" s="296"/>
      <c r="M688" s="296"/>
      <c r="N688" s="296"/>
      <c r="O688" s="296"/>
      <c r="P688" s="296"/>
      <c r="Q688" s="296"/>
      <c r="R688" s="296"/>
      <c r="S688" s="296"/>
      <c r="T688" s="296"/>
      <c r="U688" s="296"/>
      <c r="V688" s="296"/>
      <c r="W688" s="296"/>
      <c r="X688" s="296"/>
      <c r="Y688" s="296"/>
      <c r="Z688" s="296"/>
      <c r="AA688" s="296"/>
      <c r="AB688" s="296"/>
      <c r="AC688" s="296"/>
      <c r="AD688" s="296"/>
      <c r="AE688" s="296"/>
      <c r="AF688" s="296"/>
      <c r="AG688" s="296"/>
      <c r="AH688" s="296"/>
      <c r="AI688" s="296"/>
      <c r="AJ688" s="296"/>
      <c r="AK688" s="296"/>
    </row>
    <row r="689" spans="11:37">
      <c r="K689" s="296"/>
      <c r="L689" s="296"/>
      <c r="M689" s="296"/>
      <c r="N689" s="296"/>
      <c r="O689" s="296"/>
      <c r="P689" s="296"/>
      <c r="Q689" s="296"/>
      <c r="R689" s="296"/>
      <c r="S689" s="296"/>
      <c r="T689" s="296"/>
      <c r="U689" s="296"/>
      <c r="V689" s="296"/>
      <c r="W689" s="296"/>
      <c r="X689" s="296"/>
      <c r="Y689" s="296"/>
      <c r="Z689" s="296"/>
      <c r="AA689" s="296"/>
      <c r="AB689" s="296"/>
      <c r="AC689" s="296"/>
      <c r="AD689" s="296"/>
      <c r="AE689" s="296"/>
      <c r="AF689" s="296"/>
      <c r="AG689" s="296"/>
      <c r="AH689" s="296"/>
      <c r="AI689" s="296"/>
      <c r="AJ689" s="296"/>
      <c r="AK689" s="296"/>
    </row>
    <row r="690" spans="11:37">
      <c r="K690" s="296"/>
      <c r="L690" s="296"/>
      <c r="M690" s="296"/>
      <c r="N690" s="296"/>
      <c r="O690" s="296"/>
      <c r="P690" s="296"/>
      <c r="Q690" s="296"/>
      <c r="R690" s="296"/>
      <c r="S690" s="296"/>
      <c r="T690" s="296"/>
      <c r="U690" s="296"/>
      <c r="V690" s="296"/>
      <c r="W690" s="296"/>
      <c r="X690" s="296"/>
      <c r="Y690" s="296"/>
      <c r="Z690" s="296"/>
      <c r="AA690" s="296"/>
      <c r="AB690" s="296"/>
      <c r="AC690" s="296"/>
      <c r="AD690" s="296"/>
      <c r="AE690" s="296"/>
      <c r="AF690" s="296"/>
      <c r="AG690" s="296"/>
      <c r="AH690" s="296"/>
      <c r="AI690" s="296"/>
      <c r="AJ690" s="296"/>
      <c r="AK690" s="296"/>
    </row>
    <row r="691" spans="11:37">
      <c r="K691" s="296"/>
      <c r="L691" s="296"/>
      <c r="M691" s="296"/>
      <c r="N691" s="296"/>
      <c r="O691" s="296"/>
      <c r="P691" s="296"/>
      <c r="Q691" s="296"/>
      <c r="R691" s="296"/>
      <c r="S691" s="296"/>
      <c r="T691" s="296"/>
      <c r="U691" s="296"/>
      <c r="V691" s="296"/>
      <c r="W691" s="296"/>
      <c r="X691" s="296"/>
      <c r="Y691" s="296"/>
      <c r="Z691" s="296"/>
      <c r="AA691" s="296"/>
      <c r="AB691" s="296"/>
      <c r="AC691" s="296"/>
      <c r="AD691" s="296"/>
      <c r="AE691" s="296"/>
      <c r="AF691" s="296"/>
      <c r="AG691" s="296"/>
      <c r="AH691" s="296"/>
      <c r="AI691" s="296"/>
      <c r="AJ691" s="296"/>
      <c r="AK691" s="296"/>
    </row>
    <row r="692" spans="11:37">
      <c r="K692" s="296"/>
      <c r="L692" s="296"/>
      <c r="M692" s="296"/>
      <c r="N692" s="296"/>
      <c r="O692" s="296"/>
      <c r="P692" s="296"/>
      <c r="Q692" s="296"/>
      <c r="R692" s="296"/>
      <c r="S692" s="296"/>
      <c r="T692" s="296"/>
      <c r="U692" s="296"/>
      <c r="V692" s="296"/>
      <c r="W692" s="296"/>
      <c r="X692" s="296"/>
      <c r="Y692" s="296"/>
      <c r="Z692" s="296"/>
      <c r="AA692" s="296"/>
      <c r="AB692" s="296"/>
      <c r="AC692" s="296"/>
      <c r="AD692" s="296"/>
      <c r="AE692" s="296"/>
      <c r="AF692" s="296"/>
      <c r="AG692" s="296"/>
      <c r="AH692" s="296"/>
      <c r="AI692" s="296"/>
      <c r="AJ692" s="296"/>
      <c r="AK692" s="296"/>
    </row>
    <row r="693" spans="11:37">
      <c r="K693" s="296"/>
      <c r="L693" s="296"/>
      <c r="M693" s="296"/>
      <c r="N693" s="296"/>
      <c r="O693" s="296"/>
      <c r="P693" s="296"/>
      <c r="Q693" s="296"/>
      <c r="R693" s="296"/>
      <c r="S693" s="296"/>
      <c r="T693" s="296"/>
      <c r="U693" s="296"/>
      <c r="V693" s="296"/>
      <c r="W693" s="296"/>
      <c r="X693" s="296"/>
      <c r="Y693" s="296"/>
      <c r="Z693" s="296"/>
      <c r="AA693" s="296"/>
      <c r="AB693" s="296"/>
      <c r="AC693" s="296"/>
      <c r="AD693" s="296"/>
      <c r="AE693" s="296"/>
      <c r="AF693" s="296"/>
      <c r="AG693" s="296"/>
      <c r="AH693" s="296"/>
      <c r="AI693" s="296"/>
      <c r="AJ693" s="296"/>
      <c r="AK693" s="296"/>
    </row>
    <row r="694" spans="11:37">
      <c r="K694" s="296"/>
      <c r="L694" s="296"/>
      <c r="M694" s="296"/>
      <c r="N694" s="296"/>
      <c r="O694" s="296"/>
      <c r="P694" s="296"/>
      <c r="Q694" s="296"/>
      <c r="R694" s="296"/>
      <c r="S694" s="296"/>
      <c r="T694" s="296"/>
      <c r="U694" s="296"/>
      <c r="V694" s="296"/>
      <c r="W694" s="296"/>
      <c r="X694" s="296"/>
      <c r="Y694" s="296"/>
      <c r="Z694" s="296"/>
      <c r="AA694" s="296"/>
      <c r="AB694" s="296"/>
      <c r="AC694" s="296"/>
      <c r="AD694" s="296"/>
      <c r="AE694" s="296"/>
      <c r="AF694" s="296"/>
      <c r="AG694" s="296"/>
      <c r="AH694" s="296"/>
      <c r="AI694" s="296"/>
      <c r="AJ694" s="296"/>
      <c r="AK694" s="296"/>
    </row>
    <row r="695" spans="11:37">
      <c r="K695" s="296"/>
      <c r="L695" s="296"/>
      <c r="M695" s="296"/>
      <c r="N695" s="296"/>
      <c r="O695" s="296"/>
      <c r="P695" s="296"/>
      <c r="Q695" s="296"/>
      <c r="R695" s="296"/>
      <c r="S695" s="296"/>
      <c r="T695" s="296"/>
      <c r="U695" s="296"/>
      <c r="V695" s="296"/>
      <c r="W695" s="296"/>
      <c r="X695" s="296"/>
      <c r="Y695" s="296"/>
      <c r="Z695" s="296"/>
      <c r="AA695" s="296"/>
      <c r="AB695" s="296"/>
      <c r="AC695" s="296"/>
      <c r="AD695" s="296"/>
      <c r="AE695" s="296"/>
      <c r="AF695" s="296"/>
      <c r="AG695" s="296"/>
      <c r="AH695" s="296"/>
      <c r="AI695" s="296"/>
      <c r="AJ695" s="296"/>
      <c r="AK695" s="296"/>
    </row>
    <row r="696" spans="11:37">
      <c r="K696" s="296"/>
      <c r="L696" s="296"/>
      <c r="M696" s="296"/>
      <c r="N696" s="296"/>
      <c r="O696" s="296"/>
      <c r="P696" s="296"/>
      <c r="Q696" s="296"/>
      <c r="R696" s="296"/>
      <c r="S696" s="296"/>
      <c r="T696" s="296"/>
      <c r="U696" s="296"/>
      <c r="V696" s="296"/>
      <c r="W696" s="296"/>
      <c r="X696" s="296"/>
      <c r="Y696" s="296"/>
      <c r="Z696" s="296"/>
      <c r="AA696" s="296"/>
      <c r="AB696" s="296"/>
      <c r="AC696" s="296"/>
      <c r="AD696" s="296"/>
      <c r="AE696" s="296"/>
      <c r="AF696" s="296"/>
      <c r="AG696" s="296"/>
      <c r="AH696" s="296"/>
      <c r="AI696" s="296"/>
      <c r="AJ696" s="296"/>
      <c r="AK696" s="296"/>
    </row>
    <row r="697" spans="11:37">
      <c r="K697" s="296"/>
      <c r="L697" s="296"/>
      <c r="M697" s="296"/>
      <c r="N697" s="296"/>
      <c r="O697" s="296"/>
      <c r="P697" s="296"/>
      <c r="Q697" s="296"/>
      <c r="R697" s="296"/>
      <c r="S697" s="296"/>
      <c r="T697" s="296"/>
      <c r="U697" s="296"/>
      <c r="V697" s="296"/>
      <c r="W697" s="296"/>
      <c r="X697" s="296"/>
      <c r="Y697" s="296"/>
      <c r="Z697" s="296"/>
      <c r="AA697" s="296"/>
      <c r="AB697" s="296"/>
      <c r="AC697" s="296"/>
      <c r="AD697" s="296"/>
      <c r="AE697" s="296"/>
      <c r="AF697" s="296"/>
      <c r="AG697" s="296"/>
      <c r="AH697" s="296"/>
      <c r="AI697" s="296"/>
      <c r="AJ697" s="296"/>
      <c r="AK697" s="296"/>
    </row>
    <row r="698" spans="11:37">
      <c r="K698" s="296"/>
      <c r="L698" s="296"/>
      <c r="M698" s="296"/>
      <c r="N698" s="296"/>
      <c r="O698" s="296"/>
      <c r="P698" s="296"/>
      <c r="Q698" s="296"/>
      <c r="R698" s="296"/>
      <c r="S698" s="296"/>
      <c r="T698" s="296"/>
      <c r="U698" s="296"/>
      <c r="V698" s="296"/>
      <c r="W698" s="296"/>
      <c r="X698" s="296"/>
      <c r="Y698" s="296"/>
      <c r="Z698" s="296"/>
      <c r="AA698" s="296"/>
      <c r="AB698" s="296"/>
      <c r="AC698" s="296"/>
      <c r="AD698" s="296"/>
      <c r="AE698" s="296"/>
      <c r="AF698" s="296"/>
      <c r="AG698" s="296"/>
      <c r="AH698" s="296"/>
      <c r="AI698" s="296"/>
      <c r="AJ698" s="296"/>
      <c r="AK698" s="296"/>
    </row>
    <row r="699" spans="11:37">
      <c r="K699" s="296"/>
      <c r="L699" s="296"/>
      <c r="M699" s="296"/>
      <c r="N699" s="296"/>
      <c r="O699" s="296"/>
      <c r="P699" s="296"/>
      <c r="Q699" s="296"/>
      <c r="R699" s="296"/>
      <c r="S699" s="296"/>
      <c r="T699" s="296"/>
      <c r="U699" s="296"/>
      <c r="V699" s="296"/>
      <c r="W699" s="296"/>
      <c r="X699" s="296"/>
      <c r="Y699" s="296"/>
      <c r="Z699" s="296"/>
      <c r="AA699" s="296"/>
      <c r="AB699" s="296"/>
      <c r="AC699" s="296"/>
      <c r="AD699" s="296"/>
      <c r="AE699" s="296"/>
      <c r="AF699" s="296"/>
      <c r="AG699" s="296"/>
      <c r="AH699" s="296"/>
      <c r="AI699" s="296"/>
      <c r="AJ699" s="296"/>
      <c r="AK699" s="296"/>
    </row>
    <row r="700" spans="11:37">
      <c r="K700" s="296"/>
      <c r="L700" s="296"/>
      <c r="M700" s="296"/>
      <c r="N700" s="296"/>
      <c r="O700" s="296"/>
      <c r="P700" s="296"/>
      <c r="Q700" s="296"/>
      <c r="R700" s="296"/>
      <c r="S700" s="296"/>
      <c r="T700" s="296"/>
      <c r="U700" s="296"/>
      <c r="V700" s="296"/>
      <c r="W700" s="296"/>
      <c r="X700" s="296"/>
      <c r="Y700" s="296"/>
      <c r="Z700" s="296"/>
      <c r="AA700" s="296"/>
      <c r="AB700" s="296"/>
      <c r="AC700" s="296"/>
      <c r="AD700" s="296"/>
      <c r="AE700" s="296"/>
      <c r="AF700" s="296"/>
      <c r="AG700" s="296"/>
      <c r="AH700" s="296"/>
      <c r="AI700" s="296"/>
      <c r="AJ700" s="296"/>
      <c r="AK700" s="296"/>
    </row>
    <row r="701" spans="11:37">
      <c r="K701" s="296"/>
      <c r="L701" s="296"/>
      <c r="M701" s="296"/>
      <c r="N701" s="296"/>
      <c r="O701" s="296"/>
      <c r="P701" s="296"/>
      <c r="Q701" s="296"/>
      <c r="R701" s="296"/>
      <c r="S701" s="296"/>
      <c r="T701" s="296"/>
      <c r="U701" s="296"/>
      <c r="V701" s="296"/>
      <c r="W701" s="296"/>
      <c r="X701" s="296"/>
      <c r="Y701" s="296"/>
      <c r="Z701" s="296"/>
      <c r="AA701" s="296"/>
      <c r="AB701" s="296"/>
      <c r="AC701" s="296"/>
      <c r="AD701" s="296"/>
      <c r="AE701" s="296"/>
      <c r="AF701" s="296"/>
      <c r="AG701" s="296"/>
      <c r="AH701" s="296"/>
      <c r="AI701" s="296"/>
      <c r="AJ701" s="296"/>
      <c r="AK701" s="296"/>
    </row>
    <row r="702" spans="11:37">
      <c r="K702" s="296"/>
      <c r="L702" s="296"/>
      <c r="M702" s="296"/>
      <c r="N702" s="296"/>
      <c r="O702" s="296"/>
      <c r="P702" s="296"/>
      <c r="Q702" s="296"/>
      <c r="R702" s="296"/>
      <c r="S702" s="296"/>
      <c r="T702" s="296"/>
      <c r="U702" s="296"/>
      <c r="V702" s="296"/>
      <c r="W702" s="296"/>
      <c r="X702" s="296"/>
      <c r="Y702" s="296"/>
      <c r="Z702" s="296"/>
      <c r="AA702" s="296"/>
      <c r="AB702" s="296"/>
      <c r="AC702" s="296"/>
      <c r="AD702" s="296"/>
      <c r="AE702" s="296"/>
      <c r="AF702" s="296"/>
      <c r="AG702" s="296"/>
      <c r="AH702" s="296"/>
      <c r="AI702" s="296"/>
      <c r="AJ702" s="296"/>
      <c r="AK702" s="296"/>
    </row>
    <row r="703" spans="11:37">
      <c r="K703" s="296"/>
      <c r="L703" s="296"/>
      <c r="M703" s="296"/>
      <c r="N703" s="296"/>
      <c r="O703" s="296"/>
      <c r="P703" s="296"/>
      <c r="Q703" s="296"/>
      <c r="R703" s="296"/>
      <c r="S703" s="296"/>
      <c r="T703" s="296"/>
      <c r="U703" s="296"/>
      <c r="V703" s="296"/>
      <c r="W703" s="296"/>
      <c r="X703" s="296"/>
      <c r="Y703" s="296"/>
      <c r="Z703" s="296"/>
      <c r="AA703" s="296"/>
      <c r="AB703" s="296"/>
      <c r="AC703" s="296"/>
      <c r="AD703" s="296"/>
      <c r="AE703" s="296"/>
      <c r="AF703" s="296"/>
      <c r="AG703" s="296"/>
      <c r="AH703" s="296"/>
      <c r="AI703" s="296"/>
      <c r="AJ703" s="296"/>
      <c r="AK703" s="296"/>
    </row>
    <row r="704" spans="11:37">
      <c r="K704" s="296"/>
      <c r="L704" s="296"/>
      <c r="M704" s="296"/>
      <c r="N704" s="296"/>
      <c r="O704" s="296"/>
      <c r="P704" s="296"/>
      <c r="Q704" s="296"/>
      <c r="R704" s="296"/>
      <c r="S704" s="296"/>
      <c r="T704" s="296"/>
      <c r="U704" s="296"/>
      <c r="V704" s="296"/>
      <c r="W704" s="296"/>
      <c r="X704" s="296"/>
      <c r="Y704" s="296"/>
      <c r="Z704" s="296"/>
      <c r="AA704" s="296"/>
      <c r="AB704" s="296"/>
      <c r="AC704" s="296"/>
      <c r="AD704" s="296"/>
      <c r="AE704" s="296"/>
      <c r="AF704" s="296"/>
      <c r="AG704" s="296"/>
      <c r="AH704" s="296"/>
      <c r="AI704" s="296"/>
      <c r="AJ704" s="296"/>
      <c r="AK704" s="296"/>
    </row>
    <row r="705" spans="11:37">
      <c r="K705" s="296"/>
      <c r="L705" s="296"/>
      <c r="M705" s="296"/>
      <c r="N705" s="296"/>
      <c r="O705" s="296"/>
      <c r="P705" s="296"/>
      <c r="Q705" s="296"/>
      <c r="R705" s="296"/>
      <c r="S705" s="296"/>
      <c r="T705" s="296"/>
      <c r="U705" s="296"/>
      <c r="V705" s="296"/>
      <c r="W705" s="296"/>
      <c r="X705" s="296"/>
      <c r="Y705" s="296"/>
      <c r="Z705" s="296"/>
      <c r="AA705" s="296"/>
      <c r="AB705" s="296"/>
      <c r="AC705" s="296"/>
      <c r="AD705" s="296"/>
      <c r="AE705" s="296"/>
      <c r="AF705" s="296"/>
      <c r="AG705" s="296"/>
      <c r="AH705" s="296"/>
      <c r="AI705" s="296"/>
      <c r="AJ705" s="296"/>
      <c r="AK705" s="296"/>
    </row>
    <row r="706" spans="11:37">
      <c r="K706" s="296"/>
      <c r="L706" s="296"/>
      <c r="M706" s="296"/>
      <c r="N706" s="296"/>
      <c r="O706" s="296"/>
      <c r="P706" s="296"/>
      <c r="Q706" s="296"/>
      <c r="R706" s="296"/>
      <c r="S706" s="296"/>
      <c r="T706" s="296"/>
      <c r="U706" s="296"/>
      <c r="V706" s="296"/>
      <c r="W706" s="296"/>
      <c r="X706" s="296"/>
      <c r="Y706" s="296"/>
      <c r="Z706" s="296"/>
      <c r="AA706" s="296"/>
      <c r="AB706" s="296"/>
      <c r="AC706" s="296"/>
      <c r="AD706" s="296"/>
      <c r="AE706" s="296"/>
      <c r="AF706" s="296"/>
      <c r="AG706" s="296"/>
      <c r="AH706" s="296"/>
      <c r="AI706" s="296"/>
      <c r="AJ706" s="296"/>
      <c r="AK706" s="296"/>
    </row>
    <row r="707" spans="11:37">
      <c r="K707" s="296"/>
      <c r="L707" s="296"/>
      <c r="M707" s="296"/>
      <c r="N707" s="296"/>
      <c r="O707" s="296"/>
      <c r="P707" s="296"/>
      <c r="Q707" s="296"/>
      <c r="R707" s="296"/>
      <c r="S707" s="296"/>
      <c r="T707" s="296"/>
      <c r="U707" s="296"/>
      <c r="V707" s="296"/>
      <c r="W707" s="296"/>
      <c r="X707" s="296"/>
      <c r="Y707" s="296"/>
      <c r="Z707" s="296"/>
      <c r="AA707" s="296"/>
      <c r="AB707" s="296"/>
      <c r="AC707" s="296"/>
      <c r="AD707" s="296"/>
      <c r="AE707" s="296"/>
      <c r="AF707" s="296"/>
      <c r="AG707" s="296"/>
      <c r="AH707" s="296"/>
      <c r="AI707" s="296"/>
      <c r="AJ707" s="296"/>
      <c r="AK707" s="296"/>
    </row>
    <row r="708" spans="11:37">
      <c r="K708" s="296"/>
      <c r="L708" s="296"/>
      <c r="M708" s="296"/>
      <c r="N708" s="296"/>
      <c r="O708" s="296"/>
      <c r="P708" s="296"/>
      <c r="Q708" s="296"/>
      <c r="R708" s="296"/>
      <c r="S708" s="296"/>
      <c r="T708" s="296"/>
      <c r="U708" s="296"/>
      <c r="V708" s="296"/>
      <c r="W708" s="296"/>
      <c r="X708" s="296"/>
      <c r="Y708" s="296"/>
      <c r="Z708" s="296"/>
      <c r="AA708" s="296"/>
      <c r="AB708" s="296"/>
      <c r="AC708" s="296"/>
      <c r="AD708" s="296"/>
      <c r="AE708" s="296"/>
      <c r="AF708" s="296"/>
      <c r="AG708" s="296"/>
      <c r="AH708" s="296"/>
      <c r="AI708" s="296"/>
      <c r="AJ708" s="296"/>
      <c r="AK708" s="296"/>
    </row>
    <row r="709" spans="11:37">
      <c r="K709" s="296"/>
      <c r="L709" s="296"/>
      <c r="M709" s="296"/>
      <c r="N709" s="296"/>
      <c r="O709" s="296"/>
      <c r="P709" s="296"/>
      <c r="Q709" s="296"/>
      <c r="R709" s="296"/>
      <c r="S709" s="296"/>
      <c r="T709" s="296"/>
      <c r="U709" s="296"/>
      <c r="V709" s="296"/>
      <c r="W709" s="296"/>
      <c r="X709" s="296"/>
      <c r="Y709" s="296"/>
      <c r="Z709" s="296"/>
      <c r="AA709" s="296"/>
      <c r="AB709" s="296"/>
      <c r="AC709" s="296"/>
      <c r="AD709" s="296"/>
      <c r="AE709" s="296"/>
      <c r="AF709" s="296"/>
      <c r="AG709" s="296"/>
      <c r="AH709" s="296"/>
      <c r="AI709" s="296"/>
      <c r="AJ709" s="296"/>
      <c r="AK709" s="296"/>
    </row>
    <row r="710" spans="11:37">
      <c r="K710" s="296"/>
      <c r="L710" s="296"/>
      <c r="M710" s="296"/>
      <c r="N710" s="296"/>
      <c r="O710" s="296"/>
      <c r="P710" s="296"/>
      <c r="Q710" s="296"/>
      <c r="R710" s="296"/>
      <c r="S710" s="296"/>
      <c r="T710" s="296"/>
      <c r="U710" s="296"/>
      <c r="V710" s="296"/>
      <c r="W710" s="296"/>
      <c r="X710" s="296"/>
      <c r="Y710" s="296"/>
      <c r="Z710" s="296"/>
      <c r="AA710" s="296"/>
      <c r="AB710" s="296"/>
      <c r="AC710" s="296"/>
      <c r="AD710" s="296"/>
      <c r="AE710" s="296"/>
      <c r="AF710" s="296"/>
      <c r="AG710" s="296"/>
      <c r="AH710" s="296"/>
      <c r="AI710" s="296"/>
      <c r="AJ710" s="296"/>
      <c r="AK710" s="296"/>
    </row>
    <row r="711" spans="11:37">
      <c r="K711" s="296"/>
      <c r="L711" s="296"/>
      <c r="M711" s="296"/>
      <c r="N711" s="296"/>
      <c r="O711" s="296"/>
      <c r="P711" s="296"/>
      <c r="Q711" s="296"/>
      <c r="R711" s="296"/>
      <c r="S711" s="296"/>
      <c r="T711" s="296"/>
      <c r="U711" s="296"/>
      <c r="V711" s="296"/>
      <c r="W711" s="296"/>
      <c r="X711" s="296"/>
      <c r="Y711" s="296"/>
      <c r="Z711" s="296"/>
      <c r="AA711" s="296"/>
      <c r="AB711" s="296"/>
      <c r="AC711" s="296"/>
      <c r="AD711" s="296"/>
      <c r="AE711" s="296"/>
      <c r="AF711" s="296"/>
      <c r="AG711" s="296"/>
      <c r="AH711" s="296"/>
      <c r="AI711" s="296"/>
      <c r="AJ711" s="296"/>
      <c r="AK711" s="296"/>
    </row>
    <row r="712" spans="11:37">
      <c r="K712" s="296"/>
      <c r="L712" s="296"/>
      <c r="M712" s="296"/>
      <c r="N712" s="296"/>
      <c r="O712" s="296"/>
      <c r="P712" s="296"/>
      <c r="Q712" s="296"/>
      <c r="R712" s="296"/>
      <c r="S712" s="296"/>
      <c r="T712" s="296"/>
      <c r="U712" s="296"/>
      <c r="V712" s="296"/>
      <c r="W712" s="296"/>
      <c r="X712" s="296"/>
      <c r="Y712" s="296"/>
      <c r="Z712" s="296"/>
      <c r="AA712" s="296"/>
      <c r="AB712" s="296"/>
      <c r="AC712" s="296"/>
      <c r="AD712" s="296"/>
      <c r="AE712" s="296"/>
      <c r="AF712" s="296"/>
      <c r="AG712" s="296"/>
      <c r="AH712" s="296"/>
      <c r="AI712" s="296"/>
      <c r="AJ712" s="296"/>
      <c r="AK712" s="296"/>
    </row>
    <row r="713" spans="11:37">
      <c r="K713" s="296"/>
      <c r="L713" s="296"/>
      <c r="M713" s="296"/>
      <c r="N713" s="296"/>
      <c r="O713" s="296"/>
      <c r="P713" s="296"/>
      <c r="Q713" s="296"/>
      <c r="R713" s="296"/>
      <c r="S713" s="296"/>
      <c r="T713" s="296"/>
      <c r="U713" s="296"/>
      <c r="V713" s="296"/>
      <c r="W713" s="296"/>
      <c r="X713" s="296"/>
      <c r="Y713" s="296"/>
      <c r="Z713" s="296"/>
      <c r="AA713" s="296"/>
      <c r="AB713" s="296"/>
      <c r="AC713" s="296"/>
      <c r="AD713" s="296"/>
      <c r="AE713" s="296"/>
      <c r="AF713" s="296"/>
      <c r="AG713" s="296"/>
      <c r="AH713" s="296"/>
      <c r="AI713" s="296"/>
      <c r="AJ713" s="296"/>
      <c r="AK713" s="296"/>
    </row>
    <row r="714" spans="11:37">
      <c r="K714" s="296"/>
      <c r="L714" s="296"/>
      <c r="M714" s="296"/>
      <c r="N714" s="296"/>
      <c r="O714" s="296"/>
      <c r="P714" s="296"/>
      <c r="Q714" s="296"/>
      <c r="R714" s="296"/>
      <c r="S714" s="296"/>
      <c r="T714" s="296"/>
      <c r="U714" s="296"/>
      <c r="V714" s="296"/>
      <c r="W714" s="296"/>
      <c r="X714" s="296"/>
      <c r="Y714" s="296"/>
      <c r="Z714" s="296"/>
      <c r="AA714" s="296"/>
      <c r="AB714" s="296"/>
      <c r="AC714" s="296"/>
      <c r="AD714" s="296"/>
      <c r="AE714" s="296"/>
      <c r="AF714" s="296"/>
      <c r="AG714" s="296"/>
      <c r="AH714" s="296"/>
      <c r="AI714" s="296"/>
      <c r="AJ714" s="296"/>
      <c r="AK714" s="296"/>
    </row>
    <row r="715" spans="11:37">
      <c r="K715" s="296"/>
      <c r="L715" s="296"/>
      <c r="M715" s="296"/>
      <c r="N715" s="296"/>
      <c r="O715" s="296"/>
      <c r="P715" s="296"/>
      <c r="Q715" s="296"/>
      <c r="R715" s="296"/>
      <c r="S715" s="296"/>
      <c r="T715" s="296"/>
      <c r="U715" s="296"/>
      <c r="V715" s="296"/>
      <c r="W715" s="296"/>
      <c r="X715" s="296"/>
      <c r="Y715" s="296"/>
      <c r="Z715" s="296"/>
      <c r="AA715" s="296"/>
      <c r="AB715" s="296"/>
      <c r="AC715" s="296"/>
      <c r="AD715" s="296"/>
      <c r="AE715" s="296"/>
      <c r="AF715" s="296"/>
      <c r="AG715" s="296"/>
      <c r="AH715" s="296"/>
      <c r="AI715" s="296"/>
      <c r="AJ715" s="296"/>
      <c r="AK715" s="296"/>
    </row>
    <row r="716" spans="11:37">
      <c r="K716" s="296"/>
      <c r="L716" s="296"/>
      <c r="M716" s="296"/>
      <c r="N716" s="296"/>
      <c r="O716" s="296"/>
      <c r="P716" s="296"/>
      <c r="Q716" s="296"/>
      <c r="R716" s="296"/>
      <c r="S716" s="296"/>
      <c r="T716" s="296"/>
      <c r="U716" s="296"/>
      <c r="V716" s="296"/>
      <c r="W716" s="296"/>
      <c r="X716" s="296"/>
      <c r="Y716" s="296"/>
      <c r="Z716" s="296"/>
      <c r="AA716" s="296"/>
      <c r="AB716" s="296"/>
      <c r="AC716" s="296"/>
      <c r="AD716" s="296"/>
      <c r="AE716" s="296"/>
      <c r="AF716" s="296"/>
      <c r="AG716" s="296"/>
      <c r="AH716" s="296"/>
      <c r="AI716" s="296"/>
      <c r="AJ716" s="296"/>
      <c r="AK716" s="296"/>
    </row>
    <row r="717" spans="11:37">
      <c r="K717" s="296"/>
      <c r="L717" s="296"/>
      <c r="M717" s="296"/>
      <c r="N717" s="296"/>
      <c r="O717" s="296"/>
      <c r="P717" s="296"/>
      <c r="Q717" s="296"/>
      <c r="R717" s="296"/>
      <c r="S717" s="296"/>
      <c r="T717" s="296"/>
      <c r="U717" s="296"/>
      <c r="V717" s="296"/>
      <c r="W717" s="296"/>
      <c r="X717" s="296"/>
      <c r="Y717" s="296"/>
      <c r="Z717" s="296"/>
      <c r="AA717" s="296"/>
      <c r="AB717" s="296"/>
      <c r="AC717" s="296"/>
      <c r="AD717" s="296"/>
      <c r="AE717" s="296"/>
      <c r="AF717" s="296"/>
      <c r="AG717" s="296"/>
      <c r="AH717" s="296"/>
      <c r="AI717" s="296"/>
      <c r="AJ717" s="296"/>
      <c r="AK717" s="296"/>
    </row>
    <row r="718" spans="11:37">
      <c r="K718" s="296"/>
      <c r="L718" s="296"/>
      <c r="M718" s="296"/>
      <c r="N718" s="296"/>
      <c r="O718" s="296"/>
      <c r="P718" s="296"/>
      <c r="Q718" s="296"/>
      <c r="R718" s="296"/>
      <c r="S718" s="296"/>
      <c r="T718" s="296"/>
      <c r="U718" s="296"/>
      <c r="V718" s="296"/>
      <c r="W718" s="296"/>
      <c r="X718" s="296"/>
      <c r="Y718" s="296"/>
      <c r="Z718" s="296"/>
      <c r="AA718" s="296"/>
      <c r="AB718" s="296"/>
      <c r="AC718" s="296"/>
      <c r="AD718" s="296"/>
      <c r="AE718" s="296"/>
      <c r="AF718" s="296"/>
      <c r="AG718" s="296"/>
      <c r="AH718" s="296"/>
      <c r="AI718" s="296"/>
      <c r="AJ718" s="296"/>
      <c r="AK718" s="296"/>
    </row>
    <row r="719" spans="11:37">
      <c r="K719" s="296"/>
      <c r="L719" s="296"/>
      <c r="M719" s="296"/>
      <c r="N719" s="296"/>
      <c r="O719" s="296"/>
      <c r="P719" s="296"/>
      <c r="Q719" s="296"/>
      <c r="R719" s="296"/>
      <c r="S719" s="296"/>
      <c r="T719" s="296"/>
      <c r="U719" s="296"/>
      <c r="V719" s="296"/>
      <c r="W719" s="296"/>
      <c r="X719" s="296"/>
      <c r="Y719" s="296"/>
      <c r="Z719" s="296"/>
      <c r="AA719" s="296"/>
      <c r="AB719" s="296"/>
      <c r="AC719" s="296"/>
      <c r="AD719" s="296"/>
      <c r="AE719" s="296"/>
      <c r="AF719" s="296"/>
      <c r="AG719" s="296"/>
      <c r="AH719" s="296"/>
      <c r="AI719" s="296"/>
      <c r="AJ719" s="296"/>
      <c r="AK719" s="296"/>
    </row>
    <row r="720" spans="11:37">
      <c r="K720" s="296"/>
      <c r="L720" s="296"/>
      <c r="M720" s="296"/>
      <c r="N720" s="296"/>
      <c r="O720" s="296"/>
      <c r="P720" s="296"/>
      <c r="Q720" s="296"/>
      <c r="R720" s="296"/>
      <c r="S720" s="296"/>
      <c r="T720" s="296"/>
      <c r="U720" s="296"/>
      <c r="V720" s="296"/>
      <c r="W720" s="296"/>
      <c r="X720" s="296"/>
      <c r="Y720" s="296"/>
      <c r="Z720" s="296"/>
      <c r="AA720" s="296"/>
      <c r="AB720" s="296"/>
      <c r="AC720" s="296"/>
      <c r="AD720" s="296"/>
      <c r="AE720" s="296"/>
      <c r="AF720" s="296"/>
      <c r="AG720" s="296"/>
      <c r="AH720" s="296"/>
      <c r="AI720" s="296"/>
      <c r="AJ720" s="296"/>
      <c r="AK720" s="296"/>
    </row>
    <row r="721" spans="11:37">
      <c r="K721" s="296"/>
      <c r="L721" s="296"/>
      <c r="M721" s="296"/>
      <c r="N721" s="296"/>
      <c r="O721" s="296"/>
      <c r="P721" s="296"/>
      <c r="Q721" s="296"/>
      <c r="R721" s="296"/>
      <c r="S721" s="296"/>
      <c r="T721" s="296"/>
      <c r="U721" s="296"/>
      <c r="V721" s="296"/>
      <c r="W721" s="296"/>
      <c r="X721" s="296"/>
      <c r="Y721" s="296"/>
      <c r="Z721" s="296"/>
      <c r="AA721" s="296"/>
      <c r="AB721" s="296"/>
      <c r="AC721" s="296"/>
      <c r="AD721" s="296"/>
      <c r="AE721" s="296"/>
      <c r="AF721" s="296"/>
      <c r="AG721" s="296"/>
      <c r="AH721" s="296"/>
      <c r="AI721" s="296"/>
      <c r="AJ721" s="296"/>
      <c r="AK721" s="296"/>
    </row>
    <row r="722" spans="11:37">
      <c r="K722" s="296"/>
      <c r="L722" s="296"/>
      <c r="M722" s="296"/>
      <c r="N722" s="296"/>
      <c r="O722" s="296"/>
      <c r="P722" s="296"/>
      <c r="Q722" s="296"/>
      <c r="R722" s="296"/>
      <c r="S722" s="296"/>
      <c r="T722" s="296"/>
      <c r="U722" s="296"/>
      <c r="V722" s="296"/>
      <c r="W722" s="296"/>
      <c r="X722" s="296"/>
      <c r="Y722" s="296"/>
      <c r="Z722" s="296"/>
      <c r="AA722" s="296"/>
      <c r="AB722" s="296"/>
      <c r="AC722" s="296"/>
      <c r="AD722" s="296"/>
      <c r="AE722" s="296"/>
      <c r="AF722" s="296"/>
      <c r="AG722" s="296"/>
      <c r="AH722" s="296"/>
      <c r="AI722" s="296"/>
      <c r="AJ722" s="296"/>
      <c r="AK722" s="296"/>
    </row>
    <row r="723" spans="11:37">
      <c r="K723" s="296"/>
      <c r="L723" s="296"/>
      <c r="M723" s="296"/>
      <c r="N723" s="296"/>
      <c r="O723" s="296"/>
      <c r="P723" s="296"/>
      <c r="Q723" s="296"/>
      <c r="R723" s="296"/>
      <c r="S723" s="296"/>
      <c r="T723" s="296"/>
      <c r="U723" s="296"/>
      <c r="V723" s="296"/>
      <c r="W723" s="296"/>
      <c r="X723" s="296"/>
      <c r="Y723" s="296"/>
      <c r="Z723" s="296"/>
      <c r="AA723" s="296"/>
      <c r="AB723" s="296"/>
      <c r="AC723" s="296"/>
      <c r="AD723" s="296"/>
      <c r="AE723" s="296"/>
      <c r="AF723" s="296"/>
      <c r="AG723" s="296"/>
      <c r="AH723" s="296"/>
      <c r="AI723" s="296"/>
      <c r="AJ723" s="296"/>
      <c r="AK723" s="296"/>
    </row>
    <row r="724" spans="11:37">
      <c r="K724" s="296"/>
      <c r="L724" s="296"/>
      <c r="M724" s="296"/>
      <c r="N724" s="296"/>
      <c r="O724" s="296"/>
      <c r="P724" s="296"/>
      <c r="Q724" s="296"/>
      <c r="R724" s="296"/>
      <c r="S724" s="296"/>
      <c r="T724" s="296"/>
      <c r="U724" s="296"/>
      <c r="V724" s="296"/>
      <c r="W724" s="296"/>
      <c r="X724" s="296"/>
      <c r="Y724" s="296"/>
      <c r="Z724" s="296"/>
      <c r="AA724" s="296"/>
      <c r="AB724" s="296"/>
      <c r="AC724" s="296"/>
      <c r="AD724" s="296"/>
      <c r="AE724" s="296"/>
      <c r="AF724" s="296"/>
      <c r="AG724" s="296"/>
      <c r="AH724" s="296"/>
      <c r="AI724" s="296"/>
      <c r="AJ724" s="296"/>
      <c r="AK724" s="296"/>
    </row>
    <row r="725" spans="11:37">
      <c r="K725" s="296"/>
      <c r="L725" s="296"/>
      <c r="M725" s="296"/>
      <c r="N725" s="296"/>
      <c r="O725" s="296"/>
      <c r="P725" s="296"/>
      <c r="Q725" s="296"/>
      <c r="R725" s="296"/>
      <c r="S725" s="296"/>
      <c r="T725" s="296"/>
      <c r="U725" s="296"/>
      <c r="V725" s="296"/>
      <c r="W725" s="296"/>
      <c r="X725" s="296"/>
      <c r="Y725" s="296"/>
      <c r="Z725" s="296"/>
      <c r="AA725" s="296"/>
      <c r="AB725" s="296"/>
      <c r="AC725" s="296"/>
      <c r="AD725" s="296"/>
      <c r="AE725" s="296"/>
      <c r="AF725" s="296"/>
      <c r="AG725" s="296"/>
      <c r="AH725" s="296"/>
      <c r="AI725" s="296"/>
      <c r="AJ725" s="296"/>
      <c r="AK725" s="296"/>
    </row>
    <row r="726" spans="11:37">
      <c r="K726" s="296"/>
      <c r="L726" s="296"/>
      <c r="M726" s="296"/>
      <c r="N726" s="296"/>
      <c r="O726" s="296"/>
      <c r="P726" s="296"/>
      <c r="Q726" s="296"/>
      <c r="R726" s="296"/>
      <c r="S726" s="296"/>
      <c r="T726" s="296"/>
      <c r="U726" s="296"/>
      <c r="V726" s="296"/>
      <c r="W726" s="296"/>
      <c r="X726" s="296"/>
      <c r="Y726" s="296"/>
      <c r="Z726" s="296"/>
      <c r="AA726" s="296"/>
      <c r="AB726" s="296"/>
      <c r="AC726" s="296"/>
      <c r="AD726" s="296"/>
      <c r="AE726" s="296"/>
      <c r="AF726" s="296"/>
      <c r="AG726" s="296"/>
      <c r="AH726" s="296"/>
      <c r="AI726" s="296"/>
      <c r="AJ726" s="296"/>
      <c r="AK726" s="296"/>
    </row>
    <row r="727" spans="11:37">
      <c r="K727" s="296"/>
      <c r="L727" s="296"/>
      <c r="M727" s="296"/>
      <c r="N727" s="296"/>
      <c r="O727" s="296"/>
      <c r="P727" s="296"/>
      <c r="Q727" s="296"/>
      <c r="R727" s="296"/>
      <c r="S727" s="296"/>
      <c r="T727" s="296"/>
      <c r="U727" s="296"/>
      <c r="V727" s="296"/>
      <c r="W727" s="296"/>
      <c r="X727" s="296"/>
      <c r="Y727" s="296"/>
      <c r="Z727" s="296"/>
      <c r="AA727" s="296"/>
      <c r="AB727" s="296"/>
      <c r="AC727" s="296"/>
      <c r="AD727" s="296"/>
      <c r="AE727" s="296"/>
      <c r="AF727" s="296"/>
      <c r="AG727" s="296"/>
      <c r="AH727" s="296"/>
      <c r="AI727" s="296"/>
      <c r="AJ727" s="296"/>
      <c r="AK727" s="296"/>
    </row>
    <row r="728" spans="11:37">
      <c r="K728" s="296"/>
      <c r="L728" s="296"/>
      <c r="M728" s="296"/>
      <c r="N728" s="296"/>
      <c r="O728" s="296"/>
      <c r="P728" s="296"/>
      <c r="Q728" s="296"/>
      <c r="R728" s="296"/>
      <c r="S728" s="296"/>
      <c r="T728" s="296"/>
      <c r="U728" s="296"/>
      <c r="V728" s="296"/>
      <c r="W728" s="296"/>
      <c r="X728" s="296"/>
      <c r="Y728" s="296"/>
      <c r="Z728" s="296"/>
      <c r="AA728" s="296"/>
      <c r="AB728" s="296"/>
      <c r="AC728" s="296"/>
      <c r="AD728" s="296"/>
      <c r="AE728" s="296"/>
      <c r="AF728" s="296"/>
      <c r="AG728" s="296"/>
      <c r="AH728" s="296"/>
      <c r="AI728" s="296"/>
      <c r="AJ728" s="296"/>
      <c r="AK728" s="296"/>
    </row>
    <row r="729" spans="11:37">
      <c r="K729" s="296"/>
      <c r="L729" s="296"/>
      <c r="M729" s="296"/>
      <c r="N729" s="296"/>
      <c r="O729" s="296"/>
      <c r="P729" s="296"/>
      <c r="Q729" s="296"/>
      <c r="R729" s="296"/>
      <c r="S729" s="296"/>
      <c r="T729" s="296"/>
      <c r="U729" s="296"/>
      <c r="V729" s="296"/>
      <c r="W729" s="296"/>
      <c r="X729" s="296"/>
      <c r="Y729" s="296"/>
      <c r="Z729" s="296"/>
      <c r="AA729" s="296"/>
      <c r="AB729" s="296"/>
      <c r="AC729" s="296"/>
      <c r="AD729" s="296"/>
      <c r="AE729" s="296"/>
      <c r="AF729" s="296"/>
      <c r="AG729" s="296"/>
      <c r="AH729" s="296"/>
      <c r="AI729" s="296"/>
      <c r="AJ729" s="296"/>
      <c r="AK729" s="296"/>
    </row>
    <row r="730" spans="11:37">
      <c r="K730" s="296"/>
      <c r="L730" s="296"/>
      <c r="M730" s="296"/>
      <c r="N730" s="296"/>
      <c r="O730" s="296"/>
      <c r="P730" s="296"/>
      <c r="Q730" s="296"/>
      <c r="R730" s="296"/>
      <c r="S730" s="296"/>
      <c r="T730" s="296"/>
      <c r="U730" s="296"/>
      <c r="V730" s="296"/>
      <c r="W730" s="296"/>
      <c r="X730" s="296"/>
      <c r="Y730" s="296"/>
      <c r="Z730" s="296"/>
      <c r="AA730" s="296"/>
      <c r="AB730" s="296"/>
      <c r="AC730" s="296"/>
      <c r="AD730" s="296"/>
      <c r="AE730" s="296"/>
      <c r="AF730" s="296"/>
      <c r="AG730" s="296"/>
      <c r="AH730" s="296"/>
      <c r="AI730" s="296"/>
      <c r="AJ730" s="296"/>
      <c r="AK730" s="296"/>
    </row>
    <row r="731" spans="11:37">
      <c r="K731" s="296"/>
      <c r="L731" s="296"/>
      <c r="M731" s="296"/>
      <c r="N731" s="296"/>
      <c r="O731" s="296"/>
      <c r="P731" s="296"/>
      <c r="Q731" s="296"/>
      <c r="R731" s="296"/>
      <c r="S731" s="296"/>
      <c r="T731" s="296"/>
      <c r="U731" s="296"/>
      <c r="V731" s="296"/>
      <c r="W731" s="296"/>
      <c r="X731" s="296"/>
      <c r="Y731" s="296"/>
      <c r="Z731" s="296"/>
      <c r="AA731" s="296"/>
      <c r="AB731" s="296"/>
      <c r="AC731" s="296"/>
      <c r="AD731" s="296"/>
      <c r="AE731" s="296"/>
      <c r="AF731" s="296"/>
      <c r="AG731" s="296"/>
      <c r="AH731" s="296"/>
      <c r="AI731" s="296"/>
      <c r="AJ731" s="296"/>
      <c r="AK731" s="296"/>
    </row>
    <row r="732" spans="11:37">
      <c r="K732" s="296"/>
      <c r="L732" s="296"/>
      <c r="M732" s="296"/>
      <c r="N732" s="296"/>
      <c r="O732" s="296"/>
      <c r="P732" s="296"/>
      <c r="Q732" s="296"/>
      <c r="R732" s="296"/>
      <c r="S732" s="296"/>
      <c r="T732" s="296"/>
      <c r="U732" s="296"/>
      <c r="V732" s="296"/>
      <c r="W732" s="296"/>
      <c r="X732" s="296"/>
      <c r="Y732" s="296"/>
      <c r="Z732" s="296"/>
      <c r="AA732" s="296"/>
      <c r="AB732" s="296"/>
      <c r="AC732" s="296"/>
      <c r="AD732" s="296"/>
      <c r="AE732" s="296"/>
      <c r="AF732" s="296"/>
      <c r="AG732" s="296"/>
      <c r="AH732" s="296"/>
      <c r="AI732" s="296"/>
      <c r="AJ732" s="296"/>
      <c r="AK732" s="296"/>
    </row>
    <row r="733" spans="11:37">
      <c r="K733" s="296"/>
      <c r="L733" s="296"/>
      <c r="M733" s="296"/>
      <c r="N733" s="296"/>
      <c r="O733" s="296"/>
      <c r="P733" s="296"/>
      <c r="Q733" s="296"/>
      <c r="R733" s="296"/>
      <c r="S733" s="296"/>
      <c r="T733" s="296"/>
      <c r="U733" s="296"/>
      <c r="V733" s="296"/>
      <c r="W733" s="296"/>
      <c r="X733" s="296"/>
      <c r="Y733" s="296"/>
      <c r="Z733" s="296"/>
      <c r="AA733" s="296"/>
      <c r="AB733" s="296"/>
      <c r="AC733" s="296"/>
      <c r="AD733" s="296"/>
      <c r="AE733" s="296"/>
      <c r="AF733" s="296"/>
      <c r="AG733" s="296"/>
      <c r="AH733" s="296"/>
      <c r="AI733" s="296"/>
      <c r="AJ733" s="296"/>
      <c r="AK733" s="296"/>
    </row>
    <row r="734" spans="11:37">
      <c r="K734" s="296"/>
      <c r="L734" s="296"/>
      <c r="M734" s="296"/>
      <c r="N734" s="296"/>
      <c r="O734" s="296"/>
      <c r="P734" s="296"/>
      <c r="Q734" s="296"/>
      <c r="R734" s="296"/>
      <c r="S734" s="296"/>
      <c r="T734" s="296"/>
      <c r="U734" s="296"/>
      <c r="V734" s="296"/>
      <c r="W734" s="296"/>
      <c r="X734" s="296"/>
      <c r="Y734" s="296"/>
      <c r="Z734" s="296"/>
      <c r="AA734" s="296"/>
      <c r="AB734" s="296"/>
      <c r="AC734" s="296"/>
      <c r="AD734" s="296"/>
      <c r="AE734" s="296"/>
      <c r="AF734" s="296"/>
      <c r="AG734" s="296"/>
      <c r="AH734" s="296"/>
      <c r="AI734" s="296"/>
      <c r="AJ734" s="296"/>
      <c r="AK734" s="296"/>
    </row>
    <row r="735" spans="11:37">
      <c r="K735" s="296"/>
      <c r="L735" s="296"/>
      <c r="M735" s="296"/>
      <c r="N735" s="296"/>
      <c r="O735" s="296"/>
      <c r="P735" s="296"/>
      <c r="Q735" s="296"/>
      <c r="R735" s="296"/>
      <c r="S735" s="296"/>
      <c r="T735" s="296"/>
      <c r="U735" s="296"/>
      <c r="V735" s="296"/>
      <c r="W735" s="296"/>
      <c r="X735" s="296"/>
      <c r="Y735" s="296"/>
      <c r="Z735" s="296"/>
      <c r="AA735" s="296"/>
      <c r="AB735" s="296"/>
      <c r="AC735" s="296"/>
      <c r="AD735" s="296"/>
      <c r="AE735" s="296"/>
      <c r="AF735" s="296"/>
      <c r="AG735" s="296"/>
      <c r="AH735" s="296"/>
      <c r="AI735" s="296"/>
      <c r="AJ735" s="296"/>
      <c r="AK735" s="296"/>
    </row>
    <row r="736" spans="11:37">
      <c r="K736" s="296"/>
      <c r="L736" s="296"/>
      <c r="M736" s="296"/>
      <c r="N736" s="296"/>
      <c r="O736" s="296"/>
      <c r="P736" s="296"/>
      <c r="Q736" s="296"/>
      <c r="R736" s="296"/>
      <c r="S736" s="296"/>
      <c r="T736" s="296"/>
      <c r="U736" s="296"/>
      <c r="V736" s="296"/>
      <c r="W736" s="296"/>
      <c r="X736" s="296"/>
      <c r="Y736" s="296"/>
      <c r="Z736" s="296"/>
      <c r="AA736" s="296"/>
      <c r="AB736" s="296"/>
      <c r="AC736" s="296"/>
      <c r="AD736" s="296"/>
      <c r="AE736" s="296"/>
      <c r="AF736" s="296"/>
      <c r="AG736" s="296"/>
      <c r="AH736" s="296"/>
      <c r="AI736" s="296"/>
      <c r="AJ736" s="296"/>
      <c r="AK736" s="296"/>
    </row>
    <row r="737" spans="11:37">
      <c r="K737" s="296"/>
      <c r="L737" s="296"/>
      <c r="M737" s="296"/>
      <c r="N737" s="296"/>
      <c r="O737" s="296"/>
      <c r="P737" s="296"/>
      <c r="Q737" s="296"/>
      <c r="R737" s="296"/>
      <c r="S737" s="296"/>
      <c r="T737" s="296"/>
      <c r="U737" s="296"/>
      <c r="V737" s="296"/>
      <c r="W737" s="296"/>
      <c r="X737" s="296"/>
      <c r="Y737" s="296"/>
      <c r="Z737" s="296"/>
      <c r="AA737" s="296"/>
      <c r="AB737" s="296"/>
      <c r="AC737" s="296"/>
      <c r="AD737" s="296"/>
      <c r="AE737" s="296"/>
      <c r="AF737" s="296"/>
      <c r="AG737" s="296"/>
      <c r="AH737" s="296"/>
      <c r="AI737" s="296"/>
      <c r="AJ737" s="296"/>
      <c r="AK737" s="296"/>
    </row>
    <row r="738" spans="11:37">
      <c r="K738" s="296"/>
      <c r="L738" s="296"/>
      <c r="M738" s="296"/>
      <c r="N738" s="296"/>
      <c r="O738" s="296"/>
      <c r="P738" s="296"/>
      <c r="Q738" s="296"/>
      <c r="R738" s="296"/>
      <c r="S738" s="296"/>
      <c r="T738" s="296"/>
      <c r="U738" s="296"/>
      <c r="V738" s="296"/>
      <c r="W738" s="296"/>
      <c r="X738" s="296"/>
      <c r="Y738" s="296"/>
      <c r="Z738" s="296"/>
      <c r="AA738" s="296"/>
      <c r="AB738" s="296"/>
      <c r="AC738" s="296"/>
      <c r="AD738" s="296"/>
      <c r="AE738" s="296"/>
      <c r="AF738" s="296"/>
      <c r="AG738" s="296"/>
      <c r="AH738" s="296"/>
      <c r="AI738" s="296"/>
      <c r="AJ738" s="296"/>
      <c r="AK738" s="296"/>
    </row>
  </sheetData>
  <sheetProtection deleteRows="0"/>
  <mergeCells count="6">
    <mergeCell ref="B33:E33"/>
    <mergeCell ref="A1:E1"/>
    <mergeCell ref="G1:J1"/>
    <mergeCell ref="M1:N1"/>
    <mergeCell ref="B31:E31"/>
    <mergeCell ref="B32:E32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360" verticalDpi="360" r:id="rId1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sheetPr codeName="Worksheet______15"/>
  <dimension ref="A1:AK747"/>
  <sheetViews>
    <sheetView rightToLeft="1" zoomScaleNormal="100" workbookViewId="0">
      <pane ySplit="2" topLeftCell="A3" activePane="bottomLeft" state="frozen"/>
      <selection pane="bottomLeft" activeCell="I1" sqref="I1"/>
    </sheetView>
  </sheetViews>
  <sheetFormatPr defaultRowHeight="12.75"/>
  <cols>
    <col min="1" max="1" width="7" style="298" customWidth="1"/>
    <col min="2" max="2" width="13.7109375" style="298" customWidth="1"/>
    <col min="3" max="3" width="19.42578125" style="298" customWidth="1"/>
    <col min="4" max="4" width="18.5703125" style="298" customWidth="1"/>
    <col min="5" max="5" width="21.5703125" style="298" customWidth="1"/>
    <col min="6" max="6" width="17.7109375" style="298" customWidth="1"/>
    <col min="7" max="7" width="10.7109375" style="298" customWidth="1"/>
    <col min="8" max="8" width="3.7109375" style="298" customWidth="1"/>
    <col min="9" max="9" width="10.7109375" style="298" customWidth="1"/>
    <col min="10" max="10" width="12.28515625" style="298" customWidth="1"/>
    <col min="11" max="11" width="8.140625" style="327" customWidth="1"/>
    <col min="12" max="12" width="9.140625" style="298"/>
    <col min="13" max="13" width="58.5703125" style="298" customWidth="1"/>
    <col min="14" max="16384" width="9.140625" style="298"/>
  </cols>
  <sheetData>
    <row r="1" spans="1:37" ht="57" customHeight="1" thickBot="1">
      <c r="A1" s="1038" t="s">
        <v>787</v>
      </c>
      <c r="B1" s="1038"/>
      <c r="C1" s="1038"/>
      <c r="D1" s="1038"/>
      <c r="E1" s="1038"/>
      <c r="F1" s="1038"/>
      <c r="G1" s="1038"/>
      <c r="H1" s="296"/>
      <c r="I1" s="295">
        <f>INT('נתוני יסוד'!B5)</f>
        <v>125</v>
      </c>
      <c r="J1" s="296"/>
      <c r="K1" s="296"/>
      <c r="L1" s="297"/>
      <c r="M1" s="1040"/>
      <c r="N1" s="1040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</row>
    <row r="2" spans="1:37" s="303" customFormat="1" ht="57" customHeight="1" thickBot="1">
      <c r="A2" s="184" t="s">
        <v>496</v>
      </c>
      <c r="B2" s="299" t="s">
        <v>497</v>
      </c>
      <c r="C2" s="299" t="s">
        <v>231</v>
      </c>
      <c r="D2" s="299" t="s">
        <v>498</v>
      </c>
      <c r="E2" s="184" t="s">
        <v>499</v>
      </c>
      <c r="F2" s="299" t="s">
        <v>500</v>
      </c>
      <c r="G2" s="184" t="s">
        <v>627</v>
      </c>
      <c r="H2" s="299" t="s">
        <v>628</v>
      </c>
      <c r="I2" s="603" t="s">
        <v>267</v>
      </c>
      <c r="J2" s="158" t="s">
        <v>788</v>
      </c>
      <c r="K2" s="300" t="s">
        <v>505</v>
      </c>
      <c r="L2" s="604"/>
      <c r="M2" s="604"/>
      <c r="N2" s="604"/>
      <c r="O2" s="604"/>
      <c r="P2" s="604"/>
      <c r="Q2" s="604"/>
      <c r="R2" s="604"/>
      <c r="S2" s="604"/>
      <c r="T2" s="604"/>
      <c r="U2" s="604"/>
      <c r="V2" s="604"/>
      <c r="W2" s="604"/>
      <c r="X2" s="604"/>
      <c r="Y2" s="604"/>
      <c r="Z2" s="602"/>
      <c r="AA2" s="602"/>
      <c r="AB2" s="602"/>
      <c r="AC2" s="602"/>
      <c r="AD2" s="602"/>
      <c r="AE2" s="602"/>
      <c r="AF2" s="602"/>
      <c r="AG2" s="602"/>
      <c r="AH2" s="602"/>
      <c r="AI2" s="602"/>
      <c r="AJ2" s="602"/>
      <c r="AK2" s="602"/>
    </row>
    <row r="3" spans="1:37" s="308" customFormat="1" ht="40.15" customHeight="1">
      <c r="A3" s="164" t="str">
        <f>IF(main!A9&gt;0,main!A9,"")</f>
        <v/>
      </c>
      <c r="B3" s="165" t="str">
        <f>IF(main!A9&gt;0,main!B9,"")</f>
        <v/>
      </c>
      <c r="C3" s="164" t="str">
        <f>IF(main!A9&gt;0,main!D9,"")</f>
        <v/>
      </c>
      <c r="D3" s="164" t="str">
        <f>IF(main!A9&gt;0,main!E9,"")</f>
        <v/>
      </c>
      <c r="E3" s="164" t="str">
        <f>IF(main!A9&gt;0,main!C9,"")</f>
        <v/>
      </c>
      <c r="F3" s="304" t="str">
        <f>IF(main!A9&gt;0,main!R9,"")</f>
        <v/>
      </c>
      <c r="G3" s="164">
        <f>main!BE9</f>
        <v>0</v>
      </c>
      <c r="H3" s="164" t="s">
        <v>628</v>
      </c>
      <c r="I3" s="164">
        <f>main!BI9</f>
        <v>0</v>
      </c>
      <c r="J3" s="605">
        <f>IF(I3&lt;&gt;"",IF(main!EG9=1,I3,IF('נתוני יסוד'!$B$2="אשה",I3*0.3,I3*0.6)),0)</f>
        <v>0</v>
      </c>
      <c r="K3" s="305"/>
      <c r="L3" s="306"/>
      <c r="M3" s="306"/>
      <c r="N3" s="306"/>
      <c r="O3" s="306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</row>
    <row r="4" spans="1:37" s="308" customFormat="1" ht="40.15" customHeight="1">
      <c r="A4" s="164" t="str">
        <f>IF(main!A10&gt;0,main!A10,"")</f>
        <v/>
      </c>
      <c r="B4" s="165" t="str">
        <f>IF(main!A10&gt;0,main!B10,"")</f>
        <v/>
      </c>
      <c r="C4" s="164" t="str">
        <f>IF(main!A10&gt;0,main!D10,"")</f>
        <v/>
      </c>
      <c r="D4" s="164" t="str">
        <f>IF(main!A10&gt;0,main!E10,"")</f>
        <v/>
      </c>
      <c r="E4" s="164" t="str">
        <f>IF(main!A10&gt;0,main!C10,"")</f>
        <v/>
      </c>
      <c r="F4" s="304" t="str">
        <f>IF(main!A10&gt;0,main!R10,"")</f>
        <v/>
      </c>
      <c r="G4" s="164">
        <f>main!BE10</f>
        <v>0</v>
      </c>
      <c r="H4" s="164" t="s">
        <v>628</v>
      </c>
      <c r="I4" s="164">
        <f>main!BI10</f>
        <v>0</v>
      </c>
      <c r="J4" s="605">
        <f>IF(I4&lt;&gt;"",IF(main!EG10=1,I4,IF('נתוני יסוד'!$B$2="אשה",I4*0.3,I4*0.6)),0)</f>
        <v>0</v>
      </c>
      <c r="K4" s="305"/>
      <c r="L4" s="306"/>
      <c r="M4" s="306"/>
      <c r="N4" s="306"/>
      <c r="O4" s="306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307"/>
      <c r="AK4" s="307"/>
    </row>
    <row r="5" spans="1:37" s="308" customFormat="1" ht="40.15" customHeight="1">
      <c r="A5" s="164" t="str">
        <f>IF(main!A11&gt;0,main!A11,"")</f>
        <v/>
      </c>
      <c r="B5" s="165" t="str">
        <f>IF(main!A11&gt;0,main!B11,"")</f>
        <v/>
      </c>
      <c r="C5" s="164" t="str">
        <f>IF(main!A11&gt;0,main!D11,"")</f>
        <v/>
      </c>
      <c r="D5" s="164" t="str">
        <f>IF(main!A11&gt;0,main!E11,"")</f>
        <v/>
      </c>
      <c r="E5" s="164" t="str">
        <f>IF(main!A11&gt;0,main!C11,"")</f>
        <v/>
      </c>
      <c r="F5" s="304" t="str">
        <f>IF(main!A11&gt;0,main!R11,"")</f>
        <v/>
      </c>
      <c r="G5" s="164">
        <f>main!BE11</f>
        <v>0</v>
      </c>
      <c r="H5" s="164" t="s">
        <v>628</v>
      </c>
      <c r="I5" s="164">
        <f>main!BI11</f>
        <v>0</v>
      </c>
      <c r="J5" s="605">
        <f>IF(I5&lt;&gt;"",IF(main!EG11=1,I5,IF('נתוני יסוד'!$B$2="אשה",I5*0.3,I5*0.6)),0)</f>
        <v>0</v>
      </c>
      <c r="K5" s="305"/>
      <c r="L5" s="306"/>
      <c r="M5" s="306"/>
      <c r="N5" s="306"/>
      <c r="O5" s="306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7"/>
      <c r="AK5" s="307"/>
    </row>
    <row r="6" spans="1:37" s="308" customFormat="1" ht="40.15" customHeight="1">
      <c r="A6" s="164" t="str">
        <f>IF(main!A12&gt;0,main!A12,"")</f>
        <v/>
      </c>
      <c r="B6" s="165" t="str">
        <f>IF(main!A12&gt;0,main!B12,"")</f>
        <v/>
      </c>
      <c r="C6" s="164" t="str">
        <f>IF(main!A12&gt;0,main!D12,"")</f>
        <v/>
      </c>
      <c r="D6" s="164" t="str">
        <f>IF(main!A12&gt;0,main!E12,"")</f>
        <v/>
      </c>
      <c r="E6" s="164" t="str">
        <f>IF(main!A12&gt;0,main!C12,"")</f>
        <v/>
      </c>
      <c r="F6" s="304" t="str">
        <f>IF(main!A12&gt;0,main!R12,"")</f>
        <v/>
      </c>
      <c r="G6" s="164">
        <f>main!BE12</f>
        <v>0</v>
      </c>
      <c r="H6" s="164" t="s">
        <v>628</v>
      </c>
      <c r="I6" s="164">
        <f>main!BI12</f>
        <v>0</v>
      </c>
      <c r="J6" s="605">
        <f>IF(I6&lt;&gt;"",IF(main!EG12=1,I6,IF('נתוני יסוד'!$B$2="אשה",I6*0.3,I6*0.6)),0)</f>
        <v>0</v>
      </c>
      <c r="K6" s="305"/>
      <c r="L6" s="306"/>
      <c r="M6" s="306"/>
      <c r="N6" s="306"/>
      <c r="O6" s="306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</row>
    <row r="7" spans="1:37" s="308" customFormat="1" ht="40.15" customHeight="1">
      <c r="A7" s="164" t="str">
        <f>IF(main!A13&gt;0,main!A13,"")</f>
        <v/>
      </c>
      <c r="B7" s="165" t="str">
        <f>IF(main!A13&gt;0,main!B13,"")</f>
        <v/>
      </c>
      <c r="C7" s="164" t="str">
        <f>IF(main!A13&gt;0,main!D13,"")</f>
        <v/>
      </c>
      <c r="D7" s="164" t="str">
        <f>IF(main!A13&gt;0,main!E13,"")</f>
        <v/>
      </c>
      <c r="E7" s="164" t="str">
        <f>IF(main!A13&gt;0,main!C13,"")</f>
        <v/>
      </c>
      <c r="F7" s="304" t="str">
        <f>IF(main!A13&gt;0,main!R13,"")</f>
        <v/>
      </c>
      <c r="G7" s="164">
        <f>main!BE13</f>
        <v>0</v>
      </c>
      <c r="H7" s="164" t="s">
        <v>628</v>
      </c>
      <c r="I7" s="164">
        <f>main!BI13</f>
        <v>0</v>
      </c>
      <c r="J7" s="605">
        <f>IF(I7&lt;&gt;"",IF(main!EG13=1,I7,IF('נתוני יסוד'!$B$2="אשה",I7*0.3,I7*0.6)),0)</f>
        <v>0</v>
      </c>
      <c r="K7" s="305"/>
      <c r="L7" s="306"/>
      <c r="M7" s="306"/>
      <c r="N7" s="306"/>
      <c r="O7" s="306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</row>
    <row r="8" spans="1:37" s="308" customFormat="1" ht="40.15" customHeight="1">
      <c r="A8" s="164" t="str">
        <f>IF(main!A14&gt;0,main!A14,"")</f>
        <v/>
      </c>
      <c r="B8" s="165" t="str">
        <f>IF(main!A14&gt;0,main!B14,"")</f>
        <v/>
      </c>
      <c r="C8" s="164" t="str">
        <f>IF(main!A14&gt;0,main!D14,"")</f>
        <v/>
      </c>
      <c r="D8" s="164" t="str">
        <f>IF(main!A14&gt;0,main!E14,"")</f>
        <v/>
      </c>
      <c r="E8" s="164" t="str">
        <f>IF(main!A14&gt;0,main!C14,"")</f>
        <v/>
      </c>
      <c r="F8" s="304" t="str">
        <f>IF(main!A14&gt;0,main!R14,"")</f>
        <v/>
      </c>
      <c r="G8" s="164">
        <f>main!BE14</f>
        <v>0</v>
      </c>
      <c r="H8" s="164" t="s">
        <v>628</v>
      </c>
      <c r="I8" s="164">
        <f>main!BI14</f>
        <v>0</v>
      </c>
      <c r="J8" s="605">
        <f>IF(I8&lt;&gt;"",IF(main!EG14=1,I8,IF('נתוני יסוד'!$B$2="אשה",I8*0.3,I8*0.6)),0)</f>
        <v>0</v>
      </c>
      <c r="K8" s="305"/>
      <c r="L8" s="306"/>
      <c r="M8" s="306"/>
      <c r="N8" s="306"/>
      <c r="O8" s="306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</row>
    <row r="9" spans="1:37" s="308" customFormat="1" ht="40.15" customHeight="1">
      <c r="A9" s="164" t="str">
        <f>IF(main!A15&gt;0,main!A15,"")</f>
        <v/>
      </c>
      <c r="B9" s="165" t="str">
        <f>IF(main!A15&gt;0,main!B15,"")</f>
        <v/>
      </c>
      <c r="C9" s="164" t="str">
        <f>IF(main!A15&gt;0,main!D15,"")</f>
        <v/>
      </c>
      <c r="D9" s="164" t="str">
        <f>IF(main!A15&gt;0,main!E15,"")</f>
        <v/>
      </c>
      <c r="E9" s="164" t="str">
        <f>IF(main!A15&gt;0,main!C15,"")</f>
        <v/>
      </c>
      <c r="F9" s="304" t="str">
        <f>IF(main!A15&gt;0,main!R15,"")</f>
        <v/>
      </c>
      <c r="G9" s="164">
        <f>main!BE15</f>
        <v>0</v>
      </c>
      <c r="H9" s="164" t="s">
        <v>628</v>
      </c>
      <c r="I9" s="164">
        <f>main!BI15</f>
        <v>0</v>
      </c>
      <c r="J9" s="605">
        <f>IF(I9&lt;&gt;"",IF(main!EG15=1,I9,IF('נתוני יסוד'!$B$2="אשה",I9*0.3,I9*0.6)),0)</f>
        <v>0</v>
      </c>
      <c r="K9" s="305"/>
      <c r="L9" s="306"/>
      <c r="M9" s="306"/>
      <c r="N9" s="306"/>
      <c r="O9" s="306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</row>
    <row r="10" spans="1:37" s="308" customFormat="1" ht="40.15" customHeight="1">
      <c r="A10" s="164" t="str">
        <f>IF(main!A16&gt;0,main!A16,"")</f>
        <v/>
      </c>
      <c r="B10" s="165" t="str">
        <f>IF(main!A16&gt;0,main!B16,"")</f>
        <v/>
      </c>
      <c r="C10" s="164" t="str">
        <f>IF(main!A16&gt;0,main!D16,"")</f>
        <v/>
      </c>
      <c r="D10" s="164" t="str">
        <f>IF(main!A16&gt;0,main!E16,"")</f>
        <v/>
      </c>
      <c r="E10" s="164" t="str">
        <f>IF(main!A16&gt;0,main!C16,"")</f>
        <v/>
      </c>
      <c r="F10" s="304" t="str">
        <f>IF(main!A16&gt;0,main!R16,"")</f>
        <v/>
      </c>
      <c r="G10" s="164">
        <f>main!BE16</f>
        <v>0</v>
      </c>
      <c r="H10" s="164" t="s">
        <v>628</v>
      </c>
      <c r="I10" s="164">
        <f>main!BI16</f>
        <v>0</v>
      </c>
      <c r="J10" s="605">
        <f>IF(I10&lt;&gt;"",IF(main!EG16=1,I10,IF('נתוני יסוד'!$B$2="אשה",I10*0.3,I10*0.6)),0)</f>
        <v>0</v>
      </c>
      <c r="K10" s="305"/>
      <c r="L10" s="306"/>
      <c r="M10" s="306"/>
      <c r="N10" s="306"/>
      <c r="O10" s="306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</row>
    <row r="11" spans="1:37" s="308" customFormat="1" ht="40.15" customHeight="1">
      <c r="A11" s="164" t="str">
        <f>IF(main!A17&gt;0,main!A17,"")</f>
        <v/>
      </c>
      <c r="B11" s="165" t="str">
        <f>IF(main!A17&gt;0,main!B17,"")</f>
        <v/>
      </c>
      <c r="C11" s="164" t="str">
        <f>IF(main!A17&gt;0,main!D17,"")</f>
        <v/>
      </c>
      <c r="D11" s="164" t="str">
        <f>IF(main!A17&gt;0,main!E17,"")</f>
        <v/>
      </c>
      <c r="E11" s="164" t="str">
        <f>IF(main!A17&gt;0,main!C17,"")</f>
        <v/>
      </c>
      <c r="F11" s="304" t="str">
        <f>IF(main!A17&gt;0,main!R17,"")</f>
        <v/>
      </c>
      <c r="G11" s="164">
        <f>main!BE17</f>
        <v>0</v>
      </c>
      <c r="H11" s="164" t="s">
        <v>628</v>
      </c>
      <c r="I11" s="164">
        <f>main!BI17</f>
        <v>0</v>
      </c>
      <c r="J11" s="605">
        <f>IF(I11&lt;&gt;"",IF(main!EG17=1,I11,IF('נתוני יסוד'!$B$2="אשה",I11*0.3,I11*0.6)),0)</f>
        <v>0</v>
      </c>
      <c r="K11" s="305"/>
      <c r="L11" s="306"/>
      <c r="M11" s="306"/>
      <c r="N11" s="306"/>
      <c r="O11" s="306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</row>
    <row r="12" spans="1:37" s="308" customFormat="1" ht="40.15" customHeight="1">
      <c r="A12" s="164" t="str">
        <f>IF(main!A18&gt;0,main!A18,"")</f>
        <v/>
      </c>
      <c r="B12" s="165" t="str">
        <f>IF(main!A18&gt;0,main!B18,"")</f>
        <v/>
      </c>
      <c r="C12" s="164" t="str">
        <f>IF(main!A18&gt;0,main!D18,"")</f>
        <v/>
      </c>
      <c r="D12" s="164" t="str">
        <f>IF(main!A18&gt;0,main!E18,"")</f>
        <v/>
      </c>
      <c r="E12" s="164" t="str">
        <f>IF(main!A18&gt;0,main!C18,"")</f>
        <v/>
      </c>
      <c r="F12" s="304" t="str">
        <f>IF(main!A18&gt;0,main!R18,"")</f>
        <v/>
      </c>
      <c r="G12" s="164">
        <f>main!BE18</f>
        <v>0</v>
      </c>
      <c r="H12" s="164" t="s">
        <v>628</v>
      </c>
      <c r="I12" s="164">
        <f>main!BI18</f>
        <v>0</v>
      </c>
      <c r="J12" s="605">
        <f>IF(I12&lt;&gt;"",IF(main!EG18=1,I12,IF('נתוני יסוד'!$B$2="אשה",I12*0.3,I12*0.6)),0)</f>
        <v>0</v>
      </c>
      <c r="K12" s="305"/>
      <c r="L12" s="306"/>
      <c r="M12" s="306"/>
      <c r="N12" s="306"/>
      <c r="O12" s="306"/>
      <c r="P12" s="307"/>
      <c r="Q12" s="307"/>
      <c r="R12" s="307"/>
      <c r="S12" s="307"/>
      <c r="T12" s="307"/>
      <c r="U12" s="307"/>
      <c r="V12" s="307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</row>
    <row r="13" spans="1:37" s="308" customFormat="1" ht="40.15" customHeight="1">
      <c r="A13" s="164" t="str">
        <f>IF(main!A19&gt;0,main!A19,"")</f>
        <v/>
      </c>
      <c r="B13" s="165" t="str">
        <f>IF(main!A19&gt;0,main!B19,"")</f>
        <v/>
      </c>
      <c r="C13" s="164" t="str">
        <f>IF(main!A19&gt;0,main!D19,"")</f>
        <v/>
      </c>
      <c r="D13" s="164" t="str">
        <f>IF(main!A19&gt;0,main!E19,"")</f>
        <v/>
      </c>
      <c r="E13" s="164" t="str">
        <f>IF(main!A19&gt;0,main!C19,"")</f>
        <v/>
      </c>
      <c r="F13" s="304" t="str">
        <f>IF(main!A19&gt;0,main!R19,"")</f>
        <v/>
      </c>
      <c r="G13" s="164">
        <f>main!BE19</f>
        <v>0</v>
      </c>
      <c r="H13" s="164" t="s">
        <v>628</v>
      </c>
      <c r="I13" s="164">
        <f>main!BI19</f>
        <v>0</v>
      </c>
      <c r="J13" s="605">
        <f>IF(I13&lt;&gt;"",IF(main!EG19=1,I13,IF('נתוני יסוד'!$B$2="אשה",I13*0.3,I13*0.6)),0)</f>
        <v>0</v>
      </c>
      <c r="K13" s="305"/>
      <c r="L13" s="306"/>
      <c r="M13" s="306"/>
      <c r="N13" s="306"/>
      <c r="O13" s="306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</row>
    <row r="14" spans="1:37" s="308" customFormat="1" ht="40.15" customHeight="1">
      <c r="A14" s="164" t="str">
        <f>IF(main!A20&gt;0,main!A20,"")</f>
        <v/>
      </c>
      <c r="B14" s="165" t="str">
        <f>IF(main!A20&gt;0,main!B20,"")</f>
        <v/>
      </c>
      <c r="C14" s="164" t="str">
        <f>IF(main!A20&gt;0,main!D20,"")</f>
        <v/>
      </c>
      <c r="D14" s="164" t="str">
        <f>IF(main!A20&gt;0,main!E20,"")</f>
        <v/>
      </c>
      <c r="E14" s="164" t="str">
        <f>IF(main!A20&gt;0,main!C20,"")</f>
        <v/>
      </c>
      <c r="F14" s="304" t="str">
        <f>IF(main!A20&gt;0,main!R20,"")</f>
        <v/>
      </c>
      <c r="G14" s="164">
        <f>main!BE20</f>
        <v>0</v>
      </c>
      <c r="H14" s="164" t="s">
        <v>628</v>
      </c>
      <c r="I14" s="164">
        <f>main!BI20</f>
        <v>0</v>
      </c>
      <c r="J14" s="605">
        <f>IF(I14&lt;&gt;"",IF(main!EG20=1,I14,IF('נתוני יסוד'!$B$2="אשה",I14*0.3,I14*0.6)),0)</f>
        <v>0</v>
      </c>
      <c r="K14" s="305"/>
      <c r="L14" s="306"/>
      <c r="M14" s="306"/>
      <c r="N14" s="306"/>
      <c r="O14" s="306"/>
      <c r="P14" s="307"/>
      <c r="Q14" s="307"/>
      <c r="R14" s="307"/>
      <c r="S14" s="307"/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</row>
    <row r="15" spans="1:37" s="308" customFormat="1" ht="40.15" customHeight="1">
      <c r="A15" s="164" t="str">
        <f>IF(main!A21&gt;0,main!A21,"")</f>
        <v/>
      </c>
      <c r="B15" s="165" t="str">
        <f>IF(main!A21&gt;0,main!B21,"")</f>
        <v/>
      </c>
      <c r="C15" s="164" t="str">
        <f>IF(main!A21&gt;0,main!D21,"")</f>
        <v/>
      </c>
      <c r="D15" s="164" t="str">
        <f>IF(main!A21&gt;0,main!E21,"")</f>
        <v/>
      </c>
      <c r="E15" s="164" t="str">
        <f>IF(main!A21&gt;0,main!C21,"")</f>
        <v/>
      </c>
      <c r="F15" s="304" t="str">
        <f>IF(main!A21&gt;0,main!R21,"")</f>
        <v/>
      </c>
      <c r="G15" s="164">
        <f>main!BE21</f>
        <v>0</v>
      </c>
      <c r="H15" s="164" t="s">
        <v>628</v>
      </c>
      <c r="I15" s="164">
        <f>main!BI21</f>
        <v>0</v>
      </c>
      <c r="J15" s="605">
        <f>IF(I15&lt;&gt;"",IF(main!EG21=1,I15,IF('נתוני יסוד'!$B$2="אשה",I15*0.3,I15*0.6)),0)</f>
        <v>0</v>
      </c>
      <c r="K15" s="305"/>
      <c r="L15" s="306"/>
      <c r="M15" s="306"/>
      <c r="N15" s="306"/>
      <c r="O15" s="306"/>
      <c r="P15" s="307"/>
      <c r="Q15" s="307"/>
      <c r="R15" s="307"/>
      <c r="S15" s="307"/>
      <c r="T15" s="307"/>
      <c r="U15" s="307"/>
      <c r="V15" s="307"/>
      <c r="W15" s="307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</row>
    <row r="16" spans="1:37" s="308" customFormat="1" ht="40.15" customHeight="1">
      <c r="A16" s="164" t="str">
        <f>IF(main!A22&gt;0,main!A22,"")</f>
        <v/>
      </c>
      <c r="B16" s="165" t="str">
        <f>IF(main!A22&gt;0,main!B22,"")</f>
        <v/>
      </c>
      <c r="C16" s="164" t="str">
        <f>IF(main!A22&gt;0,main!D22,"")</f>
        <v/>
      </c>
      <c r="D16" s="164" t="str">
        <f>IF(main!A22&gt;0,main!E22,"")</f>
        <v/>
      </c>
      <c r="E16" s="164" t="str">
        <f>IF(main!A22&gt;0,main!C22,"")</f>
        <v/>
      </c>
      <c r="F16" s="304" t="str">
        <f>IF(main!A22&gt;0,main!R22,"")</f>
        <v/>
      </c>
      <c r="G16" s="164">
        <f>main!BE22</f>
        <v>0</v>
      </c>
      <c r="H16" s="164" t="s">
        <v>628</v>
      </c>
      <c r="I16" s="164">
        <f>main!BI22</f>
        <v>0</v>
      </c>
      <c r="J16" s="605">
        <f>IF(I16&lt;&gt;"",IF(main!EG22=1,I16,IF('נתוני יסוד'!$B$2="אשה",I16*0.3,I16*0.6)),0)</f>
        <v>0</v>
      </c>
      <c r="K16" s="305"/>
      <c r="L16" s="306"/>
      <c r="M16" s="306"/>
      <c r="N16" s="306"/>
      <c r="O16" s="306"/>
      <c r="P16" s="307"/>
      <c r="Q16" s="307"/>
      <c r="R16" s="307"/>
      <c r="S16" s="307"/>
      <c r="T16" s="307"/>
      <c r="U16" s="307"/>
      <c r="V16" s="307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</row>
    <row r="17" spans="1:37" s="308" customFormat="1" ht="40.15" customHeight="1">
      <c r="A17" s="164" t="str">
        <f>IF(main!A23&gt;0,main!A23,"")</f>
        <v/>
      </c>
      <c r="B17" s="165" t="str">
        <f>IF(main!A23&gt;0,main!B23,"")</f>
        <v/>
      </c>
      <c r="C17" s="164" t="str">
        <f>IF(main!A23&gt;0,main!D23,"")</f>
        <v/>
      </c>
      <c r="D17" s="164" t="str">
        <f>IF(main!A23&gt;0,main!E23,"")</f>
        <v/>
      </c>
      <c r="E17" s="164" t="str">
        <f>IF(main!A23&gt;0,main!C23,"")</f>
        <v/>
      </c>
      <c r="F17" s="304" t="str">
        <f>IF(main!A23&gt;0,main!R23,"")</f>
        <v/>
      </c>
      <c r="G17" s="164">
        <f>main!BE23</f>
        <v>0</v>
      </c>
      <c r="H17" s="164" t="s">
        <v>628</v>
      </c>
      <c r="I17" s="164">
        <f>main!BI23</f>
        <v>0</v>
      </c>
      <c r="J17" s="605">
        <f>IF(I17&lt;&gt;"",IF(main!EG23=1,I17,IF('נתוני יסוד'!$B$2="אשה",I17*0.3,I17*0.6)),0)</f>
        <v>0</v>
      </c>
      <c r="K17" s="305"/>
      <c r="L17" s="306"/>
      <c r="M17" s="306"/>
      <c r="N17" s="306"/>
      <c r="O17" s="306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</row>
    <row r="18" spans="1:37" s="308" customFormat="1" ht="40.15" customHeight="1">
      <c r="A18" s="164" t="str">
        <f>IF(main!A24&gt;0,main!A24,"")</f>
        <v/>
      </c>
      <c r="B18" s="165" t="str">
        <f>IF(main!A24&gt;0,main!B24,"")</f>
        <v/>
      </c>
      <c r="C18" s="164" t="str">
        <f>IF(main!A24&gt;0,main!D24,"")</f>
        <v/>
      </c>
      <c r="D18" s="164" t="str">
        <f>IF(main!A24&gt;0,main!E24,"")</f>
        <v/>
      </c>
      <c r="E18" s="164" t="str">
        <f>IF(main!A24&gt;0,main!C24,"")</f>
        <v/>
      </c>
      <c r="F18" s="304" t="str">
        <f>IF(main!A24&gt;0,main!R24,"")</f>
        <v/>
      </c>
      <c r="G18" s="164">
        <f>main!BE24</f>
        <v>0</v>
      </c>
      <c r="H18" s="164" t="s">
        <v>628</v>
      </c>
      <c r="I18" s="164">
        <f>main!BI24</f>
        <v>0</v>
      </c>
      <c r="J18" s="605">
        <f>IF(I18&lt;&gt;"",IF(main!EG24=1,I18,IF('נתוני יסוד'!$B$2="אשה",I18*0.3,I18*0.6)),0)</f>
        <v>0</v>
      </c>
      <c r="K18" s="305"/>
      <c r="L18" s="306"/>
      <c r="M18" s="306"/>
      <c r="N18" s="306"/>
      <c r="O18" s="306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</row>
    <row r="19" spans="1:37" s="308" customFormat="1" ht="40.15" customHeight="1">
      <c r="A19" s="164" t="str">
        <f>IF(main!A25&gt;0,main!A25,"")</f>
        <v/>
      </c>
      <c r="B19" s="165" t="str">
        <f>IF(main!A25&gt;0,main!B25,"")</f>
        <v/>
      </c>
      <c r="C19" s="164" t="str">
        <f>IF(main!A25&gt;0,main!D25,"")</f>
        <v/>
      </c>
      <c r="D19" s="164" t="str">
        <f>IF(main!A25&gt;0,main!E25,"")</f>
        <v/>
      </c>
      <c r="E19" s="164" t="str">
        <f>IF(main!A25&gt;0,main!C25,"")</f>
        <v/>
      </c>
      <c r="F19" s="304" t="str">
        <f>IF(main!A25&gt;0,main!R25,"")</f>
        <v/>
      </c>
      <c r="G19" s="164">
        <f>main!BE25</f>
        <v>0</v>
      </c>
      <c r="H19" s="164" t="s">
        <v>628</v>
      </c>
      <c r="I19" s="164">
        <f>main!BI25</f>
        <v>0</v>
      </c>
      <c r="J19" s="605">
        <f>IF(I19&lt;&gt;"",IF(main!EG25=1,I19,IF('נתוני יסוד'!$B$2="אשה",I19*0.3,I19*0.6)),0)</f>
        <v>0</v>
      </c>
      <c r="K19" s="305"/>
      <c r="L19" s="306"/>
      <c r="M19" s="306"/>
      <c r="N19" s="306"/>
      <c r="O19" s="306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</row>
    <row r="20" spans="1:37" s="308" customFormat="1" ht="40.15" customHeight="1">
      <c r="A20" s="164" t="str">
        <f>IF(main!A26&gt;0,main!A26,"")</f>
        <v/>
      </c>
      <c r="B20" s="165" t="str">
        <f>IF(main!A26&gt;0,main!B26,"")</f>
        <v/>
      </c>
      <c r="C20" s="164" t="str">
        <f>IF(main!A26&gt;0,main!D26,"")</f>
        <v/>
      </c>
      <c r="D20" s="164" t="str">
        <f>IF(main!A26&gt;0,main!E26,"")</f>
        <v/>
      </c>
      <c r="E20" s="164" t="str">
        <f>IF(main!A26&gt;0,main!C26,"")</f>
        <v/>
      </c>
      <c r="F20" s="304" t="str">
        <f>IF(main!A26&gt;0,main!R26,"")</f>
        <v/>
      </c>
      <c r="G20" s="164">
        <f>main!BE26</f>
        <v>0</v>
      </c>
      <c r="H20" s="164" t="s">
        <v>628</v>
      </c>
      <c r="I20" s="164">
        <f>main!BI26</f>
        <v>0</v>
      </c>
      <c r="J20" s="605">
        <f>IF(I20&lt;&gt;"",IF(main!EG26=1,I20,IF('נתוני יסוד'!$B$2="אשה",I20*0.3,I20*0.6)),0)</f>
        <v>0</v>
      </c>
      <c r="K20" s="305"/>
      <c r="L20" s="306"/>
      <c r="M20" s="306"/>
      <c r="N20" s="306"/>
      <c r="O20" s="306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</row>
    <row r="21" spans="1:37" s="308" customFormat="1" ht="40.15" customHeight="1">
      <c r="A21" s="164" t="str">
        <f>IF(main!A27&gt;0,main!A27,"")</f>
        <v/>
      </c>
      <c r="B21" s="165" t="str">
        <f>IF(main!A27&gt;0,main!B27,"")</f>
        <v/>
      </c>
      <c r="C21" s="164" t="str">
        <f>IF(main!A27&gt;0,main!D27,"")</f>
        <v/>
      </c>
      <c r="D21" s="164" t="str">
        <f>IF(main!A27&gt;0,main!E27,"")</f>
        <v/>
      </c>
      <c r="E21" s="164" t="str">
        <f>IF(main!A27&gt;0,main!C27,"")</f>
        <v/>
      </c>
      <c r="F21" s="304" t="str">
        <f>IF(main!A27&gt;0,main!R27,"")</f>
        <v/>
      </c>
      <c r="G21" s="164">
        <f>main!BE27</f>
        <v>0</v>
      </c>
      <c r="H21" s="164" t="s">
        <v>628</v>
      </c>
      <c r="I21" s="164">
        <f>main!BI27</f>
        <v>0</v>
      </c>
      <c r="J21" s="605">
        <f>IF(I21&lt;&gt;"",IF(main!EG27=1,I21,IF('נתוני יסוד'!$B$2="אשה",I21*0.3,I21*0.6)),0)</f>
        <v>0</v>
      </c>
      <c r="K21" s="305"/>
      <c r="L21" s="306"/>
      <c r="M21" s="306"/>
      <c r="N21" s="306"/>
      <c r="O21" s="306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</row>
    <row r="22" spans="1:37" s="308" customFormat="1" ht="40.15" customHeight="1">
      <c r="A22" s="164" t="str">
        <f>IF(main!A28&gt;0,main!A28,"")</f>
        <v/>
      </c>
      <c r="B22" s="165" t="str">
        <f>IF(main!A28&gt;0,main!B28,"")</f>
        <v/>
      </c>
      <c r="C22" s="164" t="str">
        <f>IF(main!A28&gt;0,main!D28,"")</f>
        <v/>
      </c>
      <c r="D22" s="164" t="str">
        <f>IF(main!A28&gt;0,main!E28,"")</f>
        <v/>
      </c>
      <c r="E22" s="164" t="str">
        <f>IF(main!A28&gt;0,main!C28,"")</f>
        <v/>
      </c>
      <c r="F22" s="304" t="str">
        <f>IF(main!A28&gt;0,main!R28,"")</f>
        <v/>
      </c>
      <c r="G22" s="164">
        <f>main!BE28</f>
        <v>0</v>
      </c>
      <c r="H22" s="164" t="s">
        <v>628</v>
      </c>
      <c r="I22" s="164">
        <f>main!BI28</f>
        <v>0</v>
      </c>
      <c r="J22" s="605">
        <f>IF(I22&lt;&gt;"",IF(main!EG28=1,I22,IF('נתוני יסוד'!$B$2="אשה",I22*0.3,I22*0.6)),0)</f>
        <v>0</v>
      </c>
      <c r="K22" s="305"/>
      <c r="L22" s="306"/>
      <c r="M22" s="306"/>
      <c r="N22" s="306"/>
      <c r="O22" s="306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</row>
    <row r="23" spans="1:37" s="308" customFormat="1" ht="40.15" customHeight="1">
      <c r="A23" s="164" t="str">
        <f>IF(main!A29&gt;0,main!A29,"")</f>
        <v/>
      </c>
      <c r="B23" s="165" t="str">
        <f>IF(main!A29&gt;0,main!B29,"")</f>
        <v/>
      </c>
      <c r="C23" s="164" t="str">
        <f>IF(main!A29&gt;0,main!D29,"")</f>
        <v/>
      </c>
      <c r="D23" s="164" t="str">
        <f>IF(main!A29&gt;0,main!E29,"")</f>
        <v/>
      </c>
      <c r="E23" s="164" t="str">
        <f>IF(main!A29&gt;0,main!C29,"")</f>
        <v/>
      </c>
      <c r="F23" s="304" t="str">
        <f>IF(main!A29&gt;0,main!R29,"")</f>
        <v/>
      </c>
      <c r="G23" s="164">
        <f>main!BE29</f>
        <v>0</v>
      </c>
      <c r="H23" s="164" t="s">
        <v>628</v>
      </c>
      <c r="I23" s="164">
        <f>main!BI29</f>
        <v>0</v>
      </c>
      <c r="J23" s="605">
        <f>IF(I23&lt;&gt;"",IF(main!EG29=1,I23,IF('נתוני יסוד'!$B$2="אשה",I23*0.3,I23*0.6)),0)</f>
        <v>0</v>
      </c>
      <c r="K23" s="305"/>
      <c r="L23" s="306"/>
      <c r="M23" s="306"/>
      <c r="N23" s="306"/>
      <c r="O23" s="306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</row>
    <row r="24" spans="1:37" s="308" customFormat="1" ht="40.15" customHeight="1">
      <c r="A24" s="164" t="str">
        <f>IF(main!A30&gt;0,main!A30,"")</f>
        <v/>
      </c>
      <c r="B24" s="165" t="str">
        <f>IF(main!A30&gt;0,main!B30,"")</f>
        <v/>
      </c>
      <c r="C24" s="164" t="str">
        <f>IF(main!A30&gt;0,main!D30,"")</f>
        <v/>
      </c>
      <c r="D24" s="164" t="str">
        <f>IF(main!A30&gt;0,main!E30,"")</f>
        <v/>
      </c>
      <c r="E24" s="164" t="str">
        <f>IF(main!A30&gt;0,main!C30,"")</f>
        <v/>
      </c>
      <c r="F24" s="304" t="str">
        <f>IF(main!A30&gt;0,main!R30,"")</f>
        <v/>
      </c>
      <c r="G24" s="164">
        <f>main!BE30</f>
        <v>0</v>
      </c>
      <c r="H24" s="164" t="s">
        <v>628</v>
      </c>
      <c r="I24" s="164">
        <f>main!BI30</f>
        <v>0</v>
      </c>
      <c r="J24" s="605">
        <f>IF(I24&lt;&gt;"",IF(main!EG30=1,I24,IF('נתוני יסוד'!$B$2="אשה",I24*0.3,I24*0.6)),0)</f>
        <v>0</v>
      </c>
      <c r="K24" s="305"/>
      <c r="L24" s="306"/>
      <c r="M24" s="306"/>
      <c r="N24" s="306"/>
      <c r="O24" s="306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</row>
    <row r="25" spans="1:37" s="308" customFormat="1" ht="40.15" customHeight="1">
      <c r="A25" s="164" t="str">
        <f>IF(main!A31&gt;0,main!A31,"")</f>
        <v/>
      </c>
      <c r="B25" s="165" t="str">
        <f>IF(main!A31&gt;0,main!B31,"")</f>
        <v/>
      </c>
      <c r="C25" s="164" t="str">
        <f>IF(main!A31&gt;0,main!D31,"")</f>
        <v/>
      </c>
      <c r="D25" s="164" t="str">
        <f>IF(main!A31&gt;0,main!E31,"")</f>
        <v/>
      </c>
      <c r="E25" s="164" t="str">
        <f>IF(main!A31&gt;0,main!C31,"")</f>
        <v/>
      </c>
      <c r="F25" s="304" t="str">
        <f>IF(main!A31&gt;0,main!R31,"")</f>
        <v/>
      </c>
      <c r="G25" s="164">
        <f>main!BE31</f>
        <v>0</v>
      </c>
      <c r="H25" s="164" t="s">
        <v>628</v>
      </c>
      <c r="I25" s="164">
        <f>main!BI31</f>
        <v>0</v>
      </c>
      <c r="J25" s="605">
        <f>IF(I25&lt;&gt;"",IF(main!EG31=1,I25,IF('נתוני יסוד'!$B$2="אשה",I25*0.3,I25*0.6)),0)</f>
        <v>0</v>
      </c>
      <c r="K25" s="305"/>
      <c r="L25" s="306"/>
      <c r="M25" s="306"/>
      <c r="N25" s="306"/>
      <c r="O25" s="306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</row>
    <row r="26" spans="1:37" s="308" customFormat="1" ht="40.15" customHeight="1">
      <c r="A26" s="164" t="str">
        <f>IF(main!A32&gt;0,main!A32,"")</f>
        <v/>
      </c>
      <c r="B26" s="165" t="str">
        <f>IF(main!A32&gt;0,main!B32,"")</f>
        <v/>
      </c>
      <c r="C26" s="164" t="str">
        <f>IF(main!A32&gt;0,main!D32,"")</f>
        <v/>
      </c>
      <c r="D26" s="164" t="str">
        <f>IF(main!A32&gt;0,main!E32,"")</f>
        <v/>
      </c>
      <c r="E26" s="164" t="str">
        <f>IF(main!A32&gt;0,main!C32,"")</f>
        <v/>
      </c>
      <c r="F26" s="304" t="str">
        <f>IF(main!A32&gt;0,main!R32,"")</f>
        <v/>
      </c>
      <c r="G26" s="164">
        <f>main!BE32</f>
        <v>0</v>
      </c>
      <c r="H26" s="164" t="s">
        <v>628</v>
      </c>
      <c r="I26" s="164">
        <f>main!BI32</f>
        <v>0</v>
      </c>
      <c r="J26" s="605">
        <f>IF(I26&lt;&gt;"",IF(main!EG32=1,I26,IF('נתוני יסוד'!$B$2="אשה",I26*0.3,I26*0.6)),0)</f>
        <v>0</v>
      </c>
      <c r="K26" s="305"/>
      <c r="L26" s="306"/>
      <c r="M26" s="306"/>
      <c r="N26" s="306"/>
      <c r="O26" s="306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</row>
    <row r="27" spans="1:37" s="308" customFormat="1" ht="40.15" customHeight="1">
      <c r="A27" s="164" t="str">
        <f>IF(main!A33&gt;0,main!A33,"")</f>
        <v/>
      </c>
      <c r="B27" s="165" t="str">
        <f>IF(main!A33&gt;0,main!B33,"")</f>
        <v/>
      </c>
      <c r="C27" s="164" t="str">
        <f>IF(main!A33&gt;0,main!D33,"")</f>
        <v/>
      </c>
      <c r="D27" s="164" t="str">
        <f>IF(main!A33&gt;0,main!E33,"")</f>
        <v/>
      </c>
      <c r="E27" s="164" t="str">
        <f>IF(main!A33&gt;0,main!C33,"")</f>
        <v/>
      </c>
      <c r="F27" s="304" t="str">
        <f>IF(main!A33&gt;0,main!R33,"")</f>
        <v/>
      </c>
      <c r="G27" s="164">
        <f>main!BE33</f>
        <v>0</v>
      </c>
      <c r="H27" s="164" t="s">
        <v>628</v>
      </c>
      <c r="I27" s="164">
        <f>main!BI33</f>
        <v>0</v>
      </c>
      <c r="J27" s="605">
        <f>IF(I27&lt;&gt;"",IF(main!EG33=1,I27,IF('נתוני יסוד'!$B$2="אשה",I27*0.3,I27*0.6)),0)</f>
        <v>0</v>
      </c>
      <c r="K27" s="305"/>
      <c r="L27" s="306"/>
      <c r="M27" s="306"/>
      <c r="N27" s="306"/>
      <c r="O27" s="306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</row>
    <row r="28" spans="1:37" s="308" customFormat="1" ht="40.15" customHeight="1">
      <c r="A28" s="164" t="str">
        <f>IF(main!A34&gt;0,main!A34,"")</f>
        <v/>
      </c>
      <c r="B28" s="165" t="str">
        <f>IF(main!A34&gt;0,main!B34,"")</f>
        <v/>
      </c>
      <c r="C28" s="164" t="str">
        <f>IF(main!A34&gt;0,main!D34,"")</f>
        <v/>
      </c>
      <c r="D28" s="164" t="str">
        <f>IF(main!A34&gt;0,main!E34,"")</f>
        <v/>
      </c>
      <c r="E28" s="164" t="str">
        <f>IF(main!A34&gt;0,main!C34,"")</f>
        <v/>
      </c>
      <c r="F28" s="304" t="str">
        <f>IF(main!A34&gt;0,main!R34,"")</f>
        <v/>
      </c>
      <c r="G28" s="164">
        <f>main!BE34</f>
        <v>0</v>
      </c>
      <c r="H28" s="164" t="s">
        <v>628</v>
      </c>
      <c r="I28" s="164">
        <f>main!BI34</f>
        <v>0</v>
      </c>
      <c r="J28" s="605">
        <f>IF(I28&lt;&gt;"",IF(main!EG34=1,I28,IF('נתוני יסוד'!$B$2="אשה",I28*0.3,I28*0.6)),0)</f>
        <v>0</v>
      </c>
      <c r="K28" s="305"/>
      <c r="L28" s="306"/>
      <c r="M28" s="306"/>
      <c r="N28" s="309"/>
      <c r="O28" s="306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</row>
    <row r="29" spans="1:37" s="308" customFormat="1" ht="40.15" customHeight="1">
      <c r="A29" s="164" t="str">
        <f>IF(main!A35&gt;0,main!A35,"")</f>
        <v/>
      </c>
      <c r="B29" s="165" t="str">
        <f>IF(main!A35&gt;0,main!B35,"")</f>
        <v/>
      </c>
      <c r="C29" s="164" t="str">
        <f>IF(main!A35&gt;0,main!D35,"")</f>
        <v/>
      </c>
      <c r="D29" s="164" t="str">
        <f>IF(main!A35&gt;0,main!E35,"")</f>
        <v/>
      </c>
      <c r="E29" s="164" t="str">
        <f>IF(main!A35&gt;0,main!C35,"")</f>
        <v/>
      </c>
      <c r="F29" s="304" t="str">
        <f>IF(main!A35&gt;0,main!R35,"")</f>
        <v/>
      </c>
      <c r="G29" s="164">
        <f>main!BE35</f>
        <v>0</v>
      </c>
      <c r="H29" s="164" t="s">
        <v>628</v>
      </c>
      <c r="I29" s="164">
        <f>main!BI35</f>
        <v>0</v>
      </c>
      <c r="J29" s="605">
        <f>IF(I29&lt;&gt;"",IF(main!EG35=1,I29,IF('נתוני יסוד'!$B$2="אשה",I29*0.3,I29*0.6)),0)</f>
        <v>0</v>
      </c>
      <c r="K29" s="305"/>
      <c r="L29" s="306"/>
      <c r="M29" s="306"/>
      <c r="N29" s="306"/>
      <c r="O29" s="306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</row>
    <row r="30" spans="1:37" s="308" customFormat="1" ht="40.15" customHeight="1">
      <c r="A30" s="164" t="str">
        <f>IF(main!A36&gt;0,main!A36,"")</f>
        <v/>
      </c>
      <c r="B30" s="165" t="str">
        <f>IF(main!A36&gt;0,main!B36,"")</f>
        <v/>
      </c>
      <c r="C30" s="164" t="str">
        <f>IF(main!A36&gt;0,main!D36,"")</f>
        <v/>
      </c>
      <c r="D30" s="164" t="str">
        <f>IF(main!A36&gt;0,main!E36,"")</f>
        <v/>
      </c>
      <c r="E30" s="164" t="str">
        <f>IF(main!A36&gt;0,main!C36,"")</f>
        <v/>
      </c>
      <c r="F30" s="304" t="str">
        <f>IF(main!A36&gt;0,main!R36,"")</f>
        <v/>
      </c>
      <c r="G30" s="164">
        <f>main!BE36</f>
        <v>0</v>
      </c>
      <c r="H30" s="164" t="s">
        <v>628</v>
      </c>
      <c r="I30" s="164">
        <f>main!BI36</f>
        <v>0</v>
      </c>
      <c r="J30" s="605">
        <f>IF(I30&lt;&gt;"",IF(main!EG36=1,I30,IF('נתוני יסוד'!$B$2="אשה",I30*0.3,I30*0.6)),0)</f>
        <v>0</v>
      </c>
      <c r="K30" s="305"/>
      <c r="L30" s="306"/>
      <c r="M30" s="306"/>
      <c r="N30" s="306"/>
      <c r="O30" s="306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  <c r="AK30" s="307"/>
    </row>
    <row r="31" spans="1:37" s="308" customFormat="1" ht="40.15" customHeight="1">
      <c r="A31" s="164" t="str">
        <f>IF(main!A37&gt;0,main!A37,"")</f>
        <v/>
      </c>
      <c r="B31" s="165" t="str">
        <f>IF(main!A37&gt;0,main!B37,"")</f>
        <v/>
      </c>
      <c r="C31" s="164" t="str">
        <f>IF(main!A37&gt;0,main!D37,"")</f>
        <v/>
      </c>
      <c r="D31" s="164" t="str">
        <f>IF(main!A37&gt;0,main!E37,"")</f>
        <v/>
      </c>
      <c r="E31" s="164" t="str">
        <f>IF(main!A37&gt;0,main!C37,"")</f>
        <v/>
      </c>
      <c r="F31" s="304" t="str">
        <f>IF(main!A37&gt;0,main!R37,"")</f>
        <v/>
      </c>
      <c r="G31" s="164">
        <f>main!BE37</f>
        <v>0</v>
      </c>
      <c r="H31" s="164" t="s">
        <v>628</v>
      </c>
      <c r="I31" s="164">
        <f>main!BI37</f>
        <v>0</v>
      </c>
      <c r="J31" s="605">
        <f>IF(I31&lt;&gt;"",IF(main!EG37=1,I31,IF('נתוני יסוד'!$B$2="אשה",I31*0.3,I31*0.6)),0)</f>
        <v>0</v>
      </c>
      <c r="K31" s="305"/>
      <c r="L31" s="306"/>
      <c r="M31" s="306"/>
      <c r="N31" s="306"/>
      <c r="O31" s="306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  <c r="AK31" s="307"/>
    </row>
    <row r="32" spans="1:37" s="308" customFormat="1" ht="40.15" customHeight="1">
      <c r="A32" s="164" t="str">
        <f>IF(main!A38&gt;0,main!A38,"")</f>
        <v/>
      </c>
      <c r="B32" s="165" t="str">
        <f>IF(main!A38&gt;0,main!B38,"")</f>
        <v/>
      </c>
      <c r="C32" s="164" t="str">
        <f>IF(main!A38&gt;0,main!D38,"")</f>
        <v/>
      </c>
      <c r="D32" s="164" t="str">
        <f>IF(main!A38&gt;0,main!E38,"")</f>
        <v/>
      </c>
      <c r="E32" s="164" t="str">
        <f>IF(main!A38&gt;0,main!C38,"")</f>
        <v/>
      </c>
      <c r="F32" s="304" t="str">
        <f>IF(main!A38&gt;0,main!R38,"")</f>
        <v/>
      </c>
      <c r="G32" s="164">
        <f>main!BE38</f>
        <v>0</v>
      </c>
      <c r="H32" s="164" t="s">
        <v>628</v>
      </c>
      <c r="I32" s="164">
        <f>main!BI38</f>
        <v>0</v>
      </c>
      <c r="J32" s="605">
        <f>IF(I32&lt;&gt;"",IF(main!EG38=1,I32,IF('נתוני יסוד'!$B$2="אשה",I32*0.3,I32*0.6)),0)</f>
        <v>0</v>
      </c>
      <c r="K32" s="305"/>
      <c r="L32" s="306"/>
      <c r="M32" s="306"/>
      <c r="N32" s="306"/>
      <c r="O32" s="306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  <c r="AK32" s="307"/>
    </row>
    <row r="33" spans="1:37" s="308" customFormat="1" ht="40.15" customHeight="1">
      <c r="A33" s="164" t="str">
        <f>IF(main!A39&gt;0,main!A39,"")</f>
        <v/>
      </c>
      <c r="B33" s="165" t="str">
        <f>IF(main!A39&gt;0,main!B39,"")</f>
        <v/>
      </c>
      <c r="C33" s="164" t="str">
        <f>IF(main!A39&gt;0,main!D39,"")</f>
        <v/>
      </c>
      <c r="D33" s="164" t="str">
        <f>IF(main!A39&gt;0,main!E39,"")</f>
        <v/>
      </c>
      <c r="E33" s="164" t="str">
        <f>IF(main!A39&gt;0,main!C39,"")</f>
        <v/>
      </c>
      <c r="F33" s="304" t="str">
        <f>IF(main!A39&gt;0,main!R39,"")</f>
        <v/>
      </c>
      <c r="G33" s="164">
        <f>main!BE39</f>
        <v>0</v>
      </c>
      <c r="H33" s="164" t="s">
        <v>628</v>
      </c>
      <c r="I33" s="164">
        <f>main!BI39</f>
        <v>0</v>
      </c>
      <c r="J33" s="605">
        <f>IF(I33&lt;&gt;"",IF(main!EG39=1,I33,IF('נתוני יסוד'!$B$2="אשה",I33*0.3,I33*0.6)),0)</f>
        <v>0</v>
      </c>
      <c r="K33" s="305"/>
      <c r="L33" s="306"/>
      <c r="M33" s="306"/>
      <c r="N33" s="306"/>
      <c r="O33" s="306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  <c r="AK33" s="307"/>
    </row>
    <row r="34" spans="1:37" s="308" customFormat="1" ht="40.15" customHeight="1">
      <c r="A34" s="164" t="str">
        <f>IF(main!A40&gt;0,main!A40,"")</f>
        <v/>
      </c>
      <c r="B34" s="165" t="str">
        <f>IF(main!A40&gt;0,main!B40,"")</f>
        <v/>
      </c>
      <c r="C34" s="164" t="str">
        <f>IF(main!A40&gt;0,main!D40,"")</f>
        <v/>
      </c>
      <c r="D34" s="164" t="str">
        <f>IF(main!A40&gt;0,main!E40,"")</f>
        <v/>
      </c>
      <c r="E34" s="164" t="str">
        <f>IF(main!A40&gt;0,main!C40,"")</f>
        <v/>
      </c>
      <c r="F34" s="304" t="str">
        <f>IF(main!A40&gt;0,main!R40,"")</f>
        <v/>
      </c>
      <c r="G34" s="164">
        <f>main!BE40</f>
        <v>0</v>
      </c>
      <c r="H34" s="164" t="s">
        <v>628</v>
      </c>
      <c r="I34" s="164">
        <f>main!BI40</f>
        <v>0</v>
      </c>
      <c r="J34" s="605">
        <f>IF(I34&lt;&gt;"",IF(main!EG40=1,I34,IF('נתוני יסוד'!$B$2="אשה",I34*0.3,I34*0.6)),0)</f>
        <v>0</v>
      </c>
      <c r="K34" s="305"/>
      <c r="L34" s="306"/>
      <c r="M34" s="306"/>
      <c r="N34" s="306"/>
      <c r="O34" s="306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  <c r="AK34" s="307"/>
    </row>
    <row r="35" spans="1:37" s="308" customFormat="1" ht="40.15" customHeight="1">
      <c r="A35" s="164" t="str">
        <f>IF(main!A41&gt;0,main!A41,"")</f>
        <v/>
      </c>
      <c r="B35" s="165" t="str">
        <f>IF(main!A41&gt;0,main!B41,"")</f>
        <v/>
      </c>
      <c r="C35" s="164" t="str">
        <f>IF(main!A41&gt;0,main!D41,"")</f>
        <v/>
      </c>
      <c r="D35" s="164" t="str">
        <f>IF(main!A41&gt;0,main!E41,"")</f>
        <v/>
      </c>
      <c r="E35" s="164" t="str">
        <f>IF(main!A41&gt;0,main!C41,"")</f>
        <v/>
      </c>
      <c r="F35" s="304" t="str">
        <f>IF(main!A41&gt;0,main!R41,"")</f>
        <v/>
      </c>
      <c r="G35" s="164">
        <f>main!BE41</f>
        <v>0</v>
      </c>
      <c r="H35" s="164" t="s">
        <v>628</v>
      </c>
      <c r="I35" s="164">
        <f>main!BI41</f>
        <v>0</v>
      </c>
      <c r="J35" s="605">
        <f>IF(I35&lt;&gt;"",IF(main!EG41=1,I35,IF('נתוני יסוד'!$B$2="אשה",I35*0.3,I35*0.6)),0)</f>
        <v>0</v>
      </c>
      <c r="K35" s="305"/>
      <c r="L35" s="306"/>
      <c r="M35" s="306"/>
      <c r="N35" s="306"/>
      <c r="O35" s="306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  <c r="AK35" s="307"/>
    </row>
    <row r="36" spans="1:37" s="308" customFormat="1" ht="40.15" customHeight="1">
      <c r="A36" s="164" t="str">
        <f>IF(main!A42&gt;0,main!A42,"")</f>
        <v/>
      </c>
      <c r="B36" s="165" t="str">
        <f>IF(main!A42&gt;0,main!B42,"")</f>
        <v/>
      </c>
      <c r="C36" s="164" t="str">
        <f>IF(main!A42&gt;0,main!D42,"")</f>
        <v/>
      </c>
      <c r="D36" s="164" t="str">
        <f>IF(main!A42&gt;0,main!E42,"")</f>
        <v/>
      </c>
      <c r="E36" s="164" t="str">
        <f>IF(main!A42&gt;0,main!C42,"")</f>
        <v/>
      </c>
      <c r="F36" s="304" t="str">
        <f>IF(main!A42&gt;0,main!R42,"")</f>
        <v/>
      </c>
      <c r="G36" s="164">
        <f>main!BE42</f>
        <v>0</v>
      </c>
      <c r="H36" s="164" t="s">
        <v>628</v>
      </c>
      <c r="I36" s="164">
        <f>main!BI42</f>
        <v>0</v>
      </c>
      <c r="J36" s="605">
        <f>IF(I36&lt;&gt;"",IF(main!EG42=1,I36,IF('נתוני יסוד'!$B$2="אשה",I36*0.3,I36*0.6)),0)</f>
        <v>0</v>
      </c>
      <c r="K36" s="305"/>
      <c r="L36" s="306"/>
      <c r="M36" s="306"/>
      <c r="N36" s="306"/>
      <c r="O36" s="306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</row>
    <row r="37" spans="1:37" s="308" customFormat="1" ht="40.15" customHeight="1">
      <c r="A37" s="164" t="str">
        <f>IF(main!A43&gt;0,main!A43,"")</f>
        <v/>
      </c>
      <c r="B37" s="165" t="str">
        <f>IF(main!A43&gt;0,main!B43,"")</f>
        <v/>
      </c>
      <c r="C37" s="164" t="str">
        <f>IF(main!A43&gt;0,main!D43,"")</f>
        <v/>
      </c>
      <c r="D37" s="164" t="str">
        <f>IF(main!A43&gt;0,main!E43,"")</f>
        <v/>
      </c>
      <c r="E37" s="164" t="str">
        <f>IF(main!A43&gt;0,main!C43,"")</f>
        <v/>
      </c>
      <c r="F37" s="304" t="str">
        <f>IF(main!A43&gt;0,main!R43,"")</f>
        <v/>
      </c>
      <c r="G37" s="164">
        <f>main!BE43</f>
        <v>0</v>
      </c>
      <c r="H37" s="164" t="s">
        <v>628</v>
      </c>
      <c r="I37" s="164">
        <f>main!BI43</f>
        <v>0</v>
      </c>
      <c r="J37" s="605">
        <f>IF(I37&lt;&gt;"",IF(main!EG43=1,I37,IF('נתוני יסוד'!$B$2="אשה",I37*0.3,I37*0.6)),0)</f>
        <v>0</v>
      </c>
      <c r="K37" s="305"/>
      <c r="L37" s="306"/>
      <c r="M37" s="306"/>
      <c r="N37" s="306"/>
      <c r="O37" s="306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7"/>
      <c r="AI37" s="307"/>
      <c r="AJ37" s="307"/>
      <c r="AK37" s="307"/>
    </row>
    <row r="38" spans="1:37" s="308" customFormat="1" ht="40.15" customHeight="1">
      <c r="A38" s="164" t="str">
        <f>IF(main!A44&gt;0,main!A44,"")</f>
        <v/>
      </c>
      <c r="B38" s="165" t="str">
        <f>IF(main!A44&gt;0,main!B44,"")</f>
        <v/>
      </c>
      <c r="C38" s="164" t="str">
        <f>IF(main!A44&gt;0,main!D44,"")</f>
        <v/>
      </c>
      <c r="D38" s="164" t="str">
        <f>IF(main!A44&gt;0,main!E44,"")</f>
        <v/>
      </c>
      <c r="E38" s="164" t="str">
        <f>IF(main!A44&gt;0,main!C44,"")</f>
        <v/>
      </c>
      <c r="F38" s="304" t="str">
        <f>IF(main!A44&gt;0,main!R44,"")</f>
        <v/>
      </c>
      <c r="G38" s="164">
        <f>main!BE44</f>
        <v>0</v>
      </c>
      <c r="H38" s="164" t="s">
        <v>628</v>
      </c>
      <c r="I38" s="164">
        <f>main!BI44</f>
        <v>0</v>
      </c>
      <c r="J38" s="605">
        <f>IF(I38&lt;&gt;"",IF(main!EG44=1,I38,IF('נתוני יסוד'!$B$2="אשה",I38*0.3,I38*0.6)),0)</f>
        <v>0</v>
      </c>
      <c r="K38" s="305"/>
      <c r="L38" s="306"/>
      <c r="M38" s="306"/>
      <c r="N38" s="306"/>
      <c r="O38" s="306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</row>
    <row r="39" spans="1:37" s="311" customFormat="1" ht="40.15" customHeight="1" thickBot="1">
      <c r="A39" s="164" t="str">
        <f>IF(main!A45&gt;0,main!A45,"")</f>
        <v/>
      </c>
      <c r="B39" s="165" t="str">
        <f>IF(main!A45&gt;0,main!B45,"")</f>
        <v/>
      </c>
      <c r="C39" s="164" t="str">
        <f>IF(main!A45&gt;0,main!D45,"")</f>
        <v/>
      </c>
      <c r="D39" s="164" t="str">
        <f>IF(main!A45&gt;0,main!E45,"")</f>
        <v/>
      </c>
      <c r="E39" s="164" t="str">
        <f>IF(main!A45&gt;0,main!C45,"")</f>
        <v/>
      </c>
      <c r="F39" s="304" t="str">
        <f>IF(main!A45&gt;0,main!R45,"")</f>
        <v/>
      </c>
      <c r="G39" s="164">
        <f>main!BE45</f>
        <v>0</v>
      </c>
      <c r="H39" s="164" t="s">
        <v>628</v>
      </c>
      <c r="I39" s="164">
        <f>main!BI45</f>
        <v>0</v>
      </c>
      <c r="J39" s="605">
        <f>IF(I39&lt;&gt;"",IF(main!EG45=1,I39,IF('נתוני יסוד'!$B$2="אשה",I39*0.3,I39*0.6)),0)</f>
        <v>0</v>
      </c>
      <c r="K39" s="310"/>
      <c r="L39" s="306"/>
      <c r="M39" s="306"/>
      <c r="N39" s="306"/>
      <c r="O39" s="306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</row>
    <row r="40" spans="1:37" s="316" customFormat="1" ht="38.25" customHeight="1" thickTop="1" thickBot="1">
      <c r="A40" s="601"/>
      <c r="B40" s="1035" t="s">
        <v>630</v>
      </c>
      <c r="C40" s="1036"/>
      <c r="D40" s="1036"/>
      <c r="E40" s="1037"/>
      <c r="F40" s="601"/>
      <c r="G40" s="601">
        <f>SUMIF(I3:I39,"",G3:G39)</f>
        <v>0</v>
      </c>
      <c r="H40" s="601"/>
      <c r="I40" s="601">
        <f>SUM(I3:I39)</f>
        <v>0</v>
      </c>
      <c r="J40" s="601">
        <f>SUM(J3:J39)</f>
        <v>0</v>
      </c>
      <c r="K40" s="314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  <c r="AE40" s="315"/>
      <c r="AF40" s="315"/>
      <c r="AG40" s="315"/>
      <c r="AH40" s="315"/>
      <c r="AI40" s="315"/>
      <c r="AJ40" s="315"/>
      <c r="AK40" s="315"/>
    </row>
    <row r="41" spans="1:37" s="318" customFormat="1" ht="38.25" customHeight="1" thickTop="1" thickBot="1">
      <c r="A41" s="601" t="str">
        <f>IF(OR('[1]חישובי מקורות א'!$F47="קצבה", '[1]חישובי מקורות א'!$F47="הוני", '[1]חישובי מקורות א'!$F47="קרן פנסיה",'[1]חישובי מקורות א'!$F47="קופג"), '[1]חישובי מקורות א'!A47,"")</f>
        <v/>
      </c>
      <c r="B41" s="1035" t="s">
        <v>631</v>
      </c>
      <c r="C41" s="1036"/>
      <c r="D41" s="1036"/>
      <c r="E41" s="1037"/>
      <c r="F41" s="601"/>
      <c r="G41" s="601">
        <f>SUM(G3:G39)</f>
        <v>0</v>
      </c>
      <c r="H41" s="601"/>
      <c r="I41" s="601">
        <f>SUMIF(G3:G39,"",I3:I39)</f>
        <v>0</v>
      </c>
      <c r="J41" s="601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320"/>
      <c r="AE41" s="320"/>
      <c r="AF41" s="320"/>
      <c r="AG41" s="320"/>
      <c r="AH41" s="320"/>
      <c r="AI41" s="320"/>
      <c r="AJ41" s="320"/>
      <c r="AK41" s="320"/>
    </row>
    <row r="42" spans="1:37" s="321" customFormat="1" ht="38.25" customHeight="1" thickTop="1" thickBot="1">
      <c r="A42" s="601" t="str">
        <f>IF(OR('[1]חישובי מקורות א'!$F48="קצבה", '[1]חישובי מקורות א'!$F48="הוני", '[1]חישובי מקורות א'!$F48="קרן פנסיה",'[1]חישובי מקורות א'!$F48="קופג"), '[1]חישובי מקורות א'!A48,"")</f>
        <v/>
      </c>
      <c r="B42" s="1035" t="s">
        <v>632</v>
      </c>
      <c r="C42" s="1036"/>
      <c r="D42" s="1036"/>
      <c r="E42" s="1037"/>
      <c r="F42" s="601"/>
      <c r="G42" s="601"/>
      <c r="H42" s="601"/>
      <c r="I42" s="601">
        <f>'קצבה מזכה 2016'!E12</f>
        <v>0</v>
      </c>
      <c r="J42" s="601"/>
      <c r="K42" s="318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6"/>
      <c r="AD42" s="296"/>
      <c r="AE42" s="296"/>
      <c r="AF42" s="296"/>
      <c r="AG42" s="296"/>
      <c r="AH42" s="296"/>
      <c r="AI42" s="296"/>
      <c r="AJ42" s="296"/>
      <c r="AK42" s="296"/>
    </row>
    <row r="43" spans="1:37" s="296" customFormat="1" ht="15.75" thickTop="1">
      <c r="A43" s="322" t="str">
        <f>IF(OR('[1]חישובי מקורות א'!$F49="קצבה", '[1]חישובי מקורות א'!$F49="הוני", '[1]חישובי מקורות א'!$F49="קרן פנסיה",'[1]חישובי מקורות א'!$F49="קופג"), '[1]חישובי מקורות א'!A49,"")</f>
        <v/>
      </c>
      <c r="B43" s="322" t="str">
        <f>IF(OR('[1]חישובי מקורות א'!$F49="קצבה", '[1]חישובי מקורות א'!$F49="הוני", '[1]חישובי מקורות א'!$F49="קרן פנסיה",'[1]חישובי מקורות א'!$F49="קופג"), '[1]חישובי מקורות א'!B49,"")</f>
        <v/>
      </c>
      <c r="D43" s="322" t="str">
        <f>IF(OR('[1]חישובי מקורות א'!$F49="קצבה", '[1]חישובי מקורות א'!$F49="הוני", '[1]חישובי מקורות א'!$F49="קרן פנסיה",'[1]חישובי מקורות א'!$F49="קופג"), '[1]חישובי מקורות א'!D49,"")</f>
        <v/>
      </c>
      <c r="E43" s="322" t="str">
        <f>IF(OR('[1]חישובי מקורות א'!$F49="קצבה", '[1]חישובי מקורות א'!$F49="הוני", '[1]חישובי מקורות א'!$F49="קרן פנסיה",'[1]חישובי מקורות א'!$F49="קופג"), '[1]חישובי מקורות א'!E49,"")</f>
        <v/>
      </c>
      <c r="F43" s="323" t="str">
        <f>IF(OR('[1]חישובי מקורות א'!$F49="קצבה", '[1]חישובי מקורות א'!$F49="הוני", '[1]חישובי מקורות א'!$F49="קרן פנסיה",'[1]חישובי מקורות א'!$F49="קופג"), '[1]חישובי מקורות א'!H49,"")</f>
        <v/>
      </c>
      <c r="J43" s="324" t="str">
        <f>IF(OR('[1]חישובי מקורות א'!$F49="קצבה", '[1]חישובי מקורות א'!$F49="הוני", '[1]חישובי מקורות א'!$F49="קרן פנסיה",'[1]חישובי מקורות א'!$F49="קופג"), '[1]דווח ביטוחים'!O46,"")</f>
        <v/>
      </c>
    </row>
    <row r="44" spans="1:37" s="296" customFormat="1" ht="15">
      <c r="A44" s="322" t="str">
        <f>IF(OR('[1]חישובי מקורות א'!$F50="קצבה", '[1]חישובי מקורות א'!$F50="הוני", '[1]חישובי מקורות א'!$F50="קרן פנסיה",'[1]חישובי מקורות א'!$F50="קופג"), '[1]חישובי מקורות א'!A50,"")</f>
        <v/>
      </c>
      <c r="B44" s="322" t="str">
        <f>IF(OR('[1]חישובי מקורות א'!$F50="קצבה", '[1]חישובי מקורות א'!$F50="הוני", '[1]חישובי מקורות א'!$F50="קרן פנסיה",'[1]חישובי מקורות א'!$F50="קופג"), '[1]חישובי מקורות א'!B50,"")</f>
        <v/>
      </c>
      <c r="D44" s="322" t="str">
        <f>IF(OR('[1]חישובי מקורות א'!$F50="קצבה", '[1]חישובי מקורות א'!$F50="הוני", '[1]חישובי מקורות א'!$F50="קרן פנסיה",'[1]חישובי מקורות א'!$F50="קופג"), '[1]חישובי מקורות א'!D50,"")</f>
        <v/>
      </c>
      <c r="E44" s="322" t="str">
        <f>IF(OR('[1]חישובי מקורות א'!$F50="קצבה", '[1]חישובי מקורות א'!$F50="הוני", '[1]חישובי מקורות א'!$F50="קרן פנסיה",'[1]חישובי מקורות א'!$F50="קופג"), '[1]חישובי מקורות א'!E50,"")</f>
        <v/>
      </c>
      <c r="F44" s="323" t="str">
        <f>IF(OR('[1]חישובי מקורות א'!$F50="קצבה", '[1]חישובי מקורות א'!$F50="הוני", '[1]חישובי מקורות א'!$F50="קרן פנסיה",'[1]חישובי מקורות א'!$F50="קופג"), '[1]חישובי מקורות א'!H50,"")</f>
        <v/>
      </c>
      <c r="J44" s="324" t="str">
        <f>IF(OR('[1]חישובי מקורות א'!$F50="קצבה", '[1]חישובי מקורות א'!$F50="הוני", '[1]חישובי מקורות א'!$F50="קרן פנסיה",'[1]חישובי מקורות א'!$F50="קופג"), '[1]דווח ביטוחים'!O47,"")</f>
        <v/>
      </c>
    </row>
    <row r="45" spans="1:37" s="296" customFormat="1" ht="15">
      <c r="A45" s="322" t="str">
        <f>IF(OR('[1]חישובי מקורות א'!$F51="קצבה", '[1]חישובי מקורות א'!$F51="הוני", '[1]חישובי מקורות א'!$F51="קרן פנסיה",'[1]חישובי מקורות א'!$F51="קופג"), '[1]חישובי מקורות א'!A51,"")</f>
        <v/>
      </c>
      <c r="B45" s="322" t="str">
        <f>IF(OR('[1]חישובי מקורות א'!$F51="קצבה", '[1]חישובי מקורות א'!$F51="הוני", '[1]חישובי מקורות א'!$F51="קרן פנסיה",'[1]חישובי מקורות א'!$F51="קופג"), '[1]חישובי מקורות א'!B51,"")</f>
        <v/>
      </c>
      <c r="D45" s="322" t="str">
        <f>IF(OR('[1]חישובי מקורות א'!$F51="קצבה", '[1]חישובי מקורות א'!$F51="הוני", '[1]חישובי מקורות א'!$F51="קרן פנסיה",'[1]חישובי מקורות א'!$F51="קופג"), '[1]חישובי מקורות א'!D51,"")</f>
        <v/>
      </c>
      <c r="E45" s="322" t="str">
        <f>IF(OR('[1]חישובי מקורות א'!$F51="קצבה", '[1]חישובי מקורות א'!$F51="הוני", '[1]חישובי מקורות א'!$F51="קרן פנסיה",'[1]חישובי מקורות א'!$F51="קופג"), '[1]חישובי מקורות א'!E51,"")</f>
        <v/>
      </c>
      <c r="F45" s="323" t="str">
        <f>IF(OR('[1]חישובי מקורות א'!$F51="קצבה", '[1]חישובי מקורות א'!$F51="הוני", '[1]חישובי מקורות א'!$F51="קרן פנסיה",'[1]חישובי מקורות א'!$F51="קופג"), '[1]חישובי מקורות א'!H51,"")</f>
        <v/>
      </c>
      <c r="J45" s="324" t="str">
        <f>IF(OR('[1]חישובי מקורות א'!$F51="קצבה", '[1]חישובי מקורות א'!$F51="הוני", '[1]חישובי מקורות א'!$F51="קרן פנסיה",'[1]חישובי מקורות א'!$F51="קופג"), '[1]דווח ביטוחים'!O48,"")</f>
        <v/>
      </c>
    </row>
    <row r="46" spans="1:37" s="296" customFormat="1">
      <c r="J46" s="325"/>
    </row>
    <row r="47" spans="1:37" s="296" customFormat="1" ht="15">
      <c r="A47" s="322" t="str">
        <f>IF(OR('[1]חישובי מקורות א'!$F53="קצבה", '[1]חישובי מקורות א'!$F53="הוני", '[1]חישובי מקורות א'!$F53="קרן פנסיה",'[1]חישובי מקורות א'!$F53="קופג"), '[1]חישובי מקורות א'!A53,"")</f>
        <v/>
      </c>
      <c r="D47" s="322" t="str">
        <f>IF(OR('[1]חישובי מקורות א'!$F53="קצבה", '[1]חישובי מקורות א'!$F53="הוני", '[1]חישובי מקורות א'!$F53="קרן פנסיה",'[1]חישובי מקורות א'!$F53="קופג"), '[1]חישובי מקורות א'!D53,"")</f>
        <v/>
      </c>
      <c r="E47" s="322" t="str">
        <f>IF(OR('[1]חישובי מקורות א'!$F53="קצבה", '[1]חישובי מקורות א'!$F53="הוני", '[1]חישובי מקורות א'!$F53="קרן פנסיה",'[1]חישובי מקורות א'!$F53="קופג"), '[1]חישובי מקורות א'!E53,"")</f>
        <v/>
      </c>
      <c r="F47" s="323" t="str">
        <f>IF(OR('[1]חישובי מקורות א'!$F53="קצבה", '[1]חישובי מקורות א'!$F53="הוני", '[1]חישובי מקורות א'!$F53="קרן פנסיה",'[1]חישובי מקורות א'!$F53="קופג"), '[1]חישובי מקורות א'!H53,"")</f>
        <v/>
      </c>
      <c r="J47" s="324" t="str">
        <f>IF(OR('[1]חישובי מקורות א'!$F53="קצבה", '[1]חישובי מקורות א'!$F53="הוני", '[1]חישובי מקורות א'!$F53="קרן פנסיה",'[1]חישובי מקורות א'!$F53="קופג"), '[1]דווח ביטוחים'!O50,"")</f>
        <v/>
      </c>
    </row>
    <row r="48" spans="1:37" s="296" customFormat="1" ht="15">
      <c r="A48" s="322" t="str">
        <f>IF(OR('[1]חישובי מקורות א'!$F54="קצבה", '[1]חישובי מקורות א'!$F54="הוני", '[1]חישובי מקורות א'!$F54="קרן פנסיה",'[1]חישובי מקורות א'!$F54="קופג"), '[1]חישובי מקורות א'!A54,"")</f>
        <v/>
      </c>
      <c r="D48" s="322" t="str">
        <f>IF(OR('[1]חישובי מקורות א'!$F54="קצבה", '[1]חישובי מקורות א'!$F54="הוני", '[1]חישובי מקורות א'!$F54="קרן פנסיה",'[1]חישובי מקורות א'!$F54="קופג"), '[1]חישובי מקורות א'!D54,"")</f>
        <v/>
      </c>
      <c r="E48" s="322" t="str">
        <f>IF(OR('[1]חישובי מקורות א'!$F54="קצבה", '[1]חישובי מקורות א'!$F54="הוני", '[1]חישובי מקורות א'!$F54="קרן פנסיה",'[1]חישובי מקורות א'!$F54="קופג"), '[1]חישובי מקורות א'!E54,"")</f>
        <v/>
      </c>
      <c r="F48" s="323" t="str">
        <f>IF(OR('[1]חישובי מקורות א'!$F54="קצבה", '[1]חישובי מקורות א'!$F54="הוני", '[1]חישובי מקורות א'!$F54="קרן פנסיה",'[1]חישובי מקורות א'!$F54="קופג"), '[1]חישובי מקורות א'!H54,"")</f>
        <v/>
      </c>
      <c r="J48" s="324" t="str">
        <f>IF(OR('[1]חישובי מקורות א'!$F54="קצבה", '[1]חישובי מקורות א'!$F54="הוני", '[1]חישובי מקורות א'!$F54="קרן פנסיה",'[1]חישובי מקורות א'!$F54="קופג"), '[1]דווח ביטוחים'!O51,"")</f>
        <v/>
      </c>
    </row>
    <row r="49" spans="1:13" s="296" customFormat="1" ht="15">
      <c r="A49" s="322" t="str">
        <f>IF(OR('[1]חישובי מקורות א'!$F55="קצבה", '[1]חישובי מקורות א'!$F55="הוני", '[1]חישובי מקורות א'!$F55="קרן פנסיה",'[1]חישובי מקורות א'!$F55="קופג"), '[1]חישובי מקורות א'!A55,"")</f>
        <v/>
      </c>
      <c r="D49" s="322" t="str">
        <f>IF(OR('[1]חישובי מקורות א'!$F55="קצבה", '[1]חישובי מקורות א'!$F55="הוני", '[1]חישובי מקורות א'!$F55="קרן פנסיה",'[1]חישובי מקורות א'!$F55="קופג"), '[1]חישובי מקורות א'!D55,"")</f>
        <v/>
      </c>
      <c r="E49" s="322" t="str">
        <f>IF(OR('[1]חישובי מקורות א'!$F55="קצבה", '[1]חישובי מקורות א'!$F55="הוני", '[1]חישובי מקורות א'!$F55="קרן פנסיה",'[1]חישובי מקורות א'!$F55="קופג"), '[1]חישובי מקורות א'!E55,"")</f>
        <v/>
      </c>
      <c r="F49" s="323" t="str">
        <f>IF(OR('[1]חישובי מקורות א'!$F55="קצבה", '[1]חישובי מקורות א'!$F55="הוני", '[1]חישובי מקורות א'!$F55="קרן פנסיה",'[1]חישובי מקורות א'!$F55="קופג"), '[1]חישובי מקורות א'!H55,"")</f>
        <v/>
      </c>
      <c r="J49" s="324" t="str">
        <f>IF(OR('[1]חישובי מקורות א'!$F55="קצבה", '[1]חישובי מקורות א'!$F55="הוני", '[1]חישובי מקורות א'!$F55="קרן פנסיה",'[1]חישובי מקורות א'!$F55="קופג"), '[1]דווח ביטוחים'!O52,"")</f>
        <v/>
      </c>
    </row>
    <row r="50" spans="1:13" s="296" customFormat="1" ht="15">
      <c r="A50" s="322" t="str">
        <f>IF(OR('[1]חישובי מקורות א'!$F56="קצבה", '[1]חישובי מקורות א'!$F56="הוני", '[1]חישובי מקורות א'!$F56="קרן פנסיה",'[1]חישובי מקורות א'!$F56="קופג"), '[1]חישובי מקורות א'!A56,"")</f>
        <v/>
      </c>
      <c r="D50" s="322" t="str">
        <f>IF(OR('[1]חישובי מקורות א'!$F56="קצבה", '[1]חישובי מקורות א'!$F56="הוני", '[1]חישובי מקורות א'!$F56="קרן פנסיה",'[1]חישובי מקורות א'!$F56="קופג"), '[1]חישובי מקורות א'!D56,"")</f>
        <v/>
      </c>
      <c r="E50" s="322" t="str">
        <f>IF(OR('[1]חישובי מקורות א'!$F56="קצבה", '[1]חישובי מקורות א'!$F56="הוני", '[1]חישובי מקורות א'!$F56="קרן פנסיה",'[1]חישובי מקורות א'!$F56="קופג"), '[1]חישובי מקורות א'!E56,"")</f>
        <v/>
      </c>
      <c r="F50" s="323" t="str">
        <f>IF(OR('[1]חישובי מקורות א'!$F56="קצבה", '[1]חישובי מקורות א'!$F56="הוני", '[1]חישובי מקורות א'!$F56="קרן פנסיה",'[1]חישובי מקורות א'!$F56="קופג"), '[1]חישובי מקורות א'!H56,"")</f>
        <v/>
      </c>
      <c r="J50" s="324" t="str">
        <f>IF(OR('[1]חישובי מקורות א'!$F56="קצבה", '[1]חישובי מקורות א'!$F56="הוני", '[1]חישובי מקורות א'!$F56="קרן פנסיה",'[1]חישובי מקורות א'!$F56="קופג"), '[1]דווח ביטוחים'!O53,"")</f>
        <v/>
      </c>
    </row>
    <row r="51" spans="1:13" s="296" customFormat="1" ht="38.25">
      <c r="A51" s="322" t="str">
        <f>IF(OR('[1]חישובי מקורות א'!$F57="קצבה", '[1]חישובי מקורות א'!$F57="הוני", '[1]חישובי מקורות א'!$F57="קרן פנסיה",'[1]חישובי מקורות א'!$F57="קופג"), '[1]חישובי מקורות א'!A57,"")</f>
        <v/>
      </c>
      <c r="D51" s="322" t="str">
        <f>IF(OR('[1]חישובי מקורות א'!$F57="קצבה", '[1]חישובי מקורות א'!$F57="הוני", '[1]חישובי מקורות א'!$F57="קרן פנסיה",'[1]חישובי מקורות א'!$F57="קופג"), '[1]חישובי מקורות א'!D57,"")</f>
        <v/>
      </c>
      <c r="E51" s="322" t="str">
        <f>IF(OR('[1]חישובי מקורות א'!$F57="קצבה", '[1]חישובי מקורות א'!$F57="הוני", '[1]חישובי מקורות א'!$F57="קרן פנסיה",'[1]חישובי מקורות א'!$F57="קופג"), '[1]חישובי מקורות א'!E57,"")</f>
        <v/>
      </c>
      <c r="F51" s="323" t="str">
        <f>IF(OR('[1]חישובי מקורות א'!$F57="קצבה", '[1]חישובי מקורות א'!$F57="הוני", '[1]חישובי מקורות א'!$F57="קרן פנסיה",'[1]חישובי מקורות א'!$F57="קופג"), '[1]חישובי מקורות א'!H57,"")</f>
        <v/>
      </c>
      <c r="J51" s="324" t="str">
        <f>IF(OR('[1]חישובי מקורות א'!$F57="קצבה", '[1]חישובי מקורות א'!$F57="הוני", '[1]חישובי מקורות א'!$F57="קרן פנסיה",'[1]חישובי מקורות א'!$F57="קופג"), '[1]דווח ביטוחים'!O54,"")</f>
        <v/>
      </c>
      <c r="L51" s="186" t="s">
        <v>525</v>
      </c>
      <c r="M51" s="187" t="s">
        <v>505</v>
      </c>
    </row>
    <row r="52" spans="1:13" s="296" customFormat="1" ht="20.100000000000001" customHeight="1">
      <c r="A52" s="322" t="str">
        <f>IF(OR('[1]חישובי מקורות א'!$F58="קצבה", '[1]חישובי מקורות א'!$F58="הוני", '[1]חישובי מקורות א'!$F58="קרן פנסיה",'[1]חישובי מקורות א'!$F58="קופג"), '[1]חישובי מקורות א'!A58,"")</f>
        <v/>
      </c>
      <c r="D52" s="322" t="str">
        <f>IF(OR('[1]חישובי מקורות א'!$F58="קצבה", '[1]חישובי מקורות א'!$F58="הוני", '[1]חישובי מקורות א'!$F58="קרן פנסיה",'[1]חישובי מקורות א'!$F58="קופג"), '[1]חישובי מקורות א'!D58,"")</f>
        <v/>
      </c>
      <c r="E52" s="322" t="str">
        <f>IF(OR('[1]חישובי מקורות א'!$F58="קצבה", '[1]חישובי מקורות א'!$F58="הוני", '[1]חישובי מקורות א'!$F58="קרן פנסיה",'[1]חישובי מקורות א'!$F58="קופג"), '[1]חישובי מקורות א'!E58,"")</f>
        <v/>
      </c>
      <c r="F52" s="323"/>
      <c r="J52" s="324" t="str">
        <f>IF(OR('[1]חישובי מקורות א'!$F58="קצבה", '[1]חישובי מקורות א'!$F58="הוני", '[1]חישובי מקורות א'!$F58="קרן פנסיה",'[1]חישובי מקורות א'!$F58="קופג"), '[1]דווח ביטוחים'!O55,"")</f>
        <v/>
      </c>
      <c r="L52" s="205"/>
      <c r="M52" s="206"/>
    </row>
    <row r="53" spans="1:13" s="296" customFormat="1" ht="20.100000000000001" customHeight="1">
      <c r="A53" s="296" t="str">
        <f>IF(ISBLANK(A12),12:12=13:13,"")</f>
        <v/>
      </c>
      <c r="D53" s="322"/>
      <c r="E53" s="322"/>
      <c r="F53" s="323"/>
      <c r="J53" s="325"/>
      <c r="L53" s="205"/>
      <c r="M53" s="206"/>
    </row>
    <row r="54" spans="1:13" s="296" customFormat="1" ht="20.100000000000001" customHeight="1">
      <c r="D54" s="322"/>
      <c r="E54" s="322"/>
      <c r="F54" s="323"/>
      <c r="J54" s="325"/>
      <c r="L54" s="205"/>
      <c r="M54" s="206"/>
    </row>
    <row r="55" spans="1:13" s="296" customFormat="1" ht="20.100000000000001" customHeight="1">
      <c r="D55" s="322"/>
      <c r="E55" s="322"/>
      <c r="F55" s="323"/>
      <c r="J55" s="325"/>
      <c r="L55" s="205"/>
      <c r="M55" s="206"/>
    </row>
    <row r="56" spans="1:13" s="296" customFormat="1" ht="20.100000000000001" customHeight="1">
      <c r="D56" s="322"/>
      <c r="E56" s="322"/>
      <c r="F56" s="323"/>
      <c r="J56" s="325"/>
      <c r="L56" s="205"/>
      <c r="M56" s="206"/>
    </row>
    <row r="57" spans="1:13" s="296" customFormat="1" ht="20.100000000000001" customHeight="1">
      <c r="D57" s="322"/>
      <c r="E57" s="322"/>
      <c r="F57" s="323"/>
      <c r="J57" s="325"/>
      <c r="L57" s="205"/>
      <c r="M57" s="206"/>
    </row>
    <row r="58" spans="1:13" s="296" customFormat="1" ht="20.100000000000001" customHeight="1">
      <c r="D58" s="322"/>
      <c r="E58" s="322"/>
      <c r="F58" s="323"/>
      <c r="J58" s="325"/>
      <c r="L58" s="205"/>
      <c r="M58" s="206"/>
    </row>
    <row r="59" spans="1:13" s="296" customFormat="1" ht="20.100000000000001" customHeight="1">
      <c r="D59" s="322"/>
      <c r="E59" s="322"/>
      <c r="F59" s="323"/>
      <c r="J59" s="325"/>
      <c r="L59" s="205"/>
      <c r="M59" s="206"/>
    </row>
    <row r="60" spans="1:13" s="296" customFormat="1" ht="20.100000000000001" customHeight="1">
      <c r="D60" s="322"/>
      <c r="E60" s="322"/>
      <c r="F60" s="323"/>
      <c r="J60" s="325"/>
      <c r="L60" s="205"/>
      <c r="M60" s="206"/>
    </row>
    <row r="61" spans="1:13" s="296" customFormat="1" ht="15">
      <c r="D61" s="322"/>
      <c r="E61" s="322"/>
      <c r="F61" s="323"/>
      <c r="J61" s="325"/>
    </row>
    <row r="62" spans="1:13" s="296" customFormat="1" ht="15">
      <c r="D62" s="322"/>
      <c r="E62" s="322"/>
      <c r="F62" s="323"/>
      <c r="J62" s="325"/>
    </row>
    <row r="63" spans="1:13" s="296" customFormat="1" ht="15">
      <c r="D63" s="322"/>
      <c r="E63" s="322"/>
      <c r="F63" s="323"/>
      <c r="J63" s="325"/>
    </row>
    <row r="64" spans="1:13" s="296" customFormat="1" ht="15">
      <c r="D64" s="322"/>
      <c r="E64" s="322"/>
      <c r="F64" s="323"/>
      <c r="J64" s="325"/>
    </row>
    <row r="65" spans="4:10" s="296" customFormat="1" ht="15">
      <c r="D65" s="322"/>
      <c r="E65" s="322"/>
      <c r="F65" s="323"/>
      <c r="J65" s="325"/>
    </row>
    <row r="66" spans="4:10" s="296" customFormat="1" ht="15">
      <c r="D66" s="322"/>
      <c r="E66" s="322"/>
      <c r="F66" s="323"/>
      <c r="J66" s="325"/>
    </row>
    <row r="67" spans="4:10" s="296" customFormat="1" ht="15">
      <c r="D67" s="322"/>
      <c r="E67" s="322"/>
      <c r="F67" s="323"/>
      <c r="J67" s="325"/>
    </row>
    <row r="68" spans="4:10" s="296" customFormat="1" ht="15">
      <c r="D68" s="322"/>
      <c r="E68" s="322"/>
      <c r="F68" s="323"/>
      <c r="J68" s="325"/>
    </row>
    <row r="69" spans="4:10" s="296" customFormat="1" ht="15">
      <c r="D69" s="322"/>
      <c r="E69" s="322"/>
      <c r="F69" s="323"/>
      <c r="J69" s="325"/>
    </row>
    <row r="70" spans="4:10" s="296" customFormat="1" ht="15">
      <c r="D70" s="322"/>
      <c r="E70" s="322"/>
      <c r="F70" s="323"/>
      <c r="J70" s="325"/>
    </row>
    <row r="71" spans="4:10" s="296" customFormat="1" ht="15">
      <c r="D71" s="322"/>
      <c r="E71" s="322"/>
      <c r="F71" s="323"/>
      <c r="J71" s="325"/>
    </row>
    <row r="72" spans="4:10" s="296" customFormat="1" ht="15">
      <c r="D72" s="322"/>
      <c r="E72" s="322"/>
      <c r="F72" s="323"/>
      <c r="J72" s="325"/>
    </row>
    <row r="73" spans="4:10" s="296" customFormat="1" ht="15">
      <c r="D73" s="322"/>
      <c r="E73" s="322"/>
      <c r="F73" s="323"/>
      <c r="J73" s="325"/>
    </row>
    <row r="74" spans="4:10" s="296" customFormat="1" ht="15">
      <c r="D74" s="322"/>
      <c r="E74" s="322"/>
      <c r="F74" s="323"/>
      <c r="J74" s="325"/>
    </row>
    <row r="75" spans="4:10" s="296" customFormat="1" ht="15">
      <c r="D75" s="322"/>
      <c r="E75" s="322"/>
      <c r="F75" s="323"/>
      <c r="J75" s="325"/>
    </row>
    <row r="76" spans="4:10" s="296" customFormat="1" ht="15">
      <c r="D76" s="322"/>
      <c r="E76" s="322"/>
      <c r="F76" s="323"/>
      <c r="J76" s="325"/>
    </row>
    <row r="77" spans="4:10" s="296" customFormat="1" ht="15">
      <c r="D77" s="322"/>
      <c r="E77" s="322"/>
      <c r="F77" s="323"/>
      <c r="J77" s="325"/>
    </row>
    <row r="78" spans="4:10" s="296" customFormat="1" ht="15">
      <c r="D78" s="322"/>
      <c r="E78" s="322"/>
      <c r="F78" s="323"/>
      <c r="J78" s="325"/>
    </row>
    <row r="79" spans="4:10" s="296" customFormat="1" ht="15">
      <c r="D79" s="322"/>
      <c r="E79" s="322"/>
      <c r="F79" s="323"/>
      <c r="J79" s="325"/>
    </row>
    <row r="80" spans="4:10" s="296" customFormat="1" ht="15">
      <c r="D80" s="322"/>
      <c r="E80" s="322"/>
      <c r="F80" s="323"/>
      <c r="J80" s="325"/>
    </row>
    <row r="81" spans="4:10" s="296" customFormat="1" ht="15">
      <c r="D81" s="322"/>
      <c r="E81" s="322"/>
      <c r="F81" s="323"/>
      <c r="J81" s="325"/>
    </row>
    <row r="82" spans="4:10" s="296" customFormat="1" ht="15">
      <c r="D82" s="322"/>
      <c r="E82" s="322"/>
      <c r="F82" s="323"/>
      <c r="J82" s="325"/>
    </row>
    <row r="83" spans="4:10" s="296" customFormat="1" ht="15">
      <c r="D83" s="322"/>
      <c r="E83" s="322"/>
      <c r="F83" s="323"/>
      <c r="J83" s="325"/>
    </row>
    <row r="84" spans="4:10" s="296" customFormat="1" ht="15">
      <c r="D84" s="322"/>
      <c r="E84" s="322"/>
      <c r="F84" s="323"/>
      <c r="J84" s="325"/>
    </row>
    <row r="85" spans="4:10" s="296" customFormat="1" ht="15">
      <c r="D85" s="322"/>
      <c r="E85" s="322"/>
      <c r="F85" s="323"/>
      <c r="J85" s="325"/>
    </row>
    <row r="86" spans="4:10" s="296" customFormat="1" ht="15">
      <c r="D86" s="322"/>
      <c r="E86" s="322"/>
      <c r="F86" s="323"/>
      <c r="J86" s="325"/>
    </row>
    <row r="87" spans="4:10" s="296" customFormat="1" ht="15">
      <c r="D87" s="322"/>
      <c r="E87" s="322"/>
      <c r="F87" s="323"/>
      <c r="J87" s="325"/>
    </row>
    <row r="88" spans="4:10" s="296" customFormat="1" ht="15">
      <c r="D88" s="322"/>
      <c r="E88" s="322"/>
      <c r="F88" s="323"/>
      <c r="J88" s="325"/>
    </row>
    <row r="89" spans="4:10" s="296" customFormat="1" ht="15">
      <c r="D89" s="322"/>
      <c r="E89" s="322"/>
      <c r="F89" s="323"/>
      <c r="J89" s="325"/>
    </row>
    <row r="90" spans="4:10" s="296" customFormat="1" ht="15">
      <c r="F90" s="323"/>
      <c r="J90" s="325"/>
    </row>
    <row r="91" spans="4:10" s="296" customFormat="1" ht="15">
      <c r="F91" s="323"/>
      <c r="J91" s="325"/>
    </row>
    <row r="92" spans="4:10" s="296" customFormat="1" ht="15">
      <c r="F92" s="323"/>
      <c r="J92" s="325"/>
    </row>
    <row r="93" spans="4:10" s="296" customFormat="1" ht="15">
      <c r="F93" s="323"/>
      <c r="J93" s="325"/>
    </row>
    <row r="94" spans="4:10" s="296" customFormat="1" ht="15">
      <c r="F94" s="323"/>
      <c r="J94" s="325"/>
    </row>
    <row r="95" spans="4:10" s="296" customFormat="1" ht="15">
      <c r="F95" s="323"/>
      <c r="J95" s="325"/>
    </row>
    <row r="96" spans="4:10" s="296" customFormat="1" ht="15">
      <c r="F96" s="323"/>
      <c r="J96" s="325"/>
    </row>
    <row r="97" spans="6:10" s="296" customFormat="1" ht="15">
      <c r="F97" s="323"/>
      <c r="J97" s="325"/>
    </row>
    <row r="98" spans="6:10" s="296" customFormat="1" ht="15">
      <c r="F98" s="323"/>
      <c r="J98" s="325"/>
    </row>
    <row r="99" spans="6:10" s="296" customFormat="1">
      <c r="J99" s="325"/>
    </row>
    <row r="100" spans="6:10" s="296" customFormat="1">
      <c r="J100" s="325"/>
    </row>
    <row r="101" spans="6:10" s="296" customFormat="1">
      <c r="J101" s="325"/>
    </row>
    <row r="102" spans="6:10" s="296" customFormat="1">
      <c r="J102" s="325"/>
    </row>
    <row r="103" spans="6:10" s="296" customFormat="1">
      <c r="J103" s="325"/>
    </row>
    <row r="104" spans="6:10" s="296" customFormat="1">
      <c r="J104" s="325"/>
    </row>
    <row r="105" spans="6:10" s="296" customFormat="1">
      <c r="J105" s="325"/>
    </row>
    <row r="106" spans="6:10" s="296" customFormat="1">
      <c r="J106" s="325"/>
    </row>
    <row r="107" spans="6:10" s="296" customFormat="1">
      <c r="J107" s="325"/>
    </row>
    <row r="108" spans="6:10" s="296" customFormat="1">
      <c r="J108" s="325"/>
    </row>
    <row r="109" spans="6:10" s="296" customFormat="1">
      <c r="J109" s="325"/>
    </row>
    <row r="110" spans="6:10" s="296" customFormat="1">
      <c r="J110" s="325"/>
    </row>
    <row r="111" spans="6:10" s="296" customFormat="1">
      <c r="J111" s="325"/>
    </row>
    <row r="112" spans="6:10" s="296" customFormat="1">
      <c r="J112" s="325"/>
    </row>
    <row r="113" spans="10:10" s="296" customFormat="1">
      <c r="J113" s="325"/>
    </row>
    <row r="114" spans="10:10" s="296" customFormat="1">
      <c r="J114" s="325"/>
    </row>
    <row r="115" spans="10:10" s="296" customFormat="1">
      <c r="J115" s="325"/>
    </row>
    <row r="116" spans="10:10" s="296" customFormat="1">
      <c r="J116" s="325"/>
    </row>
    <row r="117" spans="10:10" s="296" customFormat="1">
      <c r="J117" s="325"/>
    </row>
    <row r="118" spans="10:10" s="296" customFormat="1">
      <c r="J118" s="325"/>
    </row>
    <row r="119" spans="10:10" s="296" customFormat="1">
      <c r="J119" s="325"/>
    </row>
    <row r="120" spans="10:10" s="296" customFormat="1">
      <c r="J120" s="325"/>
    </row>
    <row r="121" spans="10:10" s="296" customFormat="1">
      <c r="J121" s="325"/>
    </row>
    <row r="122" spans="10:10" s="296" customFormat="1">
      <c r="J122" s="325"/>
    </row>
    <row r="123" spans="10:10" s="296" customFormat="1">
      <c r="J123" s="325"/>
    </row>
    <row r="124" spans="10:10" s="296" customFormat="1">
      <c r="J124" s="325"/>
    </row>
    <row r="125" spans="10:10" s="296" customFormat="1">
      <c r="J125" s="325"/>
    </row>
    <row r="126" spans="10:10" s="296" customFormat="1">
      <c r="J126" s="325"/>
    </row>
    <row r="127" spans="10:10" s="296" customFormat="1">
      <c r="J127" s="325"/>
    </row>
    <row r="128" spans="10:10" s="296" customFormat="1">
      <c r="J128" s="325"/>
    </row>
    <row r="129" spans="10:10" s="296" customFormat="1">
      <c r="J129" s="325"/>
    </row>
    <row r="130" spans="10:10" s="296" customFormat="1">
      <c r="J130" s="325"/>
    </row>
    <row r="131" spans="10:10" s="296" customFormat="1">
      <c r="J131" s="325"/>
    </row>
    <row r="132" spans="10:10" s="296" customFormat="1">
      <c r="J132" s="325"/>
    </row>
    <row r="133" spans="10:10" s="296" customFormat="1">
      <c r="J133" s="325"/>
    </row>
    <row r="134" spans="10:10" s="296" customFormat="1">
      <c r="J134" s="325"/>
    </row>
    <row r="135" spans="10:10" s="296" customFormat="1">
      <c r="J135" s="325"/>
    </row>
    <row r="136" spans="10:10" s="296" customFormat="1">
      <c r="J136" s="325"/>
    </row>
    <row r="137" spans="10:10" s="296" customFormat="1">
      <c r="J137" s="325"/>
    </row>
    <row r="138" spans="10:10" s="296" customFormat="1">
      <c r="J138" s="325"/>
    </row>
    <row r="139" spans="10:10" s="296" customFormat="1">
      <c r="J139" s="325"/>
    </row>
    <row r="140" spans="10:10" s="296" customFormat="1">
      <c r="J140" s="325"/>
    </row>
    <row r="141" spans="10:10" s="296" customFormat="1">
      <c r="J141" s="325"/>
    </row>
    <row r="142" spans="10:10" s="296" customFormat="1">
      <c r="J142" s="325"/>
    </row>
    <row r="143" spans="10:10" s="296" customFormat="1">
      <c r="J143" s="325"/>
    </row>
    <row r="144" spans="10:10" s="296" customFormat="1">
      <c r="J144" s="325"/>
    </row>
    <row r="145" spans="10:10" s="296" customFormat="1">
      <c r="J145" s="325"/>
    </row>
    <row r="146" spans="10:10" s="296" customFormat="1">
      <c r="J146" s="325"/>
    </row>
    <row r="147" spans="10:10" s="296" customFormat="1">
      <c r="J147" s="325"/>
    </row>
    <row r="148" spans="10:10" s="296" customFormat="1">
      <c r="J148" s="325"/>
    </row>
    <row r="149" spans="10:10" s="296" customFormat="1">
      <c r="J149" s="325"/>
    </row>
    <row r="150" spans="10:10" s="296" customFormat="1">
      <c r="J150" s="325"/>
    </row>
    <row r="151" spans="10:10" s="296" customFormat="1">
      <c r="J151" s="325"/>
    </row>
    <row r="152" spans="10:10" s="296" customFormat="1">
      <c r="J152" s="325"/>
    </row>
    <row r="153" spans="10:10" s="296" customFormat="1">
      <c r="J153" s="325"/>
    </row>
    <row r="154" spans="10:10" s="296" customFormat="1">
      <c r="J154" s="325"/>
    </row>
    <row r="155" spans="10:10" s="296" customFormat="1">
      <c r="J155" s="325"/>
    </row>
    <row r="156" spans="10:10" s="296" customFormat="1">
      <c r="J156" s="325"/>
    </row>
    <row r="157" spans="10:10" s="296" customFormat="1">
      <c r="J157" s="325"/>
    </row>
    <row r="158" spans="10:10" s="296" customFormat="1">
      <c r="J158" s="325"/>
    </row>
    <row r="159" spans="10:10" s="296" customFormat="1">
      <c r="J159" s="325"/>
    </row>
    <row r="160" spans="10:10" s="296" customFormat="1">
      <c r="J160" s="325"/>
    </row>
    <row r="161" spans="10:10" s="296" customFormat="1">
      <c r="J161" s="325"/>
    </row>
    <row r="162" spans="10:10" s="296" customFormat="1">
      <c r="J162" s="325"/>
    </row>
    <row r="163" spans="10:10" s="296" customFormat="1">
      <c r="J163" s="325"/>
    </row>
    <row r="164" spans="10:10" s="296" customFormat="1">
      <c r="J164" s="325"/>
    </row>
    <row r="165" spans="10:10" s="296" customFormat="1">
      <c r="J165" s="325"/>
    </row>
    <row r="166" spans="10:10" s="296" customFormat="1">
      <c r="J166" s="325"/>
    </row>
    <row r="167" spans="10:10" s="296" customFormat="1">
      <c r="J167" s="325"/>
    </row>
    <row r="168" spans="10:10" s="296" customFormat="1">
      <c r="J168" s="325"/>
    </row>
    <row r="169" spans="10:10" s="296" customFormat="1">
      <c r="J169" s="325"/>
    </row>
    <row r="170" spans="10:10" s="296" customFormat="1">
      <c r="J170" s="325"/>
    </row>
    <row r="171" spans="10:10" s="296" customFormat="1">
      <c r="J171" s="325"/>
    </row>
    <row r="172" spans="10:10" s="296" customFormat="1">
      <c r="J172" s="325"/>
    </row>
    <row r="173" spans="10:10" s="296" customFormat="1">
      <c r="J173" s="325"/>
    </row>
    <row r="174" spans="10:10" s="296" customFormat="1">
      <c r="J174" s="325"/>
    </row>
    <row r="175" spans="10:10" s="296" customFormat="1">
      <c r="J175" s="325"/>
    </row>
    <row r="176" spans="10:10" s="296" customFormat="1">
      <c r="J176" s="325"/>
    </row>
    <row r="177" spans="10:10" s="296" customFormat="1">
      <c r="J177" s="325"/>
    </row>
    <row r="178" spans="10:10" s="296" customFormat="1">
      <c r="J178" s="325"/>
    </row>
    <row r="179" spans="10:10" s="296" customFormat="1">
      <c r="J179" s="325"/>
    </row>
    <row r="180" spans="10:10" s="296" customFormat="1">
      <c r="J180" s="325"/>
    </row>
    <row r="181" spans="10:10" s="296" customFormat="1">
      <c r="J181" s="325"/>
    </row>
    <row r="182" spans="10:10" s="296" customFormat="1">
      <c r="J182" s="325"/>
    </row>
    <row r="183" spans="10:10" s="296" customFormat="1">
      <c r="J183" s="325"/>
    </row>
    <row r="184" spans="10:10" s="296" customFormat="1">
      <c r="J184" s="325"/>
    </row>
    <row r="185" spans="10:10" s="296" customFormat="1">
      <c r="J185" s="325"/>
    </row>
    <row r="186" spans="10:10" s="296" customFormat="1">
      <c r="J186" s="325"/>
    </row>
    <row r="187" spans="10:10" s="296" customFormat="1">
      <c r="J187" s="325"/>
    </row>
    <row r="188" spans="10:10" s="296" customFormat="1">
      <c r="J188" s="325"/>
    </row>
    <row r="189" spans="10:10" s="296" customFormat="1">
      <c r="J189" s="325"/>
    </row>
    <row r="190" spans="10:10" s="296" customFormat="1">
      <c r="J190" s="325"/>
    </row>
    <row r="191" spans="10:10" s="296" customFormat="1">
      <c r="J191" s="325"/>
    </row>
    <row r="192" spans="10:10" s="296" customFormat="1">
      <c r="J192" s="325"/>
    </row>
    <row r="193" spans="10:10" s="296" customFormat="1">
      <c r="J193" s="325"/>
    </row>
    <row r="194" spans="10:10" s="296" customFormat="1">
      <c r="J194" s="325"/>
    </row>
    <row r="195" spans="10:10" s="296" customFormat="1">
      <c r="J195" s="325"/>
    </row>
    <row r="196" spans="10:10" s="296" customFormat="1">
      <c r="J196" s="325"/>
    </row>
    <row r="197" spans="10:10" s="296" customFormat="1">
      <c r="J197" s="325"/>
    </row>
    <row r="198" spans="10:10" s="296" customFormat="1">
      <c r="J198" s="325"/>
    </row>
    <row r="199" spans="10:10" s="296" customFormat="1">
      <c r="J199" s="325"/>
    </row>
    <row r="200" spans="10:10" s="296" customFormat="1">
      <c r="J200" s="325"/>
    </row>
    <row r="201" spans="10:10" s="296" customFormat="1">
      <c r="J201" s="325"/>
    </row>
    <row r="202" spans="10:10" s="296" customFormat="1">
      <c r="J202" s="325"/>
    </row>
    <row r="203" spans="10:10" s="296" customFormat="1">
      <c r="J203" s="325"/>
    </row>
    <row r="204" spans="10:10" s="296" customFormat="1">
      <c r="J204" s="325"/>
    </row>
    <row r="205" spans="10:10" s="296" customFormat="1">
      <c r="J205" s="325"/>
    </row>
    <row r="206" spans="10:10" s="296" customFormat="1">
      <c r="J206" s="325"/>
    </row>
    <row r="207" spans="10:10" s="296" customFormat="1">
      <c r="J207" s="325"/>
    </row>
    <row r="208" spans="10:10" s="296" customFormat="1">
      <c r="J208" s="325"/>
    </row>
    <row r="209" spans="10:10" s="296" customFormat="1">
      <c r="J209" s="325"/>
    </row>
    <row r="210" spans="10:10" s="296" customFormat="1">
      <c r="J210" s="325"/>
    </row>
    <row r="211" spans="10:10" s="296" customFormat="1">
      <c r="J211" s="325"/>
    </row>
    <row r="212" spans="10:10" s="296" customFormat="1">
      <c r="J212" s="325"/>
    </row>
    <row r="213" spans="10:10" s="296" customFormat="1">
      <c r="J213" s="325"/>
    </row>
    <row r="214" spans="10:10" s="296" customFormat="1">
      <c r="J214" s="325"/>
    </row>
    <row r="215" spans="10:10" s="296" customFormat="1">
      <c r="J215" s="325"/>
    </row>
    <row r="216" spans="10:10" s="296" customFormat="1">
      <c r="J216" s="325"/>
    </row>
    <row r="217" spans="10:10" s="296" customFormat="1">
      <c r="J217" s="325"/>
    </row>
    <row r="218" spans="10:10" s="296" customFormat="1">
      <c r="J218" s="325"/>
    </row>
    <row r="219" spans="10:10" s="296" customFormat="1">
      <c r="J219" s="325"/>
    </row>
    <row r="220" spans="10:10" s="296" customFormat="1">
      <c r="J220" s="325"/>
    </row>
    <row r="221" spans="10:10" s="296" customFormat="1">
      <c r="J221" s="325"/>
    </row>
    <row r="222" spans="10:10" s="296" customFormat="1">
      <c r="J222" s="325"/>
    </row>
    <row r="223" spans="10:10" s="296" customFormat="1">
      <c r="J223" s="325"/>
    </row>
    <row r="224" spans="10:10" s="296" customFormat="1">
      <c r="J224" s="325"/>
    </row>
    <row r="225" spans="10:10" s="296" customFormat="1">
      <c r="J225" s="325"/>
    </row>
    <row r="226" spans="10:10" s="296" customFormat="1">
      <c r="J226" s="325"/>
    </row>
    <row r="227" spans="10:10" s="296" customFormat="1">
      <c r="J227" s="325"/>
    </row>
    <row r="228" spans="10:10" s="296" customFormat="1">
      <c r="J228" s="325"/>
    </row>
    <row r="229" spans="10:10" s="296" customFormat="1">
      <c r="J229" s="325"/>
    </row>
    <row r="230" spans="10:10" s="296" customFormat="1">
      <c r="J230" s="325"/>
    </row>
    <row r="231" spans="10:10" s="296" customFormat="1">
      <c r="J231" s="325"/>
    </row>
    <row r="232" spans="10:10" s="296" customFormat="1">
      <c r="J232" s="325"/>
    </row>
    <row r="233" spans="10:10" s="296" customFormat="1">
      <c r="J233" s="325"/>
    </row>
    <row r="234" spans="10:10" s="296" customFormat="1">
      <c r="J234" s="325"/>
    </row>
    <row r="235" spans="10:10" s="296" customFormat="1">
      <c r="J235" s="325"/>
    </row>
    <row r="236" spans="10:10" s="296" customFormat="1">
      <c r="J236" s="325"/>
    </row>
    <row r="237" spans="10:10" s="296" customFormat="1">
      <c r="J237" s="325"/>
    </row>
    <row r="238" spans="10:10" s="296" customFormat="1">
      <c r="J238" s="325"/>
    </row>
    <row r="239" spans="10:10" s="296" customFormat="1">
      <c r="J239" s="325"/>
    </row>
    <row r="240" spans="10:10" s="296" customFormat="1">
      <c r="J240" s="325"/>
    </row>
    <row r="241" spans="10:10" s="296" customFormat="1">
      <c r="J241" s="325"/>
    </row>
    <row r="242" spans="10:10" s="296" customFormat="1">
      <c r="J242" s="325"/>
    </row>
    <row r="243" spans="10:10" s="296" customFormat="1">
      <c r="J243" s="325"/>
    </row>
    <row r="244" spans="10:10" s="296" customFormat="1">
      <c r="J244" s="325"/>
    </row>
    <row r="245" spans="10:10" s="296" customFormat="1">
      <c r="J245" s="325"/>
    </row>
    <row r="246" spans="10:10" s="296" customFormat="1">
      <c r="J246" s="325"/>
    </row>
    <row r="247" spans="10:10" s="296" customFormat="1">
      <c r="J247" s="325"/>
    </row>
    <row r="248" spans="10:10" s="296" customFormat="1">
      <c r="J248" s="325"/>
    </row>
    <row r="249" spans="10:10" s="296" customFormat="1">
      <c r="J249" s="325"/>
    </row>
    <row r="250" spans="10:10" s="296" customFormat="1">
      <c r="J250" s="325"/>
    </row>
    <row r="251" spans="10:10" s="296" customFormat="1">
      <c r="J251" s="325"/>
    </row>
    <row r="252" spans="10:10" s="296" customFormat="1">
      <c r="J252" s="325"/>
    </row>
    <row r="253" spans="10:10" s="296" customFormat="1">
      <c r="J253" s="325"/>
    </row>
    <row r="254" spans="10:10" s="296" customFormat="1">
      <c r="J254" s="325"/>
    </row>
    <row r="255" spans="10:10" s="296" customFormat="1">
      <c r="J255" s="325"/>
    </row>
    <row r="256" spans="10:10" s="296" customFormat="1">
      <c r="J256" s="325"/>
    </row>
    <row r="257" spans="10:10" s="296" customFormat="1">
      <c r="J257" s="325"/>
    </row>
    <row r="258" spans="10:10" s="296" customFormat="1">
      <c r="J258" s="325"/>
    </row>
    <row r="259" spans="10:10" s="296" customFormat="1">
      <c r="J259" s="325"/>
    </row>
    <row r="260" spans="10:10" s="296" customFormat="1">
      <c r="J260" s="325"/>
    </row>
    <row r="261" spans="10:10" s="296" customFormat="1">
      <c r="J261" s="325"/>
    </row>
    <row r="262" spans="10:10" s="296" customFormat="1">
      <c r="J262" s="325"/>
    </row>
    <row r="263" spans="10:10" s="296" customFormat="1">
      <c r="J263" s="325"/>
    </row>
    <row r="264" spans="10:10" s="296" customFormat="1">
      <c r="J264" s="325"/>
    </row>
    <row r="265" spans="10:10" s="296" customFormat="1">
      <c r="J265" s="325"/>
    </row>
    <row r="266" spans="10:10" s="296" customFormat="1">
      <c r="J266" s="325"/>
    </row>
    <row r="267" spans="10:10" s="296" customFormat="1">
      <c r="J267" s="325"/>
    </row>
    <row r="268" spans="10:10" s="296" customFormat="1">
      <c r="J268" s="325"/>
    </row>
    <row r="269" spans="10:10" s="296" customFormat="1">
      <c r="J269" s="325"/>
    </row>
    <row r="270" spans="10:10" s="296" customFormat="1">
      <c r="J270" s="325"/>
    </row>
    <row r="271" spans="10:10" s="296" customFormat="1">
      <c r="J271" s="325"/>
    </row>
    <row r="272" spans="10:10" s="296" customFormat="1">
      <c r="J272" s="325"/>
    </row>
    <row r="273" spans="10:10" s="296" customFormat="1">
      <c r="J273" s="325"/>
    </row>
    <row r="274" spans="10:10" s="296" customFormat="1">
      <c r="J274" s="325"/>
    </row>
    <row r="275" spans="10:10" s="296" customFormat="1">
      <c r="J275" s="325"/>
    </row>
    <row r="276" spans="10:10" s="296" customFormat="1">
      <c r="J276" s="325"/>
    </row>
    <row r="277" spans="10:10" s="296" customFormat="1">
      <c r="J277" s="325"/>
    </row>
    <row r="278" spans="10:10" s="296" customFormat="1">
      <c r="J278" s="325"/>
    </row>
    <row r="279" spans="10:10" s="296" customFormat="1">
      <c r="J279" s="325"/>
    </row>
    <row r="280" spans="10:10" s="296" customFormat="1">
      <c r="J280" s="325"/>
    </row>
    <row r="281" spans="10:10" s="296" customFormat="1">
      <c r="J281" s="325"/>
    </row>
    <row r="282" spans="10:10" s="296" customFormat="1">
      <c r="J282" s="325"/>
    </row>
    <row r="283" spans="10:10" s="296" customFormat="1">
      <c r="J283" s="325"/>
    </row>
    <row r="284" spans="10:10" s="296" customFormat="1">
      <c r="J284" s="325"/>
    </row>
    <row r="285" spans="10:10" s="296" customFormat="1">
      <c r="J285" s="325"/>
    </row>
    <row r="286" spans="10:10" s="296" customFormat="1">
      <c r="J286" s="325"/>
    </row>
    <row r="287" spans="10:10" s="296" customFormat="1">
      <c r="J287" s="325"/>
    </row>
    <row r="288" spans="10:10" s="296" customFormat="1">
      <c r="J288" s="325"/>
    </row>
    <row r="289" spans="10:10" s="296" customFormat="1">
      <c r="J289" s="325"/>
    </row>
    <row r="290" spans="10:10" s="296" customFormat="1">
      <c r="J290" s="325"/>
    </row>
    <row r="291" spans="10:10" s="296" customFormat="1">
      <c r="J291" s="325"/>
    </row>
    <row r="292" spans="10:10" s="296" customFormat="1">
      <c r="J292" s="325"/>
    </row>
    <row r="293" spans="10:10" s="296" customFormat="1">
      <c r="J293" s="325"/>
    </row>
    <row r="294" spans="10:10" s="296" customFormat="1">
      <c r="J294" s="325"/>
    </row>
    <row r="295" spans="10:10" s="296" customFormat="1">
      <c r="J295" s="325"/>
    </row>
    <row r="296" spans="10:10" s="296" customFormat="1">
      <c r="J296" s="325"/>
    </row>
    <row r="297" spans="10:10" s="296" customFormat="1">
      <c r="J297" s="325"/>
    </row>
    <row r="298" spans="10:10" s="296" customFormat="1">
      <c r="J298" s="325"/>
    </row>
    <row r="299" spans="10:10" s="296" customFormat="1">
      <c r="J299" s="325"/>
    </row>
    <row r="300" spans="10:10" s="296" customFormat="1">
      <c r="J300" s="325"/>
    </row>
    <row r="301" spans="10:10" s="296" customFormat="1">
      <c r="J301" s="325"/>
    </row>
    <row r="302" spans="10:10" s="296" customFormat="1">
      <c r="J302" s="325"/>
    </row>
    <row r="303" spans="10:10" s="296" customFormat="1">
      <c r="J303" s="325"/>
    </row>
    <row r="304" spans="10:10" s="296" customFormat="1">
      <c r="J304" s="325"/>
    </row>
    <row r="305" spans="10:10" s="296" customFormat="1">
      <c r="J305" s="325"/>
    </row>
    <row r="306" spans="10:10" s="296" customFormat="1">
      <c r="J306" s="325"/>
    </row>
    <row r="307" spans="10:10" s="296" customFormat="1">
      <c r="J307" s="325"/>
    </row>
    <row r="308" spans="10:10" s="296" customFormat="1">
      <c r="J308" s="325"/>
    </row>
    <row r="309" spans="10:10" s="296" customFormat="1">
      <c r="J309" s="325"/>
    </row>
    <row r="310" spans="10:10" s="296" customFormat="1">
      <c r="J310" s="325"/>
    </row>
    <row r="311" spans="10:10" s="296" customFormat="1">
      <c r="J311" s="325"/>
    </row>
    <row r="312" spans="10:10" s="296" customFormat="1">
      <c r="J312" s="325"/>
    </row>
    <row r="313" spans="10:10" s="296" customFormat="1">
      <c r="J313" s="325"/>
    </row>
    <row r="314" spans="10:10" s="296" customFormat="1">
      <c r="J314" s="325"/>
    </row>
    <row r="315" spans="10:10" s="296" customFormat="1">
      <c r="J315" s="325"/>
    </row>
    <row r="316" spans="10:10" s="296" customFormat="1">
      <c r="J316" s="325"/>
    </row>
    <row r="317" spans="10:10" s="296" customFormat="1">
      <c r="J317" s="325"/>
    </row>
    <row r="318" spans="10:10" s="296" customFormat="1">
      <c r="J318" s="325"/>
    </row>
    <row r="319" spans="10:10" s="296" customFormat="1">
      <c r="J319" s="325"/>
    </row>
    <row r="320" spans="10:10" s="296" customFormat="1">
      <c r="J320" s="325"/>
    </row>
    <row r="321" spans="10:10" s="296" customFormat="1">
      <c r="J321" s="325"/>
    </row>
    <row r="322" spans="10:10" s="296" customFormat="1">
      <c r="J322" s="325"/>
    </row>
    <row r="323" spans="10:10" s="296" customFormat="1">
      <c r="J323" s="325"/>
    </row>
    <row r="324" spans="10:10" s="296" customFormat="1">
      <c r="J324" s="325"/>
    </row>
    <row r="325" spans="10:10" s="296" customFormat="1">
      <c r="J325" s="325"/>
    </row>
    <row r="326" spans="10:10" s="296" customFormat="1">
      <c r="J326" s="325"/>
    </row>
    <row r="327" spans="10:10" s="296" customFormat="1">
      <c r="J327" s="325"/>
    </row>
    <row r="328" spans="10:10" s="296" customFormat="1">
      <c r="J328" s="325"/>
    </row>
    <row r="329" spans="10:10" s="296" customFormat="1">
      <c r="J329" s="325"/>
    </row>
    <row r="330" spans="10:10" s="296" customFormat="1">
      <c r="J330" s="325"/>
    </row>
    <row r="331" spans="10:10" s="296" customFormat="1">
      <c r="J331" s="325"/>
    </row>
    <row r="332" spans="10:10" s="296" customFormat="1">
      <c r="J332" s="325"/>
    </row>
    <row r="333" spans="10:10" s="296" customFormat="1">
      <c r="J333" s="325"/>
    </row>
    <row r="334" spans="10:10" s="296" customFormat="1">
      <c r="J334" s="325"/>
    </row>
    <row r="335" spans="10:10" s="296" customFormat="1">
      <c r="J335" s="325"/>
    </row>
    <row r="336" spans="10:10" s="296" customFormat="1">
      <c r="J336" s="325"/>
    </row>
    <row r="337" spans="10:10" s="296" customFormat="1">
      <c r="J337" s="325"/>
    </row>
    <row r="338" spans="10:10" s="296" customFormat="1">
      <c r="J338" s="325"/>
    </row>
    <row r="339" spans="10:10" s="296" customFormat="1">
      <c r="J339" s="325"/>
    </row>
    <row r="340" spans="10:10" s="296" customFormat="1">
      <c r="J340" s="325"/>
    </row>
    <row r="341" spans="10:10" s="296" customFormat="1">
      <c r="J341" s="325"/>
    </row>
    <row r="342" spans="10:10" s="296" customFormat="1">
      <c r="J342" s="325"/>
    </row>
    <row r="343" spans="10:10" s="296" customFormat="1">
      <c r="J343" s="325"/>
    </row>
    <row r="344" spans="10:10" s="296" customFormat="1">
      <c r="J344" s="325"/>
    </row>
    <row r="345" spans="10:10" s="296" customFormat="1">
      <c r="J345" s="325"/>
    </row>
    <row r="346" spans="10:10" s="296" customFormat="1">
      <c r="J346" s="325"/>
    </row>
    <row r="347" spans="10:10" s="296" customFormat="1">
      <c r="J347" s="325"/>
    </row>
    <row r="348" spans="10:10" s="296" customFormat="1">
      <c r="J348" s="325"/>
    </row>
    <row r="349" spans="10:10" s="296" customFormat="1">
      <c r="J349" s="325"/>
    </row>
    <row r="350" spans="10:10" s="296" customFormat="1">
      <c r="J350" s="325"/>
    </row>
    <row r="351" spans="10:10" s="296" customFormat="1">
      <c r="J351" s="325"/>
    </row>
    <row r="352" spans="10:10" s="296" customFormat="1">
      <c r="J352" s="325"/>
    </row>
    <row r="353" spans="10:10" s="296" customFormat="1">
      <c r="J353" s="325"/>
    </row>
    <row r="354" spans="10:10" s="296" customFormat="1">
      <c r="J354" s="325"/>
    </row>
    <row r="355" spans="10:10" s="296" customFormat="1">
      <c r="J355" s="325"/>
    </row>
    <row r="356" spans="10:10" s="296" customFormat="1">
      <c r="J356" s="325"/>
    </row>
    <row r="357" spans="10:10" s="296" customFormat="1">
      <c r="J357" s="325"/>
    </row>
    <row r="358" spans="10:10" s="296" customFormat="1">
      <c r="J358" s="325"/>
    </row>
    <row r="359" spans="10:10" s="296" customFormat="1">
      <c r="J359" s="325"/>
    </row>
    <row r="360" spans="10:10" s="296" customFormat="1">
      <c r="J360" s="325"/>
    </row>
    <row r="361" spans="10:10" s="296" customFormat="1">
      <c r="J361" s="325"/>
    </row>
    <row r="362" spans="10:10" s="296" customFormat="1">
      <c r="J362" s="325"/>
    </row>
    <row r="363" spans="10:10" s="296" customFormat="1">
      <c r="J363" s="325"/>
    </row>
    <row r="364" spans="10:10" s="296" customFormat="1">
      <c r="J364" s="325"/>
    </row>
    <row r="365" spans="10:10" s="296" customFormat="1">
      <c r="J365" s="325"/>
    </row>
    <row r="366" spans="10:10" s="296" customFormat="1">
      <c r="J366" s="325"/>
    </row>
    <row r="367" spans="10:10" s="296" customFormat="1">
      <c r="J367" s="325"/>
    </row>
    <row r="368" spans="10:10" s="296" customFormat="1">
      <c r="J368" s="325"/>
    </row>
    <row r="369" spans="10:10" s="296" customFormat="1">
      <c r="J369" s="325"/>
    </row>
    <row r="370" spans="10:10" s="296" customFormat="1">
      <c r="J370" s="325"/>
    </row>
    <row r="371" spans="10:10" s="296" customFormat="1">
      <c r="J371" s="325"/>
    </row>
    <row r="372" spans="10:10" s="296" customFormat="1">
      <c r="J372" s="325"/>
    </row>
    <row r="373" spans="10:10" s="296" customFormat="1">
      <c r="J373" s="325"/>
    </row>
    <row r="374" spans="10:10" s="296" customFormat="1">
      <c r="J374" s="325"/>
    </row>
    <row r="375" spans="10:10" s="296" customFormat="1">
      <c r="J375" s="325"/>
    </row>
    <row r="376" spans="10:10" s="296" customFormat="1">
      <c r="J376" s="325"/>
    </row>
    <row r="377" spans="10:10" s="296" customFormat="1">
      <c r="J377" s="325"/>
    </row>
    <row r="378" spans="10:10" s="296" customFormat="1">
      <c r="J378" s="325"/>
    </row>
    <row r="379" spans="10:10" s="296" customFormat="1">
      <c r="J379" s="325"/>
    </row>
    <row r="380" spans="10:10" s="296" customFormat="1">
      <c r="J380" s="325"/>
    </row>
    <row r="381" spans="10:10" s="296" customFormat="1">
      <c r="J381" s="325"/>
    </row>
    <row r="382" spans="10:10" s="296" customFormat="1">
      <c r="J382" s="325"/>
    </row>
    <row r="383" spans="10:10" s="296" customFormat="1">
      <c r="J383" s="325"/>
    </row>
    <row r="384" spans="10:10" s="296" customFormat="1">
      <c r="J384" s="325"/>
    </row>
    <row r="385" spans="10:10" s="296" customFormat="1">
      <c r="J385" s="325"/>
    </row>
    <row r="386" spans="10:10" s="296" customFormat="1">
      <c r="J386" s="325"/>
    </row>
    <row r="387" spans="10:10" s="296" customFormat="1">
      <c r="J387" s="325"/>
    </row>
    <row r="388" spans="10:10" s="296" customFormat="1">
      <c r="J388" s="325"/>
    </row>
    <row r="389" spans="10:10" s="296" customFormat="1">
      <c r="J389" s="325"/>
    </row>
    <row r="390" spans="10:10" s="296" customFormat="1">
      <c r="J390" s="325"/>
    </row>
    <row r="391" spans="10:10" s="296" customFormat="1">
      <c r="J391" s="325"/>
    </row>
    <row r="392" spans="10:10" s="296" customFormat="1">
      <c r="J392" s="325"/>
    </row>
    <row r="393" spans="10:10" s="296" customFormat="1">
      <c r="J393" s="325"/>
    </row>
    <row r="394" spans="10:10" s="296" customFormat="1">
      <c r="J394" s="325"/>
    </row>
    <row r="395" spans="10:10" s="296" customFormat="1">
      <c r="J395" s="325"/>
    </row>
    <row r="396" spans="10:10" s="296" customFormat="1">
      <c r="J396" s="325"/>
    </row>
    <row r="397" spans="10:10" s="296" customFormat="1">
      <c r="J397" s="325"/>
    </row>
    <row r="398" spans="10:10" s="296" customFormat="1">
      <c r="J398" s="325"/>
    </row>
    <row r="399" spans="10:10" s="296" customFormat="1">
      <c r="J399" s="325"/>
    </row>
    <row r="400" spans="10:10" s="296" customFormat="1">
      <c r="J400" s="325"/>
    </row>
    <row r="401" spans="10:10" s="296" customFormat="1">
      <c r="J401" s="325"/>
    </row>
    <row r="402" spans="10:10" s="296" customFormat="1">
      <c r="J402" s="325"/>
    </row>
    <row r="403" spans="10:10" s="296" customFormat="1">
      <c r="J403" s="325"/>
    </row>
    <row r="404" spans="10:10" s="296" customFormat="1">
      <c r="J404" s="325"/>
    </row>
    <row r="405" spans="10:10" s="296" customFormat="1">
      <c r="J405" s="325"/>
    </row>
    <row r="406" spans="10:10" s="296" customFormat="1">
      <c r="J406" s="325"/>
    </row>
    <row r="407" spans="10:10" s="296" customFormat="1">
      <c r="J407" s="325"/>
    </row>
    <row r="408" spans="10:10" s="296" customFormat="1">
      <c r="J408" s="325"/>
    </row>
    <row r="409" spans="10:10" s="296" customFormat="1">
      <c r="J409" s="325"/>
    </row>
    <row r="410" spans="10:10" s="296" customFormat="1">
      <c r="J410" s="325"/>
    </row>
    <row r="411" spans="10:10" s="296" customFormat="1">
      <c r="J411" s="325"/>
    </row>
    <row r="412" spans="10:10" s="296" customFormat="1">
      <c r="J412" s="325"/>
    </row>
    <row r="413" spans="10:10" s="296" customFormat="1">
      <c r="J413" s="325"/>
    </row>
    <row r="414" spans="10:10" s="296" customFormat="1">
      <c r="J414" s="325"/>
    </row>
    <row r="415" spans="10:10" s="296" customFormat="1">
      <c r="J415" s="325"/>
    </row>
    <row r="416" spans="10:10" s="296" customFormat="1">
      <c r="J416" s="325"/>
    </row>
    <row r="417" spans="10:37" s="296" customFormat="1">
      <c r="J417" s="325"/>
    </row>
    <row r="418" spans="10:37" s="296" customFormat="1">
      <c r="J418" s="325"/>
    </row>
    <row r="419" spans="10:37" s="296" customFormat="1">
      <c r="J419" s="325"/>
    </row>
    <row r="420" spans="10:37" s="296" customFormat="1">
      <c r="J420" s="325"/>
    </row>
    <row r="421" spans="10:37" s="296" customFormat="1">
      <c r="J421" s="325"/>
    </row>
    <row r="422" spans="10:37" s="296" customFormat="1">
      <c r="J422" s="325"/>
    </row>
    <row r="423" spans="10:37" s="296" customFormat="1">
      <c r="J423" s="325"/>
    </row>
    <row r="424" spans="10:37" s="296" customFormat="1">
      <c r="J424" s="325"/>
    </row>
    <row r="425" spans="10:37" s="296" customFormat="1">
      <c r="J425" s="325"/>
    </row>
    <row r="426" spans="10:37" s="296" customFormat="1">
      <c r="J426" s="325"/>
    </row>
    <row r="427" spans="10:37" s="296" customFormat="1">
      <c r="J427" s="325"/>
    </row>
    <row r="428" spans="10:37" s="296" customFormat="1">
      <c r="J428" s="325"/>
    </row>
    <row r="429" spans="10:37" s="296" customFormat="1">
      <c r="J429" s="325"/>
    </row>
    <row r="430" spans="10:37" s="296" customFormat="1">
      <c r="J430" s="325"/>
    </row>
    <row r="431" spans="10:37" s="296" customFormat="1">
      <c r="J431" s="325"/>
    </row>
    <row r="432" spans="10:37" s="326" customFormat="1">
      <c r="K432" s="296"/>
      <c r="L432" s="296"/>
      <c r="M432" s="296"/>
      <c r="N432" s="296"/>
      <c r="O432" s="296"/>
      <c r="P432" s="296"/>
      <c r="Q432" s="296"/>
      <c r="R432" s="296"/>
      <c r="S432" s="296"/>
      <c r="T432" s="296"/>
      <c r="U432" s="296"/>
      <c r="V432" s="296"/>
      <c r="W432" s="296"/>
      <c r="X432" s="296"/>
      <c r="Y432" s="296"/>
      <c r="Z432" s="296"/>
      <c r="AA432" s="296"/>
      <c r="AB432" s="296"/>
      <c r="AC432" s="296"/>
      <c r="AD432" s="296"/>
      <c r="AE432" s="296"/>
      <c r="AF432" s="296"/>
      <c r="AG432" s="296"/>
      <c r="AH432" s="296"/>
      <c r="AI432" s="296"/>
      <c r="AJ432" s="296"/>
      <c r="AK432" s="296"/>
    </row>
    <row r="433" spans="11:37">
      <c r="K433" s="296"/>
      <c r="L433" s="296"/>
      <c r="M433" s="296"/>
      <c r="N433" s="296"/>
      <c r="O433" s="296"/>
      <c r="P433" s="296"/>
      <c r="Q433" s="296"/>
      <c r="R433" s="296"/>
      <c r="S433" s="296"/>
      <c r="T433" s="296"/>
      <c r="U433" s="296"/>
      <c r="V433" s="296"/>
      <c r="W433" s="296"/>
      <c r="X433" s="296"/>
      <c r="Y433" s="296"/>
      <c r="Z433" s="296"/>
      <c r="AA433" s="296"/>
      <c r="AB433" s="296"/>
      <c r="AC433" s="296"/>
      <c r="AD433" s="296"/>
      <c r="AE433" s="296"/>
      <c r="AF433" s="296"/>
      <c r="AG433" s="296"/>
      <c r="AH433" s="296"/>
      <c r="AI433" s="296"/>
      <c r="AJ433" s="296"/>
      <c r="AK433" s="296"/>
    </row>
    <row r="434" spans="11:37">
      <c r="K434" s="296"/>
      <c r="L434" s="296"/>
      <c r="M434" s="296"/>
      <c r="N434" s="296"/>
      <c r="O434" s="296"/>
      <c r="P434" s="296"/>
      <c r="Q434" s="296"/>
      <c r="R434" s="296"/>
      <c r="S434" s="296"/>
      <c r="T434" s="296"/>
      <c r="U434" s="296"/>
      <c r="V434" s="296"/>
      <c r="W434" s="296"/>
      <c r="X434" s="296"/>
      <c r="Y434" s="296"/>
      <c r="Z434" s="296"/>
      <c r="AA434" s="296"/>
      <c r="AB434" s="296"/>
      <c r="AC434" s="296"/>
      <c r="AD434" s="296"/>
      <c r="AE434" s="296"/>
      <c r="AF434" s="296"/>
      <c r="AG434" s="296"/>
      <c r="AH434" s="296"/>
      <c r="AI434" s="296"/>
      <c r="AJ434" s="296"/>
      <c r="AK434" s="296"/>
    </row>
    <row r="435" spans="11:37">
      <c r="K435" s="296"/>
      <c r="L435" s="296"/>
      <c r="M435" s="296"/>
      <c r="N435" s="296"/>
      <c r="O435" s="296"/>
      <c r="P435" s="296"/>
      <c r="Q435" s="296"/>
      <c r="R435" s="296"/>
      <c r="S435" s="296"/>
      <c r="T435" s="296"/>
      <c r="U435" s="296"/>
      <c r="V435" s="296"/>
      <c r="W435" s="296"/>
      <c r="X435" s="296"/>
      <c r="Y435" s="296"/>
      <c r="Z435" s="296"/>
      <c r="AA435" s="296"/>
      <c r="AB435" s="296"/>
      <c r="AC435" s="296"/>
      <c r="AD435" s="296"/>
      <c r="AE435" s="296"/>
      <c r="AF435" s="296"/>
      <c r="AG435" s="296"/>
      <c r="AH435" s="296"/>
      <c r="AI435" s="296"/>
      <c r="AJ435" s="296"/>
      <c r="AK435" s="296"/>
    </row>
    <row r="436" spans="11:37">
      <c r="K436" s="296"/>
      <c r="L436" s="296"/>
      <c r="M436" s="296"/>
      <c r="N436" s="296"/>
      <c r="O436" s="296"/>
      <c r="P436" s="296"/>
      <c r="Q436" s="296"/>
      <c r="R436" s="296"/>
      <c r="S436" s="296"/>
      <c r="T436" s="296"/>
      <c r="U436" s="296"/>
      <c r="V436" s="296"/>
      <c r="W436" s="296"/>
      <c r="X436" s="296"/>
      <c r="Y436" s="296"/>
      <c r="Z436" s="296"/>
      <c r="AA436" s="296"/>
      <c r="AB436" s="296"/>
      <c r="AC436" s="296"/>
      <c r="AD436" s="296"/>
      <c r="AE436" s="296"/>
      <c r="AF436" s="296"/>
      <c r="AG436" s="296"/>
      <c r="AH436" s="296"/>
      <c r="AI436" s="296"/>
      <c r="AJ436" s="296"/>
      <c r="AK436" s="296"/>
    </row>
    <row r="437" spans="11:37">
      <c r="K437" s="296"/>
      <c r="L437" s="296"/>
      <c r="M437" s="296"/>
      <c r="N437" s="296"/>
      <c r="O437" s="296"/>
      <c r="P437" s="296"/>
      <c r="Q437" s="296"/>
      <c r="R437" s="296"/>
      <c r="S437" s="296"/>
      <c r="T437" s="296"/>
      <c r="U437" s="296"/>
      <c r="V437" s="296"/>
      <c r="W437" s="296"/>
      <c r="X437" s="296"/>
      <c r="Y437" s="296"/>
      <c r="Z437" s="296"/>
      <c r="AA437" s="296"/>
      <c r="AB437" s="296"/>
      <c r="AC437" s="296"/>
      <c r="AD437" s="296"/>
      <c r="AE437" s="296"/>
      <c r="AF437" s="296"/>
      <c r="AG437" s="296"/>
      <c r="AH437" s="296"/>
      <c r="AI437" s="296"/>
      <c r="AJ437" s="296"/>
      <c r="AK437" s="296"/>
    </row>
    <row r="438" spans="11:37">
      <c r="K438" s="296"/>
      <c r="L438" s="296"/>
      <c r="M438" s="296"/>
      <c r="N438" s="296"/>
      <c r="O438" s="296"/>
      <c r="P438" s="296"/>
      <c r="Q438" s="296"/>
      <c r="R438" s="296"/>
      <c r="S438" s="296"/>
      <c r="T438" s="296"/>
      <c r="U438" s="296"/>
      <c r="V438" s="296"/>
      <c r="W438" s="296"/>
      <c r="X438" s="296"/>
      <c r="Y438" s="296"/>
      <c r="Z438" s="296"/>
      <c r="AA438" s="296"/>
      <c r="AB438" s="296"/>
      <c r="AC438" s="296"/>
      <c r="AD438" s="296"/>
      <c r="AE438" s="296"/>
      <c r="AF438" s="296"/>
      <c r="AG438" s="296"/>
      <c r="AH438" s="296"/>
      <c r="AI438" s="296"/>
      <c r="AJ438" s="296"/>
      <c r="AK438" s="296"/>
    </row>
    <row r="439" spans="11:37">
      <c r="K439" s="296"/>
      <c r="L439" s="296"/>
      <c r="M439" s="296"/>
      <c r="N439" s="296"/>
      <c r="O439" s="296"/>
      <c r="P439" s="296"/>
      <c r="Q439" s="296"/>
      <c r="R439" s="296"/>
      <c r="S439" s="296"/>
      <c r="T439" s="296"/>
      <c r="U439" s="296"/>
      <c r="V439" s="296"/>
      <c r="W439" s="296"/>
      <c r="X439" s="296"/>
      <c r="Y439" s="296"/>
      <c r="Z439" s="296"/>
      <c r="AA439" s="296"/>
      <c r="AB439" s="296"/>
      <c r="AC439" s="296"/>
      <c r="AD439" s="296"/>
      <c r="AE439" s="296"/>
      <c r="AF439" s="296"/>
      <c r="AG439" s="296"/>
      <c r="AH439" s="296"/>
      <c r="AI439" s="296"/>
      <c r="AJ439" s="296"/>
      <c r="AK439" s="296"/>
    </row>
    <row r="440" spans="11:37">
      <c r="K440" s="296"/>
      <c r="L440" s="296"/>
      <c r="M440" s="296"/>
      <c r="N440" s="296"/>
      <c r="O440" s="296"/>
      <c r="P440" s="296"/>
      <c r="Q440" s="296"/>
      <c r="R440" s="296"/>
      <c r="S440" s="296"/>
      <c r="T440" s="296"/>
      <c r="U440" s="296"/>
      <c r="V440" s="296"/>
      <c r="W440" s="296"/>
      <c r="X440" s="296"/>
      <c r="Y440" s="296"/>
      <c r="Z440" s="296"/>
      <c r="AA440" s="296"/>
      <c r="AB440" s="296"/>
      <c r="AC440" s="296"/>
      <c r="AD440" s="296"/>
      <c r="AE440" s="296"/>
      <c r="AF440" s="296"/>
      <c r="AG440" s="296"/>
      <c r="AH440" s="296"/>
      <c r="AI440" s="296"/>
      <c r="AJ440" s="296"/>
      <c r="AK440" s="296"/>
    </row>
    <row r="441" spans="11:37">
      <c r="K441" s="296"/>
      <c r="L441" s="296"/>
      <c r="M441" s="296"/>
      <c r="N441" s="296"/>
      <c r="O441" s="296"/>
      <c r="P441" s="296"/>
      <c r="Q441" s="296"/>
      <c r="R441" s="296"/>
      <c r="S441" s="296"/>
      <c r="T441" s="296"/>
      <c r="U441" s="296"/>
      <c r="V441" s="296"/>
      <c r="W441" s="296"/>
      <c r="X441" s="296"/>
      <c r="Y441" s="296"/>
      <c r="Z441" s="296"/>
      <c r="AA441" s="296"/>
      <c r="AB441" s="296"/>
      <c r="AC441" s="296"/>
      <c r="AD441" s="296"/>
      <c r="AE441" s="296"/>
      <c r="AF441" s="296"/>
      <c r="AG441" s="296"/>
      <c r="AH441" s="296"/>
      <c r="AI441" s="296"/>
      <c r="AJ441" s="296"/>
      <c r="AK441" s="296"/>
    </row>
    <row r="442" spans="11:37">
      <c r="K442" s="296"/>
      <c r="L442" s="296"/>
      <c r="M442" s="296"/>
      <c r="N442" s="296"/>
      <c r="O442" s="296"/>
      <c r="P442" s="296"/>
      <c r="Q442" s="296"/>
      <c r="R442" s="296"/>
      <c r="S442" s="296"/>
      <c r="T442" s="296"/>
      <c r="U442" s="296"/>
      <c r="V442" s="296"/>
      <c r="W442" s="296"/>
      <c r="X442" s="296"/>
      <c r="Y442" s="296"/>
      <c r="Z442" s="296"/>
      <c r="AA442" s="296"/>
      <c r="AB442" s="296"/>
      <c r="AC442" s="296"/>
      <c r="AD442" s="296"/>
      <c r="AE442" s="296"/>
      <c r="AF442" s="296"/>
      <c r="AG442" s="296"/>
      <c r="AH442" s="296"/>
      <c r="AI442" s="296"/>
      <c r="AJ442" s="296"/>
      <c r="AK442" s="296"/>
    </row>
    <row r="443" spans="11:37">
      <c r="K443" s="296"/>
      <c r="L443" s="296"/>
      <c r="M443" s="296"/>
      <c r="N443" s="296"/>
      <c r="O443" s="296"/>
      <c r="P443" s="296"/>
      <c r="Q443" s="296"/>
      <c r="R443" s="296"/>
      <c r="S443" s="296"/>
      <c r="T443" s="296"/>
      <c r="U443" s="296"/>
      <c r="V443" s="296"/>
      <c r="W443" s="296"/>
      <c r="X443" s="296"/>
      <c r="Y443" s="296"/>
      <c r="Z443" s="296"/>
      <c r="AA443" s="296"/>
      <c r="AB443" s="296"/>
      <c r="AC443" s="296"/>
      <c r="AD443" s="296"/>
      <c r="AE443" s="296"/>
      <c r="AF443" s="296"/>
      <c r="AG443" s="296"/>
      <c r="AH443" s="296"/>
      <c r="AI443" s="296"/>
      <c r="AJ443" s="296"/>
      <c r="AK443" s="296"/>
    </row>
    <row r="444" spans="11:37">
      <c r="K444" s="296"/>
      <c r="L444" s="296"/>
      <c r="M444" s="296"/>
      <c r="N444" s="296"/>
      <c r="O444" s="296"/>
      <c r="P444" s="296"/>
      <c r="Q444" s="296"/>
      <c r="R444" s="296"/>
      <c r="S444" s="296"/>
      <c r="T444" s="296"/>
      <c r="U444" s="296"/>
      <c r="V444" s="296"/>
      <c r="W444" s="296"/>
      <c r="X444" s="296"/>
      <c r="Y444" s="296"/>
      <c r="Z444" s="296"/>
      <c r="AA444" s="296"/>
      <c r="AB444" s="296"/>
      <c r="AC444" s="296"/>
      <c r="AD444" s="296"/>
      <c r="AE444" s="296"/>
      <c r="AF444" s="296"/>
      <c r="AG444" s="296"/>
      <c r="AH444" s="296"/>
      <c r="AI444" s="296"/>
      <c r="AJ444" s="296"/>
      <c r="AK444" s="296"/>
    </row>
    <row r="445" spans="11:37">
      <c r="K445" s="296"/>
      <c r="L445" s="296"/>
      <c r="M445" s="296"/>
      <c r="N445" s="296"/>
      <c r="O445" s="296"/>
      <c r="P445" s="296"/>
      <c r="Q445" s="296"/>
      <c r="R445" s="296"/>
      <c r="S445" s="296"/>
      <c r="T445" s="296"/>
      <c r="U445" s="296"/>
      <c r="V445" s="296"/>
      <c r="W445" s="296"/>
      <c r="X445" s="296"/>
      <c r="Y445" s="296"/>
      <c r="Z445" s="296"/>
      <c r="AA445" s="296"/>
      <c r="AB445" s="296"/>
      <c r="AC445" s="296"/>
      <c r="AD445" s="296"/>
      <c r="AE445" s="296"/>
      <c r="AF445" s="296"/>
      <c r="AG445" s="296"/>
      <c r="AH445" s="296"/>
      <c r="AI445" s="296"/>
      <c r="AJ445" s="296"/>
      <c r="AK445" s="296"/>
    </row>
    <row r="446" spans="11:37">
      <c r="K446" s="296"/>
      <c r="L446" s="296"/>
      <c r="M446" s="296"/>
      <c r="N446" s="296"/>
      <c r="O446" s="296"/>
      <c r="P446" s="296"/>
      <c r="Q446" s="296"/>
      <c r="R446" s="296"/>
      <c r="S446" s="296"/>
      <c r="T446" s="296"/>
      <c r="U446" s="296"/>
      <c r="V446" s="296"/>
      <c r="W446" s="296"/>
      <c r="X446" s="296"/>
      <c r="Y446" s="296"/>
      <c r="Z446" s="296"/>
      <c r="AA446" s="296"/>
      <c r="AB446" s="296"/>
      <c r="AC446" s="296"/>
      <c r="AD446" s="296"/>
      <c r="AE446" s="296"/>
      <c r="AF446" s="296"/>
      <c r="AG446" s="296"/>
      <c r="AH446" s="296"/>
      <c r="AI446" s="296"/>
      <c r="AJ446" s="296"/>
      <c r="AK446" s="296"/>
    </row>
    <row r="447" spans="11:37">
      <c r="K447" s="296"/>
      <c r="L447" s="296"/>
      <c r="M447" s="296"/>
      <c r="N447" s="296"/>
      <c r="O447" s="296"/>
      <c r="P447" s="296"/>
      <c r="Q447" s="296"/>
      <c r="R447" s="296"/>
      <c r="S447" s="296"/>
      <c r="T447" s="296"/>
      <c r="U447" s="296"/>
      <c r="V447" s="296"/>
      <c r="W447" s="296"/>
      <c r="X447" s="296"/>
      <c r="Y447" s="296"/>
      <c r="Z447" s="296"/>
      <c r="AA447" s="296"/>
      <c r="AB447" s="296"/>
      <c r="AC447" s="296"/>
      <c r="AD447" s="296"/>
      <c r="AE447" s="296"/>
      <c r="AF447" s="296"/>
      <c r="AG447" s="296"/>
      <c r="AH447" s="296"/>
      <c r="AI447" s="296"/>
      <c r="AJ447" s="296"/>
      <c r="AK447" s="296"/>
    </row>
    <row r="448" spans="11:37">
      <c r="K448" s="296"/>
      <c r="L448" s="296"/>
      <c r="M448" s="296"/>
      <c r="N448" s="296"/>
      <c r="O448" s="296"/>
      <c r="P448" s="296"/>
      <c r="Q448" s="296"/>
      <c r="R448" s="296"/>
      <c r="S448" s="296"/>
      <c r="T448" s="296"/>
      <c r="U448" s="296"/>
      <c r="V448" s="296"/>
      <c r="W448" s="296"/>
      <c r="X448" s="296"/>
      <c r="Y448" s="296"/>
      <c r="Z448" s="296"/>
      <c r="AA448" s="296"/>
      <c r="AB448" s="296"/>
      <c r="AC448" s="296"/>
      <c r="AD448" s="296"/>
      <c r="AE448" s="296"/>
      <c r="AF448" s="296"/>
      <c r="AG448" s="296"/>
      <c r="AH448" s="296"/>
      <c r="AI448" s="296"/>
      <c r="AJ448" s="296"/>
      <c r="AK448" s="296"/>
    </row>
    <row r="449" spans="11:37">
      <c r="K449" s="296"/>
      <c r="L449" s="296"/>
      <c r="M449" s="296"/>
      <c r="N449" s="296"/>
      <c r="O449" s="296"/>
      <c r="P449" s="296"/>
      <c r="Q449" s="296"/>
      <c r="R449" s="296"/>
      <c r="S449" s="296"/>
      <c r="T449" s="296"/>
      <c r="U449" s="296"/>
      <c r="V449" s="296"/>
      <c r="W449" s="296"/>
      <c r="X449" s="296"/>
      <c r="Y449" s="296"/>
      <c r="Z449" s="296"/>
      <c r="AA449" s="296"/>
      <c r="AB449" s="296"/>
      <c r="AC449" s="296"/>
      <c r="AD449" s="296"/>
      <c r="AE449" s="296"/>
      <c r="AF449" s="296"/>
      <c r="AG449" s="296"/>
      <c r="AH449" s="296"/>
      <c r="AI449" s="296"/>
      <c r="AJ449" s="296"/>
      <c r="AK449" s="296"/>
    </row>
    <row r="450" spans="11:37">
      <c r="K450" s="296"/>
      <c r="L450" s="296"/>
      <c r="M450" s="296"/>
      <c r="N450" s="296"/>
      <c r="O450" s="296"/>
      <c r="P450" s="296"/>
      <c r="Q450" s="296"/>
      <c r="R450" s="296"/>
      <c r="S450" s="296"/>
      <c r="T450" s="296"/>
      <c r="U450" s="296"/>
      <c r="V450" s="296"/>
      <c r="W450" s="296"/>
      <c r="X450" s="296"/>
      <c r="Y450" s="296"/>
      <c r="Z450" s="296"/>
      <c r="AA450" s="296"/>
      <c r="AB450" s="296"/>
      <c r="AC450" s="296"/>
      <c r="AD450" s="296"/>
      <c r="AE450" s="296"/>
      <c r="AF450" s="296"/>
      <c r="AG450" s="296"/>
      <c r="AH450" s="296"/>
      <c r="AI450" s="296"/>
      <c r="AJ450" s="296"/>
      <c r="AK450" s="296"/>
    </row>
    <row r="451" spans="11:37">
      <c r="K451" s="296"/>
      <c r="L451" s="296"/>
      <c r="M451" s="296"/>
      <c r="N451" s="296"/>
      <c r="O451" s="296"/>
      <c r="P451" s="296"/>
      <c r="Q451" s="296"/>
      <c r="R451" s="296"/>
      <c r="S451" s="296"/>
      <c r="T451" s="296"/>
      <c r="U451" s="296"/>
      <c r="V451" s="296"/>
      <c r="W451" s="296"/>
      <c r="X451" s="296"/>
      <c r="Y451" s="296"/>
      <c r="Z451" s="296"/>
      <c r="AA451" s="296"/>
      <c r="AB451" s="296"/>
      <c r="AC451" s="296"/>
      <c r="AD451" s="296"/>
      <c r="AE451" s="296"/>
      <c r="AF451" s="296"/>
      <c r="AG451" s="296"/>
      <c r="AH451" s="296"/>
      <c r="AI451" s="296"/>
      <c r="AJ451" s="296"/>
      <c r="AK451" s="296"/>
    </row>
    <row r="452" spans="11:37">
      <c r="K452" s="296"/>
      <c r="L452" s="296"/>
      <c r="M452" s="296"/>
      <c r="N452" s="296"/>
      <c r="O452" s="296"/>
      <c r="P452" s="296"/>
      <c r="Q452" s="296"/>
      <c r="R452" s="296"/>
      <c r="S452" s="296"/>
      <c r="T452" s="296"/>
      <c r="U452" s="296"/>
      <c r="V452" s="296"/>
      <c r="W452" s="296"/>
      <c r="X452" s="296"/>
      <c r="Y452" s="296"/>
      <c r="Z452" s="296"/>
      <c r="AA452" s="296"/>
      <c r="AB452" s="296"/>
      <c r="AC452" s="296"/>
      <c r="AD452" s="296"/>
      <c r="AE452" s="296"/>
      <c r="AF452" s="296"/>
      <c r="AG452" s="296"/>
      <c r="AH452" s="296"/>
      <c r="AI452" s="296"/>
      <c r="AJ452" s="296"/>
      <c r="AK452" s="296"/>
    </row>
    <row r="453" spans="11:37">
      <c r="K453" s="296"/>
      <c r="L453" s="296"/>
      <c r="M453" s="296"/>
      <c r="N453" s="296"/>
      <c r="O453" s="296"/>
      <c r="P453" s="296"/>
      <c r="Q453" s="296"/>
      <c r="R453" s="296"/>
      <c r="S453" s="296"/>
      <c r="T453" s="296"/>
      <c r="U453" s="296"/>
      <c r="V453" s="296"/>
      <c r="W453" s="296"/>
      <c r="X453" s="296"/>
      <c r="Y453" s="296"/>
      <c r="Z453" s="296"/>
      <c r="AA453" s="296"/>
      <c r="AB453" s="296"/>
      <c r="AC453" s="296"/>
      <c r="AD453" s="296"/>
      <c r="AE453" s="296"/>
      <c r="AF453" s="296"/>
      <c r="AG453" s="296"/>
      <c r="AH453" s="296"/>
      <c r="AI453" s="296"/>
      <c r="AJ453" s="296"/>
      <c r="AK453" s="296"/>
    </row>
    <row r="454" spans="11:37">
      <c r="K454" s="296"/>
      <c r="L454" s="296"/>
      <c r="M454" s="296"/>
      <c r="N454" s="296"/>
      <c r="O454" s="296"/>
      <c r="P454" s="296"/>
      <c r="Q454" s="296"/>
      <c r="R454" s="296"/>
      <c r="S454" s="296"/>
      <c r="T454" s="296"/>
      <c r="U454" s="296"/>
      <c r="V454" s="296"/>
      <c r="W454" s="296"/>
      <c r="X454" s="296"/>
      <c r="Y454" s="296"/>
      <c r="Z454" s="296"/>
      <c r="AA454" s="296"/>
      <c r="AB454" s="296"/>
      <c r="AC454" s="296"/>
      <c r="AD454" s="296"/>
      <c r="AE454" s="296"/>
      <c r="AF454" s="296"/>
      <c r="AG454" s="296"/>
      <c r="AH454" s="296"/>
      <c r="AI454" s="296"/>
      <c r="AJ454" s="296"/>
      <c r="AK454" s="296"/>
    </row>
    <row r="455" spans="11:37">
      <c r="K455" s="296"/>
      <c r="L455" s="296"/>
      <c r="M455" s="296"/>
      <c r="N455" s="296"/>
      <c r="O455" s="296"/>
      <c r="P455" s="296"/>
      <c r="Q455" s="296"/>
      <c r="R455" s="296"/>
      <c r="S455" s="296"/>
      <c r="T455" s="296"/>
      <c r="U455" s="296"/>
      <c r="V455" s="296"/>
      <c r="W455" s="296"/>
      <c r="X455" s="296"/>
      <c r="Y455" s="296"/>
      <c r="Z455" s="296"/>
      <c r="AA455" s="296"/>
      <c r="AB455" s="296"/>
      <c r="AC455" s="296"/>
      <c r="AD455" s="296"/>
      <c r="AE455" s="296"/>
      <c r="AF455" s="296"/>
      <c r="AG455" s="296"/>
      <c r="AH455" s="296"/>
      <c r="AI455" s="296"/>
      <c r="AJ455" s="296"/>
      <c r="AK455" s="296"/>
    </row>
    <row r="456" spans="11:37">
      <c r="K456" s="296"/>
      <c r="L456" s="296"/>
      <c r="M456" s="296"/>
      <c r="N456" s="296"/>
      <c r="O456" s="296"/>
      <c r="P456" s="296"/>
      <c r="Q456" s="296"/>
      <c r="R456" s="296"/>
      <c r="S456" s="296"/>
      <c r="T456" s="296"/>
      <c r="U456" s="296"/>
      <c r="V456" s="296"/>
      <c r="W456" s="296"/>
      <c r="X456" s="296"/>
      <c r="Y456" s="296"/>
      <c r="Z456" s="296"/>
      <c r="AA456" s="296"/>
      <c r="AB456" s="296"/>
      <c r="AC456" s="296"/>
      <c r="AD456" s="296"/>
      <c r="AE456" s="296"/>
      <c r="AF456" s="296"/>
      <c r="AG456" s="296"/>
      <c r="AH456" s="296"/>
      <c r="AI456" s="296"/>
      <c r="AJ456" s="296"/>
      <c r="AK456" s="296"/>
    </row>
    <row r="457" spans="11:37">
      <c r="K457" s="296"/>
      <c r="L457" s="296"/>
      <c r="M457" s="296"/>
      <c r="N457" s="296"/>
      <c r="O457" s="296"/>
      <c r="P457" s="296"/>
      <c r="Q457" s="296"/>
      <c r="R457" s="296"/>
      <c r="S457" s="296"/>
      <c r="T457" s="296"/>
      <c r="U457" s="296"/>
      <c r="V457" s="296"/>
      <c r="W457" s="296"/>
      <c r="X457" s="296"/>
      <c r="Y457" s="296"/>
      <c r="Z457" s="296"/>
      <c r="AA457" s="296"/>
      <c r="AB457" s="296"/>
      <c r="AC457" s="296"/>
      <c r="AD457" s="296"/>
      <c r="AE457" s="296"/>
      <c r="AF457" s="296"/>
      <c r="AG457" s="296"/>
      <c r="AH457" s="296"/>
      <c r="AI457" s="296"/>
      <c r="AJ457" s="296"/>
      <c r="AK457" s="296"/>
    </row>
    <row r="458" spans="11:37">
      <c r="K458" s="296"/>
      <c r="L458" s="296"/>
      <c r="M458" s="296"/>
      <c r="N458" s="296"/>
      <c r="O458" s="296"/>
      <c r="P458" s="296"/>
      <c r="Q458" s="296"/>
      <c r="R458" s="296"/>
      <c r="S458" s="296"/>
      <c r="T458" s="296"/>
      <c r="U458" s="296"/>
      <c r="V458" s="296"/>
      <c r="W458" s="296"/>
      <c r="X458" s="296"/>
      <c r="Y458" s="296"/>
      <c r="Z458" s="296"/>
      <c r="AA458" s="296"/>
      <c r="AB458" s="296"/>
      <c r="AC458" s="296"/>
      <c r="AD458" s="296"/>
      <c r="AE458" s="296"/>
      <c r="AF458" s="296"/>
      <c r="AG458" s="296"/>
      <c r="AH458" s="296"/>
      <c r="AI458" s="296"/>
      <c r="AJ458" s="296"/>
      <c r="AK458" s="296"/>
    </row>
    <row r="459" spans="11:37">
      <c r="K459" s="296"/>
      <c r="L459" s="296"/>
      <c r="M459" s="296"/>
      <c r="N459" s="296"/>
      <c r="O459" s="296"/>
      <c r="P459" s="296"/>
      <c r="Q459" s="296"/>
      <c r="R459" s="296"/>
      <c r="S459" s="296"/>
      <c r="T459" s="296"/>
      <c r="U459" s="296"/>
      <c r="V459" s="296"/>
      <c r="W459" s="296"/>
      <c r="X459" s="296"/>
      <c r="Y459" s="296"/>
      <c r="Z459" s="296"/>
      <c r="AA459" s="296"/>
      <c r="AB459" s="296"/>
      <c r="AC459" s="296"/>
      <c r="AD459" s="296"/>
      <c r="AE459" s="296"/>
      <c r="AF459" s="296"/>
      <c r="AG459" s="296"/>
      <c r="AH459" s="296"/>
      <c r="AI459" s="296"/>
      <c r="AJ459" s="296"/>
      <c r="AK459" s="296"/>
    </row>
    <row r="460" spans="11:37">
      <c r="K460" s="296"/>
      <c r="L460" s="296"/>
      <c r="M460" s="296"/>
      <c r="N460" s="296"/>
      <c r="O460" s="296"/>
      <c r="P460" s="296"/>
      <c r="Q460" s="296"/>
      <c r="R460" s="296"/>
      <c r="S460" s="296"/>
      <c r="T460" s="296"/>
      <c r="U460" s="296"/>
      <c r="V460" s="296"/>
      <c r="W460" s="296"/>
      <c r="X460" s="296"/>
      <c r="Y460" s="296"/>
      <c r="Z460" s="296"/>
      <c r="AA460" s="296"/>
      <c r="AB460" s="296"/>
      <c r="AC460" s="296"/>
      <c r="AD460" s="296"/>
      <c r="AE460" s="296"/>
      <c r="AF460" s="296"/>
      <c r="AG460" s="296"/>
      <c r="AH460" s="296"/>
      <c r="AI460" s="296"/>
      <c r="AJ460" s="296"/>
      <c r="AK460" s="296"/>
    </row>
    <row r="461" spans="11:37">
      <c r="K461" s="296"/>
      <c r="L461" s="296"/>
      <c r="M461" s="296"/>
      <c r="N461" s="296"/>
      <c r="O461" s="296"/>
      <c r="P461" s="296"/>
      <c r="Q461" s="296"/>
      <c r="R461" s="296"/>
      <c r="S461" s="296"/>
      <c r="T461" s="296"/>
      <c r="U461" s="296"/>
      <c r="V461" s="296"/>
      <c r="W461" s="296"/>
      <c r="X461" s="296"/>
      <c r="Y461" s="296"/>
      <c r="Z461" s="296"/>
      <c r="AA461" s="296"/>
      <c r="AB461" s="296"/>
      <c r="AC461" s="296"/>
      <c r="AD461" s="296"/>
      <c r="AE461" s="296"/>
      <c r="AF461" s="296"/>
      <c r="AG461" s="296"/>
      <c r="AH461" s="296"/>
      <c r="AI461" s="296"/>
      <c r="AJ461" s="296"/>
      <c r="AK461" s="296"/>
    </row>
    <row r="462" spans="11:37">
      <c r="K462" s="296"/>
      <c r="L462" s="296"/>
      <c r="M462" s="296"/>
      <c r="N462" s="296"/>
      <c r="O462" s="296"/>
      <c r="P462" s="296"/>
      <c r="Q462" s="296"/>
      <c r="R462" s="296"/>
      <c r="S462" s="296"/>
      <c r="T462" s="296"/>
      <c r="U462" s="296"/>
      <c r="V462" s="296"/>
      <c r="W462" s="296"/>
      <c r="X462" s="296"/>
      <c r="Y462" s="296"/>
      <c r="Z462" s="296"/>
      <c r="AA462" s="296"/>
      <c r="AB462" s="296"/>
      <c r="AC462" s="296"/>
      <c r="AD462" s="296"/>
      <c r="AE462" s="296"/>
      <c r="AF462" s="296"/>
      <c r="AG462" s="296"/>
      <c r="AH462" s="296"/>
      <c r="AI462" s="296"/>
      <c r="AJ462" s="296"/>
      <c r="AK462" s="296"/>
    </row>
    <row r="463" spans="11:37">
      <c r="K463" s="296"/>
      <c r="L463" s="296"/>
      <c r="M463" s="296"/>
      <c r="N463" s="296"/>
      <c r="O463" s="296"/>
      <c r="P463" s="296"/>
      <c r="Q463" s="296"/>
      <c r="R463" s="296"/>
      <c r="S463" s="296"/>
      <c r="T463" s="296"/>
      <c r="U463" s="296"/>
      <c r="V463" s="296"/>
      <c r="W463" s="296"/>
      <c r="X463" s="296"/>
      <c r="Y463" s="296"/>
      <c r="Z463" s="296"/>
      <c r="AA463" s="296"/>
      <c r="AB463" s="296"/>
      <c r="AC463" s="296"/>
      <c r="AD463" s="296"/>
      <c r="AE463" s="296"/>
      <c r="AF463" s="296"/>
      <c r="AG463" s="296"/>
      <c r="AH463" s="296"/>
      <c r="AI463" s="296"/>
      <c r="AJ463" s="296"/>
      <c r="AK463" s="296"/>
    </row>
    <row r="464" spans="11:37">
      <c r="K464" s="296"/>
      <c r="L464" s="296"/>
      <c r="M464" s="296"/>
      <c r="N464" s="296"/>
      <c r="O464" s="296"/>
      <c r="P464" s="296"/>
      <c r="Q464" s="296"/>
      <c r="R464" s="296"/>
      <c r="S464" s="296"/>
      <c r="T464" s="296"/>
      <c r="U464" s="296"/>
      <c r="V464" s="296"/>
      <c r="W464" s="296"/>
      <c r="X464" s="296"/>
      <c r="Y464" s="296"/>
      <c r="Z464" s="296"/>
      <c r="AA464" s="296"/>
      <c r="AB464" s="296"/>
      <c r="AC464" s="296"/>
      <c r="AD464" s="296"/>
      <c r="AE464" s="296"/>
      <c r="AF464" s="296"/>
      <c r="AG464" s="296"/>
      <c r="AH464" s="296"/>
      <c r="AI464" s="296"/>
      <c r="AJ464" s="296"/>
      <c r="AK464" s="296"/>
    </row>
    <row r="465" spans="11:37">
      <c r="K465" s="296"/>
      <c r="L465" s="296"/>
      <c r="M465" s="296"/>
      <c r="N465" s="296"/>
      <c r="O465" s="296"/>
      <c r="P465" s="296"/>
      <c r="Q465" s="296"/>
      <c r="R465" s="296"/>
      <c r="S465" s="296"/>
      <c r="T465" s="296"/>
      <c r="U465" s="296"/>
      <c r="V465" s="296"/>
      <c r="W465" s="296"/>
      <c r="X465" s="296"/>
      <c r="Y465" s="296"/>
      <c r="Z465" s="296"/>
      <c r="AA465" s="296"/>
      <c r="AB465" s="296"/>
      <c r="AC465" s="296"/>
      <c r="AD465" s="296"/>
      <c r="AE465" s="296"/>
      <c r="AF465" s="296"/>
      <c r="AG465" s="296"/>
      <c r="AH465" s="296"/>
      <c r="AI465" s="296"/>
      <c r="AJ465" s="296"/>
      <c r="AK465" s="296"/>
    </row>
    <row r="466" spans="11:37">
      <c r="K466" s="296"/>
      <c r="L466" s="296"/>
      <c r="M466" s="296"/>
      <c r="N466" s="296"/>
      <c r="O466" s="296"/>
      <c r="P466" s="296"/>
      <c r="Q466" s="296"/>
      <c r="R466" s="296"/>
      <c r="S466" s="296"/>
      <c r="T466" s="296"/>
      <c r="U466" s="296"/>
      <c r="V466" s="296"/>
      <c r="W466" s="296"/>
      <c r="X466" s="296"/>
      <c r="Y466" s="296"/>
      <c r="Z466" s="296"/>
      <c r="AA466" s="296"/>
      <c r="AB466" s="296"/>
      <c r="AC466" s="296"/>
      <c r="AD466" s="296"/>
      <c r="AE466" s="296"/>
      <c r="AF466" s="296"/>
      <c r="AG466" s="296"/>
      <c r="AH466" s="296"/>
      <c r="AI466" s="296"/>
      <c r="AJ466" s="296"/>
      <c r="AK466" s="296"/>
    </row>
    <row r="467" spans="11:37">
      <c r="K467" s="296"/>
      <c r="L467" s="296"/>
      <c r="M467" s="296"/>
      <c r="N467" s="296"/>
      <c r="O467" s="296"/>
      <c r="P467" s="296"/>
      <c r="Q467" s="296"/>
      <c r="R467" s="296"/>
      <c r="S467" s="296"/>
      <c r="T467" s="296"/>
      <c r="U467" s="296"/>
      <c r="V467" s="296"/>
      <c r="W467" s="296"/>
      <c r="X467" s="296"/>
      <c r="Y467" s="296"/>
      <c r="Z467" s="296"/>
      <c r="AA467" s="296"/>
      <c r="AB467" s="296"/>
      <c r="AC467" s="296"/>
      <c r="AD467" s="296"/>
      <c r="AE467" s="296"/>
      <c r="AF467" s="296"/>
      <c r="AG467" s="296"/>
      <c r="AH467" s="296"/>
      <c r="AI467" s="296"/>
      <c r="AJ467" s="296"/>
      <c r="AK467" s="296"/>
    </row>
    <row r="468" spans="11:37">
      <c r="K468" s="296"/>
      <c r="L468" s="296"/>
      <c r="M468" s="296"/>
      <c r="N468" s="296"/>
      <c r="O468" s="296"/>
      <c r="P468" s="296"/>
      <c r="Q468" s="296"/>
      <c r="R468" s="296"/>
      <c r="S468" s="296"/>
      <c r="T468" s="296"/>
      <c r="U468" s="296"/>
      <c r="V468" s="296"/>
      <c r="W468" s="296"/>
      <c r="X468" s="296"/>
      <c r="Y468" s="296"/>
      <c r="Z468" s="296"/>
      <c r="AA468" s="296"/>
      <c r="AB468" s="296"/>
      <c r="AC468" s="296"/>
      <c r="AD468" s="296"/>
      <c r="AE468" s="296"/>
      <c r="AF468" s="296"/>
      <c r="AG468" s="296"/>
      <c r="AH468" s="296"/>
      <c r="AI468" s="296"/>
      <c r="AJ468" s="296"/>
      <c r="AK468" s="296"/>
    </row>
    <row r="469" spans="11:37">
      <c r="K469" s="296"/>
      <c r="L469" s="296"/>
      <c r="M469" s="296"/>
      <c r="N469" s="296"/>
      <c r="O469" s="296"/>
      <c r="P469" s="296"/>
      <c r="Q469" s="296"/>
      <c r="R469" s="296"/>
      <c r="S469" s="296"/>
      <c r="T469" s="296"/>
      <c r="U469" s="296"/>
      <c r="V469" s="296"/>
      <c r="W469" s="296"/>
      <c r="X469" s="296"/>
      <c r="Y469" s="296"/>
      <c r="Z469" s="296"/>
      <c r="AA469" s="296"/>
      <c r="AB469" s="296"/>
      <c r="AC469" s="296"/>
      <c r="AD469" s="296"/>
      <c r="AE469" s="296"/>
      <c r="AF469" s="296"/>
      <c r="AG469" s="296"/>
      <c r="AH469" s="296"/>
      <c r="AI469" s="296"/>
      <c r="AJ469" s="296"/>
      <c r="AK469" s="296"/>
    </row>
    <row r="470" spans="11:37">
      <c r="K470" s="296"/>
      <c r="L470" s="296"/>
      <c r="M470" s="296"/>
      <c r="N470" s="296"/>
      <c r="O470" s="296"/>
      <c r="P470" s="296"/>
      <c r="Q470" s="296"/>
      <c r="R470" s="296"/>
      <c r="S470" s="296"/>
      <c r="T470" s="296"/>
      <c r="U470" s="296"/>
      <c r="V470" s="296"/>
      <c r="W470" s="296"/>
      <c r="X470" s="296"/>
      <c r="Y470" s="296"/>
      <c r="Z470" s="296"/>
      <c r="AA470" s="296"/>
      <c r="AB470" s="296"/>
      <c r="AC470" s="296"/>
      <c r="AD470" s="296"/>
      <c r="AE470" s="296"/>
      <c r="AF470" s="296"/>
      <c r="AG470" s="296"/>
      <c r="AH470" s="296"/>
      <c r="AI470" s="296"/>
      <c r="AJ470" s="296"/>
      <c r="AK470" s="296"/>
    </row>
    <row r="471" spans="11:37">
      <c r="K471" s="296"/>
      <c r="L471" s="296"/>
      <c r="M471" s="296"/>
      <c r="N471" s="296"/>
      <c r="O471" s="296"/>
      <c r="P471" s="296"/>
      <c r="Q471" s="296"/>
      <c r="R471" s="296"/>
      <c r="S471" s="296"/>
      <c r="T471" s="296"/>
      <c r="U471" s="296"/>
      <c r="V471" s="296"/>
      <c r="W471" s="296"/>
      <c r="X471" s="296"/>
      <c r="Y471" s="296"/>
      <c r="Z471" s="296"/>
      <c r="AA471" s="296"/>
      <c r="AB471" s="296"/>
      <c r="AC471" s="296"/>
      <c r="AD471" s="296"/>
      <c r="AE471" s="296"/>
      <c r="AF471" s="296"/>
      <c r="AG471" s="296"/>
      <c r="AH471" s="296"/>
      <c r="AI471" s="296"/>
      <c r="AJ471" s="296"/>
      <c r="AK471" s="296"/>
    </row>
    <row r="472" spans="11:37">
      <c r="K472" s="296"/>
      <c r="L472" s="296"/>
      <c r="M472" s="296"/>
      <c r="N472" s="296"/>
      <c r="O472" s="296"/>
      <c r="P472" s="296"/>
      <c r="Q472" s="296"/>
      <c r="R472" s="296"/>
      <c r="S472" s="296"/>
      <c r="T472" s="296"/>
      <c r="U472" s="296"/>
      <c r="V472" s="296"/>
      <c r="W472" s="296"/>
      <c r="X472" s="296"/>
      <c r="Y472" s="296"/>
      <c r="Z472" s="296"/>
      <c r="AA472" s="296"/>
      <c r="AB472" s="296"/>
      <c r="AC472" s="296"/>
      <c r="AD472" s="296"/>
      <c r="AE472" s="296"/>
      <c r="AF472" s="296"/>
      <c r="AG472" s="296"/>
      <c r="AH472" s="296"/>
      <c r="AI472" s="296"/>
      <c r="AJ472" s="296"/>
      <c r="AK472" s="296"/>
    </row>
    <row r="473" spans="11:37">
      <c r="K473" s="296"/>
      <c r="L473" s="296"/>
      <c r="M473" s="296"/>
      <c r="N473" s="296"/>
      <c r="O473" s="296"/>
      <c r="P473" s="296"/>
      <c r="Q473" s="296"/>
      <c r="R473" s="296"/>
      <c r="S473" s="296"/>
      <c r="T473" s="296"/>
      <c r="U473" s="296"/>
      <c r="V473" s="296"/>
      <c r="W473" s="296"/>
      <c r="X473" s="296"/>
      <c r="Y473" s="296"/>
      <c r="Z473" s="296"/>
      <c r="AA473" s="296"/>
      <c r="AB473" s="296"/>
      <c r="AC473" s="296"/>
      <c r="AD473" s="296"/>
      <c r="AE473" s="296"/>
      <c r="AF473" s="296"/>
      <c r="AG473" s="296"/>
      <c r="AH473" s="296"/>
      <c r="AI473" s="296"/>
      <c r="AJ473" s="296"/>
      <c r="AK473" s="296"/>
    </row>
    <row r="474" spans="11:37">
      <c r="K474" s="296"/>
      <c r="L474" s="296"/>
      <c r="M474" s="296"/>
      <c r="N474" s="296"/>
      <c r="O474" s="296"/>
      <c r="P474" s="296"/>
      <c r="Q474" s="296"/>
      <c r="R474" s="296"/>
      <c r="S474" s="296"/>
      <c r="T474" s="296"/>
      <c r="U474" s="296"/>
      <c r="V474" s="296"/>
      <c r="W474" s="296"/>
      <c r="X474" s="296"/>
      <c r="Y474" s="296"/>
      <c r="Z474" s="296"/>
      <c r="AA474" s="296"/>
      <c r="AB474" s="296"/>
      <c r="AC474" s="296"/>
      <c r="AD474" s="296"/>
      <c r="AE474" s="296"/>
      <c r="AF474" s="296"/>
      <c r="AG474" s="296"/>
      <c r="AH474" s="296"/>
      <c r="AI474" s="296"/>
      <c r="AJ474" s="296"/>
      <c r="AK474" s="296"/>
    </row>
    <row r="475" spans="11:37">
      <c r="K475" s="296"/>
      <c r="L475" s="296"/>
      <c r="M475" s="296"/>
      <c r="N475" s="296"/>
      <c r="O475" s="296"/>
      <c r="P475" s="296"/>
      <c r="Q475" s="296"/>
      <c r="R475" s="296"/>
      <c r="S475" s="296"/>
      <c r="T475" s="296"/>
      <c r="U475" s="296"/>
      <c r="V475" s="296"/>
      <c r="W475" s="296"/>
      <c r="X475" s="296"/>
      <c r="Y475" s="296"/>
      <c r="Z475" s="296"/>
      <c r="AA475" s="296"/>
      <c r="AB475" s="296"/>
      <c r="AC475" s="296"/>
      <c r="AD475" s="296"/>
      <c r="AE475" s="296"/>
      <c r="AF475" s="296"/>
      <c r="AG475" s="296"/>
      <c r="AH475" s="296"/>
      <c r="AI475" s="296"/>
      <c r="AJ475" s="296"/>
      <c r="AK475" s="296"/>
    </row>
    <row r="476" spans="11:37">
      <c r="K476" s="296"/>
      <c r="L476" s="296"/>
      <c r="M476" s="296"/>
      <c r="N476" s="296"/>
      <c r="O476" s="296"/>
      <c r="P476" s="296"/>
      <c r="Q476" s="296"/>
      <c r="R476" s="296"/>
      <c r="S476" s="296"/>
      <c r="T476" s="296"/>
      <c r="U476" s="296"/>
      <c r="V476" s="296"/>
      <c r="W476" s="296"/>
      <c r="X476" s="296"/>
      <c r="Y476" s="296"/>
      <c r="Z476" s="296"/>
      <c r="AA476" s="296"/>
      <c r="AB476" s="296"/>
      <c r="AC476" s="296"/>
      <c r="AD476" s="296"/>
      <c r="AE476" s="296"/>
      <c r="AF476" s="296"/>
      <c r="AG476" s="296"/>
      <c r="AH476" s="296"/>
      <c r="AI476" s="296"/>
      <c r="AJ476" s="296"/>
      <c r="AK476" s="296"/>
    </row>
    <row r="477" spans="11:37">
      <c r="K477" s="296"/>
      <c r="L477" s="296"/>
      <c r="M477" s="296"/>
      <c r="N477" s="296"/>
      <c r="O477" s="296"/>
      <c r="P477" s="296"/>
      <c r="Q477" s="296"/>
      <c r="R477" s="296"/>
      <c r="S477" s="296"/>
      <c r="T477" s="296"/>
      <c r="U477" s="296"/>
      <c r="V477" s="296"/>
      <c r="W477" s="296"/>
      <c r="X477" s="296"/>
      <c r="Y477" s="296"/>
      <c r="Z477" s="296"/>
      <c r="AA477" s="296"/>
      <c r="AB477" s="296"/>
      <c r="AC477" s="296"/>
      <c r="AD477" s="296"/>
      <c r="AE477" s="296"/>
      <c r="AF477" s="296"/>
      <c r="AG477" s="296"/>
      <c r="AH477" s="296"/>
      <c r="AI477" s="296"/>
      <c r="AJ477" s="296"/>
      <c r="AK477" s="296"/>
    </row>
    <row r="478" spans="11:37">
      <c r="K478" s="296"/>
      <c r="L478" s="296"/>
      <c r="M478" s="296"/>
      <c r="N478" s="296"/>
      <c r="O478" s="296"/>
      <c r="P478" s="296"/>
      <c r="Q478" s="296"/>
      <c r="R478" s="296"/>
      <c r="S478" s="296"/>
      <c r="T478" s="296"/>
      <c r="U478" s="296"/>
      <c r="V478" s="296"/>
      <c r="W478" s="296"/>
      <c r="X478" s="296"/>
      <c r="Y478" s="296"/>
      <c r="Z478" s="296"/>
      <c r="AA478" s="296"/>
      <c r="AB478" s="296"/>
      <c r="AC478" s="296"/>
      <c r="AD478" s="296"/>
      <c r="AE478" s="296"/>
      <c r="AF478" s="296"/>
      <c r="AG478" s="296"/>
      <c r="AH478" s="296"/>
      <c r="AI478" s="296"/>
      <c r="AJ478" s="296"/>
      <c r="AK478" s="296"/>
    </row>
    <row r="479" spans="11:37">
      <c r="K479" s="296"/>
      <c r="L479" s="296"/>
      <c r="M479" s="296"/>
      <c r="N479" s="296"/>
      <c r="O479" s="296"/>
      <c r="P479" s="296"/>
      <c r="Q479" s="296"/>
      <c r="R479" s="296"/>
      <c r="S479" s="296"/>
      <c r="T479" s="296"/>
      <c r="U479" s="296"/>
      <c r="V479" s="296"/>
      <c r="W479" s="296"/>
      <c r="X479" s="296"/>
      <c r="Y479" s="296"/>
      <c r="Z479" s="296"/>
      <c r="AA479" s="296"/>
      <c r="AB479" s="296"/>
      <c r="AC479" s="296"/>
      <c r="AD479" s="296"/>
      <c r="AE479" s="296"/>
      <c r="AF479" s="296"/>
      <c r="AG479" s="296"/>
      <c r="AH479" s="296"/>
      <c r="AI479" s="296"/>
      <c r="AJ479" s="296"/>
      <c r="AK479" s="296"/>
    </row>
    <row r="480" spans="11:37">
      <c r="K480" s="296"/>
      <c r="L480" s="296"/>
      <c r="M480" s="296"/>
      <c r="N480" s="296"/>
      <c r="O480" s="296"/>
      <c r="P480" s="296"/>
      <c r="Q480" s="296"/>
      <c r="R480" s="296"/>
      <c r="S480" s="296"/>
      <c r="T480" s="296"/>
      <c r="U480" s="296"/>
      <c r="V480" s="296"/>
      <c r="W480" s="296"/>
      <c r="X480" s="296"/>
      <c r="Y480" s="296"/>
      <c r="Z480" s="296"/>
      <c r="AA480" s="296"/>
      <c r="AB480" s="296"/>
      <c r="AC480" s="296"/>
      <c r="AD480" s="296"/>
      <c r="AE480" s="296"/>
      <c r="AF480" s="296"/>
      <c r="AG480" s="296"/>
      <c r="AH480" s="296"/>
      <c r="AI480" s="296"/>
      <c r="AJ480" s="296"/>
      <c r="AK480" s="296"/>
    </row>
    <row r="481" spans="11:37">
      <c r="K481" s="296"/>
      <c r="L481" s="296"/>
      <c r="M481" s="296"/>
      <c r="N481" s="296"/>
      <c r="O481" s="296"/>
      <c r="P481" s="296"/>
      <c r="Q481" s="296"/>
      <c r="R481" s="296"/>
      <c r="S481" s="296"/>
      <c r="T481" s="296"/>
      <c r="U481" s="296"/>
      <c r="V481" s="296"/>
      <c r="W481" s="296"/>
      <c r="X481" s="296"/>
      <c r="Y481" s="296"/>
      <c r="Z481" s="296"/>
      <c r="AA481" s="296"/>
      <c r="AB481" s="296"/>
      <c r="AC481" s="296"/>
      <c r="AD481" s="296"/>
      <c r="AE481" s="296"/>
      <c r="AF481" s="296"/>
      <c r="AG481" s="296"/>
      <c r="AH481" s="296"/>
      <c r="AI481" s="296"/>
      <c r="AJ481" s="296"/>
      <c r="AK481" s="296"/>
    </row>
    <row r="482" spans="11:37">
      <c r="K482" s="296"/>
      <c r="L482" s="296"/>
      <c r="M482" s="296"/>
      <c r="N482" s="296"/>
      <c r="O482" s="296"/>
      <c r="P482" s="296"/>
      <c r="Q482" s="296"/>
      <c r="R482" s="296"/>
      <c r="S482" s="296"/>
      <c r="T482" s="296"/>
      <c r="U482" s="296"/>
      <c r="V482" s="296"/>
      <c r="W482" s="296"/>
      <c r="X482" s="296"/>
      <c r="Y482" s="296"/>
      <c r="Z482" s="296"/>
      <c r="AA482" s="296"/>
      <c r="AB482" s="296"/>
      <c r="AC482" s="296"/>
      <c r="AD482" s="296"/>
      <c r="AE482" s="296"/>
      <c r="AF482" s="296"/>
      <c r="AG482" s="296"/>
      <c r="AH482" s="296"/>
      <c r="AI482" s="296"/>
      <c r="AJ482" s="296"/>
      <c r="AK482" s="296"/>
    </row>
    <row r="483" spans="11:37">
      <c r="K483" s="296"/>
      <c r="L483" s="296"/>
      <c r="M483" s="296"/>
      <c r="N483" s="296"/>
      <c r="O483" s="296"/>
      <c r="P483" s="296"/>
      <c r="Q483" s="296"/>
      <c r="R483" s="296"/>
      <c r="S483" s="296"/>
      <c r="T483" s="296"/>
      <c r="U483" s="296"/>
      <c r="V483" s="296"/>
      <c r="W483" s="296"/>
      <c r="X483" s="296"/>
      <c r="Y483" s="296"/>
      <c r="Z483" s="296"/>
      <c r="AA483" s="296"/>
      <c r="AB483" s="296"/>
      <c r="AC483" s="296"/>
      <c r="AD483" s="296"/>
      <c r="AE483" s="296"/>
      <c r="AF483" s="296"/>
      <c r="AG483" s="296"/>
      <c r="AH483" s="296"/>
      <c r="AI483" s="296"/>
      <c r="AJ483" s="296"/>
      <c r="AK483" s="296"/>
    </row>
    <row r="484" spans="11:37">
      <c r="K484" s="296"/>
      <c r="L484" s="296"/>
      <c r="M484" s="296"/>
      <c r="N484" s="296"/>
      <c r="O484" s="296"/>
      <c r="P484" s="296"/>
      <c r="Q484" s="296"/>
      <c r="R484" s="296"/>
      <c r="S484" s="296"/>
      <c r="T484" s="296"/>
      <c r="U484" s="296"/>
      <c r="V484" s="296"/>
      <c r="W484" s="296"/>
      <c r="X484" s="296"/>
      <c r="Y484" s="296"/>
      <c r="Z484" s="296"/>
      <c r="AA484" s="296"/>
      <c r="AB484" s="296"/>
      <c r="AC484" s="296"/>
      <c r="AD484" s="296"/>
      <c r="AE484" s="296"/>
      <c r="AF484" s="296"/>
      <c r="AG484" s="296"/>
      <c r="AH484" s="296"/>
      <c r="AI484" s="296"/>
      <c r="AJ484" s="296"/>
      <c r="AK484" s="296"/>
    </row>
    <row r="485" spans="11:37">
      <c r="K485" s="296"/>
      <c r="L485" s="296"/>
      <c r="M485" s="296"/>
      <c r="N485" s="296"/>
      <c r="O485" s="296"/>
      <c r="P485" s="296"/>
      <c r="Q485" s="296"/>
      <c r="R485" s="296"/>
      <c r="S485" s="296"/>
      <c r="T485" s="296"/>
      <c r="U485" s="296"/>
      <c r="V485" s="296"/>
      <c r="W485" s="296"/>
      <c r="X485" s="296"/>
      <c r="Y485" s="296"/>
      <c r="Z485" s="296"/>
      <c r="AA485" s="296"/>
      <c r="AB485" s="296"/>
      <c r="AC485" s="296"/>
      <c r="AD485" s="296"/>
      <c r="AE485" s="296"/>
      <c r="AF485" s="296"/>
      <c r="AG485" s="296"/>
      <c r="AH485" s="296"/>
      <c r="AI485" s="296"/>
      <c r="AJ485" s="296"/>
      <c r="AK485" s="296"/>
    </row>
    <row r="486" spans="11:37">
      <c r="K486" s="296"/>
      <c r="L486" s="296"/>
      <c r="M486" s="296"/>
      <c r="N486" s="296"/>
      <c r="O486" s="296"/>
      <c r="P486" s="296"/>
      <c r="Q486" s="296"/>
      <c r="R486" s="296"/>
      <c r="S486" s="296"/>
      <c r="T486" s="296"/>
      <c r="U486" s="296"/>
      <c r="V486" s="296"/>
      <c r="W486" s="296"/>
      <c r="X486" s="296"/>
      <c r="Y486" s="296"/>
      <c r="Z486" s="296"/>
      <c r="AA486" s="296"/>
      <c r="AB486" s="296"/>
      <c r="AC486" s="296"/>
      <c r="AD486" s="296"/>
      <c r="AE486" s="296"/>
      <c r="AF486" s="296"/>
      <c r="AG486" s="296"/>
      <c r="AH486" s="296"/>
      <c r="AI486" s="296"/>
      <c r="AJ486" s="296"/>
      <c r="AK486" s="296"/>
    </row>
    <row r="487" spans="11:37">
      <c r="K487" s="296"/>
      <c r="L487" s="296"/>
      <c r="M487" s="296"/>
      <c r="N487" s="296"/>
      <c r="O487" s="296"/>
      <c r="P487" s="296"/>
      <c r="Q487" s="296"/>
      <c r="R487" s="296"/>
      <c r="S487" s="296"/>
      <c r="T487" s="296"/>
      <c r="U487" s="296"/>
      <c r="V487" s="296"/>
      <c r="W487" s="296"/>
      <c r="X487" s="296"/>
      <c r="Y487" s="296"/>
      <c r="Z487" s="296"/>
      <c r="AA487" s="296"/>
      <c r="AB487" s="296"/>
      <c r="AC487" s="296"/>
      <c r="AD487" s="296"/>
      <c r="AE487" s="296"/>
      <c r="AF487" s="296"/>
      <c r="AG487" s="296"/>
      <c r="AH487" s="296"/>
      <c r="AI487" s="296"/>
      <c r="AJ487" s="296"/>
      <c r="AK487" s="296"/>
    </row>
    <row r="488" spans="11:37">
      <c r="K488" s="296"/>
      <c r="L488" s="296"/>
      <c r="M488" s="296"/>
      <c r="N488" s="296"/>
      <c r="O488" s="296"/>
      <c r="P488" s="296"/>
      <c r="Q488" s="296"/>
      <c r="R488" s="296"/>
      <c r="S488" s="296"/>
      <c r="T488" s="296"/>
      <c r="U488" s="296"/>
      <c r="V488" s="296"/>
      <c r="W488" s="296"/>
      <c r="X488" s="296"/>
      <c r="Y488" s="296"/>
      <c r="Z488" s="296"/>
      <c r="AA488" s="296"/>
      <c r="AB488" s="296"/>
      <c r="AC488" s="296"/>
      <c r="AD488" s="296"/>
      <c r="AE488" s="296"/>
      <c r="AF488" s="296"/>
      <c r="AG488" s="296"/>
      <c r="AH488" s="296"/>
      <c r="AI488" s="296"/>
      <c r="AJ488" s="296"/>
      <c r="AK488" s="296"/>
    </row>
    <row r="489" spans="11:37">
      <c r="K489" s="296"/>
      <c r="L489" s="296"/>
      <c r="M489" s="296"/>
      <c r="N489" s="296"/>
      <c r="O489" s="296"/>
      <c r="P489" s="296"/>
      <c r="Q489" s="296"/>
      <c r="R489" s="296"/>
      <c r="S489" s="296"/>
      <c r="T489" s="296"/>
      <c r="U489" s="296"/>
      <c r="V489" s="296"/>
      <c r="W489" s="296"/>
      <c r="X489" s="296"/>
      <c r="Y489" s="296"/>
      <c r="Z489" s="296"/>
      <c r="AA489" s="296"/>
      <c r="AB489" s="296"/>
      <c r="AC489" s="296"/>
      <c r="AD489" s="296"/>
      <c r="AE489" s="296"/>
      <c r="AF489" s="296"/>
      <c r="AG489" s="296"/>
      <c r="AH489" s="296"/>
      <c r="AI489" s="296"/>
      <c r="AJ489" s="296"/>
      <c r="AK489" s="296"/>
    </row>
    <row r="490" spans="11:37">
      <c r="K490" s="296"/>
      <c r="L490" s="296"/>
      <c r="M490" s="296"/>
      <c r="N490" s="296"/>
      <c r="O490" s="296"/>
      <c r="P490" s="296"/>
      <c r="Q490" s="296"/>
      <c r="R490" s="296"/>
      <c r="S490" s="296"/>
      <c r="T490" s="296"/>
      <c r="U490" s="296"/>
      <c r="V490" s="296"/>
      <c r="W490" s="296"/>
      <c r="X490" s="296"/>
      <c r="Y490" s="296"/>
      <c r="Z490" s="296"/>
      <c r="AA490" s="296"/>
      <c r="AB490" s="296"/>
      <c r="AC490" s="296"/>
      <c r="AD490" s="296"/>
      <c r="AE490" s="296"/>
      <c r="AF490" s="296"/>
      <c r="AG490" s="296"/>
      <c r="AH490" s="296"/>
      <c r="AI490" s="296"/>
      <c r="AJ490" s="296"/>
      <c r="AK490" s="296"/>
    </row>
    <row r="491" spans="11:37">
      <c r="K491" s="296"/>
      <c r="L491" s="296"/>
      <c r="M491" s="296"/>
      <c r="N491" s="296"/>
      <c r="O491" s="296"/>
      <c r="P491" s="296"/>
      <c r="Q491" s="296"/>
      <c r="R491" s="296"/>
      <c r="S491" s="296"/>
      <c r="T491" s="296"/>
      <c r="U491" s="296"/>
      <c r="V491" s="296"/>
      <c r="W491" s="296"/>
      <c r="X491" s="296"/>
      <c r="Y491" s="296"/>
      <c r="Z491" s="296"/>
      <c r="AA491" s="296"/>
      <c r="AB491" s="296"/>
      <c r="AC491" s="296"/>
      <c r="AD491" s="296"/>
      <c r="AE491" s="296"/>
      <c r="AF491" s="296"/>
      <c r="AG491" s="296"/>
      <c r="AH491" s="296"/>
      <c r="AI491" s="296"/>
      <c r="AJ491" s="296"/>
      <c r="AK491" s="296"/>
    </row>
    <row r="492" spans="11:37">
      <c r="K492" s="296"/>
      <c r="L492" s="296"/>
      <c r="M492" s="296"/>
      <c r="N492" s="296"/>
      <c r="O492" s="296"/>
      <c r="P492" s="296"/>
      <c r="Q492" s="296"/>
      <c r="R492" s="296"/>
      <c r="S492" s="296"/>
      <c r="T492" s="296"/>
      <c r="U492" s="296"/>
      <c r="V492" s="296"/>
      <c r="W492" s="296"/>
      <c r="X492" s="296"/>
      <c r="Y492" s="296"/>
      <c r="Z492" s="296"/>
      <c r="AA492" s="296"/>
      <c r="AB492" s="296"/>
      <c r="AC492" s="296"/>
      <c r="AD492" s="296"/>
      <c r="AE492" s="296"/>
      <c r="AF492" s="296"/>
      <c r="AG492" s="296"/>
      <c r="AH492" s="296"/>
      <c r="AI492" s="296"/>
      <c r="AJ492" s="296"/>
      <c r="AK492" s="296"/>
    </row>
    <row r="493" spans="11:37">
      <c r="K493" s="296"/>
      <c r="L493" s="296"/>
      <c r="M493" s="296"/>
      <c r="N493" s="296"/>
      <c r="O493" s="296"/>
      <c r="P493" s="296"/>
      <c r="Q493" s="296"/>
      <c r="R493" s="296"/>
      <c r="S493" s="296"/>
      <c r="T493" s="296"/>
      <c r="U493" s="296"/>
      <c r="V493" s="296"/>
      <c r="W493" s="296"/>
      <c r="X493" s="296"/>
      <c r="Y493" s="296"/>
      <c r="Z493" s="296"/>
      <c r="AA493" s="296"/>
      <c r="AB493" s="296"/>
      <c r="AC493" s="296"/>
      <c r="AD493" s="296"/>
      <c r="AE493" s="296"/>
      <c r="AF493" s="296"/>
      <c r="AG493" s="296"/>
      <c r="AH493" s="296"/>
      <c r="AI493" s="296"/>
      <c r="AJ493" s="296"/>
      <c r="AK493" s="296"/>
    </row>
    <row r="494" spans="11:37">
      <c r="K494" s="296"/>
      <c r="L494" s="296"/>
      <c r="M494" s="296"/>
      <c r="N494" s="296"/>
      <c r="O494" s="296"/>
      <c r="P494" s="296"/>
      <c r="Q494" s="296"/>
      <c r="R494" s="296"/>
      <c r="S494" s="296"/>
      <c r="T494" s="296"/>
      <c r="U494" s="296"/>
      <c r="V494" s="296"/>
      <c r="W494" s="296"/>
      <c r="X494" s="296"/>
      <c r="Y494" s="296"/>
      <c r="Z494" s="296"/>
      <c r="AA494" s="296"/>
      <c r="AB494" s="296"/>
      <c r="AC494" s="296"/>
      <c r="AD494" s="296"/>
      <c r="AE494" s="296"/>
      <c r="AF494" s="296"/>
      <c r="AG494" s="296"/>
      <c r="AH494" s="296"/>
      <c r="AI494" s="296"/>
      <c r="AJ494" s="296"/>
      <c r="AK494" s="296"/>
    </row>
    <row r="495" spans="11:37">
      <c r="K495" s="296"/>
      <c r="L495" s="296"/>
      <c r="M495" s="296"/>
      <c r="N495" s="296"/>
      <c r="O495" s="296"/>
      <c r="P495" s="296"/>
      <c r="Q495" s="296"/>
      <c r="R495" s="296"/>
      <c r="S495" s="296"/>
      <c r="T495" s="296"/>
      <c r="U495" s="296"/>
      <c r="V495" s="296"/>
      <c r="W495" s="296"/>
      <c r="X495" s="296"/>
      <c r="Y495" s="296"/>
      <c r="Z495" s="296"/>
      <c r="AA495" s="296"/>
      <c r="AB495" s="296"/>
      <c r="AC495" s="296"/>
      <c r="AD495" s="296"/>
      <c r="AE495" s="296"/>
      <c r="AF495" s="296"/>
      <c r="AG495" s="296"/>
      <c r="AH495" s="296"/>
      <c r="AI495" s="296"/>
      <c r="AJ495" s="296"/>
      <c r="AK495" s="296"/>
    </row>
    <row r="496" spans="11:37">
      <c r="K496" s="296"/>
      <c r="L496" s="296"/>
      <c r="M496" s="296"/>
      <c r="N496" s="296"/>
      <c r="O496" s="296"/>
      <c r="P496" s="296"/>
      <c r="Q496" s="296"/>
      <c r="R496" s="296"/>
      <c r="S496" s="296"/>
      <c r="T496" s="296"/>
      <c r="U496" s="296"/>
      <c r="V496" s="296"/>
      <c r="W496" s="296"/>
      <c r="X496" s="296"/>
      <c r="Y496" s="296"/>
      <c r="Z496" s="296"/>
      <c r="AA496" s="296"/>
      <c r="AB496" s="296"/>
      <c r="AC496" s="296"/>
      <c r="AD496" s="296"/>
      <c r="AE496" s="296"/>
      <c r="AF496" s="296"/>
      <c r="AG496" s="296"/>
      <c r="AH496" s="296"/>
      <c r="AI496" s="296"/>
      <c r="AJ496" s="296"/>
      <c r="AK496" s="296"/>
    </row>
    <row r="497" spans="11:37">
      <c r="K497" s="296"/>
      <c r="L497" s="296"/>
      <c r="M497" s="296"/>
      <c r="N497" s="296"/>
      <c r="O497" s="296"/>
      <c r="P497" s="296"/>
      <c r="Q497" s="296"/>
      <c r="R497" s="296"/>
      <c r="S497" s="296"/>
      <c r="T497" s="296"/>
      <c r="U497" s="296"/>
      <c r="V497" s="296"/>
      <c r="W497" s="296"/>
      <c r="X497" s="296"/>
      <c r="Y497" s="296"/>
      <c r="Z497" s="296"/>
      <c r="AA497" s="296"/>
      <c r="AB497" s="296"/>
      <c r="AC497" s="296"/>
      <c r="AD497" s="296"/>
      <c r="AE497" s="296"/>
      <c r="AF497" s="296"/>
      <c r="AG497" s="296"/>
      <c r="AH497" s="296"/>
      <c r="AI497" s="296"/>
      <c r="AJ497" s="296"/>
      <c r="AK497" s="296"/>
    </row>
    <row r="498" spans="11:37">
      <c r="K498" s="296"/>
      <c r="L498" s="296"/>
      <c r="M498" s="296"/>
      <c r="N498" s="296"/>
      <c r="O498" s="296"/>
      <c r="P498" s="296"/>
      <c r="Q498" s="296"/>
      <c r="R498" s="296"/>
      <c r="S498" s="296"/>
      <c r="T498" s="296"/>
      <c r="U498" s="296"/>
      <c r="V498" s="296"/>
      <c r="W498" s="296"/>
      <c r="X498" s="296"/>
      <c r="Y498" s="296"/>
      <c r="Z498" s="296"/>
      <c r="AA498" s="296"/>
      <c r="AB498" s="296"/>
      <c r="AC498" s="296"/>
      <c r="AD498" s="296"/>
      <c r="AE498" s="296"/>
      <c r="AF498" s="296"/>
      <c r="AG498" s="296"/>
      <c r="AH498" s="296"/>
      <c r="AI498" s="296"/>
      <c r="AJ498" s="296"/>
      <c r="AK498" s="296"/>
    </row>
    <row r="499" spans="11:37">
      <c r="K499" s="296"/>
      <c r="L499" s="296"/>
      <c r="M499" s="296"/>
      <c r="N499" s="296"/>
      <c r="O499" s="296"/>
      <c r="P499" s="296"/>
      <c r="Q499" s="296"/>
      <c r="R499" s="296"/>
      <c r="S499" s="296"/>
      <c r="T499" s="296"/>
      <c r="U499" s="296"/>
      <c r="V499" s="296"/>
      <c r="W499" s="296"/>
      <c r="X499" s="296"/>
      <c r="Y499" s="296"/>
      <c r="Z499" s="296"/>
      <c r="AA499" s="296"/>
      <c r="AB499" s="296"/>
      <c r="AC499" s="296"/>
      <c r="AD499" s="296"/>
      <c r="AE499" s="296"/>
      <c r="AF499" s="296"/>
      <c r="AG499" s="296"/>
      <c r="AH499" s="296"/>
      <c r="AI499" s="296"/>
      <c r="AJ499" s="296"/>
      <c r="AK499" s="296"/>
    </row>
    <row r="500" spans="11:37">
      <c r="K500" s="296"/>
      <c r="L500" s="296"/>
      <c r="M500" s="296"/>
      <c r="N500" s="296"/>
      <c r="O500" s="296"/>
      <c r="P500" s="296"/>
      <c r="Q500" s="296"/>
      <c r="R500" s="296"/>
      <c r="S500" s="296"/>
      <c r="T500" s="296"/>
      <c r="U500" s="296"/>
      <c r="V500" s="296"/>
      <c r="W500" s="296"/>
      <c r="X500" s="296"/>
      <c r="Y500" s="296"/>
      <c r="Z500" s="296"/>
      <c r="AA500" s="296"/>
      <c r="AB500" s="296"/>
      <c r="AC500" s="296"/>
      <c r="AD500" s="296"/>
      <c r="AE500" s="296"/>
      <c r="AF500" s="296"/>
      <c r="AG500" s="296"/>
      <c r="AH500" s="296"/>
      <c r="AI500" s="296"/>
      <c r="AJ500" s="296"/>
      <c r="AK500" s="296"/>
    </row>
    <row r="501" spans="11:37">
      <c r="K501" s="296"/>
      <c r="L501" s="296"/>
      <c r="M501" s="296"/>
      <c r="N501" s="296"/>
      <c r="O501" s="296"/>
      <c r="P501" s="296"/>
      <c r="Q501" s="296"/>
      <c r="R501" s="296"/>
      <c r="S501" s="296"/>
      <c r="T501" s="296"/>
      <c r="U501" s="296"/>
      <c r="V501" s="296"/>
      <c r="W501" s="296"/>
      <c r="X501" s="296"/>
      <c r="Y501" s="296"/>
      <c r="Z501" s="296"/>
      <c r="AA501" s="296"/>
      <c r="AB501" s="296"/>
      <c r="AC501" s="296"/>
      <c r="AD501" s="296"/>
      <c r="AE501" s="296"/>
      <c r="AF501" s="296"/>
      <c r="AG501" s="296"/>
      <c r="AH501" s="296"/>
      <c r="AI501" s="296"/>
      <c r="AJ501" s="296"/>
      <c r="AK501" s="296"/>
    </row>
    <row r="502" spans="11:37">
      <c r="K502" s="296"/>
      <c r="L502" s="296"/>
      <c r="M502" s="296"/>
      <c r="N502" s="296"/>
      <c r="O502" s="296"/>
      <c r="P502" s="296"/>
      <c r="Q502" s="296"/>
      <c r="R502" s="296"/>
      <c r="S502" s="296"/>
      <c r="T502" s="296"/>
      <c r="U502" s="296"/>
      <c r="V502" s="296"/>
      <c r="W502" s="296"/>
      <c r="X502" s="296"/>
      <c r="Y502" s="296"/>
      <c r="Z502" s="296"/>
      <c r="AA502" s="296"/>
      <c r="AB502" s="296"/>
      <c r="AC502" s="296"/>
      <c r="AD502" s="296"/>
      <c r="AE502" s="296"/>
      <c r="AF502" s="296"/>
      <c r="AG502" s="296"/>
      <c r="AH502" s="296"/>
      <c r="AI502" s="296"/>
      <c r="AJ502" s="296"/>
      <c r="AK502" s="296"/>
    </row>
    <row r="503" spans="11:37">
      <c r="K503" s="296"/>
      <c r="L503" s="296"/>
      <c r="M503" s="296"/>
      <c r="N503" s="296"/>
      <c r="O503" s="296"/>
      <c r="P503" s="296"/>
      <c r="Q503" s="296"/>
      <c r="R503" s="296"/>
      <c r="S503" s="296"/>
      <c r="T503" s="296"/>
      <c r="U503" s="296"/>
      <c r="V503" s="296"/>
      <c r="W503" s="296"/>
      <c r="X503" s="296"/>
      <c r="Y503" s="296"/>
      <c r="Z503" s="296"/>
      <c r="AA503" s="296"/>
      <c r="AB503" s="296"/>
      <c r="AC503" s="296"/>
      <c r="AD503" s="296"/>
      <c r="AE503" s="296"/>
      <c r="AF503" s="296"/>
      <c r="AG503" s="296"/>
      <c r="AH503" s="296"/>
      <c r="AI503" s="296"/>
      <c r="AJ503" s="296"/>
      <c r="AK503" s="296"/>
    </row>
    <row r="504" spans="11:37">
      <c r="K504" s="296"/>
      <c r="L504" s="296"/>
      <c r="M504" s="296"/>
      <c r="N504" s="296"/>
      <c r="O504" s="296"/>
      <c r="P504" s="296"/>
      <c r="Q504" s="296"/>
      <c r="R504" s="296"/>
      <c r="S504" s="296"/>
      <c r="T504" s="296"/>
      <c r="U504" s="296"/>
      <c r="V504" s="296"/>
      <c r="W504" s="296"/>
      <c r="X504" s="296"/>
      <c r="Y504" s="296"/>
      <c r="Z504" s="296"/>
      <c r="AA504" s="296"/>
      <c r="AB504" s="296"/>
      <c r="AC504" s="296"/>
      <c r="AD504" s="296"/>
      <c r="AE504" s="296"/>
      <c r="AF504" s="296"/>
      <c r="AG504" s="296"/>
      <c r="AH504" s="296"/>
      <c r="AI504" s="296"/>
      <c r="AJ504" s="296"/>
      <c r="AK504" s="296"/>
    </row>
    <row r="505" spans="11:37">
      <c r="K505" s="296"/>
      <c r="L505" s="296"/>
      <c r="M505" s="296"/>
      <c r="N505" s="296"/>
      <c r="O505" s="296"/>
      <c r="P505" s="296"/>
      <c r="Q505" s="296"/>
      <c r="R505" s="296"/>
      <c r="S505" s="296"/>
      <c r="T505" s="296"/>
      <c r="U505" s="296"/>
      <c r="V505" s="296"/>
      <c r="W505" s="296"/>
      <c r="X505" s="296"/>
      <c r="Y505" s="296"/>
      <c r="Z505" s="296"/>
      <c r="AA505" s="296"/>
      <c r="AB505" s="296"/>
      <c r="AC505" s="296"/>
      <c r="AD505" s="296"/>
      <c r="AE505" s="296"/>
      <c r="AF505" s="296"/>
      <c r="AG505" s="296"/>
      <c r="AH505" s="296"/>
      <c r="AI505" s="296"/>
      <c r="AJ505" s="296"/>
      <c r="AK505" s="296"/>
    </row>
    <row r="506" spans="11:37">
      <c r="K506" s="296"/>
      <c r="L506" s="296"/>
      <c r="M506" s="296"/>
      <c r="N506" s="296"/>
      <c r="O506" s="296"/>
      <c r="P506" s="296"/>
      <c r="Q506" s="296"/>
      <c r="R506" s="296"/>
      <c r="S506" s="296"/>
      <c r="T506" s="296"/>
      <c r="U506" s="296"/>
      <c r="V506" s="296"/>
      <c r="W506" s="296"/>
      <c r="X506" s="296"/>
      <c r="Y506" s="296"/>
      <c r="Z506" s="296"/>
      <c r="AA506" s="296"/>
      <c r="AB506" s="296"/>
      <c r="AC506" s="296"/>
      <c r="AD506" s="296"/>
      <c r="AE506" s="296"/>
      <c r="AF506" s="296"/>
      <c r="AG506" s="296"/>
      <c r="AH506" s="296"/>
      <c r="AI506" s="296"/>
      <c r="AJ506" s="296"/>
      <c r="AK506" s="296"/>
    </row>
    <row r="507" spans="11:37">
      <c r="K507" s="296"/>
      <c r="L507" s="296"/>
      <c r="M507" s="296"/>
      <c r="N507" s="296"/>
      <c r="O507" s="296"/>
      <c r="P507" s="296"/>
      <c r="Q507" s="296"/>
      <c r="R507" s="296"/>
      <c r="S507" s="296"/>
      <c r="T507" s="296"/>
      <c r="U507" s="296"/>
      <c r="V507" s="296"/>
      <c r="W507" s="296"/>
      <c r="X507" s="296"/>
      <c r="Y507" s="296"/>
      <c r="Z507" s="296"/>
      <c r="AA507" s="296"/>
      <c r="AB507" s="296"/>
      <c r="AC507" s="296"/>
      <c r="AD507" s="296"/>
      <c r="AE507" s="296"/>
      <c r="AF507" s="296"/>
      <c r="AG507" s="296"/>
      <c r="AH507" s="296"/>
      <c r="AI507" s="296"/>
      <c r="AJ507" s="296"/>
      <c r="AK507" s="296"/>
    </row>
    <row r="508" spans="11:37">
      <c r="K508" s="296"/>
      <c r="L508" s="296"/>
      <c r="M508" s="296"/>
      <c r="N508" s="296"/>
      <c r="O508" s="296"/>
      <c r="P508" s="296"/>
      <c r="Q508" s="296"/>
      <c r="R508" s="296"/>
      <c r="S508" s="296"/>
      <c r="T508" s="296"/>
      <c r="U508" s="296"/>
      <c r="V508" s="296"/>
      <c r="W508" s="296"/>
      <c r="X508" s="296"/>
      <c r="Y508" s="296"/>
      <c r="Z508" s="296"/>
      <c r="AA508" s="296"/>
      <c r="AB508" s="296"/>
      <c r="AC508" s="296"/>
      <c r="AD508" s="296"/>
      <c r="AE508" s="296"/>
      <c r="AF508" s="296"/>
      <c r="AG508" s="296"/>
      <c r="AH508" s="296"/>
      <c r="AI508" s="296"/>
      <c r="AJ508" s="296"/>
      <c r="AK508" s="296"/>
    </row>
    <row r="509" spans="11:37">
      <c r="K509" s="296"/>
      <c r="L509" s="296"/>
      <c r="M509" s="296"/>
      <c r="N509" s="296"/>
      <c r="O509" s="296"/>
      <c r="P509" s="296"/>
      <c r="Q509" s="296"/>
      <c r="R509" s="296"/>
      <c r="S509" s="296"/>
      <c r="T509" s="296"/>
      <c r="U509" s="296"/>
      <c r="V509" s="296"/>
      <c r="W509" s="296"/>
      <c r="X509" s="296"/>
      <c r="Y509" s="296"/>
      <c r="Z509" s="296"/>
      <c r="AA509" s="296"/>
      <c r="AB509" s="296"/>
      <c r="AC509" s="296"/>
      <c r="AD509" s="296"/>
      <c r="AE509" s="296"/>
      <c r="AF509" s="296"/>
      <c r="AG509" s="296"/>
      <c r="AH509" s="296"/>
      <c r="AI509" s="296"/>
      <c r="AJ509" s="296"/>
      <c r="AK509" s="296"/>
    </row>
    <row r="510" spans="11:37">
      <c r="K510" s="296"/>
      <c r="L510" s="296"/>
      <c r="M510" s="296"/>
      <c r="N510" s="296"/>
      <c r="O510" s="296"/>
      <c r="P510" s="296"/>
      <c r="Q510" s="296"/>
      <c r="R510" s="296"/>
      <c r="S510" s="296"/>
      <c r="T510" s="296"/>
      <c r="U510" s="296"/>
      <c r="V510" s="296"/>
      <c r="W510" s="296"/>
      <c r="X510" s="296"/>
      <c r="Y510" s="296"/>
      <c r="Z510" s="296"/>
      <c r="AA510" s="296"/>
      <c r="AB510" s="296"/>
      <c r="AC510" s="296"/>
      <c r="AD510" s="296"/>
      <c r="AE510" s="296"/>
      <c r="AF510" s="296"/>
      <c r="AG510" s="296"/>
      <c r="AH510" s="296"/>
      <c r="AI510" s="296"/>
      <c r="AJ510" s="296"/>
      <c r="AK510" s="296"/>
    </row>
    <row r="511" spans="11:37">
      <c r="K511" s="296"/>
      <c r="L511" s="296"/>
      <c r="M511" s="296"/>
      <c r="N511" s="296"/>
      <c r="O511" s="296"/>
      <c r="P511" s="296"/>
      <c r="Q511" s="296"/>
      <c r="R511" s="296"/>
      <c r="S511" s="296"/>
      <c r="T511" s="296"/>
      <c r="U511" s="296"/>
      <c r="V511" s="296"/>
      <c r="W511" s="296"/>
      <c r="X511" s="296"/>
      <c r="Y511" s="296"/>
      <c r="Z511" s="296"/>
      <c r="AA511" s="296"/>
      <c r="AB511" s="296"/>
      <c r="AC511" s="296"/>
      <c r="AD511" s="296"/>
      <c r="AE511" s="296"/>
      <c r="AF511" s="296"/>
      <c r="AG511" s="296"/>
      <c r="AH511" s="296"/>
      <c r="AI511" s="296"/>
      <c r="AJ511" s="296"/>
      <c r="AK511" s="296"/>
    </row>
    <row r="512" spans="11:37">
      <c r="K512" s="296"/>
      <c r="L512" s="296"/>
      <c r="M512" s="296"/>
      <c r="N512" s="296"/>
      <c r="O512" s="296"/>
      <c r="P512" s="296"/>
      <c r="Q512" s="296"/>
      <c r="R512" s="296"/>
      <c r="S512" s="296"/>
      <c r="T512" s="296"/>
      <c r="U512" s="296"/>
      <c r="V512" s="296"/>
      <c r="W512" s="296"/>
      <c r="X512" s="296"/>
      <c r="Y512" s="296"/>
      <c r="Z512" s="296"/>
      <c r="AA512" s="296"/>
      <c r="AB512" s="296"/>
      <c r="AC512" s="296"/>
      <c r="AD512" s="296"/>
      <c r="AE512" s="296"/>
      <c r="AF512" s="296"/>
      <c r="AG512" s="296"/>
      <c r="AH512" s="296"/>
      <c r="AI512" s="296"/>
      <c r="AJ512" s="296"/>
      <c r="AK512" s="296"/>
    </row>
    <row r="513" spans="11:37">
      <c r="K513" s="296"/>
      <c r="L513" s="296"/>
      <c r="M513" s="296"/>
      <c r="N513" s="296"/>
      <c r="O513" s="296"/>
      <c r="P513" s="296"/>
      <c r="Q513" s="296"/>
      <c r="R513" s="296"/>
      <c r="S513" s="296"/>
      <c r="T513" s="296"/>
      <c r="U513" s="296"/>
      <c r="V513" s="296"/>
      <c r="W513" s="296"/>
      <c r="X513" s="296"/>
      <c r="Y513" s="296"/>
      <c r="Z513" s="296"/>
      <c r="AA513" s="296"/>
      <c r="AB513" s="296"/>
      <c r="AC513" s="296"/>
      <c r="AD513" s="296"/>
      <c r="AE513" s="296"/>
      <c r="AF513" s="296"/>
      <c r="AG513" s="296"/>
      <c r="AH513" s="296"/>
      <c r="AI513" s="296"/>
      <c r="AJ513" s="296"/>
      <c r="AK513" s="296"/>
    </row>
    <row r="514" spans="11:37">
      <c r="K514" s="296"/>
      <c r="L514" s="296"/>
      <c r="M514" s="296"/>
      <c r="N514" s="296"/>
      <c r="O514" s="296"/>
      <c r="P514" s="296"/>
      <c r="Q514" s="296"/>
      <c r="R514" s="296"/>
      <c r="S514" s="296"/>
      <c r="T514" s="296"/>
      <c r="U514" s="296"/>
      <c r="V514" s="296"/>
      <c r="W514" s="296"/>
      <c r="X514" s="296"/>
      <c r="Y514" s="296"/>
      <c r="Z514" s="296"/>
      <c r="AA514" s="296"/>
      <c r="AB514" s="296"/>
      <c r="AC514" s="296"/>
      <c r="AD514" s="296"/>
      <c r="AE514" s="296"/>
      <c r="AF514" s="296"/>
      <c r="AG514" s="296"/>
      <c r="AH514" s="296"/>
      <c r="AI514" s="296"/>
      <c r="AJ514" s="296"/>
      <c r="AK514" s="296"/>
    </row>
    <row r="515" spans="11:37">
      <c r="K515" s="296"/>
      <c r="L515" s="296"/>
      <c r="M515" s="296"/>
      <c r="N515" s="296"/>
      <c r="O515" s="296"/>
      <c r="P515" s="296"/>
      <c r="Q515" s="296"/>
      <c r="R515" s="296"/>
      <c r="S515" s="296"/>
      <c r="T515" s="296"/>
      <c r="U515" s="296"/>
      <c r="V515" s="296"/>
      <c r="W515" s="296"/>
      <c r="X515" s="296"/>
      <c r="Y515" s="296"/>
      <c r="Z515" s="296"/>
      <c r="AA515" s="296"/>
      <c r="AB515" s="296"/>
      <c r="AC515" s="296"/>
      <c r="AD515" s="296"/>
      <c r="AE515" s="296"/>
      <c r="AF515" s="296"/>
      <c r="AG515" s="296"/>
      <c r="AH515" s="296"/>
      <c r="AI515" s="296"/>
      <c r="AJ515" s="296"/>
      <c r="AK515" s="296"/>
    </row>
    <row r="516" spans="11:37">
      <c r="K516" s="296"/>
      <c r="L516" s="296"/>
      <c r="M516" s="296"/>
      <c r="N516" s="296"/>
      <c r="O516" s="296"/>
      <c r="P516" s="296"/>
      <c r="Q516" s="296"/>
      <c r="R516" s="296"/>
      <c r="S516" s="296"/>
      <c r="T516" s="296"/>
      <c r="U516" s="296"/>
      <c r="V516" s="296"/>
      <c r="W516" s="296"/>
      <c r="X516" s="296"/>
      <c r="Y516" s="296"/>
      <c r="Z516" s="296"/>
      <c r="AA516" s="296"/>
      <c r="AB516" s="296"/>
      <c r="AC516" s="296"/>
      <c r="AD516" s="296"/>
      <c r="AE516" s="296"/>
      <c r="AF516" s="296"/>
      <c r="AG516" s="296"/>
      <c r="AH516" s="296"/>
      <c r="AI516" s="296"/>
      <c r="AJ516" s="296"/>
      <c r="AK516" s="296"/>
    </row>
    <row r="517" spans="11:37">
      <c r="K517" s="296"/>
      <c r="L517" s="296"/>
      <c r="M517" s="296"/>
      <c r="N517" s="296"/>
      <c r="O517" s="296"/>
      <c r="P517" s="296"/>
      <c r="Q517" s="296"/>
      <c r="R517" s="296"/>
      <c r="S517" s="296"/>
      <c r="T517" s="296"/>
      <c r="U517" s="296"/>
      <c r="V517" s="296"/>
      <c r="W517" s="296"/>
      <c r="X517" s="296"/>
      <c r="Y517" s="296"/>
      <c r="Z517" s="296"/>
      <c r="AA517" s="296"/>
      <c r="AB517" s="296"/>
      <c r="AC517" s="296"/>
      <c r="AD517" s="296"/>
      <c r="AE517" s="296"/>
      <c r="AF517" s="296"/>
      <c r="AG517" s="296"/>
      <c r="AH517" s="296"/>
      <c r="AI517" s="296"/>
      <c r="AJ517" s="296"/>
      <c r="AK517" s="296"/>
    </row>
    <row r="518" spans="11:37">
      <c r="K518" s="296"/>
      <c r="L518" s="296"/>
      <c r="M518" s="296"/>
      <c r="N518" s="296"/>
      <c r="O518" s="296"/>
      <c r="P518" s="296"/>
      <c r="Q518" s="296"/>
      <c r="R518" s="296"/>
      <c r="S518" s="296"/>
      <c r="T518" s="296"/>
      <c r="U518" s="296"/>
      <c r="V518" s="296"/>
      <c r="W518" s="296"/>
      <c r="X518" s="296"/>
      <c r="Y518" s="296"/>
      <c r="Z518" s="296"/>
      <c r="AA518" s="296"/>
      <c r="AB518" s="296"/>
      <c r="AC518" s="296"/>
      <c r="AD518" s="296"/>
      <c r="AE518" s="296"/>
      <c r="AF518" s="296"/>
      <c r="AG518" s="296"/>
      <c r="AH518" s="296"/>
      <c r="AI518" s="296"/>
      <c r="AJ518" s="296"/>
      <c r="AK518" s="296"/>
    </row>
    <row r="519" spans="11:37">
      <c r="K519" s="296"/>
      <c r="L519" s="296"/>
      <c r="M519" s="296"/>
      <c r="N519" s="296"/>
      <c r="O519" s="296"/>
      <c r="P519" s="296"/>
      <c r="Q519" s="296"/>
      <c r="R519" s="296"/>
      <c r="S519" s="296"/>
      <c r="T519" s="296"/>
      <c r="U519" s="296"/>
      <c r="V519" s="296"/>
      <c r="W519" s="296"/>
      <c r="X519" s="296"/>
      <c r="Y519" s="296"/>
      <c r="Z519" s="296"/>
      <c r="AA519" s="296"/>
      <c r="AB519" s="296"/>
      <c r="AC519" s="296"/>
      <c r="AD519" s="296"/>
      <c r="AE519" s="296"/>
      <c r="AF519" s="296"/>
      <c r="AG519" s="296"/>
      <c r="AH519" s="296"/>
      <c r="AI519" s="296"/>
      <c r="AJ519" s="296"/>
      <c r="AK519" s="296"/>
    </row>
    <row r="520" spans="11:37">
      <c r="K520" s="296"/>
      <c r="L520" s="296"/>
      <c r="M520" s="296"/>
      <c r="N520" s="296"/>
      <c r="O520" s="296"/>
      <c r="P520" s="296"/>
      <c r="Q520" s="296"/>
      <c r="R520" s="296"/>
      <c r="S520" s="296"/>
      <c r="T520" s="296"/>
      <c r="U520" s="296"/>
      <c r="V520" s="296"/>
      <c r="W520" s="296"/>
      <c r="X520" s="296"/>
      <c r="Y520" s="296"/>
      <c r="Z520" s="296"/>
      <c r="AA520" s="296"/>
      <c r="AB520" s="296"/>
      <c r="AC520" s="296"/>
      <c r="AD520" s="296"/>
      <c r="AE520" s="296"/>
      <c r="AF520" s="296"/>
      <c r="AG520" s="296"/>
      <c r="AH520" s="296"/>
      <c r="AI520" s="296"/>
      <c r="AJ520" s="296"/>
      <c r="AK520" s="296"/>
    </row>
    <row r="521" spans="11:37">
      <c r="K521" s="296"/>
      <c r="L521" s="296"/>
      <c r="M521" s="296"/>
      <c r="N521" s="296"/>
      <c r="O521" s="296"/>
      <c r="P521" s="296"/>
      <c r="Q521" s="296"/>
      <c r="R521" s="296"/>
      <c r="S521" s="296"/>
      <c r="T521" s="296"/>
      <c r="U521" s="296"/>
      <c r="V521" s="296"/>
      <c r="W521" s="296"/>
      <c r="X521" s="296"/>
      <c r="Y521" s="296"/>
      <c r="Z521" s="296"/>
      <c r="AA521" s="296"/>
      <c r="AB521" s="296"/>
      <c r="AC521" s="296"/>
      <c r="AD521" s="296"/>
      <c r="AE521" s="296"/>
      <c r="AF521" s="296"/>
      <c r="AG521" s="296"/>
      <c r="AH521" s="296"/>
      <c r="AI521" s="296"/>
      <c r="AJ521" s="296"/>
      <c r="AK521" s="296"/>
    </row>
    <row r="522" spans="11:37">
      <c r="K522" s="296"/>
      <c r="L522" s="296"/>
      <c r="M522" s="296"/>
      <c r="N522" s="296"/>
      <c r="O522" s="296"/>
      <c r="P522" s="296"/>
      <c r="Q522" s="296"/>
      <c r="R522" s="296"/>
      <c r="S522" s="296"/>
      <c r="T522" s="296"/>
      <c r="U522" s="296"/>
      <c r="V522" s="296"/>
      <c r="W522" s="296"/>
      <c r="X522" s="296"/>
      <c r="Y522" s="296"/>
      <c r="Z522" s="296"/>
      <c r="AA522" s="296"/>
      <c r="AB522" s="296"/>
      <c r="AC522" s="296"/>
      <c r="AD522" s="296"/>
      <c r="AE522" s="296"/>
      <c r="AF522" s="296"/>
      <c r="AG522" s="296"/>
      <c r="AH522" s="296"/>
      <c r="AI522" s="296"/>
      <c r="AJ522" s="296"/>
      <c r="AK522" s="296"/>
    </row>
    <row r="523" spans="11:37">
      <c r="K523" s="296"/>
      <c r="L523" s="296"/>
      <c r="M523" s="296"/>
      <c r="N523" s="296"/>
      <c r="O523" s="296"/>
      <c r="P523" s="296"/>
      <c r="Q523" s="296"/>
      <c r="R523" s="296"/>
      <c r="S523" s="296"/>
      <c r="T523" s="296"/>
      <c r="U523" s="296"/>
      <c r="V523" s="296"/>
      <c r="W523" s="296"/>
      <c r="X523" s="296"/>
      <c r="Y523" s="296"/>
      <c r="Z523" s="296"/>
      <c r="AA523" s="296"/>
      <c r="AB523" s="296"/>
      <c r="AC523" s="296"/>
      <c r="AD523" s="296"/>
      <c r="AE523" s="296"/>
      <c r="AF523" s="296"/>
      <c r="AG523" s="296"/>
      <c r="AH523" s="296"/>
      <c r="AI523" s="296"/>
      <c r="AJ523" s="296"/>
      <c r="AK523" s="296"/>
    </row>
    <row r="524" spans="11:37">
      <c r="K524" s="296"/>
      <c r="L524" s="296"/>
      <c r="M524" s="296"/>
      <c r="N524" s="296"/>
      <c r="O524" s="296"/>
      <c r="P524" s="296"/>
      <c r="Q524" s="296"/>
      <c r="R524" s="296"/>
      <c r="S524" s="296"/>
      <c r="T524" s="296"/>
      <c r="U524" s="296"/>
      <c r="V524" s="296"/>
      <c r="W524" s="296"/>
      <c r="X524" s="296"/>
      <c r="Y524" s="296"/>
      <c r="Z524" s="296"/>
      <c r="AA524" s="296"/>
      <c r="AB524" s="296"/>
      <c r="AC524" s="296"/>
      <c r="AD524" s="296"/>
      <c r="AE524" s="296"/>
      <c r="AF524" s="296"/>
      <c r="AG524" s="296"/>
      <c r="AH524" s="296"/>
      <c r="AI524" s="296"/>
      <c r="AJ524" s="296"/>
      <c r="AK524" s="296"/>
    </row>
    <row r="525" spans="11:37">
      <c r="K525" s="296"/>
      <c r="L525" s="296"/>
      <c r="M525" s="296"/>
      <c r="N525" s="296"/>
      <c r="O525" s="296"/>
      <c r="P525" s="296"/>
      <c r="Q525" s="296"/>
      <c r="R525" s="296"/>
      <c r="S525" s="296"/>
      <c r="T525" s="296"/>
      <c r="U525" s="296"/>
      <c r="V525" s="296"/>
      <c r="W525" s="296"/>
      <c r="X525" s="296"/>
      <c r="Y525" s="296"/>
      <c r="Z525" s="296"/>
      <c r="AA525" s="296"/>
      <c r="AB525" s="296"/>
      <c r="AC525" s="296"/>
      <c r="AD525" s="296"/>
      <c r="AE525" s="296"/>
      <c r="AF525" s="296"/>
      <c r="AG525" s="296"/>
      <c r="AH525" s="296"/>
      <c r="AI525" s="296"/>
      <c r="AJ525" s="296"/>
      <c r="AK525" s="296"/>
    </row>
    <row r="526" spans="11:37">
      <c r="K526" s="296"/>
      <c r="L526" s="296"/>
      <c r="M526" s="296"/>
      <c r="N526" s="296"/>
      <c r="O526" s="296"/>
      <c r="P526" s="296"/>
      <c r="Q526" s="296"/>
      <c r="R526" s="296"/>
      <c r="S526" s="296"/>
      <c r="T526" s="296"/>
      <c r="U526" s="296"/>
      <c r="V526" s="296"/>
      <c r="W526" s="296"/>
      <c r="X526" s="296"/>
      <c r="Y526" s="296"/>
      <c r="Z526" s="296"/>
      <c r="AA526" s="296"/>
      <c r="AB526" s="296"/>
      <c r="AC526" s="296"/>
      <c r="AD526" s="296"/>
      <c r="AE526" s="296"/>
      <c r="AF526" s="296"/>
      <c r="AG526" s="296"/>
      <c r="AH526" s="296"/>
      <c r="AI526" s="296"/>
      <c r="AJ526" s="296"/>
      <c r="AK526" s="296"/>
    </row>
    <row r="527" spans="11:37">
      <c r="K527" s="296"/>
      <c r="L527" s="296"/>
      <c r="M527" s="296"/>
      <c r="N527" s="296"/>
      <c r="O527" s="296"/>
      <c r="P527" s="296"/>
      <c r="Q527" s="296"/>
      <c r="R527" s="296"/>
      <c r="S527" s="296"/>
      <c r="T527" s="296"/>
      <c r="U527" s="296"/>
      <c r="V527" s="296"/>
      <c r="W527" s="296"/>
      <c r="X527" s="296"/>
      <c r="Y527" s="296"/>
      <c r="Z527" s="296"/>
      <c r="AA527" s="296"/>
      <c r="AB527" s="296"/>
      <c r="AC527" s="296"/>
      <c r="AD527" s="296"/>
      <c r="AE527" s="296"/>
      <c r="AF527" s="296"/>
      <c r="AG527" s="296"/>
      <c r="AH527" s="296"/>
      <c r="AI527" s="296"/>
      <c r="AJ527" s="296"/>
      <c r="AK527" s="296"/>
    </row>
    <row r="528" spans="11:37">
      <c r="K528" s="296"/>
      <c r="L528" s="296"/>
      <c r="M528" s="296"/>
      <c r="N528" s="296"/>
      <c r="O528" s="296"/>
      <c r="P528" s="296"/>
      <c r="Q528" s="296"/>
      <c r="R528" s="296"/>
      <c r="S528" s="296"/>
      <c r="T528" s="296"/>
      <c r="U528" s="296"/>
      <c r="V528" s="296"/>
      <c r="W528" s="296"/>
      <c r="X528" s="296"/>
      <c r="Y528" s="296"/>
      <c r="Z528" s="296"/>
      <c r="AA528" s="296"/>
      <c r="AB528" s="296"/>
      <c r="AC528" s="296"/>
      <c r="AD528" s="296"/>
      <c r="AE528" s="296"/>
      <c r="AF528" s="296"/>
      <c r="AG528" s="296"/>
      <c r="AH528" s="296"/>
      <c r="AI528" s="296"/>
      <c r="AJ528" s="296"/>
      <c r="AK528" s="296"/>
    </row>
    <row r="529" spans="11:37">
      <c r="K529" s="296"/>
      <c r="L529" s="296"/>
      <c r="M529" s="296"/>
      <c r="N529" s="296"/>
      <c r="O529" s="296"/>
      <c r="P529" s="296"/>
      <c r="Q529" s="296"/>
      <c r="R529" s="296"/>
      <c r="S529" s="296"/>
      <c r="T529" s="296"/>
      <c r="U529" s="296"/>
      <c r="V529" s="296"/>
      <c r="W529" s="296"/>
      <c r="X529" s="296"/>
      <c r="Y529" s="296"/>
      <c r="Z529" s="296"/>
      <c r="AA529" s="296"/>
      <c r="AB529" s="296"/>
      <c r="AC529" s="296"/>
      <c r="AD529" s="296"/>
      <c r="AE529" s="296"/>
      <c r="AF529" s="296"/>
      <c r="AG529" s="296"/>
      <c r="AH529" s="296"/>
      <c r="AI529" s="296"/>
      <c r="AJ529" s="296"/>
      <c r="AK529" s="296"/>
    </row>
    <row r="530" spans="11:37">
      <c r="K530" s="296"/>
      <c r="L530" s="296"/>
      <c r="M530" s="296"/>
      <c r="N530" s="296"/>
      <c r="O530" s="296"/>
      <c r="P530" s="296"/>
      <c r="Q530" s="296"/>
      <c r="R530" s="296"/>
      <c r="S530" s="296"/>
      <c r="T530" s="296"/>
      <c r="U530" s="296"/>
      <c r="V530" s="296"/>
      <c r="W530" s="296"/>
      <c r="X530" s="296"/>
      <c r="Y530" s="296"/>
      <c r="Z530" s="296"/>
      <c r="AA530" s="296"/>
      <c r="AB530" s="296"/>
      <c r="AC530" s="296"/>
      <c r="AD530" s="296"/>
      <c r="AE530" s="296"/>
      <c r="AF530" s="296"/>
      <c r="AG530" s="296"/>
      <c r="AH530" s="296"/>
      <c r="AI530" s="296"/>
      <c r="AJ530" s="296"/>
      <c r="AK530" s="296"/>
    </row>
    <row r="531" spans="11:37">
      <c r="K531" s="296"/>
      <c r="L531" s="296"/>
      <c r="M531" s="296"/>
      <c r="N531" s="296"/>
      <c r="O531" s="296"/>
      <c r="P531" s="296"/>
      <c r="Q531" s="296"/>
      <c r="R531" s="296"/>
      <c r="S531" s="296"/>
      <c r="T531" s="296"/>
      <c r="U531" s="296"/>
      <c r="V531" s="296"/>
      <c r="W531" s="296"/>
      <c r="X531" s="296"/>
      <c r="Y531" s="296"/>
      <c r="Z531" s="296"/>
      <c r="AA531" s="296"/>
      <c r="AB531" s="296"/>
      <c r="AC531" s="296"/>
      <c r="AD531" s="296"/>
      <c r="AE531" s="296"/>
      <c r="AF531" s="296"/>
      <c r="AG531" s="296"/>
      <c r="AH531" s="296"/>
      <c r="AI531" s="296"/>
      <c r="AJ531" s="296"/>
      <c r="AK531" s="296"/>
    </row>
    <row r="532" spans="11:37">
      <c r="K532" s="296"/>
      <c r="L532" s="296"/>
      <c r="M532" s="296"/>
      <c r="N532" s="296"/>
      <c r="O532" s="296"/>
      <c r="P532" s="296"/>
      <c r="Q532" s="296"/>
      <c r="R532" s="296"/>
      <c r="S532" s="296"/>
      <c r="T532" s="296"/>
      <c r="U532" s="296"/>
      <c r="V532" s="296"/>
      <c r="W532" s="296"/>
      <c r="X532" s="296"/>
      <c r="Y532" s="296"/>
      <c r="Z532" s="296"/>
      <c r="AA532" s="296"/>
      <c r="AB532" s="296"/>
      <c r="AC532" s="296"/>
      <c r="AD532" s="296"/>
      <c r="AE532" s="296"/>
      <c r="AF532" s="296"/>
      <c r="AG532" s="296"/>
      <c r="AH532" s="296"/>
      <c r="AI532" s="296"/>
      <c r="AJ532" s="296"/>
      <c r="AK532" s="296"/>
    </row>
    <row r="533" spans="11:37">
      <c r="K533" s="296"/>
      <c r="L533" s="296"/>
      <c r="M533" s="296"/>
      <c r="N533" s="296"/>
      <c r="O533" s="296"/>
      <c r="P533" s="296"/>
      <c r="Q533" s="296"/>
      <c r="R533" s="296"/>
      <c r="S533" s="296"/>
      <c r="T533" s="296"/>
      <c r="U533" s="296"/>
      <c r="V533" s="296"/>
      <c r="W533" s="296"/>
      <c r="X533" s="296"/>
      <c r="Y533" s="296"/>
      <c r="Z533" s="296"/>
      <c r="AA533" s="296"/>
      <c r="AB533" s="296"/>
      <c r="AC533" s="296"/>
      <c r="AD533" s="296"/>
      <c r="AE533" s="296"/>
      <c r="AF533" s="296"/>
      <c r="AG533" s="296"/>
      <c r="AH533" s="296"/>
      <c r="AI533" s="296"/>
      <c r="AJ533" s="296"/>
      <c r="AK533" s="296"/>
    </row>
    <row r="534" spans="11:37">
      <c r="K534" s="296"/>
      <c r="L534" s="296"/>
      <c r="M534" s="296"/>
      <c r="N534" s="296"/>
      <c r="O534" s="296"/>
      <c r="P534" s="296"/>
      <c r="Q534" s="296"/>
      <c r="R534" s="296"/>
      <c r="S534" s="296"/>
      <c r="T534" s="296"/>
      <c r="U534" s="296"/>
      <c r="V534" s="296"/>
      <c r="W534" s="296"/>
      <c r="X534" s="296"/>
      <c r="Y534" s="296"/>
      <c r="Z534" s="296"/>
      <c r="AA534" s="296"/>
      <c r="AB534" s="296"/>
      <c r="AC534" s="296"/>
      <c r="AD534" s="296"/>
      <c r="AE534" s="296"/>
      <c r="AF534" s="296"/>
      <c r="AG534" s="296"/>
      <c r="AH534" s="296"/>
      <c r="AI534" s="296"/>
      <c r="AJ534" s="296"/>
      <c r="AK534" s="296"/>
    </row>
    <row r="535" spans="11:37">
      <c r="K535" s="296"/>
      <c r="L535" s="296"/>
      <c r="M535" s="296"/>
      <c r="N535" s="296"/>
      <c r="O535" s="296"/>
      <c r="P535" s="296"/>
      <c r="Q535" s="296"/>
      <c r="R535" s="296"/>
      <c r="S535" s="296"/>
      <c r="T535" s="296"/>
      <c r="U535" s="296"/>
      <c r="V535" s="296"/>
      <c r="W535" s="296"/>
      <c r="X535" s="296"/>
      <c r="Y535" s="296"/>
      <c r="Z535" s="296"/>
      <c r="AA535" s="296"/>
      <c r="AB535" s="296"/>
      <c r="AC535" s="296"/>
      <c r="AD535" s="296"/>
      <c r="AE535" s="296"/>
      <c r="AF535" s="296"/>
      <c r="AG535" s="296"/>
      <c r="AH535" s="296"/>
      <c r="AI535" s="296"/>
      <c r="AJ535" s="296"/>
      <c r="AK535" s="296"/>
    </row>
    <row r="536" spans="11:37">
      <c r="K536" s="296"/>
      <c r="L536" s="296"/>
      <c r="M536" s="296"/>
      <c r="N536" s="296"/>
      <c r="O536" s="296"/>
      <c r="P536" s="296"/>
      <c r="Q536" s="296"/>
      <c r="R536" s="296"/>
      <c r="S536" s="296"/>
      <c r="T536" s="296"/>
      <c r="U536" s="296"/>
      <c r="V536" s="296"/>
      <c r="W536" s="296"/>
      <c r="X536" s="296"/>
      <c r="Y536" s="296"/>
      <c r="Z536" s="296"/>
      <c r="AA536" s="296"/>
      <c r="AB536" s="296"/>
      <c r="AC536" s="296"/>
      <c r="AD536" s="296"/>
      <c r="AE536" s="296"/>
      <c r="AF536" s="296"/>
      <c r="AG536" s="296"/>
      <c r="AH536" s="296"/>
      <c r="AI536" s="296"/>
      <c r="AJ536" s="296"/>
      <c r="AK536" s="296"/>
    </row>
    <row r="537" spans="11:37">
      <c r="K537" s="296"/>
      <c r="L537" s="296"/>
      <c r="M537" s="296"/>
      <c r="N537" s="296"/>
      <c r="O537" s="296"/>
      <c r="P537" s="296"/>
      <c r="Q537" s="296"/>
      <c r="R537" s="296"/>
      <c r="S537" s="296"/>
      <c r="T537" s="296"/>
      <c r="U537" s="296"/>
      <c r="V537" s="296"/>
      <c r="W537" s="296"/>
      <c r="X537" s="296"/>
      <c r="Y537" s="296"/>
      <c r="Z537" s="296"/>
      <c r="AA537" s="296"/>
      <c r="AB537" s="296"/>
      <c r="AC537" s="296"/>
      <c r="AD537" s="296"/>
      <c r="AE537" s="296"/>
      <c r="AF537" s="296"/>
      <c r="AG537" s="296"/>
      <c r="AH537" s="296"/>
      <c r="AI537" s="296"/>
      <c r="AJ537" s="296"/>
      <c r="AK537" s="296"/>
    </row>
    <row r="538" spans="11:37">
      <c r="K538" s="296"/>
      <c r="L538" s="296"/>
      <c r="M538" s="296"/>
      <c r="N538" s="296"/>
      <c r="O538" s="296"/>
      <c r="P538" s="296"/>
      <c r="Q538" s="296"/>
      <c r="R538" s="296"/>
      <c r="S538" s="296"/>
      <c r="T538" s="296"/>
      <c r="U538" s="296"/>
      <c r="V538" s="296"/>
      <c r="W538" s="296"/>
      <c r="X538" s="296"/>
      <c r="Y538" s="296"/>
      <c r="Z538" s="296"/>
      <c r="AA538" s="296"/>
      <c r="AB538" s="296"/>
      <c r="AC538" s="296"/>
      <c r="AD538" s="296"/>
      <c r="AE538" s="296"/>
      <c r="AF538" s="296"/>
      <c r="AG538" s="296"/>
      <c r="AH538" s="296"/>
      <c r="AI538" s="296"/>
      <c r="AJ538" s="296"/>
      <c r="AK538" s="296"/>
    </row>
    <row r="539" spans="11:37">
      <c r="K539" s="296"/>
      <c r="L539" s="296"/>
      <c r="M539" s="296"/>
      <c r="N539" s="296"/>
      <c r="O539" s="296"/>
      <c r="P539" s="296"/>
      <c r="Q539" s="296"/>
      <c r="R539" s="296"/>
      <c r="S539" s="296"/>
      <c r="T539" s="296"/>
      <c r="U539" s="296"/>
      <c r="V539" s="296"/>
      <c r="W539" s="296"/>
      <c r="X539" s="296"/>
      <c r="Y539" s="296"/>
      <c r="Z539" s="296"/>
      <c r="AA539" s="296"/>
      <c r="AB539" s="296"/>
      <c r="AC539" s="296"/>
      <c r="AD539" s="296"/>
      <c r="AE539" s="296"/>
      <c r="AF539" s="296"/>
      <c r="AG539" s="296"/>
      <c r="AH539" s="296"/>
      <c r="AI539" s="296"/>
      <c r="AJ539" s="296"/>
      <c r="AK539" s="296"/>
    </row>
    <row r="540" spans="11:37">
      <c r="K540" s="296"/>
      <c r="L540" s="296"/>
      <c r="M540" s="296"/>
      <c r="N540" s="296"/>
      <c r="O540" s="296"/>
      <c r="P540" s="296"/>
      <c r="Q540" s="296"/>
      <c r="R540" s="296"/>
      <c r="S540" s="296"/>
      <c r="T540" s="296"/>
      <c r="U540" s="296"/>
      <c r="V540" s="296"/>
      <c r="W540" s="296"/>
      <c r="X540" s="296"/>
      <c r="Y540" s="296"/>
      <c r="Z540" s="296"/>
      <c r="AA540" s="296"/>
      <c r="AB540" s="296"/>
      <c r="AC540" s="296"/>
      <c r="AD540" s="296"/>
      <c r="AE540" s="296"/>
      <c r="AF540" s="296"/>
      <c r="AG540" s="296"/>
      <c r="AH540" s="296"/>
      <c r="AI540" s="296"/>
      <c r="AJ540" s="296"/>
      <c r="AK540" s="296"/>
    </row>
    <row r="541" spans="11:37">
      <c r="K541" s="296"/>
      <c r="L541" s="296"/>
      <c r="M541" s="296"/>
      <c r="N541" s="296"/>
      <c r="O541" s="296"/>
      <c r="P541" s="296"/>
      <c r="Q541" s="296"/>
      <c r="R541" s="296"/>
      <c r="S541" s="296"/>
      <c r="T541" s="296"/>
      <c r="U541" s="296"/>
      <c r="V541" s="296"/>
      <c r="W541" s="296"/>
      <c r="X541" s="296"/>
      <c r="Y541" s="296"/>
      <c r="Z541" s="296"/>
      <c r="AA541" s="296"/>
      <c r="AB541" s="296"/>
      <c r="AC541" s="296"/>
      <c r="AD541" s="296"/>
      <c r="AE541" s="296"/>
      <c r="AF541" s="296"/>
      <c r="AG541" s="296"/>
      <c r="AH541" s="296"/>
      <c r="AI541" s="296"/>
      <c r="AJ541" s="296"/>
      <c r="AK541" s="296"/>
    </row>
    <row r="542" spans="11:37">
      <c r="K542" s="296"/>
      <c r="L542" s="296"/>
      <c r="M542" s="296"/>
      <c r="N542" s="296"/>
      <c r="O542" s="296"/>
      <c r="P542" s="296"/>
      <c r="Q542" s="296"/>
      <c r="R542" s="296"/>
      <c r="S542" s="296"/>
      <c r="T542" s="296"/>
      <c r="U542" s="296"/>
      <c r="V542" s="296"/>
      <c r="W542" s="296"/>
      <c r="X542" s="296"/>
      <c r="Y542" s="296"/>
      <c r="Z542" s="296"/>
      <c r="AA542" s="296"/>
      <c r="AB542" s="296"/>
      <c r="AC542" s="296"/>
      <c r="AD542" s="296"/>
      <c r="AE542" s="296"/>
      <c r="AF542" s="296"/>
      <c r="AG542" s="296"/>
      <c r="AH542" s="296"/>
      <c r="AI542" s="296"/>
      <c r="AJ542" s="296"/>
      <c r="AK542" s="296"/>
    </row>
    <row r="543" spans="11:37">
      <c r="K543" s="296"/>
      <c r="L543" s="296"/>
      <c r="M543" s="296"/>
      <c r="N543" s="296"/>
      <c r="O543" s="296"/>
      <c r="P543" s="296"/>
      <c r="Q543" s="296"/>
      <c r="R543" s="296"/>
      <c r="S543" s="296"/>
      <c r="T543" s="296"/>
      <c r="U543" s="296"/>
      <c r="V543" s="296"/>
      <c r="W543" s="296"/>
      <c r="X543" s="296"/>
      <c r="Y543" s="296"/>
      <c r="Z543" s="296"/>
      <c r="AA543" s="296"/>
      <c r="AB543" s="296"/>
      <c r="AC543" s="296"/>
      <c r="AD543" s="296"/>
      <c r="AE543" s="296"/>
      <c r="AF543" s="296"/>
      <c r="AG543" s="296"/>
      <c r="AH543" s="296"/>
      <c r="AI543" s="296"/>
      <c r="AJ543" s="296"/>
      <c r="AK543" s="296"/>
    </row>
    <row r="544" spans="11:37">
      <c r="K544" s="296"/>
      <c r="L544" s="296"/>
      <c r="M544" s="296"/>
      <c r="N544" s="296"/>
      <c r="O544" s="296"/>
      <c r="P544" s="296"/>
      <c r="Q544" s="296"/>
      <c r="R544" s="296"/>
      <c r="S544" s="296"/>
      <c r="T544" s="296"/>
      <c r="U544" s="296"/>
      <c r="V544" s="296"/>
      <c r="W544" s="296"/>
      <c r="X544" s="296"/>
      <c r="Y544" s="296"/>
      <c r="Z544" s="296"/>
      <c r="AA544" s="296"/>
      <c r="AB544" s="296"/>
      <c r="AC544" s="296"/>
      <c r="AD544" s="296"/>
      <c r="AE544" s="296"/>
      <c r="AF544" s="296"/>
      <c r="AG544" s="296"/>
      <c r="AH544" s="296"/>
      <c r="AI544" s="296"/>
      <c r="AJ544" s="296"/>
      <c r="AK544" s="296"/>
    </row>
    <row r="545" spans="11:37">
      <c r="K545" s="296"/>
      <c r="L545" s="296"/>
      <c r="M545" s="296"/>
      <c r="N545" s="296"/>
      <c r="O545" s="296"/>
      <c r="P545" s="296"/>
      <c r="Q545" s="296"/>
      <c r="R545" s="296"/>
      <c r="S545" s="296"/>
      <c r="T545" s="296"/>
      <c r="U545" s="296"/>
      <c r="V545" s="296"/>
      <c r="W545" s="296"/>
      <c r="X545" s="296"/>
      <c r="Y545" s="296"/>
      <c r="Z545" s="296"/>
      <c r="AA545" s="296"/>
      <c r="AB545" s="296"/>
      <c r="AC545" s="296"/>
      <c r="AD545" s="296"/>
      <c r="AE545" s="296"/>
      <c r="AF545" s="296"/>
      <c r="AG545" s="296"/>
      <c r="AH545" s="296"/>
      <c r="AI545" s="296"/>
      <c r="AJ545" s="296"/>
      <c r="AK545" s="296"/>
    </row>
    <row r="546" spans="11:37">
      <c r="K546" s="296"/>
      <c r="L546" s="296"/>
      <c r="M546" s="296"/>
      <c r="N546" s="296"/>
      <c r="O546" s="296"/>
      <c r="P546" s="296"/>
      <c r="Q546" s="296"/>
      <c r="R546" s="296"/>
      <c r="S546" s="296"/>
      <c r="T546" s="296"/>
      <c r="U546" s="296"/>
      <c r="V546" s="296"/>
      <c r="W546" s="296"/>
      <c r="X546" s="296"/>
      <c r="Y546" s="296"/>
      <c r="Z546" s="296"/>
      <c r="AA546" s="296"/>
      <c r="AB546" s="296"/>
      <c r="AC546" s="296"/>
      <c r="AD546" s="296"/>
      <c r="AE546" s="296"/>
      <c r="AF546" s="296"/>
      <c r="AG546" s="296"/>
      <c r="AH546" s="296"/>
      <c r="AI546" s="296"/>
      <c r="AJ546" s="296"/>
      <c r="AK546" s="296"/>
    </row>
    <row r="547" spans="11:37">
      <c r="K547" s="296"/>
      <c r="L547" s="296"/>
      <c r="M547" s="296"/>
      <c r="N547" s="296"/>
      <c r="O547" s="296"/>
      <c r="P547" s="296"/>
      <c r="Q547" s="296"/>
      <c r="R547" s="296"/>
      <c r="S547" s="296"/>
      <c r="T547" s="296"/>
      <c r="U547" s="296"/>
      <c r="V547" s="296"/>
      <c r="W547" s="296"/>
      <c r="X547" s="296"/>
      <c r="Y547" s="296"/>
      <c r="Z547" s="296"/>
      <c r="AA547" s="296"/>
      <c r="AB547" s="296"/>
      <c r="AC547" s="296"/>
      <c r="AD547" s="296"/>
      <c r="AE547" s="296"/>
      <c r="AF547" s="296"/>
      <c r="AG547" s="296"/>
      <c r="AH547" s="296"/>
      <c r="AI547" s="296"/>
      <c r="AJ547" s="296"/>
      <c r="AK547" s="296"/>
    </row>
    <row r="548" spans="11:37">
      <c r="K548" s="296"/>
      <c r="L548" s="296"/>
      <c r="M548" s="296"/>
      <c r="N548" s="296"/>
      <c r="O548" s="296"/>
      <c r="P548" s="296"/>
      <c r="Q548" s="296"/>
      <c r="R548" s="296"/>
      <c r="S548" s="296"/>
      <c r="T548" s="296"/>
      <c r="U548" s="296"/>
      <c r="V548" s="296"/>
      <c r="W548" s="296"/>
      <c r="X548" s="296"/>
      <c r="Y548" s="296"/>
      <c r="Z548" s="296"/>
      <c r="AA548" s="296"/>
      <c r="AB548" s="296"/>
      <c r="AC548" s="296"/>
      <c r="AD548" s="296"/>
      <c r="AE548" s="296"/>
      <c r="AF548" s="296"/>
      <c r="AG548" s="296"/>
      <c r="AH548" s="296"/>
      <c r="AI548" s="296"/>
      <c r="AJ548" s="296"/>
      <c r="AK548" s="296"/>
    </row>
    <row r="549" spans="11:37">
      <c r="K549" s="296"/>
      <c r="L549" s="296"/>
      <c r="M549" s="296"/>
      <c r="N549" s="296"/>
      <c r="O549" s="296"/>
      <c r="P549" s="296"/>
      <c r="Q549" s="296"/>
      <c r="R549" s="296"/>
      <c r="S549" s="296"/>
      <c r="T549" s="296"/>
      <c r="U549" s="296"/>
      <c r="V549" s="296"/>
      <c r="W549" s="296"/>
      <c r="X549" s="296"/>
      <c r="Y549" s="296"/>
      <c r="Z549" s="296"/>
      <c r="AA549" s="296"/>
      <c r="AB549" s="296"/>
      <c r="AC549" s="296"/>
      <c r="AD549" s="296"/>
      <c r="AE549" s="296"/>
      <c r="AF549" s="296"/>
      <c r="AG549" s="296"/>
      <c r="AH549" s="296"/>
      <c r="AI549" s="296"/>
      <c r="AJ549" s="296"/>
      <c r="AK549" s="296"/>
    </row>
    <row r="550" spans="11:37">
      <c r="K550" s="296"/>
      <c r="L550" s="296"/>
      <c r="M550" s="296"/>
      <c r="N550" s="296"/>
      <c r="O550" s="296"/>
      <c r="P550" s="296"/>
      <c r="Q550" s="296"/>
      <c r="R550" s="296"/>
      <c r="S550" s="296"/>
      <c r="T550" s="296"/>
      <c r="U550" s="296"/>
      <c r="V550" s="296"/>
      <c r="W550" s="296"/>
      <c r="X550" s="296"/>
      <c r="Y550" s="296"/>
      <c r="Z550" s="296"/>
      <c r="AA550" s="296"/>
      <c r="AB550" s="296"/>
      <c r="AC550" s="296"/>
      <c r="AD550" s="296"/>
      <c r="AE550" s="296"/>
      <c r="AF550" s="296"/>
      <c r="AG550" s="296"/>
      <c r="AH550" s="296"/>
      <c r="AI550" s="296"/>
      <c r="AJ550" s="296"/>
      <c r="AK550" s="296"/>
    </row>
    <row r="551" spans="11:37">
      <c r="K551" s="296"/>
      <c r="L551" s="296"/>
      <c r="M551" s="296"/>
      <c r="N551" s="296"/>
      <c r="O551" s="296"/>
      <c r="P551" s="296"/>
      <c r="Q551" s="296"/>
      <c r="R551" s="296"/>
      <c r="S551" s="296"/>
      <c r="T551" s="296"/>
      <c r="U551" s="296"/>
      <c r="V551" s="296"/>
      <c r="W551" s="296"/>
      <c r="X551" s="296"/>
      <c r="Y551" s="296"/>
      <c r="Z551" s="296"/>
      <c r="AA551" s="296"/>
      <c r="AB551" s="296"/>
      <c r="AC551" s="296"/>
      <c r="AD551" s="296"/>
      <c r="AE551" s="296"/>
      <c r="AF551" s="296"/>
      <c r="AG551" s="296"/>
      <c r="AH551" s="296"/>
      <c r="AI551" s="296"/>
      <c r="AJ551" s="296"/>
      <c r="AK551" s="296"/>
    </row>
    <row r="552" spans="11:37">
      <c r="K552" s="296"/>
      <c r="L552" s="296"/>
      <c r="M552" s="296"/>
      <c r="N552" s="296"/>
      <c r="O552" s="296"/>
      <c r="P552" s="296"/>
      <c r="Q552" s="296"/>
      <c r="R552" s="296"/>
      <c r="S552" s="296"/>
      <c r="T552" s="296"/>
      <c r="U552" s="296"/>
      <c r="V552" s="296"/>
      <c r="W552" s="296"/>
      <c r="X552" s="296"/>
      <c r="Y552" s="296"/>
      <c r="Z552" s="296"/>
      <c r="AA552" s="296"/>
      <c r="AB552" s="296"/>
      <c r="AC552" s="296"/>
      <c r="AD552" s="296"/>
      <c r="AE552" s="296"/>
      <c r="AF552" s="296"/>
      <c r="AG552" s="296"/>
      <c r="AH552" s="296"/>
      <c r="AI552" s="296"/>
      <c r="AJ552" s="296"/>
      <c r="AK552" s="296"/>
    </row>
    <row r="553" spans="11:37">
      <c r="K553" s="296"/>
      <c r="L553" s="296"/>
      <c r="M553" s="296"/>
      <c r="N553" s="296"/>
      <c r="O553" s="296"/>
      <c r="P553" s="296"/>
      <c r="Q553" s="296"/>
      <c r="R553" s="296"/>
      <c r="S553" s="296"/>
      <c r="T553" s="296"/>
      <c r="U553" s="296"/>
      <c r="V553" s="296"/>
      <c r="W553" s="296"/>
      <c r="X553" s="296"/>
      <c r="Y553" s="296"/>
      <c r="Z553" s="296"/>
      <c r="AA553" s="296"/>
      <c r="AB553" s="296"/>
      <c r="AC553" s="296"/>
      <c r="AD553" s="296"/>
      <c r="AE553" s="296"/>
      <c r="AF553" s="296"/>
      <c r="AG553" s="296"/>
      <c r="AH553" s="296"/>
      <c r="AI553" s="296"/>
      <c r="AJ553" s="296"/>
      <c r="AK553" s="296"/>
    </row>
    <row r="554" spans="11:37">
      <c r="K554" s="296"/>
      <c r="L554" s="296"/>
      <c r="M554" s="296"/>
      <c r="N554" s="296"/>
      <c r="O554" s="296"/>
      <c r="P554" s="296"/>
      <c r="Q554" s="296"/>
      <c r="R554" s="296"/>
      <c r="S554" s="296"/>
      <c r="T554" s="296"/>
      <c r="U554" s="296"/>
      <c r="V554" s="296"/>
      <c r="W554" s="296"/>
      <c r="X554" s="296"/>
      <c r="Y554" s="296"/>
      <c r="Z554" s="296"/>
      <c r="AA554" s="296"/>
      <c r="AB554" s="296"/>
      <c r="AC554" s="296"/>
      <c r="AD554" s="296"/>
      <c r="AE554" s="296"/>
      <c r="AF554" s="296"/>
      <c r="AG554" s="296"/>
      <c r="AH554" s="296"/>
      <c r="AI554" s="296"/>
      <c r="AJ554" s="296"/>
      <c r="AK554" s="296"/>
    </row>
    <row r="555" spans="11:37">
      <c r="K555" s="296"/>
      <c r="L555" s="296"/>
      <c r="M555" s="296"/>
      <c r="N555" s="296"/>
      <c r="O555" s="296"/>
      <c r="P555" s="296"/>
      <c r="Q555" s="296"/>
      <c r="R555" s="296"/>
      <c r="S555" s="296"/>
      <c r="T555" s="296"/>
      <c r="U555" s="296"/>
      <c r="V555" s="296"/>
      <c r="W555" s="296"/>
      <c r="X555" s="296"/>
      <c r="Y555" s="296"/>
      <c r="Z555" s="296"/>
      <c r="AA555" s="296"/>
      <c r="AB555" s="296"/>
      <c r="AC555" s="296"/>
      <c r="AD555" s="296"/>
      <c r="AE555" s="296"/>
      <c r="AF555" s="296"/>
      <c r="AG555" s="296"/>
      <c r="AH555" s="296"/>
      <c r="AI555" s="296"/>
      <c r="AJ555" s="296"/>
      <c r="AK555" s="296"/>
    </row>
    <row r="556" spans="11:37">
      <c r="K556" s="296"/>
      <c r="L556" s="296"/>
      <c r="M556" s="296"/>
      <c r="N556" s="296"/>
      <c r="O556" s="296"/>
      <c r="P556" s="296"/>
      <c r="Q556" s="296"/>
      <c r="R556" s="296"/>
      <c r="S556" s="296"/>
      <c r="T556" s="296"/>
      <c r="U556" s="296"/>
      <c r="V556" s="296"/>
      <c r="W556" s="296"/>
      <c r="X556" s="296"/>
      <c r="Y556" s="296"/>
      <c r="Z556" s="296"/>
      <c r="AA556" s="296"/>
      <c r="AB556" s="296"/>
      <c r="AC556" s="296"/>
      <c r="AD556" s="296"/>
      <c r="AE556" s="296"/>
      <c r="AF556" s="296"/>
      <c r="AG556" s="296"/>
      <c r="AH556" s="296"/>
      <c r="AI556" s="296"/>
      <c r="AJ556" s="296"/>
      <c r="AK556" s="296"/>
    </row>
    <row r="557" spans="11:37">
      <c r="K557" s="296"/>
      <c r="L557" s="296"/>
      <c r="M557" s="296"/>
      <c r="N557" s="296"/>
      <c r="O557" s="296"/>
      <c r="P557" s="296"/>
      <c r="Q557" s="296"/>
      <c r="R557" s="296"/>
      <c r="S557" s="296"/>
      <c r="T557" s="296"/>
      <c r="U557" s="296"/>
      <c r="V557" s="296"/>
      <c r="W557" s="296"/>
      <c r="X557" s="296"/>
      <c r="Y557" s="296"/>
      <c r="Z557" s="296"/>
      <c r="AA557" s="296"/>
      <c r="AB557" s="296"/>
      <c r="AC557" s="296"/>
      <c r="AD557" s="296"/>
      <c r="AE557" s="296"/>
      <c r="AF557" s="296"/>
      <c r="AG557" s="296"/>
      <c r="AH557" s="296"/>
      <c r="AI557" s="296"/>
      <c r="AJ557" s="296"/>
      <c r="AK557" s="296"/>
    </row>
    <row r="558" spans="11:37">
      <c r="K558" s="296"/>
      <c r="L558" s="296"/>
      <c r="M558" s="296"/>
      <c r="N558" s="296"/>
      <c r="O558" s="296"/>
      <c r="P558" s="296"/>
      <c r="Q558" s="296"/>
      <c r="R558" s="296"/>
      <c r="S558" s="296"/>
      <c r="T558" s="296"/>
      <c r="U558" s="296"/>
      <c r="V558" s="296"/>
      <c r="W558" s="296"/>
      <c r="X558" s="296"/>
      <c r="Y558" s="296"/>
      <c r="Z558" s="296"/>
      <c r="AA558" s="296"/>
      <c r="AB558" s="296"/>
      <c r="AC558" s="296"/>
      <c r="AD558" s="296"/>
      <c r="AE558" s="296"/>
      <c r="AF558" s="296"/>
      <c r="AG558" s="296"/>
      <c r="AH558" s="296"/>
      <c r="AI558" s="296"/>
      <c r="AJ558" s="296"/>
      <c r="AK558" s="296"/>
    </row>
    <row r="559" spans="11:37">
      <c r="K559" s="296"/>
      <c r="L559" s="296"/>
      <c r="M559" s="296"/>
      <c r="N559" s="296"/>
      <c r="O559" s="296"/>
      <c r="P559" s="296"/>
      <c r="Q559" s="296"/>
      <c r="R559" s="296"/>
      <c r="S559" s="296"/>
      <c r="T559" s="296"/>
      <c r="U559" s="296"/>
      <c r="V559" s="296"/>
      <c r="W559" s="296"/>
      <c r="X559" s="296"/>
      <c r="Y559" s="296"/>
      <c r="Z559" s="296"/>
      <c r="AA559" s="296"/>
      <c r="AB559" s="296"/>
      <c r="AC559" s="296"/>
      <c r="AD559" s="296"/>
      <c r="AE559" s="296"/>
      <c r="AF559" s="296"/>
      <c r="AG559" s="296"/>
      <c r="AH559" s="296"/>
      <c r="AI559" s="296"/>
      <c r="AJ559" s="296"/>
      <c r="AK559" s="296"/>
    </row>
    <row r="560" spans="11:37">
      <c r="K560" s="296"/>
      <c r="L560" s="296"/>
      <c r="M560" s="296"/>
      <c r="N560" s="296"/>
      <c r="O560" s="296"/>
      <c r="P560" s="296"/>
      <c r="Q560" s="296"/>
      <c r="R560" s="296"/>
      <c r="S560" s="296"/>
      <c r="T560" s="296"/>
      <c r="U560" s="296"/>
      <c r="V560" s="296"/>
      <c r="W560" s="296"/>
      <c r="X560" s="296"/>
      <c r="Y560" s="296"/>
      <c r="Z560" s="296"/>
      <c r="AA560" s="296"/>
      <c r="AB560" s="296"/>
      <c r="AC560" s="296"/>
      <c r="AD560" s="296"/>
      <c r="AE560" s="296"/>
      <c r="AF560" s="296"/>
      <c r="AG560" s="296"/>
      <c r="AH560" s="296"/>
      <c r="AI560" s="296"/>
      <c r="AJ560" s="296"/>
      <c r="AK560" s="296"/>
    </row>
    <row r="561" spans="11:37">
      <c r="K561" s="296"/>
      <c r="L561" s="296"/>
      <c r="M561" s="296"/>
      <c r="N561" s="296"/>
      <c r="O561" s="296"/>
      <c r="P561" s="296"/>
      <c r="Q561" s="296"/>
      <c r="R561" s="296"/>
      <c r="S561" s="296"/>
      <c r="T561" s="296"/>
      <c r="U561" s="296"/>
      <c r="V561" s="296"/>
      <c r="W561" s="296"/>
      <c r="X561" s="296"/>
      <c r="Y561" s="296"/>
      <c r="Z561" s="296"/>
      <c r="AA561" s="296"/>
      <c r="AB561" s="296"/>
      <c r="AC561" s="296"/>
      <c r="AD561" s="296"/>
      <c r="AE561" s="296"/>
      <c r="AF561" s="296"/>
      <c r="AG561" s="296"/>
      <c r="AH561" s="296"/>
      <c r="AI561" s="296"/>
      <c r="AJ561" s="296"/>
      <c r="AK561" s="296"/>
    </row>
    <row r="562" spans="11:37">
      <c r="K562" s="296"/>
      <c r="L562" s="296"/>
      <c r="M562" s="296"/>
      <c r="N562" s="296"/>
      <c r="O562" s="296"/>
      <c r="P562" s="296"/>
      <c r="Q562" s="296"/>
      <c r="R562" s="296"/>
      <c r="S562" s="296"/>
      <c r="T562" s="296"/>
      <c r="U562" s="296"/>
      <c r="V562" s="296"/>
      <c r="W562" s="296"/>
      <c r="X562" s="296"/>
      <c r="Y562" s="296"/>
      <c r="Z562" s="296"/>
      <c r="AA562" s="296"/>
      <c r="AB562" s="296"/>
      <c r="AC562" s="296"/>
      <c r="AD562" s="296"/>
      <c r="AE562" s="296"/>
      <c r="AF562" s="296"/>
      <c r="AG562" s="296"/>
      <c r="AH562" s="296"/>
      <c r="AI562" s="296"/>
      <c r="AJ562" s="296"/>
      <c r="AK562" s="296"/>
    </row>
    <row r="563" spans="11:37">
      <c r="K563" s="296"/>
      <c r="L563" s="296"/>
      <c r="M563" s="296"/>
      <c r="N563" s="296"/>
      <c r="O563" s="296"/>
      <c r="P563" s="296"/>
      <c r="Q563" s="296"/>
      <c r="R563" s="296"/>
      <c r="S563" s="296"/>
      <c r="T563" s="296"/>
      <c r="U563" s="296"/>
      <c r="V563" s="296"/>
      <c r="W563" s="296"/>
      <c r="X563" s="296"/>
      <c r="Y563" s="296"/>
      <c r="Z563" s="296"/>
      <c r="AA563" s="296"/>
      <c r="AB563" s="296"/>
      <c r="AC563" s="296"/>
      <c r="AD563" s="296"/>
      <c r="AE563" s="296"/>
      <c r="AF563" s="296"/>
      <c r="AG563" s="296"/>
      <c r="AH563" s="296"/>
      <c r="AI563" s="296"/>
      <c r="AJ563" s="296"/>
      <c r="AK563" s="296"/>
    </row>
    <row r="564" spans="11:37">
      <c r="K564" s="296"/>
      <c r="L564" s="296"/>
      <c r="M564" s="296"/>
      <c r="N564" s="296"/>
      <c r="O564" s="296"/>
      <c r="P564" s="296"/>
      <c r="Q564" s="296"/>
      <c r="R564" s="296"/>
      <c r="S564" s="296"/>
      <c r="T564" s="296"/>
      <c r="U564" s="296"/>
      <c r="V564" s="296"/>
      <c r="W564" s="296"/>
      <c r="X564" s="296"/>
      <c r="Y564" s="296"/>
      <c r="Z564" s="296"/>
      <c r="AA564" s="296"/>
      <c r="AB564" s="296"/>
      <c r="AC564" s="296"/>
      <c r="AD564" s="296"/>
      <c r="AE564" s="296"/>
      <c r="AF564" s="296"/>
      <c r="AG564" s="296"/>
      <c r="AH564" s="296"/>
      <c r="AI564" s="296"/>
      <c r="AJ564" s="296"/>
      <c r="AK564" s="296"/>
    </row>
    <row r="565" spans="11:37">
      <c r="K565" s="296"/>
      <c r="L565" s="296"/>
      <c r="M565" s="296"/>
      <c r="N565" s="296"/>
      <c r="O565" s="296"/>
      <c r="P565" s="296"/>
      <c r="Q565" s="296"/>
      <c r="R565" s="296"/>
      <c r="S565" s="296"/>
      <c r="T565" s="296"/>
      <c r="U565" s="296"/>
      <c r="V565" s="296"/>
      <c r="W565" s="296"/>
      <c r="X565" s="296"/>
      <c r="Y565" s="296"/>
      <c r="Z565" s="296"/>
      <c r="AA565" s="296"/>
      <c r="AB565" s="296"/>
      <c r="AC565" s="296"/>
      <c r="AD565" s="296"/>
      <c r="AE565" s="296"/>
      <c r="AF565" s="296"/>
      <c r="AG565" s="296"/>
      <c r="AH565" s="296"/>
      <c r="AI565" s="296"/>
      <c r="AJ565" s="296"/>
      <c r="AK565" s="296"/>
    </row>
    <row r="566" spans="11:37">
      <c r="K566" s="296"/>
      <c r="L566" s="296"/>
      <c r="M566" s="296"/>
      <c r="N566" s="296"/>
      <c r="O566" s="296"/>
      <c r="P566" s="296"/>
      <c r="Q566" s="296"/>
      <c r="R566" s="296"/>
      <c r="S566" s="296"/>
      <c r="T566" s="296"/>
      <c r="U566" s="296"/>
      <c r="V566" s="296"/>
      <c r="W566" s="296"/>
      <c r="X566" s="296"/>
      <c r="Y566" s="296"/>
      <c r="Z566" s="296"/>
      <c r="AA566" s="296"/>
      <c r="AB566" s="296"/>
      <c r="AC566" s="296"/>
      <c r="AD566" s="296"/>
      <c r="AE566" s="296"/>
      <c r="AF566" s="296"/>
      <c r="AG566" s="296"/>
      <c r="AH566" s="296"/>
      <c r="AI566" s="296"/>
      <c r="AJ566" s="296"/>
      <c r="AK566" s="296"/>
    </row>
    <row r="567" spans="11:37">
      <c r="K567" s="296"/>
      <c r="L567" s="296"/>
      <c r="M567" s="296"/>
      <c r="N567" s="296"/>
      <c r="O567" s="296"/>
      <c r="P567" s="296"/>
      <c r="Q567" s="296"/>
      <c r="R567" s="296"/>
      <c r="S567" s="296"/>
      <c r="T567" s="296"/>
      <c r="U567" s="296"/>
      <c r="V567" s="296"/>
      <c r="W567" s="296"/>
      <c r="X567" s="296"/>
      <c r="Y567" s="296"/>
      <c r="Z567" s="296"/>
      <c r="AA567" s="296"/>
      <c r="AB567" s="296"/>
      <c r="AC567" s="296"/>
      <c r="AD567" s="296"/>
      <c r="AE567" s="296"/>
      <c r="AF567" s="296"/>
      <c r="AG567" s="296"/>
      <c r="AH567" s="296"/>
      <c r="AI567" s="296"/>
      <c r="AJ567" s="296"/>
      <c r="AK567" s="296"/>
    </row>
    <row r="568" spans="11:37">
      <c r="K568" s="296"/>
      <c r="L568" s="296"/>
      <c r="M568" s="296"/>
      <c r="N568" s="296"/>
      <c r="O568" s="296"/>
      <c r="P568" s="296"/>
      <c r="Q568" s="296"/>
      <c r="R568" s="296"/>
      <c r="S568" s="296"/>
      <c r="T568" s="296"/>
      <c r="U568" s="296"/>
      <c r="V568" s="296"/>
      <c r="W568" s="296"/>
      <c r="X568" s="296"/>
      <c r="Y568" s="296"/>
      <c r="Z568" s="296"/>
      <c r="AA568" s="296"/>
      <c r="AB568" s="296"/>
      <c r="AC568" s="296"/>
      <c r="AD568" s="296"/>
      <c r="AE568" s="296"/>
      <c r="AF568" s="296"/>
      <c r="AG568" s="296"/>
      <c r="AH568" s="296"/>
      <c r="AI568" s="296"/>
      <c r="AJ568" s="296"/>
      <c r="AK568" s="296"/>
    </row>
    <row r="569" spans="11:37">
      <c r="K569" s="296"/>
      <c r="L569" s="296"/>
      <c r="M569" s="296"/>
      <c r="N569" s="296"/>
      <c r="O569" s="296"/>
      <c r="P569" s="296"/>
      <c r="Q569" s="296"/>
      <c r="R569" s="296"/>
      <c r="S569" s="296"/>
      <c r="T569" s="296"/>
      <c r="U569" s="296"/>
      <c r="V569" s="296"/>
      <c r="W569" s="296"/>
      <c r="X569" s="296"/>
      <c r="Y569" s="296"/>
      <c r="Z569" s="296"/>
      <c r="AA569" s="296"/>
      <c r="AB569" s="296"/>
      <c r="AC569" s="296"/>
      <c r="AD569" s="296"/>
      <c r="AE569" s="296"/>
      <c r="AF569" s="296"/>
      <c r="AG569" s="296"/>
      <c r="AH569" s="296"/>
      <c r="AI569" s="296"/>
      <c r="AJ569" s="296"/>
      <c r="AK569" s="296"/>
    </row>
    <row r="570" spans="11:37">
      <c r="K570" s="296"/>
      <c r="L570" s="296"/>
      <c r="M570" s="296"/>
      <c r="N570" s="296"/>
      <c r="O570" s="296"/>
      <c r="P570" s="296"/>
      <c r="Q570" s="296"/>
      <c r="R570" s="296"/>
      <c r="S570" s="296"/>
      <c r="T570" s="296"/>
      <c r="U570" s="296"/>
      <c r="V570" s="296"/>
      <c r="W570" s="296"/>
      <c r="X570" s="296"/>
      <c r="Y570" s="296"/>
      <c r="Z570" s="296"/>
      <c r="AA570" s="296"/>
      <c r="AB570" s="296"/>
      <c r="AC570" s="296"/>
      <c r="AD570" s="296"/>
      <c r="AE570" s="296"/>
      <c r="AF570" s="296"/>
      <c r="AG570" s="296"/>
      <c r="AH570" s="296"/>
      <c r="AI570" s="296"/>
      <c r="AJ570" s="296"/>
      <c r="AK570" s="296"/>
    </row>
    <row r="571" spans="11:37">
      <c r="K571" s="296"/>
      <c r="L571" s="296"/>
      <c r="M571" s="296"/>
      <c r="N571" s="296"/>
      <c r="O571" s="296"/>
      <c r="P571" s="296"/>
      <c r="Q571" s="296"/>
      <c r="R571" s="296"/>
      <c r="S571" s="296"/>
      <c r="T571" s="296"/>
      <c r="U571" s="296"/>
      <c r="V571" s="296"/>
      <c r="W571" s="296"/>
      <c r="X571" s="296"/>
      <c r="Y571" s="296"/>
      <c r="Z571" s="296"/>
      <c r="AA571" s="296"/>
      <c r="AB571" s="296"/>
      <c r="AC571" s="296"/>
      <c r="AD571" s="296"/>
      <c r="AE571" s="296"/>
      <c r="AF571" s="296"/>
      <c r="AG571" s="296"/>
      <c r="AH571" s="296"/>
      <c r="AI571" s="296"/>
      <c r="AJ571" s="296"/>
      <c r="AK571" s="296"/>
    </row>
    <row r="572" spans="11:37">
      <c r="K572" s="296"/>
      <c r="L572" s="296"/>
      <c r="M572" s="296"/>
      <c r="N572" s="296"/>
      <c r="O572" s="296"/>
      <c r="P572" s="296"/>
      <c r="Q572" s="296"/>
      <c r="R572" s="296"/>
      <c r="S572" s="296"/>
      <c r="T572" s="296"/>
      <c r="U572" s="296"/>
      <c r="V572" s="296"/>
      <c r="W572" s="296"/>
      <c r="X572" s="296"/>
      <c r="Y572" s="296"/>
      <c r="Z572" s="296"/>
      <c r="AA572" s="296"/>
      <c r="AB572" s="296"/>
      <c r="AC572" s="296"/>
      <c r="AD572" s="296"/>
      <c r="AE572" s="296"/>
      <c r="AF572" s="296"/>
      <c r="AG572" s="296"/>
      <c r="AH572" s="296"/>
      <c r="AI572" s="296"/>
      <c r="AJ572" s="296"/>
      <c r="AK572" s="296"/>
    </row>
    <row r="573" spans="11:37">
      <c r="K573" s="296"/>
      <c r="L573" s="296"/>
      <c r="M573" s="296"/>
      <c r="N573" s="296"/>
      <c r="O573" s="296"/>
      <c r="P573" s="296"/>
      <c r="Q573" s="296"/>
      <c r="R573" s="296"/>
      <c r="S573" s="296"/>
      <c r="T573" s="296"/>
      <c r="U573" s="296"/>
      <c r="V573" s="296"/>
      <c r="W573" s="296"/>
      <c r="X573" s="296"/>
      <c r="Y573" s="296"/>
      <c r="Z573" s="296"/>
      <c r="AA573" s="296"/>
      <c r="AB573" s="296"/>
      <c r="AC573" s="296"/>
      <c r="AD573" s="296"/>
      <c r="AE573" s="296"/>
      <c r="AF573" s="296"/>
      <c r="AG573" s="296"/>
      <c r="AH573" s="296"/>
      <c r="AI573" s="296"/>
      <c r="AJ573" s="296"/>
      <c r="AK573" s="296"/>
    </row>
    <row r="574" spans="11:37">
      <c r="K574" s="296"/>
      <c r="L574" s="296"/>
      <c r="M574" s="296"/>
      <c r="N574" s="296"/>
      <c r="O574" s="296"/>
      <c r="P574" s="296"/>
      <c r="Q574" s="296"/>
      <c r="R574" s="296"/>
      <c r="S574" s="296"/>
      <c r="T574" s="296"/>
      <c r="U574" s="296"/>
      <c r="V574" s="296"/>
      <c r="W574" s="296"/>
      <c r="X574" s="296"/>
      <c r="Y574" s="296"/>
      <c r="Z574" s="296"/>
      <c r="AA574" s="296"/>
      <c r="AB574" s="296"/>
      <c r="AC574" s="296"/>
      <c r="AD574" s="296"/>
      <c r="AE574" s="296"/>
      <c r="AF574" s="296"/>
      <c r="AG574" s="296"/>
      <c r="AH574" s="296"/>
      <c r="AI574" s="296"/>
      <c r="AJ574" s="296"/>
      <c r="AK574" s="296"/>
    </row>
    <row r="575" spans="11:37">
      <c r="K575" s="296"/>
      <c r="L575" s="296"/>
      <c r="M575" s="296"/>
      <c r="N575" s="296"/>
      <c r="O575" s="296"/>
      <c r="P575" s="296"/>
      <c r="Q575" s="296"/>
      <c r="R575" s="296"/>
      <c r="S575" s="296"/>
      <c r="T575" s="296"/>
      <c r="U575" s="296"/>
      <c r="V575" s="296"/>
      <c r="W575" s="296"/>
      <c r="X575" s="296"/>
      <c r="Y575" s="296"/>
      <c r="Z575" s="296"/>
      <c r="AA575" s="296"/>
      <c r="AB575" s="296"/>
      <c r="AC575" s="296"/>
      <c r="AD575" s="296"/>
      <c r="AE575" s="296"/>
      <c r="AF575" s="296"/>
      <c r="AG575" s="296"/>
      <c r="AH575" s="296"/>
      <c r="AI575" s="296"/>
      <c r="AJ575" s="296"/>
      <c r="AK575" s="296"/>
    </row>
    <row r="576" spans="11:37">
      <c r="K576" s="296"/>
      <c r="L576" s="296"/>
      <c r="M576" s="296"/>
      <c r="N576" s="296"/>
      <c r="O576" s="296"/>
      <c r="P576" s="296"/>
      <c r="Q576" s="296"/>
      <c r="R576" s="296"/>
      <c r="S576" s="296"/>
      <c r="T576" s="296"/>
      <c r="U576" s="296"/>
      <c r="V576" s="296"/>
      <c r="W576" s="296"/>
      <c r="X576" s="296"/>
      <c r="Y576" s="296"/>
      <c r="Z576" s="296"/>
      <c r="AA576" s="296"/>
      <c r="AB576" s="296"/>
      <c r="AC576" s="296"/>
      <c r="AD576" s="296"/>
      <c r="AE576" s="296"/>
      <c r="AF576" s="296"/>
      <c r="AG576" s="296"/>
      <c r="AH576" s="296"/>
      <c r="AI576" s="296"/>
      <c r="AJ576" s="296"/>
      <c r="AK576" s="296"/>
    </row>
    <row r="577" spans="11:37">
      <c r="K577" s="296"/>
      <c r="L577" s="296"/>
      <c r="M577" s="296"/>
      <c r="N577" s="296"/>
      <c r="O577" s="296"/>
      <c r="P577" s="296"/>
      <c r="Q577" s="296"/>
      <c r="R577" s="296"/>
      <c r="S577" s="296"/>
      <c r="T577" s="296"/>
      <c r="U577" s="296"/>
      <c r="V577" s="296"/>
      <c r="W577" s="296"/>
      <c r="X577" s="296"/>
      <c r="Y577" s="296"/>
      <c r="Z577" s="296"/>
      <c r="AA577" s="296"/>
      <c r="AB577" s="296"/>
      <c r="AC577" s="296"/>
      <c r="AD577" s="296"/>
      <c r="AE577" s="296"/>
      <c r="AF577" s="296"/>
      <c r="AG577" s="296"/>
      <c r="AH577" s="296"/>
      <c r="AI577" s="296"/>
      <c r="AJ577" s="296"/>
      <c r="AK577" s="296"/>
    </row>
    <row r="578" spans="11:37">
      <c r="K578" s="296"/>
      <c r="L578" s="296"/>
      <c r="M578" s="296"/>
      <c r="N578" s="296"/>
      <c r="O578" s="296"/>
      <c r="P578" s="296"/>
      <c r="Q578" s="296"/>
      <c r="R578" s="296"/>
      <c r="S578" s="296"/>
      <c r="T578" s="296"/>
      <c r="U578" s="296"/>
      <c r="V578" s="296"/>
      <c r="W578" s="296"/>
      <c r="X578" s="296"/>
      <c r="Y578" s="296"/>
      <c r="Z578" s="296"/>
      <c r="AA578" s="296"/>
      <c r="AB578" s="296"/>
      <c r="AC578" s="296"/>
      <c r="AD578" s="296"/>
      <c r="AE578" s="296"/>
      <c r="AF578" s="296"/>
      <c r="AG578" s="296"/>
      <c r="AH578" s="296"/>
      <c r="AI578" s="296"/>
      <c r="AJ578" s="296"/>
      <c r="AK578" s="296"/>
    </row>
    <row r="579" spans="11:37">
      <c r="K579" s="296"/>
      <c r="L579" s="296"/>
      <c r="M579" s="296"/>
      <c r="N579" s="296"/>
      <c r="O579" s="296"/>
      <c r="P579" s="296"/>
      <c r="Q579" s="296"/>
      <c r="R579" s="296"/>
      <c r="S579" s="296"/>
      <c r="T579" s="296"/>
      <c r="U579" s="296"/>
      <c r="V579" s="296"/>
      <c r="W579" s="296"/>
      <c r="X579" s="296"/>
      <c r="Y579" s="296"/>
      <c r="Z579" s="296"/>
      <c r="AA579" s="296"/>
      <c r="AB579" s="296"/>
      <c r="AC579" s="296"/>
      <c r="AD579" s="296"/>
      <c r="AE579" s="296"/>
      <c r="AF579" s="296"/>
      <c r="AG579" s="296"/>
      <c r="AH579" s="296"/>
      <c r="AI579" s="296"/>
      <c r="AJ579" s="296"/>
      <c r="AK579" s="296"/>
    </row>
    <row r="580" spans="11:37">
      <c r="K580" s="296"/>
      <c r="L580" s="296"/>
      <c r="M580" s="296"/>
      <c r="N580" s="296"/>
      <c r="O580" s="296"/>
      <c r="P580" s="296"/>
      <c r="Q580" s="296"/>
      <c r="R580" s="296"/>
      <c r="S580" s="296"/>
      <c r="T580" s="296"/>
      <c r="U580" s="296"/>
      <c r="V580" s="296"/>
      <c r="W580" s="296"/>
      <c r="X580" s="296"/>
      <c r="Y580" s="296"/>
      <c r="Z580" s="296"/>
      <c r="AA580" s="296"/>
      <c r="AB580" s="296"/>
      <c r="AC580" s="296"/>
      <c r="AD580" s="296"/>
      <c r="AE580" s="296"/>
      <c r="AF580" s="296"/>
      <c r="AG580" s="296"/>
      <c r="AH580" s="296"/>
      <c r="AI580" s="296"/>
      <c r="AJ580" s="296"/>
      <c r="AK580" s="296"/>
    </row>
    <row r="581" spans="11:37">
      <c r="K581" s="296"/>
      <c r="L581" s="296"/>
      <c r="M581" s="296"/>
      <c r="N581" s="296"/>
      <c r="O581" s="296"/>
      <c r="P581" s="296"/>
      <c r="Q581" s="296"/>
      <c r="R581" s="296"/>
      <c r="S581" s="296"/>
      <c r="T581" s="296"/>
      <c r="U581" s="296"/>
      <c r="V581" s="296"/>
      <c r="W581" s="296"/>
      <c r="X581" s="296"/>
      <c r="Y581" s="296"/>
      <c r="Z581" s="296"/>
      <c r="AA581" s="296"/>
      <c r="AB581" s="296"/>
      <c r="AC581" s="296"/>
      <c r="AD581" s="296"/>
      <c r="AE581" s="296"/>
      <c r="AF581" s="296"/>
      <c r="AG581" s="296"/>
      <c r="AH581" s="296"/>
      <c r="AI581" s="296"/>
      <c r="AJ581" s="296"/>
      <c r="AK581" s="296"/>
    </row>
    <row r="582" spans="11:37">
      <c r="K582" s="296"/>
      <c r="L582" s="296"/>
      <c r="M582" s="296"/>
      <c r="N582" s="296"/>
      <c r="O582" s="296"/>
      <c r="P582" s="296"/>
      <c r="Q582" s="296"/>
      <c r="R582" s="296"/>
      <c r="S582" s="296"/>
      <c r="T582" s="296"/>
      <c r="U582" s="296"/>
      <c r="V582" s="296"/>
      <c r="W582" s="296"/>
      <c r="X582" s="296"/>
      <c r="Y582" s="296"/>
      <c r="Z582" s="296"/>
      <c r="AA582" s="296"/>
      <c r="AB582" s="296"/>
      <c r="AC582" s="296"/>
      <c r="AD582" s="296"/>
      <c r="AE582" s="296"/>
      <c r="AF582" s="296"/>
      <c r="AG582" s="296"/>
      <c r="AH582" s="296"/>
      <c r="AI582" s="296"/>
      <c r="AJ582" s="296"/>
      <c r="AK582" s="296"/>
    </row>
    <row r="583" spans="11:37">
      <c r="K583" s="296"/>
      <c r="L583" s="296"/>
      <c r="M583" s="296"/>
      <c r="N583" s="296"/>
      <c r="O583" s="296"/>
      <c r="P583" s="296"/>
      <c r="Q583" s="296"/>
      <c r="R583" s="296"/>
      <c r="S583" s="296"/>
      <c r="T583" s="296"/>
      <c r="U583" s="296"/>
      <c r="V583" s="296"/>
      <c r="W583" s="296"/>
      <c r="X583" s="296"/>
      <c r="Y583" s="296"/>
      <c r="Z583" s="296"/>
      <c r="AA583" s="296"/>
      <c r="AB583" s="296"/>
      <c r="AC583" s="296"/>
      <c r="AD583" s="296"/>
      <c r="AE583" s="296"/>
      <c r="AF583" s="296"/>
      <c r="AG583" s="296"/>
      <c r="AH583" s="296"/>
      <c r="AI583" s="296"/>
      <c r="AJ583" s="296"/>
      <c r="AK583" s="296"/>
    </row>
    <row r="584" spans="11:37">
      <c r="K584" s="296"/>
      <c r="L584" s="296"/>
      <c r="M584" s="296"/>
      <c r="N584" s="296"/>
      <c r="O584" s="296"/>
      <c r="P584" s="296"/>
      <c r="Q584" s="296"/>
      <c r="R584" s="296"/>
      <c r="S584" s="296"/>
      <c r="T584" s="296"/>
      <c r="U584" s="296"/>
      <c r="V584" s="296"/>
      <c r="W584" s="296"/>
      <c r="X584" s="296"/>
      <c r="Y584" s="296"/>
      <c r="Z584" s="296"/>
      <c r="AA584" s="296"/>
      <c r="AB584" s="296"/>
      <c r="AC584" s="296"/>
      <c r="AD584" s="296"/>
      <c r="AE584" s="296"/>
      <c r="AF584" s="296"/>
      <c r="AG584" s="296"/>
      <c r="AH584" s="296"/>
      <c r="AI584" s="296"/>
      <c r="AJ584" s="296"/>
      <c r="AK584" s="296"/>
    </row>
    <row r="585" spans="11:37">
      <c r="K585" s="296"/>
      <c r="L585" s="296"/>
      <c r="M585" s="296"/>
      <c r="N585" s="296"/>
      <c r="O585" s="296"/>
      <c r="P585" s="296"/>
      <c r="Q585" s="296"/>
      <c r="R585" s="296"/>
      <c r="S585" s="296"/>
      <c r="T585" s="296"/>
      <c r="U585" s="296"/>
      <c r="V585" s="296"/>
      <c r="W585" s="296"/>
      <c r="X585" s="296"/>
      <c r="Y585" s="296"/>
      <c r="Z585" s="296"/>
      <c r="AA585" s="296"/>
      <c r="AB585" s="296"/>
      <c r="AC585" s="296"/>
      <c r="AD585" s="296"/>
      <c r="AE585" s="296"/>
      <c r="AF585" s="296"/>
      <c r="AG585" s="296"/>
      <c r="AH585" s="296"/>
      <c r="AI585" s="296"/>
      <c r="AJ585" s="296"/>
      <c r="AK585" s="296"/>
    </row>
    <row r="586" spans="11:37">
      <c r="K586" s="296"/>
      <c r="L586" s="296"/>
      <c r="M586" s="296"/>
      <c r="N586" s="296"/>
      <c r="O586" s="296"/>
      <c r="P586" s="296"/>
      <c r="Q586" s="296"/>
      <c r="R586" s="296"/>
      <c r="S586" s="296"/>
      <c r="T586" s="296"/>
      <c r="U586" s="296"/>
      <c r="V586" s="296"/>
      <c r="W586" s="296"/>
      <c r="X586" s="296"/>
      <c r="Y586" s="296"/>
      <c r="Z586" s="296"/>
      <c r="AA586" s="296"/>
      <c r="AB586" s="296"/>
      <c r="AC586" s="296"/>
      <c r="AD586" s="296"/>
      <c r="AE586" s="296"/>
      <c r="AF586" s="296"/>
      <c r="AG586" s="296"/>
      <c r="AH586" s="296"/>
      <c r="AI586" s="296"/>
      <c r="AJ586" s="296"/>
      <c r="AK586" s="296"/>
    </row>
    <row r="587" spans="11:37">
      <c r="K587" s="296"/>
      <c r="L587" s="296"/>
      <c r="M587" s="296"/>
      <c r="N587" s="296"/>
      <c r="O587" s="296"/>
      <c r="P587" s="296"/>
      <c r="Q587" s="296"/>
      <c r="R587" s="296"/>
      <c r="S587" s="296"/>
      <c r="T587" s="296"/>
      <c r="U587" s="296"/>
      <c r="V587" s="296"/>
      <c r="W587" s="296"/>
      <c r="X587" s="296"/>
      <c r="Y587" s="296"/>
      <c r="Z587" s="296"/>
      <c r="AA587" s="296"/>
      <c r="AB587" s="296"/>
      <c r="AC587" s="296"/>
      <c r="AD587" s="296"/>
      <c r="AE587" s="296"/>
      <c r="AF587" s="296"/>
      <c r="AG587" s="296"/>
      <c r="AH587" s="296"/>
      <c r="AI587" s="296"/>
      <c r="AJ587" s="296"/>
      <c r="AK587" s="296"/>
    </row>
    <row r="588" spans="11:37">
      <c r="K588" s="296"/>
      <c r="L588" s="296"/>
      <c r="M588" s="296"/>
      <c r="N588" s="296"/>
      <c r="O588" s="296"/>
      <c r="P588" s="296"/>
      <c r="Q588" s="296"/>
      <c r="R588" s="296"/>
      <c r="S588" s="296"/>
      <c r="T588" s="296"/>
      <c r="U588" s="296"/>
      <c r="V588" s="296"/>
      <c r="W588" s="296"/>
      <c r="X588" s="296"/>
      <c r="Y588" s="296"/>
      <c r="Z588" s="296"/>
      <c r="AA588" s="296"/>
      <c r="AB588" s="296"/>
      <c r="AC588" s="296"/>
      <c r="AD588" s="296"/>
      <c r="AE588" s="296"/>
      <c r="AF588" s="296"/>
      <c r="AG588" s="296"/>
      <c r="AH588" s="296"/>
      <c r="AI588" s="296"/>
      <c r="AJ588" s="296"/>
      <c r="AK588" s="296"/>
    </row>
    <row r="589" spans="11:37">
      <c r="K589" s="296"/>
      <c r="L589" s="296"/>
      <c r="M589" s="296"/>
      <c r="N589" s="296"/>
      <c r="O589" s="296"/>
      <c r="P589" s="296"/>
      <c r="Q589" s="296"/>
      <c r="R589" s="296"/>
      <c r="S589" s="296"/>
      <c r="T589" s="296"/>
      <c r="U589" s="296"/>
      <c r="V589" s="296"/>
      <c r="W589" s="296"/>
      <c r="X589" s="296"/>
      <c r="Y589" s="296"/>
      <c r="Z589" s="296"/>
      <c r="AA589" s="296"/>
      <c r="AB589" s="296"/>
      <c r="AC589" s="296"/>
      <c r="AD589" s="296"/>
      <c r="AE589" s="296"/>
      <c r="AF589" s="296"/>
      <c r="AG589" s="296"/>
      <c r="AH589" s="296"/>
      <c r="AI589" s="296"/>
      <c r="AJ589" s="296"/>
      <c r="AK589" s="296"/>
    </row>
    <row r="590" spans="11:37">
      <c r="K590" s="296"/>
      <c r="L590" s="296"/>
      <c r="M590" s="296"/>
      <c r="N590" s="296"/>
      <c r="O590" s="296"/>
      <c r="P590" s="296"/>
      <c r="Q590" s="296"/>
      <c r="R590" s="296"/>
      <c r="S590" s="296"/>
      <c r="T590" s="296"/>
      <c r="U590" s="296"/>
      <c r="V590" s="296"/>
      <c r="W590" s="296"/>
      <c r="X590" s="296"/>
      <c r="Y590" s="296"/>
      <c r="Z590" s="296"/>
      <c r="AA590" s="296"/>
      <c r="AB590" s="296"/>
      <c r="AC590" s="296"/>
      <c r="AD590" s="296"/>
      <c r="AE590" s="296"/>
      <c r="AF590" s="296"/>
      <c r="AG590" s="296"/>
      <c r="AH590" s="296"/>
      <c r="AI590" s="296"/>
      <c r="AJ590" s="296"/>
      <c r="AK590" s="296"/>
    </row>
    <row r="591" spans="11:37">
      <c r="K591" s="296"/>
      <c r="L591" s="296"/>
      <c r="M591" s="296"/>
      <c r="N591" s="296"/>
      <c r="O591" s="296"/>
      <c r="P591" s="296"/>
      <c r="Q591" s="296"/>
      <c r="R591" s="296"/>
      <c r="S591" s="296"/>
      <c r="T591" s="296"/>
      <c r="U591" s="296"/>
      <c r="V591" s="296"/>
      <c r="W591" s="296"/>
      <c r="X591" s="296"/>
      <c r="Y591" s="296"/>
      <c r="Z591" s="296"/>
      <c r="AA591" s="296"/>
      <c r="AB591" s="296"/>
      <c r="AC591" s="296"/>
      <c r="AD591" s="296"/>
      <c r="AE591" s="296"/>
      <c r="AF591" s="296"/>
      <c r="AG591" s="296"/>
      <c r="AH591" s="296"/>
      <c r="AI591" s="296"/>
      <c r="AJ591" s="296"/>
      <c r="AK591" s="296"/>
    </row>
    <row r="592" spans="11:37">
      <c r="K592" s="296"/>
      <c r="L592" s="296"/>
      <c r="M592" s="296"/>
      <c r="N592" s="296"/>
      <c r="O592" s="296"/>
      <c r="P592" s="296"/>
      <c r="Q592" s="296"/>
      <c r="R592" s="296"/>
      <c r="S592" s="296"/>
      <c r="T592" s="296"/>
      <c r="U592" s="296"/>
      <c r="V592" s="296"/>
      <c r="W592" s="296"/>
      <c r="X592" s="296"/>
      <c r="Y592" s="296"/>
      <c r="Z592" s="296"/>
      <c r="AA592" s="296"/>
      <c r="AB592" s="296"/>
      <c r="AC592" s="296"/>
      <c r="AD592" s="296"/>
      <c r="AE592" s="296"/>
      <c r="AF592" s="296"/>
      <c r="AG592" s="296"/>
      <c r="AH592" s="296"/>
      <c r="AI592" s="296"/>
      <c r="AJ592" s="296"/>
      <c r="AK592" s="296"/>
    </row>
    <row r="593" spans="11:37">
      <c r="K593" s="296"/>
      <c r="L593" s="296"/>
      <c r="M593" s="296"/>
      <c r="N593" s="296"/>
      <c r="O593" s="296"/>
      <c r="P593" s="296"/>
      <c r="Q593" s="296"/>
      <c r="R593" s="296"/>
      <c r="S593" s="296"/>
      <c r="T593" s="296"/>
      <c r="U593" s="296"/>
      <c r="V593" s="296"/>
      <c r="W593" s="296"/>
      <c r="X593" s="296"/>
      <c r="Y593" s="296"/>
      <c r="Z593" s="296"/>
      <c r="AA593" s="296"/>
      <c r="AB593" s="296"/>
      <c r="AC593" s="296"/>
      <c r="AD593" s="296"/>
      <c r="AE593" s="296"/>
      <c r="AF593" s="296"/>
      <c r="AG593" s="296"/>
      <c r="AH593" s="296"/>
      <c r="AI593" s="296"/>
      <c r="AJ593" s="296"/>
      <c r="AK593" s="296"/>
    </row>
    <row r="594" spans="11:37">
      <c r="K594" s="296"/>
      <c r="L594" s="296"/>
      <c r="M594" s="296"/>
      <c r="N594" s="296"/>
      <c r="O594" s="296"/>
      <c r="P594" s="296"/>
      <c r="Q594" s="296"/>
      <c r="R594" s="296"/>
      <c r="S594" s="296"/>
      <c r="T594" s="296"/>
      <c r="U594" s="296"/>
      <c r="V594" s="296"/>
      <c r="W594" s="296"/>
      <c r="X594" s="296"/>
      <c r="Y594" s="296"/>
      <c r="Z594" s="296"/>
      <c r="AA594" s="296"/>
      <c r="AB594" s="296"/>
      <c r="AC594" s="296"/>
      <c r="AD594" s="296"/>
      <c r="AE594" s="296"/>
      <c r="AF594" s="296"/>
      <c r="AG594" s="296"/>
      <c r="AH594" s="296"/>
      <c r="AI594" s="296"/>
      <c r="AJ594" s="296"/>
      <c r="AK594" s="296"/>
    </row>
    <row r="595" spans="11:37">
      <c r="K595" s="296"/>
      <c r="L595" s="296"/>
      <c r="M595" s="296"/>
      <c r="N595" s="296"/>
      <c r="O595" s="296"/>
      <c r="P595" s="296"/>
      <c r="Q595" s="296"/>
      <c r="R595" s="296"/>
      <c r="S595" s="296"/>
      <c r="T595" s="296"/>
      <c r="U595" s="296"/>
      <c r="V595" s="296"/>
      <c r="W595" s="296"/>
      <c r="X595" s="296"/>
      <c r="Y595" s="296"/>
      <c r="Z595" s="296"/>
      <c r="AA595" s="296"/>
      <c r="AB595" s="296"/>
      <c r="AC595" s="296"/>
      <c r="AD595" s="296"/>
      <c r="AE595" s="296"/>
      <c r="AF595" s="296"/>
      <c r="AG595" s="296"/>
      <c r="AH595" s="296"/>
      <c r="AI595" s="296"/>
      <c r="AJ595" s="296"/>
      <c r="AK595" s="296"/>
    </row>
    <row r="596" spans="11:37">
      <c r="K596" s="296"/>
      <c r="L596" s="296"/>
      <c r="M596" s="296"/>
      <c r="N596" s="296"/>
      <c r="O596" s="296"/>
      <c r="P596" s="296"/>
      <c r="Q596" s="296"/>
      <c r="R596" s="296"/>
      <c r="S596" s="296"/>
      <c r="T596" s="296"/>
      <c r="U596" s="296"/>
      <c r="V596" s="296"/>
      <c r="W596" s="296"/>
      <c r="X596" s="296"/>
      <c r="Y596" s="296"/>
      <c r="Z596" s="296"/>
      <c r="AA596" s="296"/>
      <c r="AB596" s="296"/>
      <c r="AC596" s="296"/>
      <c r="AD596" s="296"/>
      <c r="AE596" s="296"/>
      <c r="AF596" s="296"/>
      <c r="AG596" s="296"/>
      <c r="AH596" s="296"/>
      <c r="AI596" s="296"/>
      <c r="AJ596" s="296"/>
      <c r="AK596" s="296"/>
    </row>
    <row r="597" spans="11:37">
      <c r="K597" s="296"/>
      <c r="L597" s="296"/>
      <c r="M597" s="296"/>
      <c r="N597" s="296"/>
      <c r="O597" s="296"/>
      <c r="P597" s="296"/>
      <c r="Q597" s="296"/>
      <c r="R597" s="296"/>
      <c r="S597" s="296"/>
      <c r="T597" s="296"/>
      <c r="U597" s="296"/>
      <c r="V597" s="296"/>
      <c r="W597" s="296"/>
      <c r="X597" s="296"/>
      <c r="Y597" s="296"/>
      <c r="Z597" s="296"/>
      <c r="AA597" s="296"/>
      <c r="AB597" s="296"/>
      <c r="AC597" s="296"/>
      <c r="AD597" s="296"/>
      <c r="AE597" s="296"/>
      <c r="AF597" s="296"/>
      <c r="AG597" s="296"/>
      <c r="AH597" s="296"/>
      <c r="AI597" s="296"/>
      <c r="AJ597" s="296"/>
      <c r="AK597" s="296"/>
    </row>
    <row r="598" spans="11:37">
      <c r="K598" s="296"/>
      <c r="L598" s="296"/>
      <c r="M598" s="296"/>
      <c r="N598" s="296"/>
      <c r="O598" s="296"/>
      <c r="P598" s="296"/>
      <c r="Q598" s="296"/>
      <c r="R598" s="296"/>
      <c r="S598" s="296"/>
      <c r="T598" s="296"/>
      <c r="U598" s="296"/>
      <c r="V598" s="296"/>
      <c r="W598" s="296"/>
      <c r="X598" s="296"/>
      <c r="Y598" s="296"/>
      <c r="Z598" s="296"/>
      <c r="AA598" s="296"/>
      <c r="AB598" s="296"/>
      <c r="AC598" s="296"/>
      <c r="AD598" s="296"/>
      <c r="AE598" s="296"/>
      <c r="AF598" s="296"/>
      <c r="AG598" s="296"/>
      <c r="AH598" s="296"/>
      <c r="AI598" s="296"/>
      <c r="AJ598" s="296"/>
      <c r="AK598" s="296"/>
    </row>
    <row r="599" spans="11:37">
      <c r="K599" s="296"/>
      <c r="L599" s="296"/>
      <c r="M599" s="296"/>
      <c r="N599" s="296"/>
      <c r="O599" s="296"/>
      <c r="P599" s="296"/>
      <c r="Q599" s="296"/>
      <c r="R599" s="296"/>
      <c r="S599" s="296"/>
      <c r="T599" s="296"/>
      <c r="U599" s="296"/>
      <c r="V599" s="296"/>
      <c r="W599" s="296"/>
      <c r="X599" s="296"/>
      <c r="Y599" s="296"/>
      <c r="Z599" s="296"/>
      <c r="AA599" s="296"/>
      <c r="AB599" s="296"/>
      <c r="AC599" s="296"/>
      <c r="AD599" s="296"/>
      <c r="AE599" s="296"/>
      <c r="AF599" s="296"/>
      <c r="AG599" s="296"/>
      <c r="AH599" s="296"/>
      <c r="AI599" s="296"/>
      <c r="AJ599" s="296"/>
      <c r="AK599" s="296"/>
    </row>
    <row r="600" spans="11:37">
      <c r="K600" s="296"/>
      <c r="L600" s="296"/>
      <c r="M600" s="296"/>
      <c r="N600" s="296"/>
      <c r="O600" s="296"/>
      <c r="P600" s="296"/>
      <c r="Q600" s="296"/>
      <c r="R600" s="296"/>
      <c r="S600" s="296"/>
      <c r="T600" s="296"/>
      <c r="U600" s="296"/>
      <c r="V600" s="296"/>
      <c r="W600" s="296"/>
      <c r="X600" s="296"/>
      <c r="Y600" s="296"/>
      <c r="Z600" s="296"/>
      <c r="AA600" s="296"/>
      <c r="AB600" s="296"/>
      <c r="AC600" s="296"/>
      <c r="AD600" s="296"/>
      <c r="AE600" s="296"/>
      <c r="AF600" s="296"/>
      <c r="AG600" s="296"/>
      <c r="AH600" s="296"/>
      <c r="AI600" s="296"/>
      <c r="AJ600" s="296"/>
      <c r="AK600" s="296"/>
    </row>
    <row r="601" spans="11:37">
      <c r="K601" s="296"/>
      <c r="L601" s="296"/>
      <c r="M601" s="296"/>
      <c r="N601" s="296"/>
      <c r="O601" s="296"/>
      <c r="P601" s="296"/>
      <c r="Q601" s="296"/>
      <c r="R601" s="296"/>
      <c r="S601" s="296"/>
      <c r="T601" s="296"/>
      <c r="U601" s="296"/>
      <c r="V601" s="296"/>
      <c r="W601" s="296"/>
      <c r="X601" s="296"/>
      <c r="Y601" s="296"/>
      <c r="Z601" s="296"/>
      <c r="AA601" s="296"/>
      <c r="AB601" s="296"/>
      <c r="AC601" s="296"/>
      <c r="AD601" s="296"/>
      <c r="AE601" s="296"/>
      <c r="AF601" s="296"/>
      <c r="AG601" s="296"/>
      <c r="AH601" s="296"/>
      <c r="AI601" s="296"/>
      <c r="AJ601" s="296"/>
      <c r="AK601" s="296"/>
    </row>
    <row r="602" spans="11:37">
      <c r="K602" s="296"/>
      <c r="L602" s="296"/>
      <c r="M602" s="296"/>
      <c r="N602" s="296"/>
      <c r="O602" s="296"/>
      <c r="P602" s="296"/>
      <c r="Q602" s="296"/>
      <c r="R602" s="296"/>
      <c r="S602" s="296"/>
      <c r="T602" s="296"/>
      <c r="U602" s="296"/>
      <c r="V602" s="296"/>
      <c r="W602" s="296"/>
      <c r="X602" s="296"/>
      <c r="Y602" s="296"/>
      <c r="Z602" s="296"/>
      <c r="AA602" s="296"/>
      <c r="AB602" s="296"/>
      <c r="AC602" s="296"/>
      <c r="AD602" s="296"/>
      <c r="AE602" s="296"/>
      <c r="AF602" s="296"/>
      <c r="AG602" s="296"/>
      <c r="AH602" s="296"/>
      <c r="AI602" s="296"/>
      <c r="AJ602" s="296"/>
      <c r="AK602" s="296"/>
    </row>
    <row r="603" spans="11:37">
      <c r="K603" s="296"/>
      <c r="L603" s="296"/>
      <c r="M603" s="296"/>
      <c r="N603" s="296"/>
      <c r="O603" s="296"/>
      <c r="P603" s="296"/>
      <c r="Q603" s="296"/>
      <c r="R603" s="296"/>
      <c r="S603" s="296"/>
      <c r="T603" s="296"/>
      <c r="U603" s="296"/>
      <c r="V603" s="296"/>
      <c r="W603" s="296"/>
      <c r="X603" s="296"/>
      <c r="Y603" s="296"/>
      <c r="Z603" s="296"/>
      <c r="AA603" s="296"/>
      <c r="AB603" s="296"/>
      <c r="AC603" s="296"/>
      <c r="AD603" s="296"/>
      <c r="AE603" s="296"/>
      <c r="AF603" s="296"/>
      <c r="AG603" s="296"/>
      <c r="AH603" s="296"/>
      <c r="AI603" s="296"/>
      <c r="AJ603" s="296"/>
      <c r="AK603" s="296"/>
    </row>
    <row r="604" spans="11:37">
      <c r="K604" s="296"/>
      <c r="L604" s="296"/>
      <c r="M604" s="296"/>
      <c r="N604" s="296"/>
      <c r="O604" s="296"/>
      <c r="P604" s="296"/>
      <c r="Q604" s="296"/>
      <c r="R604" s="296"/>
      <c r="S604" s="296"/>
      <c r="T604" s="296"/>
      <c r="U604" s="296"/>
      <c r="V604" s="296"/>
      <c r="W604" s="296"/>
      <c r="X604" s="296"/>
      <c r="Y604" s="296"/>
      <c r="Z604" s="296"/>
      <c r="AA604" s="296"/>
      <c r="AB604" s="296"/>
      <c r="AC604" s="296"/>
      <c r="AD604" s="296"/>
      <c r="AE604" s="296"/>
      <c r="AF604" s="296"/>
      <c r="AG604" s="296"/>
      <c r="AH604" s="296"/>
      <c r="AI604" s="296"/>
      <c r="AJ604" s="296"/>
      <c r="AK604" s="296"/>
    </row>
    <row r="605" spans="11:37">
      <c r="K605" s="296"/>
      <c r="L605" s="296"/>
      <c r="M605" s="296"/>
      <c r="N605" s="296"/>
      <c r="O605" s="296"/>
      <c r="P605" s="296"/>
      <c r="Q605" s="296"/>
      <c r="R605" s="296"/>
      <c r="S605" s="296"/>
      <c r="T605" s="296"/>
      <c r="U605" s="296"/>
      <c r="V605" s="296"/>
      <c r="W605" s="296"/>
      <c r="X605" s="296"/>
      <c r="Y605" s="296"/>
      <c r="Z605" s="296"/>
      <c r="AA605" s="296"/>
      <c r="AB605" s="296"/>
      <c r="AC605" s="296"/>
      <c r="AD605" s="296"/>
      <c r="AE605" s="296"/>
      <c r="AF605" s="296"/>
      <c r="AG605" s="296"/>
      <c r="AH605" s="296"/>
      <c r="AI605" s="296"/>
      <c r="AJ605" s="296"/>
      <c r="AK605" s="296"/>
    </row>
    <row r="606" spans="11:37">
      <c r="K606" s="296"/>
      <c r="L606" s="296"/>
      <c r="M606" s="296"/>
      <c r="N606" s="296"/>
      <c r="O606" s="296"/>
      <c r="P606" s="296"/>
      <c r="Q606" s="296"/>
      <c r="R606" s="296"/>
      <c r="S606" s="296"/>
      <c r="T606" s="296"/>
      <c r="U606" s="296"/>
      <c r="V606" s="296"/>
      <c r="W606" s="296"/>
      <c r="X606" s="296"/>
      <c r="Y606" s="296"/>
      <c r="Z606" s="296"/>
      <c r="AA606" s="296"/>
      <c r="AB606" s="296"/>
      <c r="AC606" s="296"/>
      <c r="AD606" s="296"/>
      <c r="AE606" s="296"/>
      <c r="AF606" s="296"/>
      <c r="AG606" s="296"/>
      <c r="AH606" s="296"/>
      <c r="AI606" s="296"/>
      <c r="AJ606" s="296"/>
      <c r="AK606" s="296"/>
    </row>
    <row r="607" spans="11:37">
      <c r="K607" s="296"/>
      <c r="L607" s="296"/>
      <c r="M607" s="296"/>
      <c r="N607" s="296"/>
      <c r="O607" s="296"/>
      <c r="P607" s="296"/>
      <c r="Q607" s="296"/>
      <c r="R607" s="296"/>
      <c r="S607" s="296"/>
      <c r="T607" s="296"/>
      <c r="U607" s="296"/>
      <c r="V607" s="296"/>
      <c r="W607" s="296"/>
      <c r="X607" s="296"/>
      <c r="Y607" s="296"/>
      <c r="Z607" s="296"/>
      <c r="AA607" s="296"/>
      <c r="AB607" s="296"/>
      <c r="AC607" s="296"/>
      <c r="AD607" s="296"/>
      <c r="AE607" s="296"/>
      <c r="AF607" s="296"/>
      <c r="AG607" s="296"/>
      <c r="AH607" s="296"/>
      <c r="AI607" s="296"/>
      <c r="AJ607" s="296"/>
      <c r="AK607" s="296"/>
    </row>
    <row r="608" spans="11:37">
      <c r="K608" s="296"/>
      <c r="L608" s="296"/>
      <c r="M608" s="296"/>
      <c r="N608" s="296"/>
      <c r="O608" s="296"/>
      <c r="P608" s="296"/>
      <c r="Q608" s="296"/>
      <c r="R608" s="296"/>
      <c r="S608" s="296"/>
      <c r="T608" s="296"/>
      <c r="U608" s="296"/>
      <c r="V608" s="296"/>
      <c r="W608" s="296"/>
      <c r="X608" s="296"/>
      <c r="Y608" s="296"/>
      <c r="Z608" s="296"/>
      <c r="AA608" s="296"/>
      <c r="AB608" s="296"/>
      <c r="AC608" s="296"/>
      <c r="AD608" s="296"/>
      <c r="AE608" s="296"/>
      <c r="AF608" s="296"/>
      <c r="AG608" s="296"/>
      <c r="AH608" s="296"/>
      <c r="AI608" s="296"/>
      <c r="AJ608" s="296"/>
      <c r="AK608" s="296"/>
    </row>
    <row r="609" spans="11:37">
      <c r="K609" s="296"/>
      <c r="L609" s="296"/>
      <c r="M609" s="296"/>
      <c r="N609" s="296"/>
      <c r="O609" s="296"/>
      <c r="P609" s="296"/>
      <c r="Q609" s="296"/>
      <c r="R609" s="296"/>
      <c r="S609" s="296"/>
      <c r="T609" s="296"/>
      <c r="U609" s="296"/>
      <c r="V609" s="296"/>
      <c r="W609" s="296"/>
      <c r="X609" s="296"/>
      <c r="Y609" s="296"/>
      <c r="Z609" s="296"/>
      <c r="AA609" s="296"/>
      <c r="AB609" s="296"/>
      <c r="AC609" s="296"/>
      <c r="AD609" s="296"/>
      <c r="AE609" s="296"/>
      <c r="AF609" s="296"/>
      <c r="AG609" s="296"/>
      <c r="AH609" s="296"/>
      <c r="AI609" s="296"/>
      <c r="AJ609" s="296"/>
      <c r="AK609" s="296"/>
    </row>
    <row r="610" spans="11:37">
      <c r="K610" s="296"/>
      <c r="L610" s="296"/>
      <c r="M610" s="296"/>
      <c r="N610" s="296"/>
      <c r="O610" s="296"/>
      <c r="P610" s="296"/>
      <c r="Q610" s="296"/>
      <c r="R610" s="296"/>
      <c r="S610" s="296"/>
      <c r="T610" s="296"/>
      <c r="U610" s="296"/>
      <c r="V610" s="296"/>
      <c r="W610" s="296"/>
      <c r="X610" s="296"/>
      <c r="Y610" s="296"/>
      <c r="Z610" s="296"/>
      <c r="AA610" s="296"/>
      <c r="AB610" s="296"/>
      <c r="AC610" s="296"/>
      <c r="AD610" s="296"/>
      <c r="AE610" s="296"/>
      <c r="AF610" s="296"/>
      <c r="AG610" s="296"/>
      <c r="AH610" s="296"/>
      <c r="AI610" s="296"/>
      <c r="AJ610" s="296"/>
      <c r="AK610" s="296"/>
    </row>
    <row r="611" spans="11:37">
      <c r="K611" s="296"/>
      <c r="L611" s="296"/>
      <c r="M611" s="296"/>
      <c r="N611" s="296"/>
      <c r="O611" s="296"/>
      <c r="P611" s="296"/>
      <c r="Q611" s="296"/>
      <c r="R611" s="296"/>
      <c r="S611" s="296"/>
      <c r="T611" s="296"/>
      <c r="U611" s="296"/>
      <c r="V611" s="296"/>
      <c r="W611" s="296"/>
      <c r="X611" s="296"/>
      <c r="Y611" s="296"/>
      <c r="Z611" s="296"/>
      <c r="AA611" s="296"/>
      <c r="AB611" s="296"/>
      <c r="AC611" s="296"/>
      <c r="AD611" s="296"/>
      <c r="AE611" s="296"/>
      <c r="AF611" s="296"/>
      <c r="AG611" s="296"/>
      <c r="AH611" s="296"/>
      <c r="AI611" s="296"/>
      <c r="AJ611" s="296"/>
      <c r="AK611" s="296"/>
    </row>
    <row r="612" spans="11:37">
      <c r="K612" s="296"/>
      <c r="L612" s="296"/>
      <c r="M612" s="296"/>
      <c r="N612" s="296"/>
      <c r="O612" s="296"/>
      <c r="P612" s="296"/>
      <c r="Q612" s="296"/>
      <c r="R612" s="296"/>
      <c r="S612" s="296"/>
      <c r="T612" s="296"/>
      <c r="U612" s="296"/>
      <c r="V612" s="296"/>
      <c r="W612" s="296"/>
      <c r="X612" s="296"/>
      <c r="Y612" s="296"/>
      <c r="Z612" s="296"/>
      <c r="AA612" s="296"/>
      <c r="AB612" s="296"/>
      <c r="AC612" s="296"/>
      <c r="AD612" s="296"/>
      <c r="AE612" s="296"/>
      <c r="AF612" s="296"/>
      <c r="AG612" s="296"/>
      <c r="AH612" s="296"/>
      <c r="AI612" s="296"/>
      <c r="AJ612" s="296"/>
      <c r="AK612" s="296"/>
    </row>
    <row r="613" spans="11:37">
      <c r="K613" s="296"/>
      <c r="L613" s="296"/>
      <c r="M613" s="296"/>
      <c r="N613" s="296"/>
      <c r="O613" s="296"/>
      <c r="P613" s="296"/>
      <c r="Q613" s="296"/>
      <c r="R613" s="296"/>
      <c r="S613" s="296"/>
      <c r="T613" s="296"/>
      <c r="U613" s="296"/>
      <c r="V613" s="296"/>
      <c r="W613" s="296"/>
      <c r="X613" s="296"/>
      <c r="Y613" s="296"/>
      <c r="Z613" s="296"/>
      <c r="AA613" s="296"/>
      <c r="AB613" s="296"/>
      <c r="AC613" s="296"/>
      <c r="AD613" s="296"/>
      <c r="AE613" s="296"/>
      <c r="AF613" s="296"/>
      <c r="AG613" s="296"/>
      <c r="AH613" s="296"/>
      <c r="AI613" s="296"/>
      <c r="AJ613" s="296"/>
      <c r="AK613" s="296"/>
    </row>
    <row r="614" spans="11:37">
      <c r="K614" s="296"/>
      <c r="L614" s="296"/>
      <c r="M614" s="296"/>
      <c r="N614" s="296"/>
      <c r="O614" s="296"/>
      <c r="P614" s="296"/>
      <c r="Q614" s="296"/>
      <c r="R614" s="296"/>
      <c r="S614" s="296"/>
      <c r="T614" s="296"/>
      <c r="U614" s="296"/>
      <c r="V614" s="296"/>
      <c r="W614" s="296"/>
      <c r="X614" s="296"/>
      <c r="Y614" s="296"/>
      <c r="Z614" s="296"/>
      <c r="AA614" s="296"/>
      <c r="AB614" s="296"/>
      <c r="AC614" s="296"/>
      <c r="AD614" s="296"/>
      <c r="AE614" s="296"/>
      <c r="AF614" s="296"/>
      <c r="AG614" s="296"/>
      <c r="AH614" s="296"/>
      <c r="AI614" s="296"/>
      <c r="AJ614" s="296"/>
      <c r="AK614" s="296"/>
    </row>
    <row r="615" spans="11:37">
      <c r="K615" s="296"/>
      <c r="L615" s="296"/>
      <c r="M615" s="296"/>
      <c r="N615" s="296"/>
      <c r="O615" s="296"/>
      <c r="P615" s="296"/>
      <c r="Q615" s="296"/>
      <c r="R615" s="296"/>
      <c r="S615" s="296"/>
      <c r="T615" s="296"/>
      <c r="U615" s="296"/>
      <c r="V615" s="296"/>
      <c r="W615" s="296"/>
      <c r="X615" s="296"/>
      <c r="Y615" s="296"/>
      <c r="Z615" s="296"/>
      <c r="AA615" s="296"/>
      <c r="AB615" s="296"/>
      <c r="AC615" s="296"/>
      <c r="AD615" s="296"/>
      <c r="AE615" s="296"/>
      <c r="AF615" s="296"/>
      <c r="AG615" s="296"/>
      <c r="AH615" s="296"/>
      <c r="AI615" s="296"/>
      <c r="AJ615" s="296"/>
      <c r="AK615" s="296"/>
    </row>
    <row r="616" spans="11:37">
      <c r="K616" s="296"/>
      <c r="L616" s="296"/>
      <c r="M616" s="296"/>
      <c r="N616" s="296"/>
      <c r="O616" s="296"/>
      <c r="P616" s="296"/>
      <c r="Q616" s="296"/>
      <c r="R616" s="296"/>
      <c r="S616" s="296"/>
      <c r="T616" s="296"/>
      <c r="U616" s="296"/>
      <c r="V616" s="296"/>
      <c r="W616" s="296"/>
      <c r="X616" s="296"/>
      <c r="Y616" s="296"/>
      <c r="Z616" s="296"/>
      <c r="AA616" s="296"/>
      <c r="AB616" s="296"/>
      <c r="AC616" s="296"/>
      <c r="AD616" s="296"/>
      <c r="AE616" s="296"/>
      <c r="AF616" s="296"/>
      <c r="AG616" s="296"/>
      <c r="AH616" s="296"/>
      <c r="AI616" s="296"/>
      <c r="AJ616" s="296"/>
      <c r="AK616" s="296"/>
    </row>
    <row r="617" spans="11:37">
      <c r="K617" s="296"/>
      <c r="L617" s="296"/>
      <c r="M617" s="296"/>
      <c r="N617" s="296"/>
      <c r="O617" s="296"/>
      <c r="P617" s="296"/>
      <c r="Q617" s="296"/>
      <c r="R617" s="296"/>
      <c r="S617" s="296"/>
      <c r="T617" s="296"/>
      <c r="U617" s="296"/>
      <c r="V617" s="296"/>
      <c r="W617" s="296"/>
      <c r="X617" s="296"/>
      <c r="Y617" s="296"/>
      <c r="Z617" s="296"/>
      <c r="AA617" s="296"/>
      <c r="AB617" s="296"/>
      <c r="AC617" s="296"/>
      <c r="AD617" s="296"/>
      <c r="AE617" s="296"/>
      <c r="AF617" s="296"/>
      <c r="AG617" s="296"/>
      <c r="AH617" s="296"/>
      <c r="AI617" s="296"/>
      <c r="AJ617" s="296"/>
      <c r="AK617" s="296"/>
    </row>
    <row r="618" spans="11:37">
      <c r="K618" s="296"/>
      <c r="L618" s="296"/>
      <c r="M618" s="296"/>
      <c r="N618" s="296"/>
      <c r="O618" s="296"/>
      <c r="P618" s="296"/>
      <c r="Q618" s="296"/>
      <c r="R618" s="296"/>
      <c r="S618" s="296"/>
      <c r="T618" s="296"/>
      <c r="U618" s="296"/>
      <c r="V618" s="296"/>
      <c r="W618" s="296"/>
      <c r="X618" s="296"/>
      <c r="Y618" s="296"/>
      <c r="Z618" s="296"/>
      <c r="AA618" s="296"/>
      <c r="AB618" s="296"/>
      <c r="AC618" s="296"/>
      <c r="AD618" s="296"/>
      <c r="AE618" s="296"/>
      <c r="AF618" s="296"/>
      <c r="AG618" s="296"/>
      <c r="AH618" s="296"/>
      <c r="AI618" s="296"/>
      <c r="AJ618" s="296"/>
      <c r="AK618" s="296"/>
    </row>
    <row r="619" spans="11:37">
      <c r="K619" s="296"/>
      <c r="L619" s="296"/>
      <c r="M619" s="296"/>
      <c r="N619" s="296"/>
      <c r="O619" s="296"/>
      <c r="P619" s="296"/>
      <c r="Q619" s="296"/>
      <c r="R619" s="296"/>
      <c r="S619" s="296"/>
      <c r="T619" s="296"/>
      <c r="U619" s="296"/>
      <c r="V619" s="296"/>
      <c r="W619" s="296"/>
      <c r="X619" s="296"/>
      <c r="Y619" s="296"/>
      <c r="Z619" s="296"/>
      <c r="AA619" s="296"/>
      <c r="AB619" s="296"/>
      <c r="AC619" s="296"/>
      <c r="AD619" s="296"/>
      <c r="AE619" s="296"/>
      <c r="AF619" s="296"/>
      <c r="AG619" s="296"/>
      <c r="AH619" s="296"/>
      <c r="AI619" s="296"/>
      <c r="AJ619" s="296"/>
      <c r="AK619" s="296"/>
    </row>
    <row r="620" spans="11:37">
      <c r="K620" s="296"/>
      <c r="L620" s="296"/>
      <c r="M620" s="296"/>
      <c r="N620" s="296"/>
      <c r="O620" s="296"/>
      <c r="P620" s="296"/>
      <c r="Q620" s="296"/>
      <c r="R620" s="296"/>
      <c r="S620" s="296"/>
      <c r="T620" s="296"/>
      <c r="U620" s="296"/>
      <c r="V620" s="296"/>
      <c r="W620" s="296"/>
      <c r="X620" s="296"/>
      <c r="Y620" s="296"/>
      <c r="Z620" s="296"/>
      <c r="AA620" s="296"/>
      <c r="AB620" s="296"/>
      <c r="AC620" s="296"/>
      <c r="AD620" s="296"/>
      <c r="AE620" s="296"/>
      <c r="AF620" s="296"/>
      <c r="AG620" s="296"/>
      <c r="AH620" s="296"/>
      <c r="AI620" s="296"/>
      <c r="AJ620" s="296"/>
      <c r="AK620" s="296"/>
    </row>
    <row r="621" spans="11:37">
      <c r="K621" s="296"/>
      <c r="L621" s="296"/>
      <c r="M621" s="296"/>
      <c r="N621" s="296"/>
      <c r="O621" s="296"/>
      <c r="P621" s="296"/>
      <c r="Q621" s="296"/>
      <c r="R621" s="296"/>
      <c r="S621" s="296"/>
      <c r="T621" s="296"/>
      <c r="U621" s="296"/>
      <c r="V621" s="296"/>
      <c r="W621" s="296"/>
      <c r="X621" s="296"/>
      <c r="Y621" s="296"/>
      <c r="Z621" s="296"/>
      <c r="AA621" s="296"/>
      <c r="AB621" s="296"/>
      <c r="AC621" s="296"/>
      <c r="AD621" s="296"/>
      <c r="AE621" s="296"/>
      <c r="AF621" s="296"/>
      <c r="AG621" s="296"/>
      <c r="AH621" s="296"/>
      <c r="AI621" s="296"/>
      <c r="AJ621" s="296"/>
      <c r="AK621" s="296"/>
    </row>
    <row r="622" spans="11:37">
      <c r="K622" s="296"/>
      <c r="L622" s="296"/>
      <c r="M622" s="296"/>
      <c r="N622" s="296"/>
      <c r="O622" s="296"/>
      <c r="P622" s="296"/>
      <c r="Q622" s="296"/>
      <c r="R622" s="296"/>
      <c r="S622" s="296"/>
      <c r="T622" s="296"/>
      <c r="U622" s="296"/>
      <c r="V622" s="296"/>
      <c r="W622" s="296"/>
      <c r="X622" s="296"/>
      <c r="Y622" s="296"/>
      <c r="Z622" s="296"/>
      <c r="AA622" s="296"/>
      <c r="AB622" s="296"/>
      <c r="AC622" s="296"/>
      <c r="AD622" s="296"/>
      <c r="AE622" s="296"/>
      <c r="AF622" s="296"/>
      <c r="AG622" s="296"/>
      <c r="AH622" s="296"/>
      <c r="AI622" s="296"/>
      <c r="AJ622" s="296"/>
      <c r="AK622" s="296"/>
    </row>
    <row r="623" spans="11:37">
      <c r="K623" s="296"/>
      <c r="L623" s="296"/>
      <c r="M623" s="296"/>
      <c r="N623" s="296"/>
      <c r="O623" s="296"/>
      <c r="P623" s="296"/>
      <c r="Q623" s="296"/>
      <c r="R623" s="296"/>
      <c r="S623" s="296"/>
      <c r="T623" s="296"/>
      <c r="U623" s="296"/>
      <c r="V623" s="296"/>
      <c r="W623" s="296"/>
      <c r="X623" s="296"/>
      <c r="Y623" s="296"/>
      <c r="Z623" s="296"/>
      <c r="AA623" s="296"/>
      <c r="AB623" s="296"/>
      <c r="AC623" s="296"/>
      <c r="AD623" s="296"/>
      <c r="AE623" s="296"/>
      <c r="AF623" s="296"/>
      <c r="AG623" s="296"/>
      <c r="AH623" s="296"/>
      <c r="AI623" s="296"/>
      <c r="AJ623" s="296"/>
      <c r="AK623" s="296"/>
    </row>
    <row r="624" spans="11:37">
      <c r="K624" s="296"/>
      <c r="L624" s="296"/>
      <c r="M624" s="296"/>
      <c r="N624" s="296"/>
      <c r="O624" s="296"/>
      <c r="P624" s="296"/>
      <c r="Q624" s="296"/>
      <c r="R624" s="296"/>
      <c r="S624" s="296"/>
      <c r="T624" s="296"/>
      <c r="U624" s="296"/>
      <c r="V624" s="296"/>
      <c r="W624" s="296"/>
      <c r="X624" s="296"/>
      <c r="Y624" s="296"/>
      <c r="Z624" s="296"/>
      <c r="AA624" s="296"/>
      <c r="AB624" s="296"/>
      <c r="AC624" s="296"/>
      <c r="AD624" s="296"/>
      <c r="AE624" s="296"/>
      <c r="AF624" s="296"/>
      <c r="AG624" s="296"/>
      <c r="AH624" s="296"/>
      <c r="AI624" s="296"/>
      <c r="AJ624" s="296"/>
      <c r="AK624" s="296"/>
    </row>
    <row r="625" spans="11:37">
      <c r="K625" s="296"/>
      <c r="L625" s="296"/>
      <c r="M625" s="296"/>
      <c r="N625" s="296"/>
      <c r="O625" s="296"/>
      <c r="P625" s="296"/>
      <c r="Q625" s="296"/>
      <c r="R625" s="296"/>
      <c r="S625" s="296"/>
      <c r="T625" s="296"/>
      <c r="U625" s="296"/>
      <c r="V625" s="296"/>
      <c r="W625" s="296"/>
      <c r="X625" s="296"/>
      <c r="Y625" s="296"/>
      <c r="Z625" s="296"/>
      <c r="AA625" s="296"/>
      <c r="AB625" s="296"/>
      <c r="AC625" s="296"/>
      <c r="AD625" s="296"/>
      <c r="AE625" s="296"/>
      <c r="AF625" s="296"/>
      <c r="AG625" s="296"/>
      <c r="AH625" s="296"/>
      <c r="AI625" s="296"/>
      <c r="AJ625" s="296"/>
      <c r="AK625" s="296"/>
    </row>
    <row r="626" spans="11:37">
      <c r="K626" s="296"/>
      <c r="L626" s="296"/>
      <c r="M626" s="296"/>
      <c r="N626" s="296"/>
      <c r="O626" s="296"/>
      <c r="P626" s="296"/>
      <c r="Q626" s="296"/>
      <c r="R626" s="296"/>
      <c r="S626" s="296"/>
      <c r="T626" s="296"/>
      <c r="U626" s="296"/>
      <c r="V626" s="296"/>
      <c r="W626" s="296"/>
      <c r="X626" s="296"/>
      <c r="Y626" s="296"/>
      <c r="Z626" s="296"/>
      <c r="AA626" s="296"/>
      <c r="AB626" s="296"/>
      <c r="AC626" s="296"/>
      <c r="AD626" s="296"/>
      <c r="AE626" s="296"/>
      <c r="AF626" s="296"/>
      <c r="AG626" s="296"/>
      <c r="AH626" s="296"/>
      <c r="AI626" s="296"/>
      <c r="AJ626" s="296"/>
      <c r="AK626" s="296"/>
    </row>
    <row r="627" spans="11:37">
      <c r="K627" s="296"/>
      <c r="L627" s="296"/>
      <c r="M627" s="296"/>
      <c r="N627" s="296"/>
      <c r="O627" s="296"/>
      <c r="P627" s="296"/>
      <c r="Q627" s="296"/>
      <c r="R627" s="296"/>
      <c r="S627" s="296"/>
      <c r="T627" s="296"/>
      <c r="U627" s="296"/>
      <c r="V627" s="296"/>
      <c r="W627" s="296"/>
      <c r="X627" s="296"/>
      <c r="Y627" s="296"/>
      <c r="Z627" s="296"/>
      <c r="AA627" s="296"/>
      <c r="AB627" s="296"/>
      <c r="AC627" s="296"/>
      <c r="AD627" s="296"/>
      <c r="AE627" s="296"/>
      <c r="AF627" s="296"/>
      <c r="AG627" s="296"/>
      <c r="AH627" s="296"/>
      <c r="AI627" s="296"/>
      <c r="AJ627" s="296"/>
      <c r="AK627" s="296"/>
    </row>
    <row r="628" spans="11:37">
      <c r="K628" s="296"/>
      <c r="L628" s="296"/>
      <c r="M628" s="296"/>
      <c r="N628" s="296"/>
      <c r="O628" s="296"/>
      <c r="P628" s="296"/>
      <c r="Q628" s="296"/>
      <c r="R628" s="296"/>
      <c r="S628" s="296"/>
      <c r="T628" s="296"/>
      <c r="U628" s="296"/>
      <c r="V628" s="296"/>
      <c r="W628" s="296"/>
      <c r="X628" s="296"/>
      <c r="Y628" s="296"/>
      <c r="Z628" s="296"/>
      <c r="AA628" s="296"/>
      <c r="AB628" s="296"/>
      <c r="AC628" s="296"/>
      <c r="AD628" s="296"/>
      <c r="AE628" s="296"/>
      <c r="AF628" s="296"/>
      <c r="AG628" s="296"/>
      <c r="AH628" s="296"/>
      <c r="AI628" s="296"/>
      <c r="AJ628" s="296"/>
      <c r="AK628" s="296"/>
    </row>
    <row r="629" spans="11:37">
      <c r="K629" s="296"/>
      <c r="L629" s="296"/>
      <c r="M629" s="296"/>
      <c r="N629" s="296"/>
      <c r="O629" s="296"/>
      <c r="P629" s="296"/>
      <c r="Q629" s="296"/>
      <c r="R629" s="296"/>
      <c r="S629" s="296"/>
      <c r="T629" s="296"/>
      <c r="U629" s="296"/>
      <c r="V629" s="296"/>
      <c r="W629" s="296"/>
      <c r="X629" s="296"/>
      <c r="Y629" s="296"/>
      <c r="Z629" s="296"/>
      <c r="AA629" s="296"/>
      <c r="AB629" s="296"/>
      <c r="AC629" s="296"/>
      <c r="AD629" s="296"/>
      <c r="AE629" s="296"/>
      <c r="AF629" s="296"/>
      <c r="AG629" s="296"/>
      <c r="AH629" s="296"/>
      <c r="AI629" s="296"/>
      <c r="AJ629" s="296"/>
      <c r="AK629" s="296"/>
    </row>
    <row r="630" spans="11:37">
      <c r="K630" s="296"/>
      <c r="L630" s="296"/>
      <c r="M630" s="296"/>
      <c r="N630" s="296"/>
      <c r="O630" s="296"/>
      <c r="P630" s="296"/>
      <c r="Q630" s="296"/>
      <c r="R630" s="296"/>
      <c r="S630" s="296"/>
      <c r="T630" s="296"/>
      <c r="U630" s="296"/>
      <c r="V630" s="296"/>
      <c r="W630" s="296"/>
      <c r="X630" s="296"/>
      <c r="Y630" s="296"/>
      <c r="Z630" s="296"/>
      <c r="AA630" s="296"/>
      <c r="AB630" s="296"/>
      <c r="AC630" s="296"/>
      <c r="AD630" s="296"/>
      <c r="AE630" s="296"/>
      <c r="AF630" s="296"/>
      <c r="AG630" s="296"/>
      <c r="AH630" s="296"/>
      <c r="AI630" s="296"/>
      <c r="AJ630" s="296"/>
      <c r="AK630" s="296"/>
    </row>
    <row r="631" spans="11:37">
      <c r="K631" s="296"/>
      <c r="L631" s="296"/>
      <c r="M631" s="296"/>
      <c r="N631" s="296"/>
      <c r="O631" s="296"/>
      <c r="P631" s="296"/>
      <c r="Q631" s="296"/>
      <c r="R631" s="296"/>
      <c r="S631" s="296"/>
      <c r="T631" s="296"/>
      <c r="U631" s="296"/>
      <c r="V631" s="296"/>
      <c r="W631" s="296"/>
      <c r="X631" s="296"/>
      <c r="Y631" s="296"/>
      <c r="Z631" s="296"/>
      <c r="AA631" s="296"/>
      <c r="AB631" s="296"/>
      <c r="AC631" s="296"/>
      <c r="AD631" s="296"/>
      <c r="AE631" s="296"/>
      <c r="AF631" s="296"/>
      <c r="AG631" s="296"/>
      <c r="AH631" s="296"/>
      <c r="AI631" s="296"/>
      <c r="AJ631" s="296"/>
      <c r="AK631" s="296"/>
    </row>
    <row r="632" spans="11:37">
      <c r="K632" s="296"/>
      <c r="L632" s="296"/>
      <c r="M632" s="296"/>
      <c r="N632" s="296"/>
      <c r="O632" s="296"/>
      <c r="P632" s="296"/>
      <c r="Q632" s="296"/>
      <c r="R632" s="296"/>
      <c r="S632" s="296"/>
      <c r="T632" s="296"/>
      <c r="U632" s="296"/>
      <c r="V632" s="296"/>
      <c r="W632" s="296"/>
      <c r="X632" s="296"/>
      <c r="Y632" s="296"/>
      <c r="Z632" s="296"/>
      <c r="AA632" s="296"/>
      <c r="AB632" s="296"/>
      <c r="AC632" s="296"/>
      <c r="AD632" s="296"/>
      <c r="AE632" s="296"/>
      <c r="AF632" s="296"/>
      <c r="AG632" s="296"/>
      <c r="AH632" s="296"/>
      <c r="AI632" s="296"/>
      <c r="AJ632" s="296"/>
      <c r="AK632" s="296"/>
    </row>
    <row r="633" spans="11:37">
      <c r="K633" s="296"/>
      <c r="L633" s="296"/>
      <c r="M633" s="296"/>
      <c r="N633" s="296"/>
      <c r="O633" s="296"/>
      <c r="P633" s="296"/>
      <c r="Q633" s="296"/>
      <c r="R633" s="296"/>
      <c r="S633" s="296"/>
      <c r="T633" s="296"/>
      <c r="U633" s="296"/>
      <c r="V633" s="296"/>
      <c r="W633" s="296"/>
      <c r="X633" s="296"/>
      <c r="Y633" s="296"/>
      <c r="Z633" s="296"/>
      <c r="AA633" s="296"/>
      <c r="AB633" s="296"/>
      <c r="AC633" s="296"/>
      <c r="AD633" s="296"/>
      <c r="AE633" s="296"/>
      <c r="AF633" s="296"/>
      <c r="AG633" s="296"/>
      <c r="AH633" s="296"/>
      <c r="AI633" s="296"/>
      <c r="AJ633" s="296"/>
      <c r="AK633" s="296"/>
    </row>
    <row r="634" spans="11:37">
      <c r="K634" s="296"/>
      <c r="L634" s="296"/>
      <c r="M634" s="296"/>
      <c r="N634" s="296"/>
      <c r="O634" s="296"/>
      <c r="P634" s="296"/>
      <c r="Q634" s="296"/>
      <c r="R634" s="296"/>
      <c r="S634" s="296"/>
      <c r="T634" s="296"/>
      <c r="U634" s="296"/>
      <c r="V634" s="296"/>
      <c r="W634" s="296"/>
      <c r="X634" s="296"/>
      <c r="Y634" s="296"/>
      <c r="Z634" s="296"/>
      <c r="AA634" s="296"/>
      <c r="AB634" s="296"/>
      <c r="AC634" s="296"/>
      <c r="AD634" s="296"/>
      <c r="AE634" s="296"/>
      <c r="AF634" s="296"/>
      <c r="AG634" s="296"/>
      <c r="AH634" s="296"/>
      <c r="AI634" s="296"/>
      <c r="AJ634" s="296"/>
      <c r="AK634" s="296"/>
    </row>
    <row r="635" spans="11:37">
      <c r="K635" s="296"/>
      <c r="L635" s="296"/>
      <c r="M635" s="296"/>
      <c r="N635" s="296"/>
      <c r="O635" s="296"/>
      <c r="P635" s="296"/>
      <c r="Q635" s="296"/>
      <c r="R635" s="296"/>
      <c r="S635" s="296"/>
      <c r="T635" s="296"/>
      <c r="U635" s="296"/>
      <c r="V635" s="296"/>
      <c r="W635" s="296"/>
      <c r="X635" s="296"/>
      <c r="Y635" s="296"/>
      <c r="Z635" s="296"/>
      <c r="AA635" s="296"/>
      <c r="AB635" s="296"/>
      <c r="AC635" s="296"/>
      <c r="AD635" s="296"/>
      <c r="AE635" s="296"/>
      <c r="AF635" s="296"/>
      <c r="AG635" s="296"/>
      <c r="AH635" s="296"/>
      <c r="AI635" s="296"/>
      <c r="AJ635" s="296"/>
      <c r="AK635" s="296"/>
    </row>
    <row r="636" spans="11:37">
      <c r="K636" s="296"/>
      <c r="L636" s="296"/>
      <c r="M636" s="296"/>
      <c r="N636" s="296"/>
      <c r="O636" s="296"/>
      <c r="P636" s="296"/>
      <c r="Q636" s="296"/>
      <c r="R636" s="296"/>
      <c r="S636" s="296"/>
      <c r="T636" s="296"/>
      <c r="U636" s="296"/>
      <c r="V636" s="296"/>
      <c r="W636" s="296"/>
      <c r="X636" s="296"/>
      <c r="Y636" s="296"/>
      <c r="Z636" s="296"/>
      <c r="AA636" s="296"/>
      <c r="AB636" s="296"/>
      <c r="AC636" s="296"/>
      <c r="AD636" s="296"/>
      <c r="AE636" s="296"/>
      <c r="AF636" s="296"/>
      <c r="AG636" s="296"/>
      <c r="AH636" s="296"/>
      <c r="AI636" s="296"/>
      <c r="AJ636" s="296"/>
      <c r="AK636" s="296"/>
    </row>
    <row r="637" spans="11:37">
      <c r="K637" s="296"/>
      <c r="L637" s="296"/>
      <c r="M637" s="296"/>
      <c r="N637" s="296"/>
      <c r="O637" s="296"/>
      <c r="P637" s="296"/>
      <c r="Q637" s="296"/>
      <c r="R637" s="296"/>
      <c r="S637" s="296"/>
      <c r="T637" s="296"/>
      <c r="U637" s="296"/>
      <c r="V637" s="296"/>
      <c r="W637" s="296"/>
      <c r="X637" s="296"/>
      <c r="Y637" s="296"/>
      <c r="Z637" s="296"/>
      <c r="AA637" s="296"/>
      <c r="AB637" s="296"/>
      <c r="AC637" s="296"/>
      <c r="AD637" s="296"/>
      <c r="AE637" s="296"/>
      <c r="AF637" s="296"/>
      <c r="AG637" s="296"/>
      <c r="AH637" s="296"/>
      <c r="AI637" s="296"/>
      <c r="AJ637" s="296"/>
      <c r="AK637" s="296"/>
    </row>
    <row r="638" spans="11:37">
      <c r="K638" s="296"/>
      <c r="L638" s="296"/>
      <c r="M638" s="296"/>
      <c r="N638" s="296"/>
      <c r="O638" s="296"/>
      <c r="P638" s="296"/>
      <c r="Q638" s="296"/>
      <c r="R638" s="296"/>
      <c r="S638" s="296"/>
      <c r="T638" s="296"/>
      <c r="U638" s="296"/>
      <c r="V638" s="296"/>
      <c r="W638" s="296"/>
      <c r="X638" s="296"/>
      <c r="Y638" s="296"/>
      <c r="Z638" s="296"/>
      <c r="AA638" s="296"/>
      <c r="AB638" s="296"/>
      <c r="AC638" s="296"/>
      <c r="AD638" s="296"/>
      <c r="AE638" s="296"/>
      <c r="AF638" s="296"/>
      <c r="AG638" s="296"/>
      <c r="AH638" s="296"/>
      <c r="AI638" s="296"/>
      <c r="AJ638" s="296"/>
      <c r="AK638" s="296"/>
    </row>
    <row r="639" spans="11:37">
      <c r="K639" s="296"/>
      <c r="L639" s="296"/>
      <c r="M639" s="296"/>
      <c r="N639" s="296"/>
      <c r="O639" s="296"/>
      <c r="P639" s="296"/>
      <c r="Q639" s="296"/>
      <c r="R639" s="296"/>
      <c r="S639" s="296"/>
      <c r="T639" s="296"/>
      <c r="U639" s="296"/>
      <c r="V639" s="296"/>
      <c r="W639" s="296"/>
      <c r="X639" s="296"/>
      <c r="Y639" s="296"/>
      <c r="Z639" s="296"/>
      <c r="AA639" s="296"/>
      <c r="AB639" s="296"/>
      <c r="AC639" s="296"/>
      <c r="AD639" s="296"/>
      <c r="AE639" s="296"/>
      <c r="AF639" s="296"/>
      <c r="AG639" s="296"/>
      <c r="AH639" s="296"/>
      <c r="AI639" s="296"/>
      <c r="AJ639" s="296"/>
      <c r="AK639" s="296"/>
    </row>
    <row r="640" spans="11:37">
      <c r="K640" s="296"/>
      <c r="L640" s="296"/>
      <c r="M640" s="296"/>
      <c r="N640" s="296"/>
      <c r="O640" s="296"/>
      <c r="P640" s="296"/>
      <c r="Q640" s="296"/>
      <c r="R640" s="296"/>
      <c r="S640" s="296"/>
      <c r="T640" s="296"/>
      <c r="U640" s="296"/>
      <c r="V640" s="296"/>
      <c r="W640" s="296"/>
      <c r="X640" s="296"/>
      <c r="Y640" s="296"/>
      <c r="Z640" s="296"/>
      <c r="AA640" s="296"/>
      <c r="AB640" s="296"/>
      <c r="AC640" s="296"/>
      <c r="AD640" s="296"/>
      <c r="AE640" s="296"/>
      <c r="AF640" s="296"/>
      <c r="AG640" s="296"/>
      <c r="AH640" s="296"/>
      <c r="AI640" s="296"/>
      <c r="AJ640" s="296"/>
      <c r="AK640" s="296"/>
    </row>
    <row r="641" spans="11:37">
      <c r="K641" s="296"/>
      <c r="L641" s="296"/>
      <c r="M641" s="296"/>
      <c r="N641" s="296"/>
      <c r="O641" s="296"/>
      <c r="P641" s="296"/>
      <c r="Q641" s="296"/>
      <c r="R641" s="296"/>
      <c r="S641" s="296"/>
      <c r="T641" s="296"/>
      <c r="U641" s="296"/>
      <c r="V641" s="296"/>
      <c r="W641" s="296"/>
      <c r="X641" s="296"/>
      <c r="Y641" s="296"/>
      <c r="Z641" s="296"/>
      <c r="AA641" s="296"/>
      <c r="AB641" s="296"/>
      <c r="AC641" s="296"/>
      <c r="AD641" s="296"/>
      <c r="AE641" s="296"/>
      <c r="AF641" s="296"/>
      <c r="AG641" s="296"/>
      <c r="AH641" s="296"/>
      <c r="AI641" s="296"/>
      <c r="AJ641" s="296"/>
      <c r="AK641" s="296"/>
    </row>
    <row r="642" spans="11:37">
      <c r="K642" s="296"/>
      <c r="L642" s="296"/>
      <c r="M642" s="296"/>
      <c r="N642" s="296"/>
      <c r="O642" s="296"/>
      <c r="P642" s="296"/>
      <c r="Q642" s="296"/>
      <c r="R642" s="296"/>
      <c r="S642" s="296"/>
      <c r="T642" s="296"/>
      <c r="U642" s="296"/>
      <c r="V642" s="296"/>
      <c r="W642" s="296"/>
      <c r="X642" s="296"/>
      <c r="Y642" s="296"/>
      <c r="Z642" s="296"/>
      <c r="AA642" s="296"/>
      <c r="AB642" s="296"/>
      <c r="AC642" s="296"/>
      <c r="AD642" s="296"/>
      <c r="AE642" s="296"/>
      <c r="AF642" s="296"/>
      <c r="AG642" s="296"/>
      <c r="AH642" s="296"/>
      <c r="AI642" s="296"/>
      <c r="AJ642" s="296"/>
      <c r="AK642" s="296"/>
    </row>
    <row r="643" spans="11:37">
      <c r="K643" s="296"/>
      <c r="L643" s="296"/>
      <c r="M643" s="296"/>
      <c r="N643" s="296"/>
      <c r="O643" s="296"/>
      <c r="P643" s="296"/>
      <c r="Q643" s="296"/>
      <c r="R643" s="296"/>
      <c r="S643" s="296"/>
      <c r="T643" s="296"/>
      <c r="U643" s="296"/>
      <c r="V643" s="296"/>
      <c r="W643" s="296"/>
      <c r="X643" s="296"/>
      <c r="Y643" s="296"/>
      <c r="Z643" s="296"/>
      <c r="AA643" s="296"/>
      <c r="AB643" s="296"/>
      <c r="AC643" s="296"/>
      <c r="AD643" s="296"/>
      <c r="AE643" s="296"/>
      <c r="AF643" s="296"/>
      <c r="AG643" s="296"/>
      <c r="AH643" s="296"/>
      <c r="AI643" s="296"/>
      <c r="AJ643" s="296"/>
      <c r="AK643" s="296"/>
    </row>
    <row r="644" spans="11:37">
      <c r="K644" s="296"/>
      <c r="L644" s="296"/>
      <c r="M644" s="296"/>
      <c r="N644" s="296"/>
      <c r="O644" s="296"/>
      <c r="P644" s="296"/>
      <c r="Q644" s="296"/>
      <c r="R644" s="296"/>
      <c r="S644" s="296"/>
      <c r="T644" s="296"/>
      <c r="U644" s="296"/>
      <c r="V644" s="296"/>
      <c r="W644" s="296"/>
      <c r="X644" s="296"/>
      <c r="Y644" s="296"/>
      <c r="Z644" s="296"/>
      <c r="AA644" s="296"/>
      <c r="AB644" s="296"/>
      <c r="AC644" s="296"/>
      <c r="AD644" s="296"/>
      <c r="AE644" s="296"/>
      <c r="AF644" s="296"/>
      <c r="AG644" s="296"/>
      <c r="AH644" s="296"/>
      <c r="AI644" s="296"/>
      <c r="AJ644" s="296"/>
      <c r="AK644" s="296"/>
    </row>
    <row r="645" spans="11:37">
      <c r="K645" s="296"/>
      <c r="L645" s="296"/>
      <c r="M645" s="296"/>
      <c r="N645" s="296"/>
      <c r="O645" s="296"/>
      <c r="P645" s="296"/>
      <c r="Q645" s="296"/>
      <c r="R645" s="296"/>
      <c r="S645" s="296"/>
      <c r="T645" s="296"/>
      <c r="U645" s="296"/>
      <c r="V645" s="296"/>
      <c r="W645" s="296"/>
      <c r="X645" s="296"/>
      <c r="Y645" s="296"/>
      <c r="Z645" s="296"/>
      <c r="AA645" s="296"/>
      <c r="AB645" s="296"/>
      <c r="AC645" s="296"/>
      <c r="AD645" s="296"/>
      <c r="AE645" s="296"/>
      <c r="AF645" s="296"/>
      <c r="AG645" s="296"/>
      <c r="AH645" s="296"/>
      <c r="AI645" s="296"/>
      <c r="AJ645" s="296"/>
      <c r="AK645" s="296"/>
    </row>
    <row r="646" spans="11:37">
      <c r="K646" s="296"/>
      <c r="L646" s="296"/>
      <c r="M646" s="296"/>
      <c r="N646" s="296"/>
      <c r="O646" s="296"/>
      <c r="P646" s="296"/>
      <c r="Q646" s="296"/>
      <c r="R646" s="296"/>
      <c r="S646" s="296"/>
      <c r="T646" s="296"/>
      <c r="U646" s="296"/>
      <c r="V646" s="296"/>
      <c r="W646" s="296"/>
      <c r="X646" s="296"/>
      <c r="Y646" s="296"/>
      <c r="Z646" s="296"/>
      <c r="AA646" s="296"/>
      <c r="AB646" s="296"/>
      <c r="AC646" s="296"/>
      <c r="AD646" s="296"/>
      <c r="AE646" s="296"/>
      <c r="AF646" s="296"/>
      <c r="AG646" s="296"/>
      <c r="AH646" s="296"/>
      <c r="AI646" s="296"/>
      <c r="AJ646" s="296"/>
      <c r="AK646" s="296"/>
    </row>
    <row r="647" spans="11:37">
      <c r="K647" s="296"/>
      <c r="L647" s="296"/>
      <c r="M647" s="296"/>
      <c r="N647" s="296"/>
      <c r="O647" s="296"/>
      <c r="P647" s="296"/>
      <c r="Q647" s="296"/>
      <c r="R647" s="296"/>
      <c r="S647" s="296"/>
      <c r="T647" s="296"/>
      <c r="U647" s="296"/>
      <c r="V647" s="296"/>
      <c r="W647" s="296"/>
      <c r="X647" s="296"/>
      <c r="Y647" s="296"/>
      <c r="Z647" s="296"/>
      <c r="AA647" s="296"/>
      <c r="AB647" s="296"/>
      <c r="AC647" s="296"/>
      <c r="AD647" s="296"/>
      <c r="AE647" s="296"/>
      <c r="AF647" s="296"/>
      <c r="AG647" s="296"/>
      <c r="AH647" s="296"/>
      <c r="AI647" s="296"/>
      <c r="AJ647" s="296"/>
      <c r="AK647" s="296"/>
    </row>
    <row r="648" spans="11:37">
      <c r="K648" s="296"/>
      <c r="L648" s="296"/>
      <c r="M648" s="296"/>
      <c r="N648" s="296"/>
      <c r="O648" s="296"/>
      <c r="P648" s="296"/>
      <c r="Q648" s="296"/>
      <c r="R648" s="296"/>
      <c r="S648" s="296"/>
      <c r="T648" s="296"/>
      <c r="U648" s="296"/>
      <c r="V648" s="296"/>
      <c r="W648" s="296"/>
      <c r="X648" s="296"/>
      <c r="Y648" s="296"/>
      <c r="Z648" s="296"/>
      <c r="AA648" s="296"/>
      <c r="AB648" s="296"/>
      <c r="AC648" s="296"/>
      <c r="AD648" s="296"/>
      <c r="AE648" s="296"/>
      <c r="AF648" s="296"/>
      <c r="AG648" s="296"/>
      <c r="AH648" s="296"/>
      <c r="AI648" s="296"/>
      <c r="AJ648" s="296"/>
      <c r="AK648" s="296"/>
    </row>
    <row r="649" spans="11:37">
      <c r="K649" s="296"/>
      <c r="L649" s="296"/>
      <c r="M649" s="296"/>
      <c r="N649" s="296"/>
      <c r="O649" s="296"/>
      <c r="P649" s="296"/>
      <c r="Q649" s="296"/>
      <c r="R649" s="296"/>
      <c r="S649" s="296"/>
      <c r="T649" s="296"/>
      <c r="U649" s="296"/>
      <c r="V649" s="296"/>
      <c r="W649" s="296"/>
      <c r="X649" s="296"/>
      <c r="Y649" s="296"/>
      <c r="Z649" s="296"/>
      <c r="AA649" s="296"/>
      <c r="AB649" s="296"/>
      <c r="AC649" s="296"/>
      <c r="AD649" s="296"/>
      <c r="AE649" s="296"/>
      <c r="AF649" s="296"/>
      <c r="AG649" s="296"/>
      <c r="AH649" s="296"/>
      <c r="AI649" s="296"/>
      <c r="AJ649" s="296"/>
      <c r="AK649" s="296"/>
    </row>
    <row r="650" spans="11:37">
      <c r="K650" s="296"/>
      <c r="L650" s="296"/>
      <c r="M650" s="296"/>
      <c r="N650" s="296"/>
      <c r="O650" s="296"/>
      <c r="P650" s="296"/>
      <c r="Q650" s="296"/>
      <c r="R650" s="296"/>
      <c r="S650" s="296"/>
      <c r="T650" s="296"/>
      <c r="U650" s="296"/>
      <c r="V650" s="296"/>
      <c r="W650" s="296"/>
      <c r="X650" s="296"/>
      <c r="Y650" s="296"/>
      <c r="Z650" s="296"/>
      <c r="AA650" s="296"/>
      <c r="AB650" s="296"/>
      <c r="AC650" s="296"/>
      <c r="AD650" s="296"/>
      <c r="AE650" s="296"/>
      <c r="AF650" s="296"/>
      <c r="AG650" s="296"/>
      <c r="AH650" s="296"/>
      <c r="AI650" s="296"/>
      <c r="AJ650" s="296"/>
      <c r="AK650" s="296"/>
    </row>
    <row r="651" spans="11:37">
      <c r="K651" s="296"/>
      <c r="L651" s="296"/>
      <c r="M651" s="296"/>
      <c r="N651" s="296"/>
      <c r="O651" s="296"/>
      <c r="P651" s="296"/>
      <c r="Q651" s="296"/>
      <c r="R651" s="296"/>
      <c r="S651" s="296"/>
      <c r="T651" s="296"/>
      <c r="U651" s="296"/>
      <c r="V651" s="296"/>
      <c r="W651" s="296"/>
      <c r="X651" s="296"/>
      <c r="Y651" s="296"/>
      <c r="Z651" s="296"/>
      <c r="AA651" s="296"/>
      <c r="AB651" s="296"/>
      <c r="AC651" s="296"/>
      <c r="AD651" s="296"/>
      <c r="AE651" s="296"/>
      <c r="AF651" s="296"/>
      <c r="AG651" s="296"/>
      <c r="AH651" s="296"/>
      <c r="AI651" s="296"/>
      <c r="AJ651" s="296"/>
      <c r="AK651" s="296"/>
    </row>
    <row r="652" spans="11:37">
      <c r="K652" s="296"/>
      <c r="L652" s="296"/>
      <c r="M652" s="296"/>
      <c r="N652" s="296"/>
      <c r="O652" s="296"/>
      <c r="P652" s="296"/>
      <c r="Q652" s="296"/>
      <c r="R652" s="296"/>
      <c r="S652" s="296"/>
      <c r="T652" s="296"/>
      <c r="U652" s="296"/>
      <c r="V652" s="296"/>
      <c r="W652" s="296"/>
      <c r="X652" s="296"/>
      <c r="Y652" s="296"/>
      <c r="Z652" s="296"/>
      <c r="AA652" s="296"/>
      <c r="AB652" s="296"/>
      <c r="AC652" s="296"/>
      <c r="AD652" s="296"/>
      <c r="AE652" s="296"/>
      <c r="AF652" s="296"/>
      <c r="AG652" s="296"/>
      <c r="AH652" s="296"/>
      <c r="AI652" s="296"/>
      <c r="AJ652" s="296"/>
      <c r="AK652" s="296"/>
    </row>
    <row r="653" spans="11:37">
      <c r="K653" s="296"/>
      <c r="L653" s="296"/>
      <c r="M653" s="296"/>
      <c r="N653" s="296"/>
      <c r="O653" s="296"/>
      <c r="P653" s="296"/>
      <c r="Q653" s="296"/>
      <c r="R653" s="296"/>
      <c r="S653" s="296"/>
      <c r="T653" s="296"/>
      <c r="U653" s="296"/>
      <c r="V653" s="296"/>
      <c r="W653" s="296"/>
      <c r="X653" s="296"/>
      <c r="Y653" s="296"/>
      <c r="Z653" s="296"/>
      <c r="AA653" s="296"/>
      <c r="AB653" s="296"/>
      <c r="AC653" s="296"/>
      <c r="AD653" s="296"/>
      <c r="AE653" s="296"/>
      <c r="AF653" s="296"/>
      <c r="AG653" s="296"/>
      <c r="AH653" s="296"/>
      <c r="AI653" s="296"/>
      <c r="AJ653" s="296"/>
      <c r="AK653" s="296"/>
    </row>
    <row r="654" spans="11:37">
      <c r="K654" s="296"/>
      <c r="L654" s="296"/>
      <c r="M654" s="296"/>
      <c r="N654" s="296"/>
      <c r="O654" s="296"/>
      <c r="P654" s="296"/>
      <c r="Q654" s="296"/>
      <c r="R654" s="296"/>
      <c r="S654" s="296"/>
      <c r="T654" s="296"/>
      <c r="U654" s="296"/>
      <c r="V654" s="296"/>
      <c r="W654" s="296"/>
      <c r="X654" s="296"/>
      <c r="Y654" s="296"/>
      <c r="Z654" s="296"/>
      <c r="AA654" s="296"/>
      <c r="AB654" s="296"/>
      <c r="AC654" s="296"/>
      <c r="AD654" s="296"/>
      <c r="AE654" s="296"/>
      <c r="AF654" s="296"/>
      <c r="AG654" s="296"/>
      <c r="AH654" s="296"/>
      <c r="AI654" s="296"/>
      <c r="AJ654" s="296"/>
      <c r="AK654" s="296"/>
    </row>
    <row r="655" spans="11:37">
      <c r="K655" s="296"/>
      <c r="L655" s="296"/>
      <c r="M655" s="296"/>
      <c r="N655" s="296"/>
      <c r="O655" s="296"/>
      <c r="P655" s="296"/>
      <c r="Q655" s="296"/>
      <c r="R655" s="296"/>
      <c r="S655" s="296"/>
      <c r="T655" s="296"/>
      <c r="U655" s="296"/>
      <c r="V655" s="296"/>
      <c r="W655" s="296"/>
      <c r="X655" s="296"/>
      <c r="Y655" s="296"/>
      <c r="Z655" s="296"/>
      <c r="AA655" s="296"/>
      <c r="AB655" s="296"/>
      <c r="AC655" s="296"/>
      <c r="AD655" s="296"/>
      <c r="AE655" s="296"/>
      <c r="AF655" s="296"/>
      <c r="AG655" s="296"/>
      <c r="AH655" s="296"/>
      <c r="AI655" s="296"/>
      <c r="AJ655" s="296"/>
      <c r="AK655" s="296"/>
    </row>
    <row r="656" spans="11:37">
      <c r="K656" s="296"/>
      <c r="L656" s="296"/>
      <c r="M656" s="296"/>
      <c r="N656" s="296"/>
      <c r="O656" s="296"/>
      <c r="P656" s="296"/>
      <c r="Q656" s="296"/>
      <c r="R656" s="296"/>
      <c r="S656" s="296"/>
      <c r="T656" s="296"/>
      <c r="U656" s="296"/>
      <c r="V656" s="296"/>
      <c r="W656" s="296"/>
      <c r="X656" s="296"/>
      <c r="Y656" s="296"/>
      <c r="Z656" s="296"/>
      <c r="AA656" s="296"/>
      <c r="AB656" s="296"/>
      <c r="AC656" s="296"/>
      <c r="AD656" s="296"/>
      <c r="AE656" s="296"/>
      <c r="AF656" s="296"/>
      <c r="AG656" s="296"/>
      <c r="AH656" s="296"/>
      <c r="AI656" s="296"/>
      <c r="AJ656" s="296"/>
      <c r="AK656" s="296"/>
    </row>
    <row r="657" spans="11:37">
      <c r="K657" s="296"/>
      <c r="L657" s="296"/>
      <c r="M657" s="296"/>
      <c r="N657" s="296"/>
      <c r="O657" s="296"/>
      <c r="P657" s="296"/>
      <c r="Q657" s="296"/>
      <c r="R657" s="296"/>
      <c r="S657" s="296"/>
      <c r="T657" s="296"/>
      <c r="U657" s="296"/>
      <c r="V657" s="296"/>
      <c r="W657" s="296"/>
      <c r="X657" s="296"/>
      <c r="Y657" s="296"/>
      <c r="Z657" s="296"/>
      <c r="AA657" s="296"/>
      <c r="AB657" s="296"/>
      <c r="AC657" s="296"/>
      <c r="AD657" s="296"/>
      <c r="AE657" s="296"/>
      <c r="AF657" s="296"/>
      <c r="AG657" s="296"/>
      <c r="AH657" s="296"/>
      <c r="AI657" s="296"/>
      <c r="AJ657" s="296"/>
      <c r="AK657" s="296"/>
    </row>
    <row r="658" spans="11:37">
      <c r="K658" s="296"/>
      <c r="L658" s="296"/>
      <c r="M658" s="296"/>
      <c r="N658" s="296"/>
      <c r="O658" s="296"/>
      <c r="P658" s="296"/>
      <c r="Q658" s="296"/>
      <c r="R658" s="296"/>
      <c r="S658" s="296"/>
      <c r="T658" s="296"/>
      <c r="U658" s="296"/>
      <c r="V658" s="296"/>
      <c r="W658" s="296"/>
      <c r="X658" s="296"/>
      <c r="Y658" s="296"/>
      <c r="Z658" s="296"/>
      <c r="AA658" s="296"/>
      <c r="AB658" s="296"/>
      <c r="AC658" s="296"/>
      <c r="AD658" s="296"/>
      <c r="AE658" s="296"/>
      <c r="AF658" s="296"/>
      <c r="AG658" s="296"/>
      <c r="AH658" s="296"/>
      <c r="AI658" s="296"/>
      <c r="AJ658" s="296"/>
      <c r="AK658" s="296"/>
    </row>
    <row r="659" spans="11:37">
      <c r="K659" s="296"/>
      <c r="L659" s="296"/>
      <c r="M659" s="296"/>
      <c r="N659" s="296"/>
      <c r="O659" s="296"/>
      <c r="P659" s="296"/>
      <c r="Q659" s="296"/>
      <c r="R659" s="296"/>
      <c r="S659" s="296"/>
      <c r="T659" s="296"/>
      <c r="U659" s="296"/>
      <c r="V659" s="296"/>
      <c r="W659" s="296"/>
      <c r="X659" s="296"/>
      <c r="Y659" s="296"/>
      <c r="Z659" s="296"/>
      <c r="AA659" s="296"/>
      <c r="AB659" s="296"/>
      <c r="AC659" s="296"/>
      <c r="AD659" s="296"/>
      <c r="AE659" s="296"/>
      <c r="AF659" s="296"/>
      <c r="AG659" s="296"/>
      <c r="AH659" s="296"/>
      <c r="AI659" s="296"/>
      <c r="AJ659" s="296"/>
      <c r="AK659" s="296"/>
    </row>
    <row r="660" spans="11:37">
      <c r="K660" s="296"/>
      <c r="L660" s="296"/>
      <c r="M660" s="296"/>
      <c r="N660" s="296"/>
      <c r="O660" s="296"/>
      <c r="P660" s="296"/>
      <c r="Q660" s="296"/>
      <c r="R660" s="296"/>
      <c r="S660" s="296"/>
      <c r="T660" s="296"/>
      <c r="U660" s="296"/>
      <c r="V660" s="296"/>
      <c r="W660" s="296"/>
      <c r="X660" s="296"/>
      <c r="Y660" s="296"/>
      <c r="Z660" s="296"/>
      <c r="AA660" s="296"/>
      <c r="AB660" s="296"/>
      <c r="AC660" s="296"/>
      <c r="AD660" s="296"/>
      <c r="AE660" s="296"/>
      <c r="AF660" s="296"/>
      <c r="AG660" s="296"/>
      <c r="AH660" s="296"/>
      <c r="AI660" s="296"/>
      <c r="AJ660" s="296"/>
      <c r="AK660" s="296"/>
    </row>
    <row r="661" spans="11:37">
      <c r="K661" s="296"/>
      <c r="L661" s="296"/>
      <c r="M661" s="296"/>
      <c r="N661" s="296"/>
      <c r="O661" s="296"/>
      <c r="P661" s="296"/>
      <c r="Q661" s="296"/>
      <c r="R661" s="296"/>
      <c r="S661" s="296"/>
      <c r="T661" s="296"/>
      <c r="U661" s="296"/>
      <c r="V661" s="296"/>
      <c r="W661" s="296"/>
      <c r="X661" s="296"/>
      <c r="Y661" s="296"/>
      <c r="Z661" s="296"/>
      <c r="AA661" s="296"/>
      <c r="AB661" s="296"/>
      <c r="AC661" s="296"/>
      <c r="AD661" s="296"/>
      <c r="AE661" s="296"/>
      <c r="AF661" s="296"/>
      <c r="AG661" s="296"/>
      <c r="AH661" s="296"/>
      <c r="AI661" s="296"/>
      <c r="AJ661" s="296"/>
      <c r="AK661" s="296"/>
    </row>
    <row r="662" spans="11:37">
      <c r="K662" s="296"/>
      <c r="L662" s="296"/>
      <c r="M662" s="296"/>
      <c r="N662" s="296"/>
      <c r="O662" s="296"/>
      <c r="P662" s="296"/>
      <c r="Q662" s="296"/>
      <c r="R662" s="296"/>
      <c r="S662" s="296"/>
      <c r="T662" s="296"/>
      <c r="U662" s="296"/>
      <c r="V662" s="296"/>
      <c r="W662" s="296"/>
      <c r="X662" s="296"/>
      <c r="Y662" s="296"/>
      <c r="Z662" s="296"/>
      <c r="AA662" s="296"/>
      <c r="AB662" s="296"/>
      <c r="AC662" s="296"/>
      <c r="AD662" s="296"/>
      <c r="AE662" s="296"/>
      <c r="AF662" s="296"/>
      <c r="AG662" s="296"/>
      <c r="AH662" s="296"/>
      <c r="AI662" s="296"/>
      <c r="AJ662" s="296"/>
      <c r="AK662" s="296"/>
    </row>
    <row r="663" spans="11:37">
      <c r="K663" s="296"/>
      <c r="L663" s="296"/>
      <c r="M663" s="296"/>
      <c r="N663" s="296"/>
      <c r="O663" s="296"/>
      <c r="P663" s="296"/>
      <c r="Q663" s="296"/>
      <c r="R663" s="296"/>
      <c r="S663" s="296"/>
      <c r="T663" s="296"/>
      <c r="U663" s="296"/>
      <c r="V663" s="296"/>
      <c r="W663" s="296"/>
      <c r="X663" s="296"/>
      <c r="Y663" s="296"/>
      <c r="Z663" s="296"/>
      <c r="AA663" s="296"/>
      <c r="AB663" s="296"/>
      <c r="AC663" s="296"/>
      <c r="AD663" s="296"/>
      <c r="AE663" s="296"/>
      <c r="AF663" s="296"/>
      <c r="AG663" s="296"/>
      <c r="AH663" s="296"/>
      <c r="AI663" s="296"/>
      <c r="AJ663" s="296"/>
      <c r="AK663" s="296"/>
    </row>
    <row r="664" spans="11:37">
      <c r="K664" s="296"/>
      <c r="L664" s="296"/>
      <c r="M664" s="296"/>
      <c r="N664" s="296"/>
      <c r="O664" s="296"/>
      <c r="P664" s="296"/>
      <c r="Q664" s="296"/>
      <c r="R664" s="296"/>
      <c r="S664" s="296"/>
      <c r="T664" s="296"/>
      <c r="U664" s="296"/>
      <c r="V664" s="296"/>
      <c r="W664" s="296"/>
      <c r="X664" s="296"/>
      <c r="Y664" s="296"/>
      <c r="Z664" s="296"/>
      <c r="AA664" s="296"/>
      <c r="AB664" s="296"/>
      <c r="AC664" s="296"/>
      <c r="AD664" s="296"/>
      <c r="AE664" s="296"/>
      <c r="AF664" s="296"/>
      <c r="AG664" s="296"/>
      <c r="AH664" s="296"/>
      <c r="AI664" s="296"/>
      <c r="AJ664" s="296"/>
      <c r="AK664" s="296"/>
    </row>
    <row r="665" spans="11:37">
      <c r="K665" s="296"/>
      <c r="L665" s="296"/>
      <c r="M665" s="296"/>
      <c r="N665" s="296"/>
      <c r="O665" s="296"/>
      <c r="P665" s="296"/>
      <c r="Q665" s="296"/>
      <c r="R665" s="296"/>
      <c r="S665" s="296"/>
      <c r="T665" s="296"/>
      <c r="U665" s="296"/>
      <c r="V665" s="296"/>
      <c r="W665" s="296"/>
      <c r="X665" s="296"/>
      <c r="Y665" s="296"/>
      <c r="Z665" s="296"/>
      <c r="AA665" s="296"/>
      <c r="AB665" s="296"/>
      <c r="AC665" s="296"/>
      <c r="AD665" s="296"/>
      <c r="AE665" s="296"/>
      <c r="AF665" s="296"/>
      <c r="AG665" s="296"/>
      <c r="AH665" s="296"/>
      <c r="AI665" s="296"/>
      <c r="AJ665" s="296"/>
      <c r="AK665" s="296"/>
    </row>
    <row r="666" spans="11:37">
      <c r="K666" s="296"/>
      <c r="L666" s="296"/>
      <c r="M666" s="296"/>
      <c r="N666" s="296"/>
      <c r="O666" s="296"/>
      <c r="P666" s="296"/>
      <c r="Q666" s="296"/>
      <c r="R666" s="296"/>
      <c r="S666" s="296"/>
      <c r="T666" s="296"/>
      <c r="U666" s="296"/>
      <c r="V666" s="296"/>
      <c r="W666" s="296"/>
      <c r="X666" s="296"/>
      <c r="Y666" s="296"/>
      <c r="Z666" s="296"/>
      <c r="AA666" s="296"/>
      <c r="AB666" s="296"/>
      <c r="AC666" s="296"/>
      <c r="AD666" s="296"/>
      <c r="AE666" s="296"/>
      <c r="AF666" s="296"/>
      <c r="AG666" s="296"/>
      <c r="AH666" s="296"/>
      <c r="AI666" s="296"/>
      <c r="AJ666" s="296"/>
      <c r="AK666" s="296"/>
    </row>
    <row r="667" spans="11:37">
      <c r="K667" s="296"/>
      <c r="L667" s="296"/>
      <c r="M667" s="296"/>
      <c r="N667" s="296"/>
      <c r="O667" s="296"/>
      <c r="P667" s="296"/>
      <c r="Q667" s="296"/>
      <c r="R667" s="296"/>
      <c r="S667" s="296"/>
      <c r="T667" s="296"/>
      <c r="U667" s="296"/>
      <c r="V667" s="296"/>
      <c r="W667" s="296"/>
      <c r="X667" s="296"/>
      <c r="Y667" s="296"/>
      <c r="Z667" s="296"/>
      <c r="AA667" s="296"/>
      <c r="AB667" s="296"/>
      <c r="AC667" s="296"/>
      <c r="AD667" s="296"/>
      <c r="AE667" s="296"/>
      <c r="AF667" s="296"/>
      <c r="AG667" s="296"/>
      <c r="AH667" s="296"/>
      <c r="AI667" s="296"/>
      <c r="AJ667" s="296"/>
      <c r="AK667" s="296"/>
    </row>
    <row r="668" spans="11:37">
      <c r="K668" s="296"/>
      <c r="L668" s="296"/>
      <c r="M668" s="296"/>
      <c r="N668" s="296"/>
      <c r="O668" s="296"/>
      <c r="P668" s="296"/>
      <c r="Q668" s="296"/>
      <c r="R668" s="296"/>
      <c r="S668" s="296"/>
      <c r="T668" s="296"/>
      <c r="U668" s="296"/>
      <c r="V668" s="296"/>
      <c r="W668" s="296"/>
      <c r="X668" s="296"/>
      <c r="Y668" s="296"/>
      <c r="Z668" s="296"/>
      <c r="AA668" s="296"/>
      <c r="AB668" s="296"/>
      <c r="AC668" s="296"/>
      <c r="AD668" s="296"/>
      <c r="AE668" s="296"/>
      <c r="AF668" s="296"/>
      <c r="AG668" s="296"/>
      <c r="AH668" s="296"/>
      <c r="AI668" s="296"/>
      <c r="AJ668" s="296"/>
      <c r="AK668" s="296"/>
    </row>
    <row r="669" spans="11:37">
      <c r="K669" s="296"/>
      <c r="L669" s="296"/>
      <c r="M669" s="296"/>
      <c r="N669" s="296"/>
      <c r="O669" s="296"/>
      <c r="P669" s="296"/>
      <c r="Q669" s="296"/>
      <c r="R669" s="296"/>
      <c r="S669" s="296"/>
      <c r="T669" s="296"/>
      <c r="U669" s="296"/>
      <c r="V669" s="296"/>
      <c r="W669" s="296"/>
      <c r="X669" s="296"/>
      <c r="Y669" s="296"/>
      <c r="Z669" s="296"/>
      <c r="AA669" s="296"/>
      <c r="AB669" s="296"/>
      <c r="AC669" s="296"/>
      <c r="AD669" s="296"/>
      <c r="AE669" s="296"/>
      <c r="AF669" s="296"/>
      <c r="AG669" s="296"/>
      <c r="AH669" s="296"/>
      <c r="AI669" s="296"/>
      <c r="AJ669" s="296"/>
      <c r="AK669" s="296"/>
    </row>
    <row r="670" spans="11:37">
      <c r="K670" s="296"/>
      <c r="L670" s="296"/>
      <c r="M670" s="296"/>
      <c r="N670" s="296"/>
      <c r="O670" s="296"/>
      <c r="P670" s="296"/>
      <c r="Q670" s="296"/>
      <c r="R670" s="296"/>
      <c r="S670" s="296"/>
      <c r="T670" s="296"/>
      <c r="U670" s="296"/>
      <c r="V670" s="296"/>
      <c r="W670" s="296"/>
      <c r="X670" s="296"/>
      <c r="Y670" s="296"/>
      <c r="Z670" s="296"/>
      <c r="AA670" s="296"/>
      <c r="AB670" s="296"/>
      <c r="AC670" s="296"/>
      <c r="AD670" s="296"/>
      <c r="AE670" s="296"/>
      <c r="AF670" s="296"/>
      <c r="AG670" s="296"/>
      <c r="AH670" s="296"/>
      <c r="AI670" s="296"/>
      <c r="AJ670" s="296"/>
      <c r="AK670" s="296"/>
    </row>
    <row r="671" spans="11:37">
      <c r="K671" s="296"/>
      <c r="L671" s="296"/>
      <c r="M671" s="296"/>
      <c r="N671" s="296"/>
      <c r="O671" s="296"/>
      <c r="P671" s="296"/>
      <c r="Q671" s="296"/>
      <c r="R671" s="296"/>
      <c r="S671" s="296"/>
      <c r="T671" s="296"/>
      <c r="U671" s="296"/>
      <c r="V671" s="296"/>
      <c r="W671" s="296"/>
      <c r="X671" s="296"/>
      <c r="Y671" s="296"/>
      <c r="Z671" s="296"/>
      <c r="AA671" s="296"/>
      <c r="AB671" s="296"/>
      <c r="AC671" s="296"/>
      <c r="AD671" s="296"/>
      <c r="AE671" s="296"/>
      <c r="AF671" s="296"/>
      <c r="AG671" s="296"/>
      <c r="AH671" s="296"/>
      <c r="AI671" s="296"/>
      <c r="AJ671" s="296"/>
      <c r="AK671" s="296"/>
    </row>
    <row r="672" spans="11:37">
      <c r="K672" s="296"/>
      <c r="L672" s="296"/>
      <c r="M672" s="296"/>
      <c r="N672" s="296"/>
      <c r="O672" s="296"/>
      <c r="P672" s="296"/>
      <c r="Q672" s="296"/>
      <c r="R672" s="296"/>
      <c r="S672" s="296"/>
      <c r="T672" s="296"/>
      <c r="U672" s="296"/>
      <c r="V672" s="296"/>
      <c r="W672" s="296"/>
      <c r="X672" s="296"/>
      <c r="Y672" s="296"/>
      <c r="Z672" s="296"/>
      <c r="AA672" s="296"/>
      <c r="AB672" s="296"/>
      <c r="AC672" s="296"/>
      <c r="AD672" s="296"/>
      <c r="AE672" s="296"/>
      <c r="AF672" s="296"/>
      <c r="AG672" s="296"/>
      <c r="AH672" s="296"/>
      <c r="AI672" s="296"/>
      <c r="AJ672" s="296"/>
      <c r="AK672" s="296"/>
    </row>
    <row r="673" spans="11:37">
      <c r="K673" s="296"/>
      <c r="L673" s="296"/>
      <c r="M673" s="296"/>
      <c r="N673" s="296"/>
      <c r="O673" s="296"/>
      <c r="P673" s="296"/>
      <c r="Q673" s="296"/>
      <c r="R673" s="296"/>
      <c r="S673" s="296"/>
      <c r="T673" s="296"/>
      <c r="U673" s="296"/>
      <c r="V673" s="296"/>
      <c r="W673" s="296"/>
      <c r="X673" s="296"/>
      <c r="Y673" s="296"/>
      <c r="Z673" s="296"/>
      <c r="AA673" s="296"/>
      <c r="AB673" s="296"/>
      <c r="AC673" s="296"/>
      <c r="AD673" s="296"/>
      <c r="AE673" s="296"/>
      <c r="AF673" s="296"/>
      <c r="AG673" s="296"/>
      <c r="AH673" s="296"/>
      <c r="AI673" s="296"/>
      <c r="AJ673" s="296"/>
      <c r="AK673" s="296"/>
    </row>
    <row r="674" spans="11:37">
      <c r="K674" s="296"/>
      <c r="L674" s="296"/>
      <c r="M674" s="296"/>
      <c r="N674" s="296"/>
      <c r="O674" s="296"/>
      <c r="P674" s="296"/>
      <c r="Q674" s="296"/>
      <c r="R674" s="296"/>
      <c r="S674" s="296"/>
      <c r="T674" s="296"/>
      <c r="U674" s="296"/>
      <c r="V674" s="296"/>
      <c r="W674" s="296"/>
      <c r="X674" s="296"/>
      <c r="Y674" s="296"/>
      <c r="Z674" s="296"/>
      <c r="AA674" s="296"/>
      <c r="AB674" s="296"/>
      <c r="AC674" s="296"/>
      <c r="AD674" s="296"/>
      <c r="AE674" s="296"/>
      <c r="AF674" s="296"/>
      <c r="AG674" s="296"/>
      <c r="AH674" s="296"/>
      <c r="AI674" s="296"/>
      <c r="AJ674" s="296"/>
      <c r="AK674" s="296"/>
    </row>
    <row r="675" spans="11:37">
      <c r="K675" s="296"/>
      <c r="L675" s="296"/>
      <c r="M675" s="296"/>
      <c r="N675" s="296"/>
      <c r="O675" s="296"/>
      <c r="P675" s="296"/>
      <c r="Q675" s="296"/>
      <c r="R675" s="296"/>
      <c r="S675" s="296"/>
      <c r="T675" s="296"/>
      <c r="U675" s="296"/>
      <c r="V675" s="296"/>
      <c r="W675" s="296"/>
      <c r="X675" s="296"/>
      <c r="Y675" s="296"/>
      <c r="Z675" s="296"/>
      <c r="AA675" s="296"/>
      <c r="AB675" s="296"/>
      <c r="AC675" s="296"/>
      <c r="AD675" s="296"/>
      <c r="AE675" s="296"/>
      <c r="AF675" s="296"/>
      <c r="AG675" s="296"/>
      <c r="AH675" s="296"/>
      <c r="AI675" s="296"/>
      <c r="AJ675" s="296"/>
      <c r="AK675" s="296"/>
    </row>
    <row r="676" spans="11:37">
      <c r="K676" s="296"/>
      <c r="L676" s="296"/>
      <c r="M676" s="296"/>
      <c r="N676" s="296"/>
      <c r="O676" s="296"/>
      <c r="P676" s="296"/>
      <c r="Q676" s="296"/>
      <c r="R676" s="296"/>
      <c r="S676" s="296"/>
      <c r="T676" s="296"/>
      <c r="U676" s="296"/>
      <c r="V676" s="296"/>
      <c r="W676" s="296"/>
      <c r="X676" s="296"/>
      <c r="Y676" s="296"/>
      <c r="Z676" s="296"/>
      <c r="AA676" s="296"/>
      <c r="AB676" s="296"/>
      <c r="AC676" s="296"/>
      <c r="AD676" s="296"/>
      <c r="AE676" s="296"/>
      <c r="AF676" s="296"/>
      <c r="AG676" s="296"/>
      <c r="AH676" s="296"/>
      <c r="AI676" s="296"/>
      <c r="AJ676" s="296"/>
      <c r="AK676" s="296"/>
    </row>
    <row r="677" spans="11:37">
      <c r="K677" s="296"/>
      <c r="L677" s="296"/>
      <c r="M677" s="296"/>
      <c r="N677" s="296"/>
      <c r="O677" s="296"/>
      <c r="P677" s="296"/>
      <c r="Q677" s="296"/>
      <c r="R677" s="296"/>
      <c r="S677" s="296"/>
      <c r="T677" s="296"/>
      <c r="U677" s="296"/>
      <c r="V677" s="296"/>
      <c r="W677" s="296"/>
      <c r="X677" s="296"/>
      <c r="Y677" s="296"/>
      <c r="Z677" s="296"/>
      <c r="AA677" s="296"/>
      <c r="AB677" s="296"/>
      <c r="AC677" s="296"/>
      <c r="AD677" s="296"/>
      <c r="AE677" s="296"/>
      <c r="AF677" s="296"/>
      <c r="AG677" s="296"/>
      <c r="AH677" s="296"/>
      <c r="AI677" s="296"/>
      <c r="AJ677" s="296"/>
      <c r="AK677" s="296"/>
    </row>
    <row r="678" spans="11:37">
      <c r="K678" s="296"/>
      <c r="L678" s="296"/>
      <c r="M678" s="296"/>
      <c r="N678" s="296"/>
      <c r="O678" s="296"/>
      <c r="P678" s="296"/>
      <c r="Q678" s="296"/>
      <c r="R678" s="296"/>
      <c r="S678" s="296"/>
      <c r="T678" s="296"/>
      <c r="U678" s="296"/>
      <c r="V678" s="296"/>
      <c r="W678" s="296"/>
      <c r="X678" s="296"/>
      <c r="Y678" s="296"/>
      <c r="Z678" s="296"/>
      <c r="AA678" s="296"/>
      <c r="AB678" s="296"/>
      <c r="AC678" s="296"/>
      <c r="AD678" s="296"/>
      <c r="AE678" s="296"/>
      <c r="AF678" s="296"/>
      <c r="AG678" s="296"/>
      <c r="AH678" s="296"/>
      <c r="AI678" s="296"/>
      <c r="AJ678" s="296"/>
      <c r="AK678" s="296"/>
    </row>
    <row r="679" spans="11:37">
      <c r="K679" s="296"/>
      <c r="L679" s="296"/>
      <c r="M679" s="296"/>
      <c r="N679" s="296"/>
      <c r="O679" s="296"/>
      <c r="P679" s="296"/>
      <c r="Q679" s="296"/>
      <c r="R679" s="296"/>
      <c r="S679" s="296"/>
      <c r="T679" s="296"/>
      <c r="U679" s="296"/>
      <c r="V679" s="296"/>
      <c r="W679" s="296"/>
      <c r="X679" s="296"/>
      <c r="Y679" s="296"/>
      <c r="Z679" s="296"/>
      <c r="AA679" s="296"/>
      <c r="AB679" s="296"/>
      <c r="AC679" s="296"/>
      <c r="AD679" s="296"/>
      <c r="AE679" s="296"/>
      <c r="AF679" s="296"/>
      <c r="AG679" s="296"/>
      <c r="AH679" s="296"/>
      <c r="AI679" s="296"/>
      <c r="AJ679" s="296"/>
      <c r="AK679" s="296"/>
    </row>
    <row r="680" spans="11:37">
      <c r="K680" s="296"/>
      <c r="L680" s="296"/>
      <c r="M680" s="296"/>
      <c r="N680" s="296"/>
      <c r="O680" s="296"/>
      <c r="P680" s="296"/>
      <c r="Q680" s="296"/>
      <c r="R680" s="296"/>
      <c r="S680" s="296"/>
      <c r="T680" s="296"/>
      <c r="U680" s="296"/>
      <c r="V680" s="296"/>
      <c r="W680" s="296"/>
      <c r="X680" s="296"/>
      <c r="Y680" s="296"/>
      <c r="Z680" s="296"/>
      <c r="AA680" s="296"/>
      <c r="AB680" s="296"/>
      <c r="AC680" s="296"/>
      <c r="AD680" s="296"/>
      <c r="AE680" s="296"/>
      <c r="AF680" s="296"/>
      <c r="AG680" s="296"/>
      <c r="AH680" s="296"/>
      <c r="AI680" s="296"/>
      <c r="AJ680" s="296"/>
      <c r="AK680" s="296"/>
    </row>
    <row r="681" spans="11:37">
      <c r="K681" s="296"/>
      <c r="L681" s="296"/>
      <c r="M681" s="296"/>
      <c r="N681" s="296"/>
      <c r="O681" s="296"/>
      <c r="P681" s="296"/>
      <c r="Q681" s="296"/>
      <c r="R681" s="296"/>
      <c r="S681" s="296"/>
      <c r="T681" s="296"/>
      <c r="U681" s="296"/>
      <c r="V681" s="296"/>
      <c r="W681" s="296"/>
      <c r="X681" s="296"/>
      <c r="Y681" s="296"/>
      <c r="Z681" s="296"/>
      <c r="AA681" s="296"/>
      <c r="AB681" s="296"/>
      <c r="AC681" s="296"/>
      <c r="AD681" s="296"/>
      <c r="AE681" s="296"/>
      <c r="AF681" s="296"/>
      <c r="AG681" s="296"/>
      <c r="AH681" s="296"/>
      <c r="AI681" s="296"/>
      <c r="AJ681" s="296"/>
      <c r="AK681" s="296"/>
    </row>
    <row r="682" spans="11:37">
      <c r="K682" s="296"/>
      <c r="L682" s="296"/>
      <c r="M682" s="296"/>
      <c r="N682" s="296"/>
      <c r="O682" s="296"/>
      <c r="P682" s="296"/>
      <c r="Q682" s="296"/>
      <c r="R682" s="296"/>
      <c r="S682" s="296"/>
      <c r="T682" s="296"/>
      <c r="U682" s="296"/>
      <c r="V682" s="296"/>
      <c r="W682" s="296"/>
      <c r="X682" s="296"/>
      <c r="Y682" s="296"/>
      <c r="Z682" s="296"/>
      <c r="AA682" s="296"/>
      <c r="AB682" s="296"/>
      <c r="AC682" s="296"/>
      <c r="AD682" s="296"/>
      <c r="AE682" s="296"/>
      <c r="AF682" s="296"/>
      <c r="AG682" s="296"/>
      <c r="AH682" s="296"/>
      <c r="AI682" s="296"/>
      <c r="AJ682" s="296"/>
      <c r="AK682" s="296"/>
    </row>
    <row r="683" spans="11:37">
      <c r="K683" s="296"/>
      <c r="L683" s="296"/>
      <c r="M683" s="296"/>
      <c r="N683" s="296"/>
      <c r="O683" s="296"/>
      <c r="P683" s="296"/>
      <c r="Q683" s="296"/>
      <c r="R683" s="296"/>
      <c r="S683" s="296"/>
      <c r="T683" s="296"/>
      <c r="U683" s="296"/>
      <c r="V683" s="296"/>
      <c r="W683" s="296"/>
      <c r="X683" s="296"/>
      <c r="Y683" s="296"/>
      <c r="Z683" s="296"/>
      <c r="AA683" s="296"/>
      <c r="AB683" s="296"/>
      <c r="AC683" s="296"/>
      <c r="AD683" s="296"/>
      <c r="AE683" s="296"/>
      <c r="AF683" s="296"/>
      <c r="AG683" s="296"/>
      <c r="AH683" s="296"/>
      <c r="AI683" s="296"/>
      <c r="AJ683" s="296"/>
      <c r="AK683" s="296"/>
    </row>
    <row r="684" spans="11:37">
      <c r="K684" s="296"/>
      <c r="L684" s="296"/>
      <c r="M684" s="296"/>
      <c r="N684" s="296"/>
      <c r="O684" s="296"/>
      <c r="P684" s="296"/>
      <c r="Q684" s="296"/>
      <c r="R684" s="296"/>
      <c r="S684" s="296"/>
      <c r="T684" s="296"/>
      <c r="U684" s="296"/>
      <c r="V684" s="296"/>
      <c r="W684" s="296"/>
      <c r="X684" s="296"/>
      <c r="Y684" s="296"/>
      <c r="Z684" s="296"/>
      <c r="AA684" s="296"/>
      <c r="AB684" s="296"/>
      <c r="AC684" s="296"/>
      <c r="AD684" s="296"/>
      <c r="AE684" s="296"/>
      <c r="AF684" s="296"/>
      <c r="AG684" s="296"/>
      <c r="AH684" s="296"/>
      <c r="AI684" s="296"/>
      <c r="AJ684" s="296"/>
      <c r="AK684" s="296"/>
    </row>
    <row r="685" spans="11:37">
      <c r="K685" s="296"/>
      <c r="L685" s="296"/>
      <c r="M685" s="296"/>
      <c r="N685" s="296"/>
      <c r="O685" s="296"/>
      <c r="P685" s="296"/>
      <c r="Q685" s="296"/>
      <c r="R685" s="296"/>
      <c r="S685" s="296"/>
      <c r="T685" s="296"/>
      <c r="U685" s="296"/>
      <c r="V685" s="296"/>
      <c r="W685" s="296"/>
      <c r="X685" s="296"/>
      <c r="Y685" s="296"/>
      <c r="Z685" s="296"/>
      <c r="AA685" s="296"/>
      <c r="AB685" s="296"/>
      <c r="AC685" s="296"/>
      <c r="AD685" s="296"/>
      <c r="AE685" s="296"/>
      <c r="AF685" s="296"/>
      <c r="AG685" s="296"/>
      <c r="AH685" s="296"/>
      <c r="AI685" s="296"/>
      <c r="AJ685" s="296"/>
      <c r="AK685" s="296"/>
    </row>
    <row r="686" spans="11:37">
      <c r="K686" s="296"/>
      <c r="L686" s="296"/>
      <c r="M686" s="296"/>
      <c r="N686" s="296"/>
      <c r="O686" s="296"/>
      <c r="P686" s="296"/>
      <c r="Q686" s="296"/>
      <c r="R686" s="296"/>
      <c r="S686" s="296"/>
      <c r="T686" s="296"/>
      <c r="U686" s="296"/>
      <c r="V686" s="296"/>
      <c r="W686" s="296"/>
      <c r="X686" s="296"/>
      <c r="Y686" s="296"/>
      <c r="Z686" s="296"/>
      <c r="AA686" s="296"/>
      <c r="AB686" s="296"/>
      <c r="AC686" s="296"/>
      <c r="AD686" s="296"/>
      <c r="AE686" s="296"/>
      <c r="AF686" s="296"/>
      <c r="AG686" s="296"/>
      <c r="AH686" s="296"/>
      <c r="AI686" s="296"/>
      <c r="AJ686" s="296"/>
      <c r="AK686" s="296"/>
    </row>
    <row r="687" spans="11:37">
      <c r="K687" s="296"/>
      <c r="L687" s="296"/>
      <c r="M687" s="296"/>
      <c r="N687" s="296"/>
      <c r="O687" s="296"/>
      <c r="P687" s="296"/>
      <c r="Q687" s="296"/>
      <c r="R687" s="296"/>
      <c r="S687" s="296"/>
      <c r="T687" s="296"/>
      <c r="U687" s="296"/>
      <c r="V687" s="296"/>
      <c r="W687" s="296"/>
      <c r="X687" s="296"/>
      <c r="Y687" s="296"/>
      <c r="Z687" s="296"/>
      <c r="AA687" s="296"/>
      <c r="AB687" s="296"/>
      <c r="AC687" s="296"/>
      <c r="AD687" s="296"/>
      <c r="AE687" s="296"/>
      <c r="AF687" s="296"/>
      <c r="AG687" s="296"/>
      <c r="AH687" s="296"/>
      <c r="AI687" s="296"/>
      <c r="AJ687" s="296"/>
      <c r="AK687" s="296"/>
    </row>
    <row r="688" spans="11:37">
      <c r="K688" s="296"/>
      <c r="L688" s="296"/>
      <c r="M688" s="296"/>
      <c r="N688" s="296"/>
      <c r="O688" s="296"/>
      <c r="P688" s="296"/>
      <c r="Q688" s="296"/>
      <c r="R688" s="296"/>
      <c r="S688" s="296"/>
      <c r="T688" s="296"/>
      <c r="U688" s="296"/>
      <c r="V688" s="296"/>
      <c r="W688" s="296"/>
      <c r="X688" s="296"/>
      <c r="Y688" s="296"/>
      <c r="Z688" s="296"/>
      <c r="AA688" s="296"/>
      <c r="AB688" s="296"/>
      <c r="AC688" s="296"/>
      <c r="AD688" s="296"/>
      <c r="AE688" s="296"/>
      <c r="AF688" s="296"/>
      <c r="AG688" s="296"/>
      <c r="AH688" s="296"/>
      <c r="AI688" s="296"/>
      <c r="AJ688" s="296"/>
      <c r="AK688" s="296"/>
    </row>
    <row r="689" spans="11:37">
      <c r="K689" s="296"/>
      <c r="L689" s="296"/>
      <c r="M689" s="296"/>
      <c r="N689" s="296"/>
      <c r="O689" s="296"/>
      <c r="P689" s="296"/>
      <c r="Q689" s="296"/>
      <c r="R689" s="296"/>
      <c r="S689" s="296"/>
      <c r="T689" s="296"/>
      <c r="U689" s="296"/>
      <c r="V689" s="296"/>
      <c r="W689" s="296"/>
      <c r="X689" s="296"/>
      <c r="Y689" s="296"/>
      <c r="Z689" s="296"/>
      <c r="AA689" s="296"/>
      <c r="AB689" s="296"/>
      <c r="AC689" s="296"/>
      <c r="AD689" s="296"/>
      <c r="AE689" s="296"/>
      <c r="AF689" s="296"/>
      <c r="AG689" s="296"/>
      <c r="AH689" s="296"/>
      <c r="AI689" s="296"/>
      <c r="AJ689" s="296"/>
      <c r="AK689" s="296"/>
    </row>
    <row r="690" spans="11:37">
      <c r="K690" s="296"/>
      <c r="L690" s="296"/>
      <c r="M690" s="296"/>
      <c r="N690" s="296"/>
      <c r="O690" s="296"/>
      <c r="P690" s="296"/>
      <c r="Q690" s="296"/>
      <c r="R690" s="296"/>
      <c r="S690" s="296"/>
      <c r="T690" s="296"/>
      <c r="U690" s="296"/>
      <c r="V690" s="296"/>
      <c r="W690" s="296"/>
      <c r="X690" s="296"/>
      <c r="Y690" s="296"/>
      <c r="Z690" s="296"/>
      <c r="AA690" s="296"/>
      <c r="AB690" s="296"/>
      <c r="AC690" s="296"/>
      <c r="AD690" s="296"/>
      <c r="AE690" s="296"/>
      <c r="AF690" s="296"/>
      <c r="AG690" s="296"/>
      <c r="AH690" s="296"/>
      <c r="AI690" s="296"/>
      <c r="AJ690" s="296"/>
      <c r="AK690" s="296"/>
    </row>
    <row r="691" spans="11:37">
      <c r="K691" s="296"/>
      <c r="L691" s="296"/>
      <c r="M691" s="296"/>
      <c r="N691" s="296"/>
      <c r="O691" s="296"/>
      <c r="P691" s="296"/>
      <c r="Q691" s="296"/>
      <c r="R691" s="296"/>
      <c r="S691" s="296"/>
      <c r="T691" s="296"/>
      <c r="U691" s="296"/>
      <c r="V691" s="296"/>
      <c r="W691" s="296"/>
      <c r="X691" s="296"/>
      <c r="Y691" s="296"/>
      <c r="Z691" s="296"/>
      <c r="AA691" s="296"/>
      <c r="AB691" s="296"/>
      <c r="AC691" s="296"/>
      <c r="AD691" s="296"/>
      <c r="AE691" s="296"/>
      <c r="AF691" s="296"/>
      <c r="AG691" s="296"/>
      <c r="AH691" s="296"/>
      <c r="AI691" s="296"/>
      <c r="AJ691" s="296"/>
      <c r="AK691" s="296"/>
    </row>
    <row r="692" spans="11:37">
      <c r="K692" s="296"/>
      <c r="L692" s="296"/>
      <c r="M692" s="296"/>
      <c r="N692" s="296"/>
      <c r="O692" s="296"/>
      <c r="P692" s="296"/>
      <c r="Q692" s="296"/>
      <c r="R692" s="296"/>
      <c r="S692" s="296"/>
      <c r="T692" s="296"/>
      <c r="U692" s="296"/>
      <c r="V692" s="296"/>
      <c r="W692" s="296"/>
      <c r="X692" s="296"/>
      <c r="Y692" s="296"/>
      <c r="Z692" s="296"/>
      <c r="AA692" s="296"/>
      <c r="AB692" s="296"/>
      <c r="AC692" s="296"/>
      <c r="AD692" s="296"/>
      <c r="AE692" s="296"/>
      <c r="AF692" s="296"/>
      <c r="AG692" s="296"/>
      <c r="AH692" s="296"/>
      <c r="AI692" s="296"/>
      <c r="AJ692" s="296"/>
      <c r="AK692" s="296"/>
    </row>
    <row r="693" spans="11:37">
      <c r="K693" s="296"/>
      <c r="L693" s="296"/>
      <c r="M693" s="296"/>
      <c r="N693" s="296"/>
      <c r="O693" s="296"/>
      <c r="P693" s="296"/>
      <c r="Q693" s="296"/>
      <c r="R693" s="296"/>
      <c r="S693" s="296"/>
      <c r="T693" s="296"/>
      <c r="U693" s="296"/>
      <c r="V693" s="296"/>
      <c r="W693" s="296"/>
      <c r="X693" s="296"/>
      <c r="Y693" s="296"/>
      <c r="Z693" s="296"/>
      <c r="AA693" s="296"/>
      <c r="AB693" s="296"/>
      <c r="AC693" s="296"/>
      <c r="AD693" s="296"/>
      <c r="AE693" s="296"/>
      <c r="AF693" s="296"/>
      <c r="AG693" s="296"/>
      <c r="AH693" s="296"/>
      <c r="AI693" s="296"/>
      <c r="AJ693" s="296"/>
      <c r="AK693" s="296"/>
    </row>
    <row r="694" spans="11:37">
      <c r="K694" s="296"/>
      <c r="L694" s="296"/>
      <c r="M694" s="296"/>
      <c r="N694" s="296"/>
      <c r="O694" s="296"/>
      <c r="P694" s="296"/>
      <c r="Q694" s="296"/>
      <c r="R694" s="296"/>
      <c r="S694" s="296"/>
      <c r="T694" s="296"/>
      <c r="U694" s="296"/>
      <c r="V694" s="296"/>
      <c r="W694" s="296"/>
      <c r="X694" s="296"/>
      <c r="Y694" s="296"/>
      <c r="Z694" s="296"/>
      <c r="AA694" s="296"/>
      <c r="AB694" s="296"/>
      <c r="AC694" s="296"/>
      <c r="AD694" s="296"/>
      <c r="AE694" s="296"/>
      <c r="AF694" s="296"/>
      <c r="AG694" s="296"/>
      <c r="AH694" s="296"/>
      <c r="AI694" s="296"/>
      <c r="AJ694" s="296"/>
      <c r="AK694" s="296"/>
    </row>
    <row r="695" spans="11:37">
      <c r="K695" s="296"/>
      <c r="L695" s="296"/>
      <c r="M695" s="296"/>
      <c r="N695" s="296"/>
      <c r="O695" s="296"/>
      <c r="P695" s="296"/>
      <c r="Q695" s="296"/>
      <c r="R695" s="296"/>
      <c r="S695" s="296"/>
      <c r="T695" s="296"/>
      <c r="U695" s="296"/>
      <c r="V695" s="296"/>
      <c r="W695" s="296"/>
      <c r="X695" s="296"/>
      <c r="Y695" s="296"/>
      <c r="Z695" s="296"/>
      <c r="AA695" s="296"/>
      <c r="AB695" s="296"/>
      <c r="AC695" s="296"/>
      <c r="AD695" s="296"/>
      <c r="AE695" s="296"/>
      <c r="AF695" s="296"/>
      <c r="AG695" s="296"/>
      <c r="AH695" s="296"/>
      <c r="AI695" s="296"/>
      <c r="AJ695" s="296"/>
      <c r="AK695" s="296"/>
    </row>
    <row r="696" spans="11:37">
      <c r="K696" s="296"/>
      <c r="L696" s="296"/>
      <c r="M696" s="296"/>
      <c r="N696" s="296"/>
      <c r="O696" s="296"/>
      <c r="P696" s="296"/>
      <c r="Q696" s="296"/>
      <c r="R696" s="296"/>
      <c r="S696" s="296"/>
      <c r="T696" s="296"/>
      <c r="U696" s="296"/>
      <c r="V696" s="296"/>
      <c r="W696" s="296"/>
      <c r="X696" s="296"/>
      <c r="Y696" s="296"/>
      <c r="Z696" s="296"/>
      <c r="AA696" s="296"/>
      <c r="AB696" s="296"/>
      <c r="AC696" s="296"/>
      <c r="AD696" s="296"/>
      <c r="AE696" s="296"/>
      <c r="AF696" s="296"/>
      <c r="AG696" s="296"/>
      <c r="AH696" s="296"/>
      <c r="AI696" s="296"/>
      <c r="AJ696" s="296"/>
      <c r="AK696" s="296"/>
    </row>
    <row r="697" spans="11:37">
      <c r="K697" s="296"/>
      <c r="L697" s="296"/>
      <c r="M697" s="296"/>
      <c r="N697" s="296"/>
      <c r="O697" s="296"/>
      <c r="P697" s="296"/>
      <c r="Q697" s="296"/>
      <c r="R697" s="296"/>
      <c r="S697" s="296"/>
      <c r="T697" s="296"/>
      <c r="U697" s="296"/>
      <c r="V697" s="296"/>
      <c r="W697" s="296"/>
      <c r="X697" s="296"/>
      <c r="Y697" s="296"/>
      <c r="Z697" s="296"/>
      <c r="AA697" s="296"/>
      <c r="AB697" s="296"/>
      <c r="AC697" s="296"/>
      <c r="AD697" s="296"/>
      <c r="AE697" s="296"/>
      <c r="AF697" s="296"/>
      <c r="AG697" s="296"/>
      <c r="AH697" s="296"/>
      <c r="AI697" s="296"/>
      <c r="AJ697" s="296"/>
      <c r="AK697" s="296"/>
    </row>
    <row r="698" spans="11:37">
      <c r="K698" s="296"/>
      <c r="L698" s="296"/>
      <c r="M698" s="296"/>
      <c r="N698" s="296"/>
      <c r="O698" s="296"/>
      <c r="P698" s="296"/>
      <c r="Q698" s="296"/>
      <c r="R698" s="296"/>
      <c r="S698" s="296"/>
      <c r="T698" s="296"/>
      <c r="U698" s="296"/>
      <c r="V698" s="296"/>
      <c r="W698" s="296"/>
      <c r="X698" s="296"/>
      <c r="Y698" s="296"/>
      <c r="Z698" s="296"/>
      <c r="AA698" s="296"/>
      <c r="AB698" s="296"/>
      <c r="AC698" s="296"/>
      <c r="AD698" s="296"/>
      <c r="AE698" s="296"/>
      <c r="AF698" s="296"/>
      <c r="AG698" s="296"/>
      <c r="AH698" s="296"/>
      <c r="AI698" s="296"/>
      <c r="AJ698" s="296"/>
      <c r="AK698" s="296"/>
    </row>
    <row r="699" spans="11:37">
      <c r="K699" s="296"/>
      <c r="L699" s="296"/>
      <c r="M699" s="296"/>
      <c r="N699" s="296"/>
      <c r="O699" s="296"/>
      <c r="P699" s="296"/>
      <c r="Q699" s="296"/>
      <c r="R699" s="296"/>
      <c r="S699" s="296"/>
      <c r="T699" s="296"/>
      <c r="U699" s="296"/>
      <c r="V699" s="296"/>
      <c r="W699" s="296"/>
      <c r="X699" s="296"/>
      <c r="Y699" s="296"/>
      <c r="Z699" s="296"/>
      <c r="AA699" s="296"/>
      <c r="AB699" s="296"/>
      <c r="AC699" s="296"/>
      <c r="AD699" s="296"/>
      <c r="AE699" s="296"/>
      <c r="AF699" s="296"/>
      <c r="AG699" s="296"/>
      <c r="AH699" s="296"/>
      <c r="AI699" s="296"/>
      <c r="AJ699" s="296"/>
      <c r="AK699" s="296"/>
    </row>
    <row r="700" spans="11:37">
      <c r="K700" s="296"/>
      <c r="L700" s="296"/>
      <c r="M700" s="296"/>
      <c r="N700" s="296"/>
      <c r="O700" s="296"/>
      <c r="P700" s="296"/>
      <c r="Q700" s="296"/>
      <c r="R700" s="296"/>
      <c r="S700" s="296"/>
      <c r="T700" s="296"/>
      <c r="U700" s="296"/>
      <c r="V700" s="296"/>
      <c r="W700" s="296"/>
      <c r="X700" s="296"/>
      <c r="Y700" s="296"/>
      <c r="Z700" s="296"/>
      <c r="AA700" s="296"/>
      <c r="AB700" s="296"/>
      <c r="AC700" s="296"/>
      <c r="AD700" s="296"/>
      <c r="AE700" s="296"/>
      <c r="AF700" s="296"/>
      <c r="AG700" s="296"/>
      <c r="AH700" s="296"/>
      <c r="AI700" s="296"/>
      <c r="AJ700" s="296"/>
      <c r="AK700" s="296"/>
    </row>
    <row r="701" spans="11:37">
      <c r="K701" s="296"/>
      <c r="L701" s="296"/>
      <c r="M701" s="296"/>
      <c r="N701" s="296"/>
      <c r="O701" s="296"/>
      <c r="P701" s="296"/>
      <c r="Q701" s="296"/>
      <c r="R701" s="296"/>
      <c r="S701" s="296"/>
      <c r="T701" s="296"/>
      <c r="U701" s="296"/>
      <c r="V701" s="296"/>
      <c r="W701" s="296"/>
      <c r="X701" s="296"/>
      <c r="Y701" s="296"/>
      <c r="Z701" s="296"/>
      <c r="AA701" s="296"/>
      <c r="AB701" s="296"/>
      <c r="AC701" s="296"/>
      <c r="AD701" s="296"/>
      <c r="AE701" s="296"/>
      <c r="AF701" s="296"/>
      <c r="AG701" s="296"/>
      <c r="AH701" s="296"/>
      <c r="AI701" s="296"/>
      <c r="AJ701" s="296"/>
      <c r="AK701" s="296"/>
    </row>
    <row r="702" spans="11:37">
      <c r="K702" s="296"/>
      <c r="L702" s="296"/>
      <c r="M702" s="296"/>
      <c r="N702" s="296"/>
      <c r="O702" s="296"/>
      <c r="P702" s="296"/>
      <c r="Q702" s="296"/>
      <c r="R702" s="296"/>
      <c r="S702" s="296"/>
      <c r="T702" s="296"/>
      <c r="U702" s="296"/>
      <c r="V702" s="296"/>
      <c r="W702" s="296"/>
      <c r="X702" s="296"/>
      <c r="Y702" s="296"/>
      <c r="Z702" s="296"/>
      <c r="AA702" s="296"/>
      <c r="AB702" s="296"/>
      <c r="AC702" s="296"/>
      <c r="AD702" s="296"/>
      <c r="AE702" s="296"/>
      <c r="AF702" s="296"/>
      <c r="AG702" s="296"/>
      <c r="AH702" s="296"/>
      <c r="AI702" s="296"/>
      <c r="AJ702" s="296"/>
      <c r="AK702" s="296"/>
    </row>
    <row r="703" spans="11:37">
      <c r="K703" s="296"/>
      <c r="L703" s="296"/>
      <c r="M703" s="296"/>
      <c r="N703" s="296"/>
      <c r="O703" s="296"/>
      <c r="P703" s="296"/>
      <c r="Q703" s="296"/>
      <c r="R703" s="296"/>
      <c r="S703" s="296"/>
      <c r="T703" s="296"/>
      <c r="U703" s="296"/>
      <c r="V703" s="296"/>
      <c r="W703" s="296"/>
      <c r="X703" s="296"/>
      <c r="Y703" s="296"/>
      <c r="Z703" s="296"/>
      <c r="AA703" s="296"/>
      <c r="AB703" s="296"/>
      <c r="AC703" s="296"/>
      <c r="AD703" s="296"/>
      <c r="AE703" s="296"/>
      <c r="AF703" s="296"/>
      <c r="AG703" s="296"/>
      <c r="AH703" s="296"/>
      <c r="AI703" s="296"/>
      <c r="AJ703" s="296"/>
      <c r="AK703" s="296"/>
    </row>
    <row r="704" spans="11:37">
      <c r="K704" s="296"/>
      <c r="L704" s="296"/>
      <c r="M704" s="296"/>
      <c r="N704" s="296"/>
      <c r="O704" s="296"/>
      <c r="P704" s="296"/>
      <c r="Q704" s="296"/>
      <c r="R704" s="296"/>
      <c r="S704" s="296"/>
      <c r="T704" s="296"/>
      <c r="U704" s="296"/>
      <c r="V704" s="296"/>
      <c r="W704" s="296"/>
      <c r="X704" s="296"/>
      <c r="Y704" s="296"/>
      <c r="Z704" s="296"/>
      <c r="AA704" s="296"/>
      <c r="AB704" s="296"/>
      <c r="AC704" s="296"/>
      <c r="AD704" s="296"/>
      <c r="AE704" s="296"/>
      <c r="AF704" s="296"/>
      <c r="AG704" s="296"/>
      <c r="AH704" s="296"/>
      <c r="AI704" s="296"/>
      <c r="AJ704" s="296"/>
      <c r="AK704" s="296"/>
    </row>
    <row r="705" spans="11:37">
      <c r="K705" s="296"/>
      <c r="L705" s="296"/>
      <c r="M705" s="296"/>
      <c r="N705" s="296"/>
      <c r="O705" s="296"/>
      <c r="P705" s="296"/>
      <c r="Q705" s="296"/>
      <c r="R705" s="296"/>
      <c r="S705" s="296"/>
      <c r="T705" s="296"/>
      <c r="U705" s="296"/>
      <c r="V705" s="296"/>
      <c r="W705" s="296"/>
      <c r="X705" s="296"/>
      <c r="Y705" s="296"/>
      <c r="Z705" s="296"/>
      <c r="AA705" s="296"/>
      <c r="AB705" s="296"/>
      <c r="AC705" s="296"/>
      <c r="AD705" s="296"/>
      <c r="AE705" s="296"/>
      <c r="AF705" s="296"/>
      <c r="AG705" s="296"/>
      <c r="AH705" s="296"/>
      <c r="AI705" s="296"/>
      <c r="AJ705" s="296"/>
      <c r="AK705" s="296"/>
    </row>
    <row r="706" spans="11:37">
      <c r="K706" s="296"/>
      <c r="L706" s="296"/>
      <c r="M706" s="296"/>
      <c r="N706" s="296"/>
      <c r="O706" s="296"/>
      <c r="P706" s="296"/>
      <c r="Q706" s="296"/>
      <c r="R706" s="296"/>
      <c r="S706" s="296"/>
      <c r="T706" s="296"/>
      <c r="U706" s="296"/>
      <c r="V706" s="296"/>
      <c r="W706" s="296"/>
      <c r="X706" s="296"/>
      <c r="Y706" s="296"/>
      <c r="Z706" s="296"/>
      <c r="AA706" s="296"/>
      <c r="AB706" s="296"/>
      <c r="AC706" s="296"/>
      <c r="AD706" s="296"/>
      <c r="AE706" s="296"/>
      <c r="AF706" s="296"/>
      <c r="AG706" s="296"/>
      <c r="AH706" s="296"/>
      <c r="AI706" s="296"/>
      <c r="AJ706" s="296"/>
      <c r="AK706" s="296"/>
    </row>
    <row r="707" spans="11:37">
      <c r="K707" s="296"/>
      <c r="L707" s="296"/>
      <c r="M707" s="296"/>
      <c r="N707" s="296"/>
      <c r="O707" s="296"/>
      <c r="P707" s="296"/>
      <c r="Q707" s="296"/>
      <c r="R707" s="296"/>
      <c r="S707" s="296"/>
      <c r="T707" s="296"/>
      <c r="U707" s="296"/>
      <c r="V707" s="296"/>
      <c r="W707" s="296"/>
      <c r="X707" s="296"/>
      <c r="Y707" s="296"/>
      <c r="Z707" s="296"/>
      <c r="AA707" s="296"/>
      <c r="AB707" s="296"/>
      <c r="AC707" s="296"/>
      <c r="AD707" s="296"/>
      <c r="AE707" s="296"/>
      <c r="AF707" s="296"/>
      <c r="AG707" s="296"/>
      <c r="AH707" s="296"/>
      <c r="AI707" s="296"/>
      <c r="AJ707" s="296"/>
      <c r="AK707" s="296"/>
    </row>
    <row r="708" spans="11:37">
      <c r="K708" s="296"/>
      <c r="L708" s="296"/>
      <c r="M708" s="296"/>
      <c r="N708" s="296"/>
      <c r="O708" s="296"/>
      <c r="P708" s="296"/>
      <c r="Q708" s="296"/>
      <c r="R708" s="296"/>
      <c r="S708" s="296"/>
      <c r="T708" s="296"/>
      <c r="U708" s="296"/>
      <c r="V708" s="296"/>
      <c r="W708" s="296"/>
      <c r="X708" s="296"/>
      <c r="Y708" s="296"/>
      <c r="Z708" s="296"/>
      <c r="AA708" s="296"/>
      <c r="AB708" s="296"/>
      <c r="AC708" s="296"/>
      <c r="AD708" s="296"/>
      <c r="AE708" s="296"/>
      <c r="AF708" s="296"/>
      <c r="AG708" s="296"/>
      <c r="AH708" s="296"/>
      <c r="AI708" s="296"/>
      <c r="AJ708" s="296"/>
      <c r="AK708" s="296"/>
    </row>
    <row r="709" spans="11:37">
      <c r="K709" s="296"/>
      <c r="L709" s="296"/>
      <c r="M709" s="296"/>
      <c r="N709" s="296"/>
      <c r="O709" s="296"/>
      <c r="P709" s="296"/>
      <c r="Q709" s="296"/>
      <c r="R709" s="296"/>
      <c r="S709" s="296"/>
      <c r="T709" s="296"/>
      <c r="U709" s="296"/>
      <c r="V709" s="296"/>
      <c r="W709" s="296"/>
      <c r="X709" s="296"/>
      <c r="Y709" s="296"/>
      <c r="Z709" s="296"/>
      <c r="AA709" s="296"/>
      <c r="AB709" s="296"/>
      <c r="AC709" s="296"/>
      <c r="AD709" s="296"/>
      <c r="AE709" s="296"/>
      <c r="AF709" s="296"/>
      <c r="AG709" s="296"/>
      <c r="AH709" s="296"/>
      <c r="AI709" s="296"/>
      <c r="AJ709" s="296"/>
      <c r="AK709" s="296"/>
    </row>
    <row r="710" spans="11:37">
      <c r="K710" s="296"/>
      <c r="L710" s="296"/>
      <c r="M710" s="296"/>
      <c r="N710" s="296"/>
      <c r="O710" s="296"/>
      <c r="P710" s="296"/>
      <c r="Q710" s="296"/>
      <c r="R710" s="296"/>
      <c r="S710" s="296"/>
      <c r="T710" s="296"/>
      <c r="U710" s="296"/>
      <c r="V710" s="296"/>
      <c r="W710" s="296"/>
      <c r="X710" s="296"/>
      <c r="Y710" s="296"/>
      <c r="Z710" s="296"/>
      <c r="AA710" s="296"/>
      <c r="AB710" s="296"/>
      <c r="AC710" s="296"/>
      <c r="AD710" s="296"/>
      <c r="AE710" s="296"/>
      <c r="AF710" s="296"/>
      <c r="AG710" s="296"/>
      <c r="AH710" s="296"/>
      <c r="AI710" s="296"/>
      <c r="AJ710" s="296"/>
      <c r="AK710" s="296"/>
    </row>
    <row r="711" spans="11:37">
      <c r="K711" s="296"/>
      <c r="L711" s="296"/>
      <c r="M711" s="296"/>
      <c r="N711" s="296"/>
      <c r="O711" s="296"/>
      <c r="P711" s="296"/>
      <c r="Q711" s="296"/>
      <c r="R711" s="296"/>
      <c r="S711" s="296"/>
      <c r="T711" s="296"/>
      <c r="U711" s="296"/>
      <c r="V711" s="296"/>
      <c r="W711" s="296"/>
      <c r="X711" s="296"/>
      <c r="Y711" s="296"/>
      <c r="Z711" s="296"/>
      <c r="AA711" s="296"/>
      <c r="AB711" s="296"/>
      <c r="AC711" s="296"/>
      <c r="AD711" s="296"/>
      <c r="AE711" s="296"/>
      <c r="AF711" s="296"/>
      <c r="AG711" s="296"/>
      <c r="AH711" s="296"/>
      <c r="AI711" s="296"/>
      <c r="AJ711" s="296"/>
      <c r="AK711" s="296"/>
    </row>
    <row r="712" spans="11:37">
      <c r="K712" s="296"/>
      <c r="L712" s="296"/>
      <c r="M712" s="296"/>
      <c r="N712" s="296"/>
      <c r="O712" s="296"/>
      <c r="P712" s="296"/>
      <c r="Q712" s="296"/>
      <c r="R712" s="296"/>
      <c r="S712" s="296"/>
      <c r="T712" s="296"/>
      <c r="U712" s="296"/>
      <c r="V712" s="296"/>
      <c r="W712" s="296"/>
      <c r="X712" s="296"/>
      <c r="Y712" s="296"/>
      <c r="Z712" s="296"/>
      <c r="AA712" s="296"/>
      <c r="AB712" s="296"/>
      <c r="AC712" s="296"/>
      <c r="AD712" s="296"/>
      <c r="AE712" s="296"/>
      <c r="AF712" s="296"/>
      <c r="AG712" s="296"/>
      <c r="AH712" s="296"/>
      <c r="AI712" s="296"/>
      <c r="AJ712" s="296"/>
      <c r="AK712" s="296"/>
    </row>
    <row r="713" spans="11:37">
      <c r="K713" s="296"/>
      <c r="L713" s="296"/>
      <c r="M713" s="296"/>
      <c r="N713" s="296"/>
      <c r="O713" s="296"/>
      <c r="P713" s="296"/>
      <c r="Q713" s="296"/>
      <c r="R713" s="296"/>
      <c r="S713" s="296"/>
      <c r="T713" s="296"/>
      <c r="U713" s="296"/>
      <c r="V713" s="296"/>
      <c r="W713" s="296"/>
      <c r="X713" s="296"/>
      <c r="Y713" s="296"/>
      <c r="Z713" s="296"/>
      <c r="AA713" s="296"/>
      <c r="AB713" s="296"/>
      <c r="AC713" s="296"/>
      <c r="AD713" s="296"/>
      <c r="AE713" s="296"/>
      <c r="AF713" s="296"/>
      <c r="AG713" s="296"/>
      <c r="AH713" s="296"/>
      <c r="AI713" s="296"/>
      <c r="AJ713" s="296"/>
      <c r="AK713" s="296"/>
    </row>
    <row r="714" spans="11:37">
      <c r="K714" s="296"/>
      <c r="L714" s="296"/>
      <c r="M714" s="296"/>
      <c r="N714" s="296"/>
      <c r="O714" s="296"/>
      <c r="P714" s="296"/>
      <c r="Q714" s="296"/>
      <c r="R714" s="296"/>
      <c r="S714" s="296"/>
      <c r="T714" s="296"/>
      <c r="U714" s="296"/>
      <c r="V714" s="296"/>
      <c r="W714" s="296"/>
      <c r="X714" s="296"/>
      <c r="Y714" s="296"/>
      <c r="Z714" s="296"/>
      <c r="AA714" s="296"/>
      <c r="AB714" s="296"/>
      <c r="AC714" s="296"/>
      <c r="AD714" s="296"/>
      <c r="AE714" s="296"/>
      <c r="AF714" s="296"/>
      <c r="AG714" s="296"/>
      <c r="AH714" s="296"/>
      <c r="AI714" s="296"/>
      <c r="AJ714" s="296"/>
      <c r="AK714" s="296"/>
    </row>
    <row r="715" spans="11:37">
      <c r="K715" s="296"/>
      <c r="L715" s="296"/>
      <c r="M715" s="296"/>
      <c r="N715" s="296"/>
      <c r="O715" s="296"/>
      <c r="P715" s="296"/>
      <c r="Q715" s="296"/>
      <c r="R715" s="296"/>
      <c r="S715" s="296"/>
      <c r="T715" s="296"/>
      <c r="U715" s="296"/>
      <c r="V715" s="296"/>
      <c r="W715" s="296"/>
      <c r="X715" s="296"/>
      <c r="Y715" s="296"/>
      <c r="Z715" s="296"/>
      <c r="AA715" s="296"/>
      <c r="AB715" s="296"/>
      <c r="AC715" s="296"/>
      <c r="AD715" s="296"/>
      <c r="AE715" s="296"/>
      <c r="AF715" s="296"/>
      <c r="AG715" s="296"/>
      <c r="AH715" s="296"/>
      <c r="AI715" s="296"/>
      <c r="AJ715" s="296"/>
      <c r="AK715" s="296"/>
    </row>
    <row r="716" spans="11:37">
      <c r="K716" s="296"/>
      <c r="L716" s="296"/>
      <c r="M716" s="296"/>
      <c r="N716" s="296"/>
      <c r="O716" s="296"/>
      <c r="P716" s="296"/>
      <c r="Q716" s="296"/>
      <c r="R716" s="296"/>
      <c r="S716" s="296"/>
      <c r="T716" s="296"/>
      <c r="U716" s="296"/>
      <c r="V716" s="296"/>
      <c r="W716" s="296"/>
      <c r="X716" s="296"/>
      <c r="Y716" s="296"/>
      <c r="Z716" s="296"/>
      <c r="AA716" s="296"/>
      <c r="AB716" s="296"/>
      <c r="AC716" s="296"/>
      <c r="AD716" s="296"/>
      <c r="AE716" s="296"/>
      <c r="AF716" s="296"/>
      <c r="AG716" s="296"/>
      <c r="AH716" s="296"/>
      <c r="AI716" s="296"/>
      <c r="AJ716" s="296"/>
      <c r="AK716" s="296"/>
    </row>
    <row r="717" spans="11:37">
      <c r="K717" s="296"/>
      <c r="L717" s="296"/>
      <c r="M717" s="296"/>
      <c r="N717" s="296"/>
      <c r="O717" s="296"/>
      <c r="P717" s="296"/>
      <c r="Q717" s="296"/>
      <c r="R717" s="296"/>
      <c r="S717" s="296"/>
      <c r="T717" s="296"/>
      <c r="U717" s="296"/>
      <c r="V717" s="296"/>
      <c r="W717" s="296"/>
      <c r="X717" s="296"/>
      <c r="Y717" s="296"/>
      <c r="Z717" s="296"/>
      <c r="AA717" s="296"/>
      <c r="AB717" s="296"/>
      <c r="AC717" s="296"/>
      <c r="AD717" s="296"/>
      <c r="AE717" s="296"/>
      <c r="AF717" s="296"/>
      <c r="AG717" s="296"/>
      <c r="AH717" s="296"/>
      <c r="AI717" s="296"/>
      <c r="AJ717" s="296"/>
      <c r="AK717" s="296"/>
    </row>
    <row r="718" spans="11:37">
      <c r="K718" s="296"/>
      <c r="L718" s="296"/>
      <c r="M718" s="296"/>
      <c r="N718" s="296"/>
      <c r="O718" s="296"/>
      <c r="P718" s="296"/>
      <c r="Q718" s="296"/>
      <c r="R718" s="296"/>
      <c r="S718" s="296"/>
      <c r="T718" s="296"/>
      <c r="U718" s="296"/>
      <c r="V718" s="296"/>
      <c r="W718" s="296"/>
      <c r="X718" s="296"/>
      <c r="Y718" s="296"/>
      <c r="Z718" s="296"/>
      <c r="AA718" s="296"/>
      <c r="AB718" s="296"/>
      <c r="AC718" s="296"/>
      <c r="AD718" s="296"/>
      <c r="AE718" s="296"/>
      <c r="AF718" s="296"/>
      <c r="AG718" s="296"/>
      <c r="AH718" s="296"/>
      <c r="AI718" s="296"/>
      <c r="AJ718" s="296"/>
      <c r="AK718" s="296"/>
    </row>
    <row r="719" spans="11:37">
      <c r="K719" s="296"/>
      <c r="L719" s="296"/>
      <c r="M719" s="296"/>
      <c r="N719" s="296"/>
      <c r="O719" s="296"/>
      <c r="P719" s="296"/>
      <c r="Q719" s="296"/>
      <c r="R719" s="296"/>
      <c r="S719" s="296"/>
      <c r="T719" s="296"/>
      <c r="U719" s="296"/>
      <c r="V719" s="296"/>
      <c r="W719" s="296"/>
      <c r="X719" s="296"/>
      <c r="Y719" s="296"/>
      <c r="Z719" s="296"/>
      <c r="AA719" s="296"/>
      <c r="AB719" s="296"/>
      <c r="AC719" s="296"/>
      <c r="AD719" s="296"/>
      <c r="AE719" s="296"/>
      <c r="AF719" s="296"/>
      <c r="AG719" s="296"/>
      <c r="AH719" s="296"/>
      <c r="AI719" s="296"/>
      <c r="AJ719" s="296"/>
      <c r="AK719" s="296"/>
    </row>
    <row r="720" spans="11:37">
      <c r="K720" s="296"/>
      <c r="L720" s="296"/>
      <c r="M720" s="296"/>
      <c r="N720" s="296"/>
      <c r="O720" s="296"/>
      <c r="P720" s="296"/>
      <c r="Q720" s="296"/>
      <c r="R720" s="296"/>
      <c r="S720" s="296"/>
      <c r="T720" s="296"/>
      <c r="U720" s="296"/>
      <c r="V720" s="296"/>
      <c r="W720" s="296"/>
      <c r="X720" s="296"/>
      <c r="Y720" s="296"/>
      <c r="Z720" s="296"/>
      <c r="AA720" s="296"/>
      <c r="AB720" s="296"/>
      <c r="AC720" s="296"/>
      <c r="AD720" s="296"/>
      <c r="AE720" s="296"/>
      <c r="AF720" s="296"/>
      <c r="AG720" s="296"/>
      <c r="AH720" s="296"/>
      <c r="AI720" s="296"/>
      <c r="AJ720" s="296"/>
      <c r="AK720" s="296"/>
    </row>
    <row r="721" spans="11:37">
      <c r="K721" s="296"/>
      <c r="L721" s="296"/>
      <c r="M721" s="296"/>
      <c r="N721" s="296"/>
      <c r="O721" s="296"/>
      <c r="P721" s="296"/>
      <c r="Q721" s="296"/>
      <c r="R721" s="296"/>
      <c r="S721" s="296"/>
      <c r="T721" s="296"/>
      <c r="U721" s="296"/>
      <c r="V721" s="296"/>
      <c r="W721" s="296"/>
      <c r="X721" s="296"/>
      <c r="Y721" s="296"/>
      <c r="Z721" s="296"/>
      <c r="AA721" s="296"/>
      <c r="AB721" s="296"/>
      <c r="AC721" s="296"/>
      <c r="AD721" s="296"/>
      <c r="AE721" s="296"/>
      <c r="AF721" s="296"/>
      <c r="AG721" s="296"/>
      <c r="AH721" s="296"/>
      <c r="AI721" s="296"/>
      <c r="AJ721" s="296"/>
      <c r="AK721" s="296"/>
    </row>
    <row r="722" spans="11:37">
      <c r="K722" s="296"/>
      <c r="L722" s="296"/>
      <c r="M722" s="296"/>
      <c r="N722" s="296"/>
      <c r="O722" s="296"/>
      <c r="P722" s="296"/>
      <c r="Q722" s="296"/>
      <c r="R722" s="296"/>
      <c r="S722" s="296"/>
      <c r="T722" s="296"/>
      <c r="U722" s="296"/>
      <c r="V722" s="296"/>
      <c r="W722" s="296"/>
      <c r="X722" s="296"/>
      <c r="Y722" s="296"/>
      <c r="Z722" s="296"/>
      <c r="AA722" s="296"/>
      <c r="AB722" s="296"/>
      <c r="AC722" s="296"/>
      <c r="AD722" s="296"/>
      <c r="AE722" s="296"/>
      <c r="AF722" s="296"/>
      <c r="AG722" s="296"/>
      <c r="AH722" s="296"/>
      <c r="AI722" s="296"/>
      <c r="AJ722" s="296"/>
      <c r="AK722" s="296"/>
    </row>
    <row r="723" spans="11:37">
      <c r="K723" s="296"/>
      <c r="L723" s="296"/>
      <c r="M723" s="296"/>
      <c r="N723" s="296"/>
      <c r="O723" s="296"/>
      <c r="P723" s="296"/>
      <c r="Q723" s="296"/>
      <c r="R723" s="296"/>
      <c r="S723" s="296"/>
      <c r="T723" s="296"/>
      <c r="U723" s="296"/>
      <c r="V723" s="296"/>
      <c r="W723" s="296"/>
      <c r="X723" s="296"/>
      <c r="Y723" s="296"/>
      <c r="Z723" s="296"/>
      <c r="AA723" s="296"/>
      <c r="AB723" s="296"/>
      <c r="AC723" s="296"/>
      <c r="AD723" s="296"/>
      <c r="AE723" s="296"/>
      <c r="AF723" s="296"/>
      <c r="AG723" s="296"/>
      <c r="AH723" s="296"/>
      <c r="AI723" s="296"/>
      <c r="AJ723" s="296"/>
      <c r="AK723" s="296"/>
    </row>
    <row r="724" spans="11:37">
      <c r="K724" s="296"/>
      <c r="L724" s="296"/>
      <c r="M724" s="296"/>
      <c r="N724" s="296"/>
      <c r="O724" s="296"/>
      <c r="P724" s="296"/>
      <c r="Q724" s="296"/>
      <c r="R724" s="296"/>
      <c r="S724" s="296"/>
      <c r="T724" s="296"/>
      <c r="U724" s="296"/>
      <c r="V724" s="296"/>
      <c r="W724" s="296"/>
      <c r="X724" s="296"/>
      <c r="Y724" s="296"/>
      <c r="Z724" s="296"/>
      <c r="AA724" s="296"/>
      <c r="AB724" s="296"/>
      <c r="AC724" s="296"/>
      <c r="AD724" s="296"/>
      <c r="AE724" s="296"/>
      <c r="AF724" s="296"/>
      <c r="AG724" s="296"/>
      <c r="AH724" s="296"/>
      <c r="AI724" s="296"/>
      <c r="AJ724" s="296"/>
      <c r="AK724" s="296"/>
    </row>
    <row r="725" spans="11:37">
      <c r="K725" s="296"/>
      <c r="L725" s="296"/>
      <c r="M725" s="296"/>
      <c r="N725" s="296"/>
      <c r="O725" s="296"/>
      <c r="P725" s="296"/>
      <c r="Q725" s="296"/>
      <c r="R725" s="296"/>
      <c r="S725" s="296"/>
      <c r="T725" s="296"/>
      <c r="U725" s="296"/>
      <c r="V725" s="296"/>
      <c r="W725" s="296"/>
      <c r="X725" s="296"/>
      <c r="Y725" s="296"/>
      <c r="Z725" s="296"/>
      <c r="AA725" s="296"/>
      <c r="AB725" s="296"/>
      <c r="AC725" s="296"/>
      <c r="AD725" s="296"/>
      <c r="AE725" s="296"/>
      <c r="AF725" s="296"/>
      <c r="AG725" s="296"/>
      <c r="AH725" s="296"/>
      <c r="AI725" s="296"/>
      <c r="AJ725" s="296"/>
      <c r="AK725" s="296"/>
    </row>
    <row r="726" spans="11:37">
      <c r="K726" s="296"/>
      <c r="L726" s="296"/>
      <c r="M726" s="296"/>
      <c r="N726" s="296"/>
      <c r="O726" s="296"/>
      <c r="P726" s="296"/>
      <c r="Q726" s="296"/>
      <c r="R726" s="296"/>
      <c r="S726" s="296"/>
      <c r="T726" s="296"/>
      <c r="U726" s="296"/>
      <c r="V726" s="296"/>
      <c r="W726" s="296"/>
      <c r="X726" s="296"/>
      <c r="Y726" s="296"/>
      <c r="Z726" s="296"/>
      <c r="AA726" s="296"/>
      <c r="AB726" s="296"/>
      <c r="AC726" s="296"/>
      <c r="AD726" s="296"/>
      <c r="AE726" s="296"/>
      <c r="AF726" s="296"/>
      <c r="AG726" s="296"/>
      <c r="AH726" s="296"/>
      <c r="AI726" s="296"/>
      <c r="AJ726" s="296"/>
      <c r="AK726" s="296"/>
    </row>
    <row r="727" spans="11:37">
      <c r="K727" s="296"/>
      <c r="L727" s="296"/>
      <c r="M727" s="296"/>
      <c r="N727" s="296"/>
      <c r="O727" s="296"/>
      <c r="P727" s="296"/>
      <c r="Q727" s="296"/>
      <c r="R727" s="296"/>
      <c r="S727" s="296"/>
      <c r="T727" s="296"/>
      <c r="U727" s="296"/>
      <c r="V727" s="296"/>
      <c r="W727" s="296"/>
      <c r="X727" s="296"/>
      <c r="Y727" s="296"/>
      <c r="Z727" s="296"/>
      <c r="AA727" s="296"/>
      <c r="AB727" s="296"/>
      <c r="AC727" s="296"/>
      <c r="AD727" s="296"/>
      <c r="AE727" s="296"/>
      <c r="AF727" s="296"/>
      <c r="AG727" s="296"/>
      <c r="AH727" s="296"/>
      <c r="AI727" s="296"/>
      <c r="AJ727" s="296"/>
      <c r="AK727" s="296"/>
    </row>
    <row r="728" spans="11:37">
      <c r="K728" s="296"/>
      <c r="L728" s="296"/>
      <c r="M728" s="296"/>
      <c r="N728" s="296"/>
      <c r="O728" s="296"/>
      <c r="P728" s="296"/>
      <c r="Q728" s="296"/>
      <c r="R728" s="296"/>
      <c r="S728" s="296"/>
      <c r="T728" s="296"/>
      <c r="U728" s="296"/>
      <c r="V728" s="296"/>
      <c r="W728" s="296"/>
      <c r="X728" s="296"/>
      <c r="Y728" s="296"/>
      <c r="Z728" s="296"/>
      <c r="AA728" s="296"/>
      <c r="AB728" s="296"/>
      <c r="AC728" s="296"/>
      <c r="AD728" s="296"/>
      <c r="AE728" s="296"/>
      <c r="AF728" s="296"/>
      <c r="AG728" s="296"/>
      <c r="AH728" s="296"/>
      <c r="AI728" s="296"/>
      <c r="AJ728" s="296"/>
      <c r="AK728" s="296"/>
    </row>
    <row r="729" spans="11:37">
      <c r="K729" s="296"/>
      <c r="L729" s="296"/>
      <c r="M729" s="296"/>
      <c r="N729" s="296"/>
      <c r="O729" s="296"/>
      <c r="P729" s="296"/>
      <c r="Q729" s="296"/>
      <c r="R729" s="296"/>
      <c r="S729" s="296"/>
      <c r="T729" s="296"/>
      <c r="U729" s="296"/>
      <c r="V729" s="296"/>
      <c r="W729" s="296"/>
      <c r="X729" s="296"/>
      <c r="Y729" s="296"/>
      <c r="Z729" s="296"/>
      <c r="AA729" s="296"/>
      <c r="AB729" s="296"/>
      <c r="AC729" s="296"/>
      <c r="AD729" s="296"/>
      <c r="AE729" s="296"/>
      <c r="AF729" s="296"/>
      <c r="AG729" s="296"/>
      <c r="AH729" s="296"/>
      <c r="AI729" s="296"/>
      <c r="AJ729" s="296"/>
      <c r="AK729" s="296"/>
    </row>
    <row r="730" spans="11:37">
      <c r="K730" s="296"/>
      <c r="L730" s="296"/>
      <c r="M730" s="296"/>
      <c r="N730" s="296"/>
      <c r="O730" s="296"/>
      <c r="P730" s="296"/>
      <c r="Q730" s="296"/>
      <c r="R730" s="296"/>
      <c r="S730" s="296"/>
      <c r="T730" s="296"/>
      <c r="U730" s="296"/>
      <c r="V730" s="296"/>
      <c r="W730" s="296"/>
      <c r="X730" s="296"/>
      <c r="Y730" s="296"/>
      <c r="Z730" s="296"/>
      <c r="AA730" s="296"/>
      <c r="AB730" s="296"/>
      <c r="AC730" s="296"/>
      <c r="AD730" s="296"/>
      <c r="AE730" s="296"/>
      <c r="AF730" s="296"/>
      <c r="AG730" s="296"/>
      <c r="AH730" s="296"/>
      <c r="AI730" s="296"/>
      <c r="AJ730" s="296"/>
      <c r="AK730" s="296"/>
    </row>
    <row r="731" spans="11:37">
      <c r="K731" s="296"/>
      <c r="L731" s="296"/>
      <c r="M731" s="296"/>
      <c r="N731" s="296"/>
      <c r="O731" s="296"/>
      <c r="P731" s="296"/>
      <c r="Q731" s="296"/>
      <c r="R731" s="296"/>
      <c r="S731" s="296"/>
      <c r="T731" s="296"/>
      <c r="U731" s="296"/>
      <c r="V731" s="296"/>
      <c r="W731" s="296"/>
      <c r="X731" s="296"/>
      <c r="Y731" s="296"/>
      <c r="Z731" s="296"/>
      <c r="AA731" s="296"/>
      <c r="AB731" s="296"/>
      <c r="AC731" s="296"/>
      <c r="AD731" s="296"/>
      <c r="AE731" s="296"/>
      <c r="AF731" s="296"/>
      <c r="AG731" s="296"/>
      <c r="AH731" s="296"/>
      <c r="AI731" s="296"/>
      <c r="AJ731" s="296"/>
      <c r="AK731" s="296"/>
    </row>
    <row r="732" spans="11:37">
      <c r="K732" s="296"/>
      <c r="L732" s="296"/>
      <c r="M732" s="296"/>
      <c r="N732" s="296"/>
      <c r="O732" s="296"/>
      <c r="P732" s="296"/>
      <c r="Q732" s="296"/>
      <c r="R732" s="296"/>
      <c r="S732" s="296"/>
      <c r="T732" s="296"/>
      <c r="U732" s="296"/>
      <c r="V732" s="296"/>
      <c r="W732" s="296"/>
      <c r="X732" s="296"/>
      <c r="Y732" s="296"/>
      <c r="Z732" s="296"/>
      <c r="AA732" s="296"/>
      <c r="AB732" s="296"/>
      <c r="AC732" s="296"/>
      <c r="AD732" s="296"/>
      <c r="AE732" s="296"/>
      <c r="AF732" s="296"/>
      <c r="AG732" s="296"/>
      <c r="AH732" s="296"/>
      <c r="AI732" s="296"/>
      <c r="AJ732" s="296"/>
      <c r="AK732" s="296"/>
    </row>
    <row r="733" spans="11:37">
      <c r="K733" s="296"/>
      <c r="L733" s="296"/>
      <c r="M733" s="296"/>
      <c r="N733" s="296"/>
      <c r="O733" s="296"/>
      <c r="P733" s="296"/>
      <c r="Q733" s="296"/>
      <c r="R733" s="296"/>
      <c r="S733" s="296"/>
      <c r="T733" s="296"/>
      <c r="U733" s="296"/>
      <c r="V733" s="296"/>
      <c r="W733" s="296"/>
      <c r="X733" s="296"/>
      <c r="Y733" s="296"/>
      <c r="Z733" s="296"/>
      <c r="AA733" s="296"/>
      <c r="AB733" s="296"/>
      <c r="AC733" s="296"/>
      <c r="AD733" s="296"/>
      <c r="AE733" s="296"/>
      <c r="AF733" s="296"/>
      <c r="AG733" s="296"/>
      <c r="AH733" s="296"/>
      <c r="AI733" s="296"/>
      <c r="AJ733" s="296"/>
      <c r="AK733" s="296"/>
    </row>
    <row r="734" spans="11:37">
      <c r="K734" s="296"/>
      <c r="L734" s="296"/>
      <c r="M734" s="296"/>
      <c r="N734" s="296"/>
      <c r="O734" s="296"/>
      <c r="P734" s="296"/>
      <c r="Q734" s="296"/>
      <c r="R734" s="296"/>
      <c r="S734" s="296"/>
      <c r="T734" s="296"/>
      <c r="U734" s="296"/>
      <c r="V734" s="296"/>
      <c r="W734" s="296"/>
      <c r="X734" s="296"/>
      <c r="Y734" s="296"/>
      <c r="Z734" s="296"/>
      <c r="AA734" s="296"/>
      <c r="AB734" s="296"/>
      <c r="AC734" s="296"/>
      <c r="AD734" s="296"/>
      <c r="AE734" s="296"/>
      <c r="AF734" s="296"/>
      <c r="AG734" s="296"/>
      <c r="AH734" s="296"/>
      <c r="AI734" s="296"/>
      <c r="AJ734" s="296"/>
      <c r="AK734" s="296"/>
    </row>
    <row r="735" spans="11:37">
      <c r="K735" s="296"/>
      <c r="L735" s="296"/>
      <c r="M735" s="296"/>
      <c r="N735" s="296"/>
      <c r="O735" s="296"/>
      <c r="P735" s="296"/>
      <c r="Q735" s="296"/>
      <c r="R735" s="296"/>
      <c r="S735" s="296"/>
      <c r="T735" s="296"/>
      <c r="U735" s="296"/>
      <c r="V735" s="296"/>
      <c r="W735" s="296"/>
      <c r="X735" s="296"/>
      <c r="Y735" s="296"/>
      <c r="Z735" s="296"/>
      <c r="AA735" s="296"/>
      <c r="AB735" s="296"/>
      <c r="AC735" s="296"/>
      <c r="AD735" s="296"/>
      <c r="AE735" s="296"/>
      <c r="AF735" s="296"/>
      <c r="AG735" s="296"/>
      <c r="AH735" s="296"/>
      <c r="AI735" s="296"/>
      <c r="AJ735" s="296"/>
      <c r="AK735" s="296"/>
    </row>
    <row r="736" spans="11:37">
      <c r="K736" s="296"/>
      <c r="L736" s="296"/>
      <c r="M736" s="296"/>
      <c r="N736" s="296"/>
      <c r="O736" s="296"/>
      <c r="P736" s="296"/>
      <c r="Q736" s="296"/>
      <c r="R736" s="296"/>
      <c r="S736" s="296"/>
      <c r="T736" s="296"/>
      <c r="U736" s="296"/>
      <c r="V736" s="296"/>
      <c r="W736" s="296"/>
      <c r="X736" s="296"/>
      <c r="Y736" s="296"/>
      <c r="Z736" s="296"/>
      <c r="AA736" s="296"/>
      <c r="AB736" s="296"/>
      <c r="AC736" s="296"/>
      <c r="AD736" s="296"/>
      <c r="AE736" s="296"/>
      <c r="AF736" s="296"/>
      <c r="AG736" s="296"/>
      <c r="AH736" s="296"/>
      <c r="AI736" s="296"/>
      <c r="AJ736" s="296"/>
      <c r="AK736" s="296"/>
    </row>
    <row r="737" spans="11:37">
      <c r="K737" s="296"/>
      <c r="L737" s="296"/>
      <c r="M737" s="296"/>
      <c r="N737" s="296"/>
      <c r="O737" s="296"/>
      <c r="P737" s="296"/>
      <c r="Q737" s="296"/>
      <c r="R737" s="296"/>
      <c r="S737" s="296"/>
      <c r="T737" s="296"/>
      <c r="U737" s="296"/>
      <c r="V737" s="296"/>
      <c r="W737" s="296"/>
      <c r="X737" s="296"/>
      <c r="Y737" s="296"/>
      <c r="Z737" s="296"/>
      <c r="AA737" s="296"/>
      <c r="AB737" s="296"/>
      <c r="AC737" s="296"/>
      <c r="AD737" s="296"/>
      <c r="AE737" s="296"/>
      <c r="AF737" s="296"/>
      <c r="AG737" s="296"/>
      <c r="AH737" s="296"/>
      <c r="AI737" s="296"/>
      <c r="AJ737" s="296"/>
      <c r="AK737" s="296"/>
    </row>
    <row r="738" spans="11:37">
      <c r="K738" s="296"/>
      <c r="L738" s="296"/>
      <c r="M738" s="296"/>
      <c r="N738" s="296"/>
      <c r="O738" s="296"/>
      <c r="P738" s="296"/>
      <c r="Q738" s="296"/>
      <c r="R738" s="296"/>
      <c r="S738" s="296"/>
      <c r="T738" s="296"/>
      <c r="U738" s="296"/>
      <c r="V738" s="296"/>
      <c r="W738" s="296"/>
      <c r="X738" s="296"/>
      <c r="Y738" s="296"/>
      <c r="Z738" s="296"/>
      <c r="AA738" s="296"/>
      <c r="AB738" s="296"/>
      <c r="AC738" s="296"/>
      <c r="AD738" s="296"/>
      <c r="AE738" s="296"/>
      <c r="AF738" s="296"/>
      <c r="AG738" s="296"/>
      <c r="AH738" s="296"/>
      <c r="AI738" s="296"/>
      <c r="AJ738" s="296"/>
      <c r="AK738" s="296"/>
    </row>
    <row r="739" spans="11:37">
      <c r="K739" s="296"/>
      <c r="L739" s="296"/>
      <c r="M739" s="296"/>
      <c r="N739" s="296"/>
      <c r="O739" s="296"/>
      <c r="P739" s="296"/>
      <c r="Q739" s="296"/>
      <c r="R739" s="296"/>
      <c r="S739" s="296"/>
      <c r="T739" s="296"/>
      <c r="U739" s="296"/>
      <c r="V739" s="296"/>
      <c r="W739" s="296"/>
      <c r="X739" s="296"/>
      <c r="Y739" s="296"/>
      <c r="Z739" s="296"/>
      <c r="AA739" s="296"/>
      <c r="AB739" s="296"/>
      <c r="AC739" s="296"/>
      <c r="AD739" s="296"/>
      <c r="AE739" s="296"/>
      <c r="AF739" s="296"/>
      <c r="AG739" s="296"/>
      <c r="AH739" s="296"/>
      <c r="AI739" s="296"/>
      <c r="AJ739" s="296"/>
      <c r="AK739" s="296"/>
    </row>
    <row r="740" spans="11:37">
      <c r="K740" s="296"/>
      <c r="L740" s="296"/>
      <c r="M740" s="296"/>
      <c r="N740" s="296"/>
      <c r="O740" s="296"/>
      <c r="P740" s="296"/>
      <c r="Q740" s="296"/>
      <c r="R740" s="296"/>
      <c r="S740" s="296"/>
      <c r="T740" s="296"/>
      <c r="U740" s="296"/>
      <c r="V740" s="296"/>
      <c r="W740" s="296"/>
      <c r="X740" s="296"/>
      <c r="Y740" s="296"/>
      <c r="Z740" s="296"/>
      <c r="AA740" s="296"/>
      <c r="AB740" s="296"/>
      <c r="AC740" s="296"/>
      <c r="AD740" s="296"/>
      <c r="AE740" s="296"/>
      <c r="AF740" s="296"/>
      <c r="AG740" s="296"/>
      <c r="AH740" s="296"/>
      <c r="AI740" s="296"/>
      <c r="AJ740" s="296"/>
      <c r="AK740" s="296"/>
    </row>
    <row r="741" spans="11:37">
      <c r="K741" s="296"/>
      <c r="L741" s="296"/>
      <c r="M741" s="296"/>
      <c r="N741" s="296"/>
      <c r="O741" s="296"/>
      <c r="P741" s="296"/>
      <c r="Q741" s="296"/>
      <c r="R741" s="296"/>
      <c r="S741" s="296"/>
      <c r="T741" s="296"/>
      <c r="U741" s="296"/>
      <c r="V741" s="296"/>
      <c r="W741" s="296"/>
      <c r="X741" s="296"/>
      <c r="Y741" s="296"/>
      <c r="Z741" s="296"/>
      <c r="AA741" s="296"/>
      <c r="AB741" s="296"/>
      <c r="AC741" s="296"/>
      <c r="AD741" s="296"/>
      <c r="AE741" s="296"/>
      <c r="AF741" s="296"/>
      <c r="AG741" s="296"/>
      <c r="AH741" s="296"/>
      <c r="AI741" s="296"/>
      <c r="AJ741" s="296"/>
      <c r="AK741" s="296"/>
    </row>
    <row r="742" spans="11:37">
      <c r="K742" s="296"/>
      <c r="L742" s="296"/>
      <c r="M742" s="296"/>
      <c r="N742" s="296"/>
      <c r="O742" s="296"/>
      <c r="P742" s="296"/>
      <c r="Q742" s="296"/>
      <c r="R742" s="296"/>
      <c r="S742" s="296"/>
      <c r="T742" s="296"/>
      <c r="U742" s="296"/>
      <c r="V742" s="296"/>
      <c r="W742" s="296"/>
      <c r="X742" s="296"/>
      <c r="Y742" s="296"/>
      <c r="Z742" s="296"/>
      <c r="AA742" s="296"/>
      <c r="AB742" s="296"/>
      <c r="AC742" s="296"/>
      <c r="AD742" s="296"/>
      <c r="AE742" s="296"/>
      <c r="AF742" s="296"/>
      <c r="AG742" s="296"/>
      <c r="AH742" s="296"/>
      <c r="AI742" s="296"/>
      <c r="AJ742" s="296"/>
      <c r="AK742" s="296"/>
    </row>
    <row r="743" spans="11:37">
      <c r="K743" s="296"/>
      <c r="L743" s="296"/>
      <c r="M743" s="296"/>
      <c r="N743" s="296"/>
      <c r="O743" s="296"/>
      <c r="P743" s="296"/>
      <c r="Q743" s="296"/>
      <c r="R743" s="296"/>
      <c r="S743" s="296"/>
      <c r="T743" s="296"/>
      <c r="U743" s="296"/>
      <c r="V743" s="296"/>
      <c r="W743" s="296"/>
      <c r="X743" s="296"/>
      <c r="Y743" s="296"/>
      <c r="Z743" s="296"/>
      <c r="AA743" s="296"/>
      <c r="AB743" s="296"/>
      <c r="AC743" s="296"/>
      <c r="AD743" s="296"/>
      <c r="AE743" s="296"/>
      <c r="AF743" s="296"/>
      <c r="AG743" s="296"/>
      <c r="AH743" s="296"/>
      <c r="AI743" s="296"/>
      <c r="AJ743" s="296"/>
      <c r="AK743" s="296"/>
    </row>
    <row r="744" spans="11:37">
      <c r="K744" s="296"/>
      <c r="L744" s="296"/>
      <c r="M744" s="296"/>
      <c r="N744" s="296"/>
      <c r="O744" s="296"/>
      <c r="P744" s="296"/>
      <c r="Q744" s="296"/>
      <c r="R744" s="296"/>
      <c r="S744" s="296"/>
      <c r="T744" s="296"/>
      <c r="U744" s="296"/>
      <c r="V744" s="296"/>
      <c r="W744" s="296"/>
      <c r="X744" s="296"/>
      <c r="Y744" s="296"/>
      <c r="Z744" s="296"/>
      <c r="AA744" s="296"/>
      <c r="AB744" s="296"/>
      <c r="AC744" s="296"/>
      <c r="AD744" s="296"/>
      <c r="AE744" s="296"/>
      <c r="AF744" s="296"/>
      <c r="AG744" s="296"/>
      <c r="AH744" s="296"/>
      <c r="AI744" s="296"/>
      <c r="AJ744" s="296"/>
      <c r="AK744" s="296"/>
    </row>
    <row r="745" spans="11:37">
      <c r="K745" s="296"/>
      <c r="L745" s="296"/>
      <c r="M745" s="296"/>
      <c r="N745" s="296"/>
      <c r="O745" s="296"/>
      <c r="P745" s="296"/>
      <c r="Q745" s="296"/>
      <c r="R745" s="296"/>
      <c r="S745" s="296"/>
      <c r="T745" s="296"/>
      <c r="U745" s="296"/>
      <c r="V745" s="296"/>
      <c r="W745" s="296"/>
      <c r="X745" s="296"/>
      <c r="Y745" s="296"/>
      <c r="Z745" s="296"/>
      <c r="AA745" s="296"/>
      <c r="AB745" s="296"/>
      <c r="AC745" s="296"/>
      <c r="AD745" s="296"/>
      <c r="AE745" s="296"/>
      <c r="AF745" s="296"/>
      <c r="AG745" s="296"/>
      <c r="AH745" s="296"/>
      <c r="AI745" s="296"/>
      <c r="AJ745" s="296"/>
      <c r="AK745" s="296"/>
    </row>
    <row r="746" spans="11:37">
      <c r="K746" s="296"/>
      <c r="L746" s="296"/>
      <c r="M746" s="296"/>
      <c r="N746" s="296"/>
      <c r="O746" s="296"/>
      <c r="P746" s="296"/>
      <c r="Q746" s="296"/>
      <c r="R746" s="296"/>
      <c r="S746" s="296"/>
      <c r="T746" s="296"/>
      <c r="U746" s="296"/>
      <c r="V746" s="296"/>
      <c r="W746" s="296"/>
      <c r="X746" s="296"/>
      <c r="Y746" s="296"/>
      <c r="Z746" s="296"/>
      <c r="AA746" s="296"/>
      <c r="AB746" s="296"/>
      <c r="AC746" s="296"/>
      <c r="AD746" s="296"/>
      <c r="AE746" s="296"/>
      <c r="AF746" s="296"/>
      <c r="AG746" s="296"/>
      <c r="AH746" s="296"/>
      <c r="AI746" s="296"/>
      <c r="AJ746" s="296"/>
      <c r="AK746" s="296"/>
    </row>
    <row r="747" spans="11:37">
      <c r="K747" s="296"/>
      <c r="L747" s="296"/>
      <c r="M747" s="296"/>
      <c r="N747" s="296"/>
      <c r="O747" s="296"/>
      <c r="P747" s="296"/>
      <c r="Q747" s="296"/>
      <c r="R747" s="296"/>
      <c r="S747" s="296"/>
      <c r="T747" s="296"/>
      <c r="U747" s="296"/>
      <c r="V747" s="296"/>
      <c r="W747" s="296"/>
      <c r="X747" s="296"/>
      <c r="Y747" s="296"/>
      <c r="Z747" s="296"/>
      <c r="AA747" s="296"/>
      <c r="AB747" s="296"/>
      <c r="AC747" s="296"/>
      <c r="AD747" s="296"/>
      <c r="AE747" s="296"/>
      <c r="AF747" s="296"/>
      <c r="AG747" s="296"/>
      <c r="AH747" s="296"/>
      <c r="AI747" s="296"/>
      <c r="AJ747" s="296"/>
      <c r="AK747" s="296"/>
    </row>
  </sheetData>
  <mergeCells count="5">
    <mergeCell ref="A1:G1"/>
    <mergeCell ref="M1:N1"/>
    <mergeCell ref="B40:E40"/>
    <mergeCell ref="B41:E41"/>
    <mergeCell ref="B42:E42"/>
  </mergeCells>
  <pageMargins left="0.48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Worksheet______112"/>
  <dimension ref="A1:M51"/>
  <sheetViews>
    <sheetView rightToLeft="1" workbookViewId="0">
      <selection activeCell="A6" sqref="A6:D6"/>
    </sheetView>
  </sheetViews>
  <sheetFormatPr defaultRowHeight="12.75"/>
  <cols>
    <col min="1" max="1" width="14" style="937" customWidth="1"/>
    <col min="2" max="2" width="14.5703125" style="937" customWidth="1"/>
    <col min="3" max="3" width="16.28515625" style="937" customWidth="1"/>
    <col min="4" max="4" width="12.5703125" style="937" customWidth="1"/>
    <col min="5" max="5" width="11" style="937" customWidth="1"/>
    <col min="6" max="6" width="9.28515625" style="972" customWidth="1"/>
    <col min="7" max="7" width="10.28515625" style="937" customWidth="1"/>
    <col min="8" max="9" width="9.140625" style="937"/>
    <col min="10" max="12" width="10.7109375" style="937" customWidth="1"/>
    <col min="13" max="16384" width="9.140625" style="937"/>
  </cols>
  <sheetData>
    <row r="1" spans="1:13" ht="35.25">
      <c r="A1" s="934"/>
      <c r="B1" s="1027" t="str">
        <f>ClientList!E6 &amp;" " &amp;ClientList!E6 &amp;" " &amp;ClientList!F6</f>
        <v xml:space="preserve">  </v>
      </c>
      <c r="C1" s="1027"/>
      <c r="D1" s="1027"/>
      <c r="E1" s="1027"/>
      <c r="F1" s="1027"/>
      <c r="G1" s="1027"/>
      <c r="H1" s="935"/>
      <c r="I1" s="936" t="s">
        <v>492</v>
      </c>
      <c r="J1" s="935"/>
      <c r="K1" s="935"/>
      <c r="L1" s="935"/>
    </row>
    <row r="2" spans="1:13" ht="18.75">
      <c r="A2" s="938"/>
      <c r="B2" s="939"/>
      <c r="C2" s="940"/>
      <c r="D2" s="939"/>
      <c r="E2" s="939"/>
      <c r="F2" s="941"/>
      <c r="G2" s="939"/>
      <c r="H2" s="943"/>
      <c r="I2" s="943"/>
      <c r="J2" s="943"/>
      <c r="K2" s="943"/>
      <c r="L2" s="943"/>
    </row>
    <row r="3" spans="1:13" ht="18.75">
      <c r="A3" s="938"/>
      <c r="B3" s="943"/>
      <c r="C3" s="944"/>
      <c r="D3" s="943"/>
      <c r="E3" s="943"/>
      <c r="F3" s="945"/>
      <c r="G3" s="943"/>
      <c r="H3" s="943"/>
      <c r="I3" s="943"/>
      <c r="J3" s="943"/>
      <c r="K3" s="943"/>
      <c r="L3" s="943"/>
    </row>
    <row r="4" spans="1:13" ht="13.5" thickBot="1">
      <c r="A4" s="946"/>
      <c r="B4" s="947"/>
      <c r="C4" s="948"/>
      <c r="D4" s="947"/>
      <c r="E4" s="947"/>
      <c r="F4" s="949"/>
      <c r="G4" s="947"/>
      <c r="H4" s="947"/>
      <c r="I4" s="947"/>
      <c r="J4" s="947"/>
      <c r="K4" s="947"/>
      <c r="L4" s="947"/>
    </row>
    <row r="5" spans="1:13" ht="75.75" thickBot="1">
      <c r="A5" s="950" t="s">
        <v>516</v>
      </c>
      <c r="B5" s="950" t="s">
        <v>231</v>
      </c>
      <c r="C5" s="951" t="s">
        <v>1060</v>
      </c>
      <c r="D5" s="950" t="s">
        <v>499</v>
      </c>
      <c r="E5" s="950" t="s">
        <v>139</v>
      </c>
      <c r="F5" s="952" t="s">
        <v>500</v>
      </c>
      <c r="G5" s="953" t="s">
        <v>1024</v>
      </c>
      <c r="H5" s="957" t="s">
        <v>1061</v>
      </c>
      <c r="I5" s="957" t="s">
        <v>1062</v>
      </c>
      <c r="J5" s="957" t="s">
        <v>1063</v>
      </c>
      <c r="K5" s="955" t="s">
        <v>1074</v>
      </c>
      <c r="L5" s="955" t="s">
        <v>1073</v>
      </c>
      <c r="M5" s="953" t="s">
        <v>1027</v>
      </c>
    </row>
    <row r="6" spans="1:13" ht="18.75">
      <c r="A6" s="959" t="str">
        <f>IF(main!C9&gt;0,main!C9,"")</f>
        <v/>
      </c>
      <c r="B6" s="959" t="str">
        <f>IF(main!D9&gt;0,main!D9,"")</f>
        <v/>
      </c>
      <c r="C6" s="959" t="str">
        <f>IF(main!E9&gt;0,main!E9,"")</f>
        <v/>
      </c>
      <c r="D6" s="959" t="str">
        <f>IF(main!G9&gt;0,main!G9,"")</f>
        <v/>
      </c>
      <c r="E6" s="959" t="str">
        <f>IF(main!K9&gt;0,main!K9,"")</f>
        <v/>
      </c>
      <c r="F6" s="973" t="str">
        <f>IF(main!R9&gt;0,main!R9,"")</f>
        <v/>
      </c>
      <c r="G6" s="959" t="str">
        <f>IF(main!O9&gt;0,main!O9,"")</f>
        <v/>
      </c>
      <c r="H6" s="958"/>
      <c r="I6" s="958"/>
      <c r="J6" s="959" t="str">
        <f>main!N9</f>
        <v/>
      </c>
      <c r="K6" s="959">
        <f>main!DT9</f>
        <v>0</v>
      </c>
      <c r="L6" s="959">
        <f>main!DU9</f>
        <v>0</v>
      </c>
      <c r="M6" s="959">
        <f>main!DP9</f>
        <v>0</v>
      </c>
    </row>
    <row r="7" spans="1:13" ht="18.75">
      <c r="A7" s="959" t="str">
        <f>IF(main!C10&gt;0,main!C10,"")</f>
        <v/>
      </c>
      <c r="B7" s="959" t="str">
        <f>IF(main!D10&gt;0,main!D10,"")</f>
        <v/>
      </c>
      <c r="C7" s="959" t="str">
        <f>IF(main!E10&gt;0,main!E10,"")</f>
        <v/>
      </c>
      <c r="D7" s="959" t="str">
        <f>IF(main!G10&gt;0,main!G10,"")</f>
        <v/>
      </c>
      <c r="E7" s="959" t="str">
        <f>IF(main!K10&gt;0,main!K10,"")</f>
        <v/>
      </c>
      <c r="F7" s="973" t="str">
        <f>IF(main!R10&gt;0,main!R10,"")</f>
        <v/>
      </c>
      <c r="G7" s="959" t="str">
        <f>IF(main!O10&gt;0,main!O10,"")</f>
        <v/>
      </c>
      <c r="H7" s="958"/>
      <c r="I7" s="958"/>
      <c r="J7" s="959" t="str">
        <f>main!N10</f>
        <v/>
      </c>
      <c r="K7" s="959">
        <f>main!DT10</f>
        <v>0</v>
      </c>
      <c r="L7" s="959">
        <f>main!DU10</f>
        <v>0</v>
      </c>
      <c r="M7" s="959">
        <f>main!DP10</f>
        <v>0</v>
      </c>
    </row>
    <row r="8" spans="1:13" ht="18.75">
      <c r="A8" s="959" t="str">
        <f>IF(main!C11&gt;0,main!C11,"")</f>
        <v/>
      </c>
      <c r="B8" s="959" t="str">
        <f>IF(main!D11&gt;0,main!D11,"")</f>
        <v/>
      </c>
      <c r="C8" s="959" t="str">
        <f>IF(main!E11&gt;0,main!E11,"")</f>
        <v/>
      </c>
      <c r="D8" s="959" t="str">
        <f>IF(main!G11&gt;0,main!G11,"")</f>
        <v/>
      </c>
      <c r="E8" s="959" t="str">
        <f>IF(main!K11&gt;0,main!K11,"")</f>
        <v/>
      </c>
      <c r="F8" s="973" t="str">
        <f>IF(main!R11&gt;0,main!R11,"")</f>
        <v/>
      </c>
      <c r="G8" s="959" t="str">
        <f>IF(main!O11&gt;0,main!O11,"")</f>
        <v/>
      </c>
      <c r="H8" s="958"/>
      <c r="I8" s="958"/>
      <c r="J8" s="959" t="str">
        <f>main!N11</f>
        <v/>
      </c>
      <c r="K8" s="959">
        <f>main!DT11</f>
        <v>0</v>
      </c>
      <c r="L8" s="959">
        <f>main!DU11</f>
        <v>0</v>
      </c>
      <c r="M8" s="959">
        <f>main!DP11</f>
        <v>0</v>
      </c>
    </row>
    <row r="9" spans="1:13" ht="18.75">
      <c r="A9" s="959" t="str">
        <f>IF(main!C12&gt;0,main!C12,"")</f>
        <v/>
      </c>
      <c r="B9" s="959" t="str">
        <f>IF(main!D12&gt;0,main!D12,"")</f>
        <v/>
      </c>
      <c r="C9" s="959" t="str">
        <f>IF(main!E12&gt;0,main!E12,"")</f>
        <v/>
      </c>
      <c r="D9" s="959" t="str">
        <f>IF(main!G12&gt;0,main!G12,"")</f>
        <v/>
      </c>
      <c r="E9" s="959" t="str">
        <f>IF(main!K12&gt;0,main!K12,"")</f>
        <v/>
      </c>
      <c r="F9" s="973" t="str">
        <f>IF(main!R12&gt;0,main!R12,"")</f>
        <v/>
      </c>
      <c r="G9" s="959" t="str">
        <f>IF(main!O12&gt;0,main!O12,"")</f>
        <v/>
      </c>
      <c r="H9" s="958"/>
      <c r="I9" s="958"/>
      <c r="J9" s="959" t="str">
        <f>main!N12</f>
        <v/>
      </c>
      <c r="K9" s="959">
        <f>main!DT12</f>
        <v>0</v>
      </c>
      <c r="L9" s="959">
        <f>main!DU12</f>
        <v>0</v>
      </c>
      <c r="M9" s="959">
        <f>main!DP12</f>
        <v>0</v>
      </c>
    </row>
    <row r="10" spans="1:13" ht="18.75">
      <c r="A10" s="959" t="str">
        <f>IF(main!C13&gt;0,main!C13,"")</f>
        <v/>
      </c>
      <c r="B10" s="959" t="str">
        <f>IF(main!D13&gt;0,main!D13,"")</f>
        <v/>
      </c>
      <c r="C10" s="959" t="str">
        <f>IF(main!E13&gt;0,main!E13,"")</f>
        <v/>
      </c>
      <c r="D10" s="959" t="str">
        <f>IF(main!G13&gt;0,main!G13,"")</f>
        <v/>
      </c>
      <c r="E10" s="959" t="str">
        <f>IF(main!K13&gt;0,main!K13,"")</f>
        <v/>
      </c>
      <c r="F10" s="973" t="str">
        <f>IF(main!R13&gt;0,main!R13,"")</f>
        <v/>
      </c>
      <c r="G10" s="959" t="str">
        <f>IF(main!O13&gt;0,main!O13,"")</f>
        <v/>
      </c>
      <c r="H10" s="958"/>
      <c r="I10" s="958"/>
      <c r="J10" s="959" t="str">
        <f>main!N13</f>
        <v/>
      </c>
      <c r="K10" s="959">
        <f>main!DT13</f>
        <v>0</v>
      </c>
      <c r="L10" s="959">
        <f>main!DU13</f>
        <v>0</v>
      </c>
      <c r="M10" s="959">
        <f>main!DP13</f>
        <v>0</v>
      </c>
    </row>
    <row r="11" spans="1:13" ht="18.75">
      <c r="A11" s="959" t="str">
        <f>IF(main!C14&gt;0,main!C14,"")</f>
        <v/>
      </c>
      <c r="B11" s="959" t="str">
        <f>IF(main!D14&gt;0,main!D14,"")</f>
        <v/>
      </c>
      <c r="C11" s="959" t="str">
        <f>IF(main!E14&gt;0,main!E14,"")</f>
        <v/>
      </c>
      <c r="D11" s="959" t="str">
        <f>IF(main!G14&gt;0,main!G14,"")</f>
        <v/>
      </c>
      <c r="E11" s="959" t="str">
        <f>IF(main!K14&gt;0,main!K14,"")</f>
        <v/>
      </c>
      <c r="F11" s="973" t="str">
        <f>IF(main!R14&gt;0,main!R14,"")</f>
        <v/>
      </c>
      <c r="G11" s="959" t="str">
        <f>IF(main!O14&gt;0,main!O14,"")</f>
        <v/>
      </c>
      <c r="H11" s="958"/>
      <c r="I11" s="958"/>
      <c r="J11" s="959" t="str">
        <f>main!N14</f>
        <v/>
      </c>
      <c r="K11" s="959">
        <f>main!DT14</f>
        <v>0</v>
      </c>
      <c r="L11" s="959">
        <f>main!DU14</f>
        <v>0</v>
      </c>
      <c r="M11" s="959">
        <f>main!DP14</f>
        <v>0</v>
      </c>
    </row>
    <row r="12" spans="1:13" ht="18.75">
      <c r="A12" s="959" t="str">
        <f>IF(main!C15&gt;0,main!C15,"")</f>
        <v/>
      </c>
      <c r="B12" s="959" t="str">
        <f>IF(main!D15&gt;0,main!D15,"")</f>
        <v/>
      </c>
      <c r="C12" s="959" t="str">
        <f>IF(main!E15&gt;0,main!E15,"")</f>
        <v/>
      </c>
      <c r="D12" s="959" t="str">
        <f>IF(main!G15&gt;0,main!G15,"")</f>
        <v/>
      </c>
      <c r="E12" s="959" t="str">
        <f>IF(main!K15&gt;0,main!K15,"")</f>
        <v/>
      </c>
      <c r="F12" s="973" t="str">
        <f>IF(main!R15&gt;0,main!R15,"")</f>
        <v/>
      </c>
      <c r="G12" s="959" t="str">
        <f>IF(main!O15&gt;0,main!O15,"")</f>
        <v/>
      </c>
      <c r="H12" s="958"/>
      <c r="I12" s="958"/>
      <c r="J12" s="959" t="str">
        <f>main!N15</f>
        <v/>
      </c>
      <c r="K12" s="959">
        <f>main!DT15</f>
        <v>0</v>
      </c>
      <c r="L12" s="959">
        <f>main!DU15</f>
        <v>0</v>
      </c>
      <c r="M12" s="959">
        <f>main!DP15</f>
        <v>0</v>
      </c>
    </row>
    <row r="13" spans="1:13" ht="18.75">
      <c r="A13" s="959" t="str">
        <f>IF(main!C16&gt;0,main!C16,"")</f>
        <v/>
      </c>
      <c r="B13" s="959" t="str">
        <f>IF(main!D16&gt;0,main!D16,"")</f>
        <v/>
      </c>
      <c r="C13" s="959" t="str">
        <f>IF(main!E16&gt;0,main!E16,"")</f>
        <v/>
      </c>
      <c r="D13" s="959" t="str">
        <f>IF(main!G16&gt;0,main!G16,"")</f>
        <v/>
      </c>
      <c r="E13" s="959" t="str">
        <f>IF(main!K16&gt;0,main!K16,"")</f>
        <v/>
      </c>
      <c r="F13" s="973" t="str">
        <f>IF(main!R16&gt;0,main!R16,"")</f>
        <v/>
      </c>
      <c r="G13" s="959" t="str">
        <f>IF(main!O16&gt;0,main!O16,"")</f>
        <v/>
      </c>
      <c r="H13" s="958"/>
      <c r="I13" s="958"/>
      <c r="J13" s="959" t="str">
        <f>main!N16</f>
        <v/>
      </c>
      <c r="K13" s="959">
        <f>main!DT16</f>
        <v>0</v>
      </c>
      <c r="L13" s="959">
        <f>main!DU16</f>
        <v>0</v>
      </c>
      <c r="M13" s="959">
        <f>main!DP16</f>
        <v>0</v>
      </c>
    </row>
    <row r="14" spans="1:13" ht="18.75">
      <c r="A14" s="959" t="str">
        <f>IF(main!C17&gt;0,main!C17,"")</f>
        <v/>
      </c>
      <c r="B14" s="959" t="str">
        <f>IF(main!D17&gt;0,main!D17,"")</f>
        <v/>
      </c>
      <c r="C14" s="959" t="str">
        <f>IF(main!E17&gt;0,main!E17,"")</f>
        <v/>
      </c>
      <c r="D14" s="959" t="str">
        <f>IF(main!G17&gt;0,main!G17,"")</f>
        <v/>
      </c>
      <c r="E14" s="959" t="str">
        <f>IF(main!K17&gt;0,main!K17,"")</f>
        <v/>
      </c>
      <c r="F14" s="973" t="str">
        <f>IF(main!R17&gt;0,main!R17,"")</f>
        <v/>
      </c>
      <c r="G14" s="959" t="str">
        <f>IF(main!O17&gt;0,main!O17,"")</f>
        <v/>
      </c>
      <c r="H14" s="958"/>
      <c r="I14" s="958"/>
      <c r="J14" s="959" t="str">
        <f>main!N17</f>
        <v/>
      </c>
      <c r="K14" s="959">
        <f>main!DT17</f>
        <v>0</v>
      </c>
      <c r="L14" s="959">
        <f>main!DU17</f>
        <v>0</v>
      </c>
      <c r="M14" s="959">
        <f>main!DP17</f>
        <v>0</v>
      </c>
    </row>
    <row r="15" spans="1:13" ht="18.75">
      <c r="A15" s="959" t="str">
        <f>IF(main!C18&gt;0,main!C18,"")</f>
        <v/>
      </c>
      <c r="B15" s="959" t="str">
        <f>IF(main!D18&gt;0,main!D18,"")</f>
        <v/>
      </c>
      <c r="C15" s="959" t="str">
        <f>IF(main!E18&gt;0,main!E18,"")</f>
        <v/>
      </c>
      <c r="D15" s="959" t="str">
        <f>IF(main!G18&gt;0,main!G18,"")</f>
        <v/>
      </c>
      <c r="E15" s="959" t="str">
        <f>IF(main!K18&gt;0,main!K18,"")</f>
        <v/>
      </c>
      <c r="F15" s="973" t="str">
        <f>IF(main!R18&gt;0,main!R18,"")</f>
        <v/>
      </c>
      <c r="G15" s="959" t="str">
        <f>IF(main!O18&gt;0,main!O18,"")</f>
        <v/>
      </c>
      <c r="H15" s="958"/>
      <c r="I15" s="958"/>
      <c r="J15" s="959" t="str">
        <f>main!N18</f>
        <v/>
      </c>
      <c r="K15" s="959">
        <f>main!DT18</f>
        <v>0</v>
      </c>
      <c r="L15" s="959">
        <f>main!DU18</f>
        <v>0</v>
      </c>
      <c r="M15" s="959">
        <f>main!DP18</f>
        <v>0</v>
      </c>
    </row>
    <row r="16" spans="1:13" ht="18.75">
      <c r="A16" s="959" t="str">
        <f>IF(main!C19&gt;0,main!C19,"")</f>
        <v/>
      </c>
      <c r="B16" s="959" t="str">
        <f>IF(main!D19&gt;0,main!D19,"")</f>
        <v/>
      </c>
      <c r="C16" s="959" t="str">
        <f>IF(main!E19&gt;0,main!E19,"")</f>
        <v/>
      </c>
      <c r="D16" s="959" t="str">
        <f>IF(main!G19&gt;0,main!G19,"")</f>
        <v/>
      </c>
      <c r="E16" s="959" t="str">
        <f>IF(main!K19&gt;0,main!K19,"")</f>
        <v/>
      </c>
      <c r="F16" s="973" t="str">
        <f>IF(main!R19&gt;0,main!R19,"")</f>
        <v/>
      </c>
      <c r="G16" s="959" t="str">
        <f>IF(main!O19&gt;0,main!O19,"")</f>
        <v/>
      </c>
      <c r="H16" s="958"/>
      <c r="I16" s="958"/>
      <c r="J16" s="959" t="str">
        <f>main!N19</f>
        <v/>
      </c>
      <c r="K16" s="959">
        <f>main!DT19</f>
        <v>0</v>
      </c>
      <c r="L16" s="959">
        <f>main!DU19</f>
        <v>0</v>
      </c>
      <c r="M16" s="959">
        <f>main!DP19</f>
        <v>0</v>
      </c>
    </row>
    <row r="17" spans="1:13" ht="18.75">
      <c r="A17" s="959" t="str">
        <f>IF(main!C20&gt;0,main!C20,"")</f>
        <v/>
      </c>
      <c r="B17" s="959" t="str">
        <f>IF(main!D20&gt;0,main!D20,"")</f>
        <v/>
      </c>
      <c r="C17" s="959" t="str">
        <f>IF(main!E20&gt;0,main!E20,"")</f>
        <v/>
      </c>
      <c r="D17" s="959" t="str">
        <f>IF(main!G20&gt;0,main!G20,"")</f>
        <v/>
      </c>
      <c r="E17" s="959" t="str">
        <f>IF(main!K20&gt;0,main!K20,"")</f>
        <v/>
      </c>
      <c r="F17" s="973" t="str">
        <f>IF(main!R20&gt;0,main!R20,"")</f>
        <v/>
      </c>
      <c r="G17" s="959" t="str">
        <f>IF(main!O20&gt;0,main!O20,"")</f>
        <v/>
      </c>
      <c r="H17" s="958"/>
      <c r="I17" s="958"/>
      <c r="J17" s="959" t="str">
        <f>main!N20</f>
        <v/>
      </c>
      <c r="K17" s="959">
        <f>main!DT20</f>
        <v>0</v>
      </c>
      <c r="L17" s="959">
        <f>main!DU20</f>
        <v>0</v>
      </c>
      <c r="M17" s="959">
        <f>main!DP20</f>
        <v>0</v>
      </c>
    </row>
    <row r="18" spans="1:13" ht="18.75">
      <c r="A18" s="959" t="str">
        <f>IF(main!C21&gt;0,main!C21,"")</f>
        <v/>
      </c>
      <c r="B18" s="959" t="str">
        <f>IF(main!D21&gt;0,main!D21,"")</f>
        <v/>
      </c>
      <c r="C18" s="959" t="str">
        <f>IF(main!E21&gt;0,main!E21,"")</f>
        <v/>
      </c>
      <c r="D18" s="959" t="str">
        <f>IF(main!G21&gt;0,main!G21,"")</f>
        <v/>
      </c>
      <c r="E18" s="959" t="str">
        <f>IF(main!K21&gt;0,main!K21,"")</f>
        <v/>
      </c>
      <c r="F18" s="973" t="str">
        <f>IF(main!R21&gt;0,main!R21,"")</f>
        <v/>
      </c>
      <c r="G18" s="959" t="str">
        <f>IF(main!O21&gt;0,main!O21,"")</f>
        <v/>
      </c>
      <c r="H18" s="958"/>
      <c r="I18" s="958"/>
      <c r="J18" s="959" t="str">
        <f>main!N21</f>
        <v/>
      </c>
      <c r="K18" s="959">
        <f>main!DT21</f>
        <v>0</v>
      </c>
      <c r="L18" s="959">
        <f>main!DU21</f>
        <v>0</v>
      </c>
      <c r="M18" s="959">
        <f>main!DP21</f>
        <v>0</v>
      </c>
    </row>
    <row r="19" spans="1:13" ht="18.75">
      <c r="A19" s="959" t="str">
        <f>IF(main!C22&gt;0,main!C22,"")</f>
        <v/>
      </c>
      <c r="B19" s="959" t="str">
        <f>IF(main!D22&gt;0,main!D22,"")</f>
        <v/>
      </c>
      <c r="C19" s="959" t="str">
        <f>IF(main!E22&gt;0,main!E22,"")</f>
        <v/>
      </c>
      <c r="D19" s="959" t="str">
        <f>IF(main!G22&gt;0,main!G22,"")</f>
        <v/>
      </c>
      <c r="E19" s="959" t="str">
        <f>IF(main!K22&gt;0,main!K22,"")</f>
        <v/>
      </c>
      <c r="F19" s="973" t="str">
        <f>IF(main!R22&gt;0,main!R22,"")</f>
        <v/>
      </c>
      <c r="G19" s="959" t="str">
        <f>IF(main!O22&gt;0,main!O22,"")</f>
        <v/>
      </c>
      <c r="H19" s="958"/>
      <c r="I19" s="958"/>
      <c r="J19" s="959" t="str">
        <f>main!N22</f>
        <v/>
      </c>
      <c r="K19" s="959">
        <f>main!DT22</f>
        <v>0</v>
      </c>
      <c r="L19" s="959">
        <f>main!DU22</f>
        <v>0</v>
      </c>
      <c r="M19" s="959">
        <f>main!DP22</f>
        <v>0</v>
      </c>
    </row>
    <row r="20" spans="1:13" ht="18.75">
      <c r="A20" s="959" t="str">
        <f>IF(main!C23&gt;0,main!C23,"")</f>
        <v/>
      </c>
      <c r="B20" s="959" t="str">
        <f>IF(main!D23&gt;0,main!D23,"")</f>
        <v/>
      </c>
      <c r="C20" s="959" t="str">
        <f>IF(main!E23&gt;0,main!E23,"")</f>
        <v/>
      </c>
      <c r="D20" s="959" t="str">
        <f>IF(main!G23&gt;0,main!G23,"")</f>
        <v/>
      </c>
      <c r="E20" s="959" t="str">
        <f>IF(main!K23&gt;0,main!K23,"")</f>
        <v/>
      </c>
      <c r="F20" s="973" t="str">
        <f>IF(main!R23&gt;0,main!R23,"")</f>
        <v/>
      </c>
      <c r="G20" s="959" t="str">
        <f>IF(main!O23&gt;0,main!O23,"")</f>
        <v/>
      </c>
      <c r="H20" s="958"/>
      <c r="I20" s="958"/>
      <c r="J20" s="959" t="str">
        <f>main!N23</f>
        <v/>
      </c>
      <c r="K20" s="959">
        <f>main!DT23</f>
        <v>0</v>
      </c>
      <c r="L20" s="959">
        <f>main!DU23</f>
        <v>0</v>
      </c>
      <c r="M20" s="959">
        <f>main!DP23</f>
        <v>0</v>
      </c>
    </row>
    <row r="21" spans="1:13" ht="18.75">
      <c r="A21" s="959" t="str">
        <f>IF(main!C24&gt;0,main!C24,"")</f>
        <v/>
      </c>
      <c r="B21" s="959" t="str">
        <f>IF(main!D24&gt;0,main!D24,"")</f>
        <v/>
      </c>
      <c r="C21" s="959" t="str">
        <f>IF(main!E24&gt;0,main!E24,"")</f>
        <v/>
      </c>
      <c r="D21" s="959" t="str">
        <f>IF(main!G24&gt;0,main!G24,"")</f>
        <v/>
      </c>
      <c r="E21" s="959" t="str">
        <f>IF(main!K24&gt;0,main!K24,"")</f>
        <v/>
      </c>
      <c r="F21" s="973" t="str">
        <f>IF(main!R24&gt;0,main!R24,"")</f>
        <v/>
      </c>
      <c r="G21" s="959" t="str">
        <f>IF(main!O24&gt;0,main!O24,"")</f>
        <v/>
      </c>
      <c r="H21" s="958"/>
      <c r="I21" s="958"/>
      <c r="J21" s="959" t="str">
        <f>main!N24</f>
        <v/>
      </c>
      <c r="K21" s="959">
        <f>main!DT24</f>
        <v>0</v>
      </c>
      <c r="L21" s="959">
        <f>main!DU24</f>
        <v>0</v>
      </c>
      <c r="M21" s="959">
        <f>main!DP24</f>
        <v>0</v>
      </c>
    </row>
    <row r="22" spans="1:13" ht="18.75">
      <c r="A22" s="959" t="str">
        <f>IF(main!C25&gt;0,main!C25,"")</f>
        <v/>
      </c>
      <c r="B22" s="959" t="str">
        <f>IF(main!D25&gt;0,main!D25,"")</f>
        <v/>
      </c>
      <c r="C22" s="959" t="str">
        <f>IF(main!E25&gt;0,main!E25,"")</f>
        <v/>
      </c>
      <c r="D22" s="959" t="str">
        <f>IF(main!G25&gt;0,main!G25,"")</f>
        <v/>
      </c>
      <c r="E22" s="959" t="str">
        <f>IF(main!K25&gt;0,main!K25,"")</f>
        <v/>
      </c>
      <c r="F22" s="973" t="str">
        <f>IF(main!R25&gt;0,main!R25,"")</f>
        <v/>
      </c>
      <c r="G22" s="959" t="str">
        <f>IF(main!O25&gt;0,main!O25,"")</f>
        <v/>
      </c>
      <c r="H22" s="958"/>
      <c r="I22" s="958"/>
      <c r="J22" s="959" t="str">
        <f>main!N25</f>
        <v/>
      </c>
      <c r="K22" s="959">
        <f>main!DT25</f>
        <v>0</v>
      </c>
      <c r="L22" s="959">
        <f>main!DU25</f>
        <v>0</v>
      </c>
      <c r="M22" s="959">
        <f>main!DP25</f>
        <v>0</v>
      </c>
    </row>
    <row r="23" spans="1:13" ht="18.75">
      <c r="A23" s="959" t="str">
        <f>IF(main!C26&gt;0,main!C26,"")</f>
        <v/>
      </c>
      <c r="B23" s="959" t="str">
        <f>IF(main!D26&gt;0,main!D26,"")</f>
        <v/>
      </c>
      <c r="C23" s="959" t="str">
        <f>IF(main!E26&gt;0,main!E26,"")</f>
        <v/>
      </c>
      <c r="D23" s="959" t="str">
        <f>IF(main!G26&gt;0,main!G26,"")</f>
        <v/>
      </c>
      <c r="E23" s="959" t="str">
        <f>IF(main!K26&gt;0,main!K26,"")</f>
        <v/>
      </c>
      <c r="F23" s="973" t="str">
        <f>IF(main!R26&gt;0,main!R26,"")</f>
        <v/>
      </c>
      <c r="G23" s="959" t="str">
        <f>IF(main!O26&gt;0,main!O26,"")</f>
        <v/>
      </c>
      <c r="H23" s="958"/>
      <c r="I23" s="958"/>
      <c r="J23" s="959" t="str">
        <f>main!N26</f>
        <v/>
      </c>
      <c r="K23" s="959">
        <f>main!DT26</f>
        <v>0</v>
      </c>
      <c r="L23" s="959">
        <f>main!DU26</f>
        <v>0</v>
      </c>
      <c r="M23" s="959">
        <f>main!DP26</f>
        <v>0</v>
      </c>
    </row>
    <row r="24" spans="1:13" ht="18.75">
      <c r="A24" s="959" t="str">
        <f>IF(main!C27&gt;0,main!C27,"")</f>
        <v/>
      </c>
      <c r="B24" s="959" t="str">
        <f>IF(main!D27&gt;0,main!D27,"")</f>
        <v/>
      </c>
      <c r="C24" s="959" t="str">
        <f>IF(main!E27&gt;0,main!E27,"")</f>
        <v/>
      </c>
      <c r="D24" s="959" t="str">
        <f>IF(main!G27&gt;0,main!G27,"")</f>
        <v/>
      </c>
      <c r="E24" s="959" t="str">
        <f>IF(main!K27&gt;0,main!K27,"")</f>
        <v/>
      </c>
      <c r="F24" s="973" t="str">
        <f>IF(main!R27&gt;0,main!R27,"")</f>
        <v/>
      </c>
      <c r="G24" s="959" t="str">
        <f>IF(main!O27&gt;0,main!O27,"")</f>
        <v/>
      </c>
      <c r="H24" s="958"/>
      <c r="I24" s="958"/>
      <c r="J24" s="959" t="str">
        <f>main!N27</f>
        <v/>
      </c>
      <c r="K24" s="959">
        <f>main!DT27</f>
        <v>0</v>
      </c>
      <c r="L24" s="959">
        <f>main!DU27</f>
        <v>0</v>
      </c>
      <c r="M24" s="959">
        <f>main!DP27</f>
        <v>0</v>
      </c>
    </row>
    <row r="25" spans="1:13" ht="18.75">
      <c r="A25" s="959" t="str">
        <f>IF(main!C28&gt;0,main!C28,"")</f>
        <v/>
      </c>
      <c r="B25" s="959" t="str">
        <f>IF(main!D28&gt;0,main!D28,"")</f>
        <v/>
      </c>
      <c r="C25" s="959" t="str">
        <f>IF(main!E28&gt;0,main!E28,"")</f>
        <v/>
      </c>
      <c r="D25" s="959" t="str">
        <f>IF(main!G28&gt;0,main!G28,"")</f>
        <v/>
      </c>
      <c r="E25" s="959" t="str">
        <f>IF(main!K28&gt;0,main!K28,"")</f>
        <v/>
      </c>
      <c r="F25" s="973" t="str">
        <f>IF(main!R28&gt;0,main!R28,"")</f>
        <v/>
      </c>
      <c r="G25" s="959" t="str">
        <f>IF(main!O28&gt;0,main!O28,"")</f>
        <v/>
      </c>
      <c r="H25" s="958"/>
      <c r="I25" s="958"/>
      <c r="J25" s="959" t="str">
        <f>main!N28</f>
        <v/>
      </c>
      <c r="K25" s="959">
        <f>main!DT28</f>
        <v>0</v>
      </c>
      <c r="L25" s="959">
        <f>main!DU28</f>
        <v>0</v>
      </c>
      <c r="M25" s="959">
        <f>main!DP28</f>
        <v>0</v>
      </c>
    </row>
    <row r="26" spans="1:13" ht="18.75">
      <c r="A26" s="959" t="str">
        <f>IF(main!C29&gt;0,main!C29,"")</f>
        <v/>
      </c>
      <c r="B26" s="959" t="str">
        <f>IF(main!D29&gt;0,main!D29,"")</f>
        <v/>
      </c>
      <c r="C26" s="959" t="str">
        <f>IF(main!E29&gt;0,main!E29,"")</f>
        <v/>
      </c>
      <c r="D26" s="959" t="str">
        <f>IF(main!G29&gt;0,main!G29,"")</f>
        <v/>
      </c>
      <c r="E26" s="959" t="str">
        <f>IF(main!K29&gt;0,main!K29,"")</f>
        <v/>
      </c>
      <c r="F26" s="973" t="str">
        <f>IF(main!R29&gt;0,main!R29,"")</f>
        <v/>
      </c>
      <c r="G26" s="959" t="str">
        <f>IF(main!O29&gt;0,main!O29,"")</f>
        <v/>
      </c>
      <c r="H26" s="958"/>
      <c r="I26" s="958"/>
      <c r="J26" s="959" t="str">
        <f>main!N29</f>
        <v/>
      </c>
      <c r="K26" s="959">
        <f>main!DT29</f>
        <v>0</v>
      </c>
      <c r="L26" s="959">
        <f>main!DU29</f>
        <v>0</v>
      </c>
      <c r="M26" s="959">
        <f>main!DP29</f>
        <v>0</v>
      </c>
    </row>
    <row r="27" spans="1:13" ht="18.75">
      <c r="A27" s="959" t="str">
        <f>IF(main!C30&gt;0,main!C30,"")</f>
        <v/>
      </c>
      <c r="B27" s="959" t="str">
        <f>IF(main!D30&gt;0,main!D30,"")</f>
        <v/>
      </c>
      <c r="C27" s="959" t="str">
        <f>IF(main!E30&gt;0,main!E30,"")</f>
        <v/>
      </c>
      <c r="D27" s="959" t="str">
        <f>IF(main!G30&gt;0,main!G30,"")</f>
        <v/>
      </c>
      <c r="E27" s="959" t="str">
        <f>IF(main!K30&gt;0,main!K30,"")</f>
        <v/>
      </c>
      <c r="F27" s="973" t="str">
        <f>IF(main!R30&gt;0,main!R30,"")</f>
        <v/>
      </c>
      <c r="G27" s="959" t="str">
        <f>IF(main!O30&gt;0,main!O30,"")</f>
        <v/>
      </c>
      <c r="H27" s="958"/>
      <c r="I27" s="958"/>
      <c r="J27" s="959" t="str">
        <f>main!N30</f>
        <v/>
      </c>
      <c r="K27" s="959">
        <f>main!DT30</f>
        <v>0</v>
      </c>
      <c r="L27" s="959">
        <f>main!DU30</f>
        <v>0</v>
      </c>
      <c r="M27" s="959">
        <f>main!DP30</f>
        <v>0</v>
      </c>
    </row>
    <row r="28" spans="1:13" ht="18.75">
      <c r="A28" s="959" t="str">
        <f>IF(main!C31&gt;0,main!C31,"")</f>
        <v/>
      </c>
      <c r="B28" s="959" t="str">
        <f>IF(main!D31&gt;0,main!D31,"")</f>
        <v/>
      </c>
      <c r="C28" s="959" t="str">
        <f>IF(main!E31&gt;0,main!E31,"")</f>
        <v/>
      </c>
      <c r="D28" s="959" t="str">
        <f>IF(main!G31&gt;0,main!G31,"")</f>
        <v/>
      </c>
      <c r="E28" s="959" t="str">
        <f>IF(main!K31&gt;0,main!K31,"")</f>
        <v/>
      </c>
      <c r="F28" s="973" t="str">
        <f>IF(main!R31&gt;0,main!R31,"")</f>
        <v/>
      </c>
      <c r="G28" s="959" t="str">
        <f>IF(main!O31&gt;0,main!O31,"")</f>
        <v/>
      </c>
      <c r="H28" s="958"/>
      <c r="I28" s="958"/>
      <c r="J28" s="959" t="str">
        <f>main!N31</f>
        <v/>
      </c>
      <c r="K28" s="959">
        <f>main!DT31</f>
        <v>0</v>
      </c>
      <c r="L28" s="959">
        <f>main!DU31</f>
        <v>0</v>
      </c>
      <c r="M28" s="959">
        <f>main!DP31</f>
        <v>0</v>
      </c>
    </row>
    <row r="29" spans="1:13" ht="18.75">
      <c r="A29" s="959" t="str">
        <f>IF(main!C32&gt;0,main!C32,"")</f>
        <v/>
      </c>
      <c r="B29" s="959" t="str">
        <f>IF(main!D32&gt;0,main!D32,"")</f>
        <v/>
      </c>
      <c r="C29" s="959" t="str">
        <f>IF(main!E32&gt;0,main!E32,"")</f>
        <v/>
      </c>
      <c r="D29" s="959" t="str">
        <f>IF(main!G32&gt;0,main!G32,"")</f>
        <v/>
      </c>
      <c r="E29" s="959" t="str">
        <f>IF(main!K32&gt;0,main!K32,"")</f>
        <v/>
      </c>
      <c r="F29" s="973" t="str">
        <f>IF(main!R32&gt;0,main!R32,"")</f>
        <v/>
      </c>
      <c r="G29" s="959" t="str">
        <f>IF(main!O32&gt;0,main!O32,"")</f>
        <v/>
      </c>
      <c r="H29" s="958"/>
      <c r="I29" s="958"/>
      <c r="J29" s="959" t="str">
        <f>main!N32</f>
        <v/>
      </c>
      <c r="K29" s="959">
        <f>main!DT32</f>
        <v>0</v>
      </c>
      <c r="L29" s="959">
        <f>main!DU32</f>
        <v>0</v>
      </c>
      <c r="M29" s="959">
        <f>main!DP32</f>
        <v>0</v>
      </c>
    </row>
    <row r="30" spans="1:13" ht="18.75">
      <c r="A30" s="959" t="str">
        <f>IF(main!C33&gt;0,main!C33,"")</f>
        <v/>
      </c>
      <c r="B30" s="959" t="str">
        <f>IF(main!D33&gt;0,main!D33,"")</f>
        <v/>
      </c>
      <c r="C30" s="959" t="str">
        <f>IF(main!E33&gt;0,main!E33,"")</f>
        <v/>
      </c>
      <c r="D30" s="959" t="str">
        <f>IF(main!G33&gt;0,main!G33,"")</f>
        <v/>
      </c>
      <c r="E30" s="959" t="str">
        <f>IF(main!K33&gt;0,main!K33,"")</f>
        <v/>
      </c>
      <c r="F30" s="973" t="str">
        <f>IF(main!R33&gt;0,main!R33,"")</f>
        <v/>
      </c>
      <c r="G30" s="959" t="str">
        <f>IF(main!O33&gt;0,main!O33,"")</f>
        <v/>
      </c>
      <c r="H30" s="958"/>
      <c r="I30" s="958"/>
      <c r="J30" s="959" t="str">
        <f>main!N33</f>
        <v/>
      </c>
      <c r="K30" s="959">
        <f>main!DT33</f>
        <v>0</v>
      </c>
      <c r="L30" s="959">
        <f>main!DU33</f>
        <v>0</v>
      </c>
      <c r="M30" s="959">
        <f>main!DP33</f>
        <v>0</v>
      </c>
    </row>
    <row r="31" spans="1:13" ht="18.75">
      <c r="A31" s="959" t="str">
        <f>IF(main!C34&gt;0,main!C34,"")</f>
        <v/>
      </c>
      <c r="B31" s="959" t="str">
        <f>IF(main!D34&gt;0,main!D34,"")</f>
        <v/>
      </c>
      <c r="C31" s="959" t="str">
        <f>IF(main!E34&gt;0,main!E34,"")</f>
        <v/>
      </c>
      <c r="D31" s="959" t="str">
        <f>IF(main!G34&gt;0,main!G34,"")</f>
        <v/>
      </c>
      <c r="E31" s="959" t="str">
        <f>IF(main!K34&gt;0,main!K34,"")</f>
        <v/>
      </c>
      <c r="F31" s="973" t="str">
        <f>IF(main!R34&gt;0,main!R34,"")</f>
        <v/>
      </c>
      <c r="G31" s="959" t="str">
        <f>IF(main!O34&gt;0,main!O34,"")</f>
        <v/>
      </c>
      <c r="H31" s="958"/>
      <c r="I31" s="958"/>
      <c r="J31" s="959" t="str">
        <f>main!N34</f>
        <v/>
      </c>
      <c r="K31" s="959">
        <f>main!DT34</f>
        <v>0</v>
      </c>
      <c r="L31" s="959">
        <f>main!DU34</f>
        <v>0</v>
      </c>
      <c r="M31" s="959">
        <f>main!DP34</f>
        <v>0</v>
      </c>
    </row>
    <row r="32" spans="1:13" ht="18.75">
      <c r="A32" s="959" t="str">
        <f>IF(main!C35&gt;0,main!C35,"")</f>
        <v/>
      </c>
      <c r="B32" s="959" t="str">
        <f>IF(main!D35&gt;0,main!D35,"")</f>
        <v/>
      </c>
      <c r="C32" s="959" t="str">
        <f>IF(main!E35&gt;0,main!E35,"")</f>
        <v/>
      </c>
      <c r="D32" s="959" t="str">
        <f>IF(main!G35&gt;0,main!G35,"")</f>
        <v/>
      </c>
      <c r="E32" s="959" t="str">
        <f>IF(main!K35&gt;0,main!K35,"")</f>
        <v/>
      </c>
      <c r="F32" s="973" t="str">
        <f>IF(main!R35&gt;0,main!R35,"")</f>
        <v/>
      </c>
      <c r="G32" s="959" t="str">
        <f>IF(main!O35&gt;0,main!O35,"")</f>
        <v/>
      </c>
      <c r="H32" s="958"/>
      <c r="I32" s="958"/>
      <c r="J32" s="959" t="str">
        <f>main!N35</f>
        <v/>
      </c>
      <c r="K32" s="959">
        <f>main!DT35</f>
        <v>0</v>
      </c>
      <c r="L32" s="959">
        <f>main!DU35</f>
        <v>0</v>
      </c>
      <c r="M32" s="959">
        <f>main!DP35</f>
        <v>0</v>
      </c>
    </row>
    <row r="33" spans="1:13" ht="18.75">
      <c r="A33" s="959" t="str">
        <f>IF(main!C36&gt;0,main!C36,"")</f>
        <v/>
      </c>
      <c r="B33" s="959" t="str">
        <f>IF(main!D36&gt;0,main!D36,"")</f>
        <v/>
      </c>
      <c r="C33" s="959" t="str">
        <f>IF(main!E36&gt;0,main!E36,"")</f>
        <v/>
      </c>
      <c r="D33" s="959" t="str">
        <f>IF(main!G36&gt;0,main!G36,"")</f>
        <v/>
      </c>
      <c r="E33" s="959" t="str">
        <f>IF(main!K36&gt;0,main!K36,"")</f>
        <v/>
      </c>
      <c r="F33" s="973" t="str">
        <f>IF(main!R36&gt;0,main!R36,"")</f>
        <v/>
      </c>
      <c r="G33" s="959" t="str">
        <f>IF(main!O36&gt;0,main!O36,"")</f>
        <v/>
      </c>
      <c r="H33" s="958"/>
      <c r="I33" s="958"/>
      <c r="J33" s="959" t="str">
        <f>main!N36</f>
        <v/>
      </c>
      <c r="K33" s="959">
        <f>main!DT36</f>
        <v>0</v>
      </c>
      <c r="L33" s="959">
        <f>main!DU36</f>
        <v>0</v>
      </c>
      <c r="M33" s="959">
        <f>main!DP36</f>
        <v>0</v>
      </c>
    </row>
    <row r="34" spans="1:13" ht="18.75">
      <c r="A34" s="959" t="str">
        <f>IF(main!C37&gt;0,main!C37,"")</f>
        <v/>
      </c>
      <c r="B34" s="959" t="str">
        <f>IF(main!D37&gt;0,main!D37,"")</f>
        <v/>
      </c>
      <c r="C34" s="959" t="str">
        <f>IF(main!E37&gt;0,main!E37,"")</f>
        <v/>
      </c>
      <c r="D34" s="959" t="str">
        <f>IF(main!G37&gt;0,main!G37,"")</f>
        <v/>
      </c>
      <c r="E34" s="959" t="str">
        <f>IF(main!K37&gt;0,main!K37,"")</f>
        <v/>
      </c>
      <c r="F34" s="973" t="str">
        <f>IF(main!R37&gt;0,main!R37,"")</f>
        <v/>
      </c>
      <c r="G34" s="959" t="str">
        <f>IF(main!O37&gt;0,main!O37,"")</f>
        <v/>
      </c>
      <c r="H34" s="958"/>
      <c r="I34" s="958"/>
      <c r="J34" s="959" t="str">
        <f>main!N37</f>
        <v/>
      </c>
      <c r="K34" s="959">
        <f>main!DT37</f>
        <v>0</v>
      </c>
      <c r="L34" s="959">
        <f>main!DU37</f>
        <v>0</v>
      </c>
      <c r="M34" s="959">
        <f>main!DP37</f>
        <v>0</v>
      </c>
    </row>
    <row r="35" spans="1:13" ht="18.75">
      <c r="A35" s="959" t="str">
        <f>IF(main!C38&gt;0,main!C38,"")</f>
        <v/>
      </c>
      <c r="B35" s="959" t="str">
        <f>IF(main!D38&gt;0,main!D38,"")</f>
        <v/>
      </c>
      <c r="C35" s="959" t="str">
        <f>IF(main!E38&gt;0,main!E38,"")</f>
        <v/>
      </c>
      <c r="D35" s="959" t="str">
        <f>IF(main!G38&gt;0,main!G38,"")</f>
        <v/>
      </c>
      <c r="E35" s="959" t="str">
        <f>IF(main!K38&gt;0,main!K38,"")</f>
        <v/>
      </c>
      <c r="F35" s="973" t="str">
        <f>IF(main!R38&gt;0,main!R38,"")</f>
        <v/>
      </c>
      <c r="G35" s="959" t="str">
        <f>IF(main!O38&gt;0,main!O38,"")</f>
        <v/>
      </c>
      <c r="H35" s="958"/>
      <c r="I35" s="958"/>
      <c r="J35" s="959" t="str">
        <f>main!N38</f>
        <v/>
      </c>
      <c r="K35" s="959">
        <f>main!DT38</f>
        <v>0</v>
      </c>
      <c r="L35" s="959">
        <f>main!DU38</f>
        <v>0</v>
      </c>
      <c r="M35" s="959">
        <f>main!DP38</f>
        <v>0</v>
      </c>
    </row>
    <row r="36" spans="1:13" ht="18.75">
      <c r="A36" s="959" t="str">
        <f>IF(main!C39&gt;0,main!C39,"")</f>
        <v/>
      </c>
      <c r="B36" s="959" t="str">
        <f>IF(main!D39&gt;0,main!D39,"")</f>
        <v/>
      </c>
      <c r="C36" s="959" t="str">
        <f>IF(main!E39&gt;0,main!E39,"")</f>
        <v/>
      </c>
      <c r="D36" s="959" t="str">
        <f>IF(main!G39&gt;0,main!G39,"")</f>
        <v/>
      </c>
      <c r="E36" s="959" t="str">
        <f>IF(main!K39&gt;0,main!K39,"")</f>
        <v/>
      </c>
      <c r="F36" s="973" t="str">
        <f>IF(main!R39&gt;0,main!R39,"")</f>
        <v/>
      </c>
      <c r="G36" s="959" t="str">
        <f>IF(main!O39&gt;0,main!O39,"")</f>
        <v/>
      </c>
      <c r="H36" s="958"/>
      <c r="I36" s="958"/>
      <c r="J36" s="959" t="str">
        <f>main!N39</f>
        <v/>
      </c>
      <c r="K36" s="959">
        <f>main!DT39</f>
        <v>0</v>
      </c>
      <c r="L36" s="959">
        <f>main!DU39</f>
        <v>0</v>
      </c>
      <c r="M36" s="959">
        <f>main!DP39</f>
        <v>0</v>
      </c>
    </row>
    <row r="37" spans="1:13" ht="18.75">
      <c r="A37" s="959" t="str">
        <f>IF(main!C40&gt;0,main!C40,"")</f>
        <v/>
      </c>
      <c r="B37" s="959" t="str">
        <f>IF(main!D40&gt;0,main!D40,"")</f>
        <v/>
      </c>
      <c r="C37" s="959" t="str">
        <f>IF(main!E40&gt;0,main!E40,"")</f>
        <v/>
      </c>
      <c r="D37" s="959" t="str">
        <f>IF(main!G40&gt;0,main!G40,"")</f>
        <v/>
      </c>
      <c r="E37" s="959" t="str">
        <f>IF(main!K40&gt;0,main!K40,"")</f>
        <v/>
      </c>
      <c r="F37" s="973" t="str">
        <f>IF(main!R40&gt;0,main!R40,"")</f>
        <v/>
      </c>
      <c r="G37" s="959" t="str">
        <f>IF(main!O40&gt;0,main!O40,"")</f>
        <v/>
      </c>
      <c r="H37" s="958"/>
      <c r="I37" s="958"/>
      <c r="J37" s="959" t="str">
        <f>main!N40</f>
        <v/>
      </c>
      <c r="K37" s="959">
        <f>main!DT40</f>
        <v>0</v>
      </c>
      <c r="L37" s="959">
        <f>main!DU40</f>
        <v>0</v>
      </c>
      <c r="M37" s="959">
        <f>main!DP40</f>
        <v>0</v>
      </c>
    </row>
    <row r="38" spans="1:13" ht="18.75">
      <c r="A38" s="959" t="str">
        <f>IF(main!C41&gt;0,main!C41,"")</f>
        <v/>
      </c>
      <c r="B38" s="959" t="str">
        <f>IF(main!D41&gt;0,main!D41,"")</f>
        <v/>
      </c>
      <c r="C38" s="959" t="str">
        <f>IF(main!E41&gt;0,main!E41,"")</f>
        <v/>
      </c>
      <c r="D38" s="959" t="str">
        <f>IF(main!G41&gt;0,main!G41,"")</f>
        <v/>
      </c>
      <c r="E38" s="959" t="str">
        <f>IF(main!K41&gt;0,main!K41,"")</f>
        <v/>
      </c>
      <c r="F38" s="973" t="str">
        <f>IF(main!R41&gt;0,main!R41,"")</f>
        <v/>
      </c>
      <c r="G38" s="959" t="str">
        <f>IF(main!O41&gt;0,main!O41,"")</f>
        <v/>
      </c>
      <c r="H38" s="958"/>
      <c r="I38" s="958"/>
      <c r="J38" s="959" t="str">
        <f>main!N41</f>
        <v/>
      </c>
      <c r="K38" s="959">
        <f>main!DT41</f>
        <v>0</v>
      </c>
      <c r="L38" s="959">
        <f>main!DU41</f>
        <v>0</v>
      </c>
      <c r="M38" s="959">
        <f>main!DP41</f>
        <v>0</v>
      </c>
    </row>
    <row r="39" spans="1:13" ht="18.75">
      <c r="A39" s="959" t="str">
        <f>IF(main!C42&gt;0,main!C42,"")</f>
        <v/>
      </c>
      <c r="B39" s="959" t="str">
        <f>IF(main!D42&gt;0,main!D42,"")</f>
        <v/>
      </c>
      <c r="C39" s="959" t="str">
        <f>IF(main!E42&gt;0,main!E42,"")</f>
        <v/>
      </c>
      <c r="D39" s="959" t="str">
        <f>IF(main!G42&gt;0,main!G42,"")</f>
        <v/>
      </c>
      <c r="E39" s="959" t="str">
        <f>IF(main!K42&gt;0,main!K42,"")</f>
        <v/>
      </c>
      <c r="F39" s="973" t="str">
        <f>IF(main!R42&gt;0,main!R42,"")</f>
        <v/>
      </c>
      <c r="G39" s="959" t="str">
        <f>IF(main!O42&gt;0,main!O42,"")</f>
        <v/>
      </c>
      <c r="H39" s="958"/>
      <c r="I39" s="958"/>
      <c r="J39" s="959" t="str">
        <f>main!N42</f>
        <v/>
      </c>
      <c r="K39" s="959">
        <f>main!DT42</f>
        <v>0</v>
      </c>
      <c r="L39" s="959">
        <f>main!DU42</f>
        <v>0</v>
      </c>
      <c r="M39" s="959">
        <f>main!DP42</f>
        <v>0</v>
      </c>
    </row>
    <row r="40" spans="1:13" ht="18.75">
      <c r="A40" s="959" t="str">
        <f>IF(main!C43&gt;0,main!C43,"")</f>
        <v/>
      </c>
      <c r="B40" s="959" t="str">
        <f>IF(main!D43&gt;0,main!D43,"")</f>
        <v/>
      </c>
      <c r="C40" s="959" t="str">
        <f>IF(main!E43&gt;0,main!E43,"")</f>
        <v/>
      </c>
      <c r="D40" s="959" t="str">
        <f>IF(main!G43&gt;0,main!G43,"")</f>
        <v/>
      </c>
      <c r="E40" s="959" t="str">
        <f>IF(main!K43&gt;0,main!K43,"")</f>
        <v/>
      </c>
      <c r="F40" s="973" t="str">
        <f>IF(main!R43&gt;0,main!R43,"")</f>
        <v/>
      </c>
      <c r="G40" s="959" t="str">
        <f>IF(main!O43&gt;0,main!O43,"")</f>
        <v/>
      </c>
      <c r="H40" s="958"/>
      <c r="I40" s="958"/>
      <c r="J40" s="959" t="str">
        <f>main!N43</f>
        <v/>
      </c>
      <c r="K40" s="959">
        <f>main!DT43</f>
        <v>0</v>
      </c>
      <c r="L40" s="959">
        <f>main!DU43</f>
        <v>0</v>
      </c>
      <c r="M40" s="959">
        <f>main!DP43</f>
        <v>0</v>
      </c>
    </row>
    <row r="41" spans="1:13" ht="18.75">
      <c r="A41" s="959" t="str">
        <f>IF(main!C44&gt;0,main!C44,"")</f>
        <v/>
      </c>
      <c r="B41" s="959" t="str">
        <f>IF(main!D44&gt;0,main!D44,"")</f>
        <v/>
      </c>
      <c r="C41" s="959" t="str">
        <f>IF(main!E44&gt;0,main!E44,"")</f>
        <v/>
      </c>
      <c r="D41" s="959" t="str">
        <f>IF(main!G44&gt;0,main!G44,"")</f>
        <v/>
      </c>
      <c r="E41" s="959" t="str">
        <f>IF(main!K44&gt;0,main!K44,"")</f>
        <v/>
      </c>
      <c r="F41" s="973" t="str">
        <f>IF(main!R44&gt;0,main!R44,"")</f>
        <v/>
      </c>
      <c r="G41" s="959" t="str">
        <f>IF(main!O44&gt;0,main!O44,"")</f>
        <v/>
      </c>
      <c r="H41" s="958"/>
      <c r="I41" s="958"/>
      <c r="J41" s="959" t="str">
        <f>main!N44</f>
        <v/>
      </c>
      <c r="K41" s="959">
        <f>main!DT44</f>
        <v>0</v>
      </c>
      <c r="L41" s="959">
        <f>main!DU44</f>
        <v>0</v>
      </c>
      <c r="M41" s="959">
        <f>main!DP44</f>
        <v>0</v>
      </c>
    </row>
    <row r="42" spans="1:13" ht="18.75">
      <c r="A42" s="959" t="str">
        <f>IF(main!C45&gt;0,main!C45,"")</f>
        <v/>
      </c>
      <c r="B42" s="959" t="str">
        <f>IF(main!D45&gt;0,main!D45,"")</f>
        <v/>
      </c>
      <c r="C42" s="959" t="str">
        <f>IF(main!E45&gt;0,main!E45,"")</f>
        <v/>
      </c>
      <c r="D42" s="959" t="str">
        <f>IF(main!G45&gt;0,main!G45,"")</f>
        <v/>
      </c>
      <c r="E42" s="959" t="str">
        <f>IF(main!K45&gt;0,main!K45,"")</f>
        <v/>
      </c>
      <c r="F42" s="973" t="str">
        <f>IF(main!R45&gt;0,main!R45,"")</f>
        <v/>
      </c>
      <c r="G42" s="959" t="str">
        <f>IF(main!O45&gt;0,main!O45,"")</f>
        <v/>
      </c>
      <c r="H42" s="958"/>
      <c r="I42" s="958"/>
      <c r="J42" s="959" t="str">
        <f>main!N45</f>
        <v/>
      </c>
      <c r="K42" s="959">
        <f>main!DT45</f>
        <v>0</v>
      </c>
      <c r="L42" s="959">
        <f>main!DU45</f>
        <v>0</v>
      </c>
      <c r="M42" s="959">
        <f>main!DP45</f>
        <v>0</v>
      </c>
    </row>
    <row r="43" spans="1:13" ht="18.75">
      <c r="A43" s="959" t="str">
        <f>IF(main!C46&gt;0,main!C46,"")</f>
        <v/>
      </c>
      <c r="B43" s="959" t="str">
        <f>IF(main!D46&gt;0,main!D46,"")</f>
        <v/>
      </c>
      <c r="C43" s="959" t="str">
        <f>IF(main!E46&gt;0,main!E46,"")</f>
        <v/>
      </c>
      <c r="D43" s="959" t="str">
        <f>IF(main!G46&gt;0,main!G46,"")</f>
        <v/>
      </c>
      <c r="E43" s="959" t="str">
        <f>IF(main!K46&gt;0,main!K46,"")</f>
        <v/>
      </c>
      <c r="F43" s="973" t="str">
        <f>IF(main!R46&gt;0,main!R46,"")</f>
        <v/>
      </c>
      <c r="G43" s="959" t="str">
        <f>IF(main!O46&gt;0,main!O46,"")</f>
        <v/>
      </c>
      <c r="H43" s="958"/>
      <c r="I43" s="958"/>
      <c r="J43" s="959" t="str">
        <f>main!N46</f>
        <v/>
      </c>
      <c r="K43" s="959">
        <f>main!DT46</f>
        <v>0</v>
      </c>
      <c r="L43" s="959">
        <f>main!DU46</f>
        <v>0</v>
      </c>
      <c r="M43" s="959">
        <f>main!DP46</f>
        <v>0</v>
      </c>
    </row>
    <row r="44" spans="1:13" ht="18.75">
      <c r="A44" s="959" t="str">
        <f>IF(main!C47&gt;0,main!C47,"")</f>
        <v/>
      </c>
      <c r="B44" s="959" t="str">
        <f>IF(main!D47&gt;0,main!D47,"")</f>
        <v/>
      </c>
      <c r="C44" s="959" t="str">
        <f>IF(main!E47&gt;0,main!E47,"")</f>
        <v/>
      </c>
      <c r="D44" s="959" t="str">
        <f>IF(main!G47&gt;0,main!G47,"")</f>
        <v/>
      </c>
      <c r="E44" s="959" t="str">
        <f>IF(main!K47&gt;0,main!K47,"")</f>
        <v/>
      </c>
      <c r="F44" s="973" t="str">
        <f>IF(main!R47&gt;0,main!R47,"")</f>
        <v/>
      </c>
      <c r="G44" s="959" t="str">
        <f>IF(main!O47&gt;0,main!O47,"")</f>
        <v/>
      </c>
      <c r="H44" s="958"/>
      <c r="I44" s="958"/>
      <c r="J44" s="959" t="str">
        <f>main!N47</f>
        <v/>
      </c>
      <c r="K44" s="959">
        <f>main!DT47</f>
        <v>0</v>
      </c>
      <c r="L44" s="959">
        <f>main!DU47</f>
        <v>0</v>
      </c>
      <c r="M44" s="959">
        <f>main!DP47</f>
        <v>0</v>
      </c>
    </row>
    <row r="45" spans="1:13" ht="18.75">
      <c r="A45" s="959" t="str">
        <f>IF(main!C48&gt;0,main!C48,"")</f>
        <v/>
      </c>
      <c r="B45" s="959" t="str">
        <f>IF(main!D48&gt;0,main!D48,"")</f>
        <v/>
      </c>
      <c r="C45" s="959" t="str">
        <f>IF(main!E48&gt;0,main!E48,"")</f>
        <v/>
      </c>
      <c r="D45" s="959" t="str">
        <f>IF(main!G48&gt;0,main!G48,"")</f>
        <v/>
      </c>
      <c r="E45" s="959" t="str">
        <f>IF(main!K48&gt;0,main!K48,"")</f>
        <v/>
      </c>
      <c r="F45" s="973" t="str">
        <f>IF(main!R48&gt;0,main!R48,"")</f>
        <v/>
      </c>
      <c r="G45" s="959" t="str">
        <f>IF(main!O48&gt;0,main!O48,"")</f>
        <v/>
      </c>
      <c r="H45" s="958"/>
      <c r="I45" s="958"/>
      <c r="J45" s="959" t="str">
        <f>main!N48</f>
        <v/>
      </c>
      <c r="K45" s="959">
        <f>main!DT48</f>
        <v>0</v>
      </c>
      <c r="L45" s="959">
        <f>main!DU48</f>
        <v>0</v>
      </c>
      <c r="M45" s="959">
        <f>main!DP48</f>
        <v>0</v>
      </c>
    </row>
    <row r="46" spans="1:13" ht="18.75">
      <c r="A46" s="959" t="str">
        <f>IF(main!C49&gt;0,main!C49,"")</f>
        <v/>
      </c>
      <c r="B46" s="959" t="str">
        <f>IF(main!D49&gt;0,main!D49,"")</f>
        <v/>
      </c>
      <c r="C46" s="959" t="str">
        <f>IF(main!E49&gt;0,main!E49,"")</f>
        <v/>
      </c>
      <c r="D46" s="959" t="str">
        <f>IF(main!G49&gt;0,main!G49,"")</f>
        <v/>
      </c>
      <c r="E46" s="959" t="str">
        <f>IF(main!K49&gt;0,main!K49,"")</f>
        <v/>
      </c>
      <c r="F46" s="973" t="str">
        <f>IF(main!R49&gt;0,main!R49,"")</f>
        <v/>
      </c>
      <c r="G46" s="959" t="str">
        <f>IF(main!O49&gt;0,main!O49,"")</f>
        <v/>
      </c>
      <c r="H46" s="958"/>
      <c r="I46" s="958"/>
      <c r="J46" s="959" t="str">
        <f>main!N49</f>
        <v/>
      </c>
      <c r="K46" s="959">
        <f>main!DT49</f>
        <v>0</v>
      </c>
      <c r="L46" s="959">
        <f>main!DU49</f>
        <v>0</v>
      </c>
      <c r="M46" s="959">
        <f>main!DP49</f>
        <v>0</v>
      </c>
    </row>
    <row r="47" spans="1:13" ht="18.75">
      <c r="A47" s="959" t="str">
        <f>IF(main!C50&gt;0,main!C50,"")</f>
        <v/>
      </c>
      <c r="B47" s="959" t="str">
        <f>IF(main!D50&gt;0,main!D50,"")</f>
        <v/>
      </c>
      <c r="C47" s="959" t="str">
        <f>IF(main!E50&gt;0,main!E50,"")</f>
        <v/>
      </c>
      <c r="D47" s="959" t="str">
        <f>IF(main!G50&gt;0,main!G50,"")</f>
        <v/>
      </c>
      <c r="E47" s="959" t="str">
        <f>IF(main!K50&gt;0,main!K50,"")</f>
        <v/>
      </c>
      <c r="F47" s="973" t="str">
        <f>IF(main!R50&gt;0,main!R50,"")</f>
        <v/>
      </c>
      <c r="G47" s="959" t="str">
        <f>IF(main!O50&gt;0,main!O50,"")</f>
        <v/>
      </c>
      <c r="H47" s="958"/>
      <c r="I47" s="958"/>
      <c r="J47" s="959" t="str">
        <f>main!N50</f>
        <v/>
      </c>
      <c r="K47" s="959">
        <f>main!DT50</f>
        <v>0</v>
      </c>
      <c r="L47" s="959">
        <f>main!DU50</f>
        <v>0</v>
      </c>
      <c r="M47" s="959">
        <f>main!DP50</f>
        <v>0</v>
      </c>
    </row>
    <row r="48" spans="1:13" ht="18.75">
      <c r="A48" s="959" t="str">
        <f>IF(main!C51&gt;0,main!C51,"")</f>
        <v/>
      </c>
      <c r="B48" s="959" t="str">
        <f>IF(main!D51&gt;0,main!D51,"")</f>
        <v/>
      </c>
      <c r="C48" s="959" t="str">
        <f>IF(main!E51&gt;0,main!E51,"")</f>
        <v/>
      </c>
      <c r="D48" s="959" t="str">
        <f>IF(main!G51&gt;0,main!G51,"")</f>
        <v/>
      </c>
      <c r="E48" s="959" t="str">
        <f>IF(main!K51&gt;0,main!K51,"")</f>
        <v/>
      </c>
      <c r="F48" s="973" t="str">
        <f>IF(main!R51&gt;0,main!R51,"")</f>
        <v/>
      </c>
      <c r="G48" s="959" t="str">
        <f>IF(main!O51&gt;0,main!O51,"")</f>
        <v/>
      </c>
      <c r="H48" s="958"/>
      <c r="I48" s="958"/>
      <c r="J48" s="959" t="str">
        <f>main!N51</f>
        <v/>
      </c>
      <c r="K48" s="959">
        <f>main!DT51</f>
        <v>0</v>
      </c>
      <c r="L48" s="959">
        <f>main!DU51</f>
        <v>0</v>
      </c>
      <c r="M48" s="959">
        <f>main!DP51</f>
        <v>0</v>
      </c>
    </row>
    <row r="49" spans="1:13" ht="19.5" thickBot="1">
      <c r="A49" s="959" t="str">
        <f>IF(main!C52&gt;0,main!C52,"")</f>
        <v/>
      </c>
      <c r="B49" s="959" t="str">
        <f>IF(main!D52&gt;0,main!D52,"")</f>
        <v/>
      </c>
      <c r="C49" s="959" t="str">
        <f>IF(main!E52&gt;0,main!E52,"")</f>
        <v/>
      </c>
      <c r="D49" s="959" t="str">
        <f>IF(main!G52&gt;0,main!G52,"")</f>
        <v/>
      </c>
      <c r="E49" s="959" t="str">
        <f>IF(main!K52&gt;0,main!K52,"")</f>
        <v/>
      </c>
      <c r="F49" s="973" t="str">
        <f>IF(main!R52&gt;0,main!R52,"")</f>
        <v/>
      </c>
      <c r="G49" s="959" t="str">
        <f>IF(main!O52&gt;0,main!O52,"")</f>
        <v/>
      </c>
      <c r="H49" s="958"/>
      <c r="I49" s="958"/>
      <c r="J49" s="959" t="str">
        <f>main!N52</f>
        <v/>
      </c>
      <c r="K49" s="959">
        <f>main!DT52</f>
        <v>0</v>
      </c>
      <c r="L49" s="959">
        <f>main!DU52</f>
        <v>0</v>
      </c>
      <c r="M49" s="959">
        <f>main!DP52</f>
        <v>0</v>
      </c>
    </row>
    <row r="50" spans="1:13" ht="29.25" thickTop="1" thickBot="1">
      <c r="A50" s="980"/>
      <c r="B50" s="961"/>
      <c r="C50" s="962"/>
      <c r="D50" s="963"/>
      <c r="E50" s="963"/>
      <c r="F50" s="964"/>
      <c r="G50" s="963"/>
      <c r="H50" s="966"/>
      <c r="I50" s="966">
        <f>SUM(I6:I49)</f>
        <v>0</v>
      </c>
      <c r="J50" s="966"/>
      <c r="K50" s="966">
        <f>SUM(K6:K49)</f>
        <v>0</v>
      </c>
      <c r="L50" s="966">
        <f>SUM(L6:L49)</f>
        <v>0</v>
      </c>
      <c r="M50" s="965">
        <f>SUM(M6:M49)</f>
        <v>0</v>
      </c>
    </row>
    <row r="51" spans="1:13" ht="19.5" thickTop="1">
      <c r="A51" s="967"/>
      <c r="B51" s="968"/>
      <c r="C51" s="967"/>
      <c r="D51" s="968"/>
      <c r="E51" s="968"/>
      <c r="F51" s="969"/>
      <c r="G51" s="968"/>
      <c r="H51" s="970"/>
      <c r="I51" s="971">
        <v>0</v>
      </c>
      <c r="J51" s="968"/>
      <c r="K51" s="984"/>
      <c r="L51" s="984"/>
    </row>
  </sheetData>
  <mergeCells count="1">
    <mergeCell ref="B1:G1"/>
  </mergeCells>
  <conditionalFormatting sqref="M6:M49">
    <cfRule type="cellIs" dxfId="1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Worksheet______34"/>
  <dimension ref="A1:T17"/>
  <sheetViews>
    <sheetView rightToLeft="1" workbookViewId="0">
      <selection activeCell="D12" sqref="D12"/>
    </sheetView>
  </sheetViews>
  <sheetFormatPr defaultRowHeight="12.75"/>
  <cols>
    <col min="1" max="1" width="18.140625" customWidth="1"/>
    <col min="2" max="2" width="15.140625" customWidth="1"/>
    <col min="17" max="17" width="15.140625" customWidth="1"/>
  </cols>
  <sheetData>
    <row r="1" spans="1:20" ht="27.75" thickBot="1">
      <c r="A1" s="1041" t="str">
        <f>IF(Q14="גבר", "Male","Female")</f>
        <v>Female</v>
      </c>
      <c r="B1" s="1041"/>
      <c r="C1" s="1041"/>
      <c r="D1" s="1041"/>
      <c r="E1" s="1041"/>
      <c r="F1" s="226"/>
      <c r="G1" s="227"/>
      <c r="H1" s="227"/>
      <c r="I1" s="227"/>
      <c r="J1" s="227"/>
      <c r="K1" s="227"/>
      <c r="L1" s="228"/>
      <c r="P1" s="5"/>
    </row>
    <row r="2" spans="1:20" ht="27">
      <c r="A2" s="1041"/>
      <c r="B2" s="1041"/>
      <c r="C2" s="1041"/>
      <c r="D2" s="1041"/>
      <c r="E2" s="1041"/>
      <c r="F2" s="226"/>
      <c r="G2" s="227"/>
      <c r="H2" s="227"/>
      <c r="I2" s="227"/>
      <c r="J2" s="227"/>
      <c r="K2" s="227"/>
      <c r="L2" s="228"/>
      <c r="M2" s="1042" t="s">
        <v>547</v>
      </c>
      <c r="N2" s="1043"/>
      <c r="O2" s="1043"/>
      <c r="P2" s="1043"/>
      <c r="Q2" s="1043"/>
      <c r="R2" s="1043"/>
      <c r="S2" s="1043"/>
      <c r="T2" s="1044"/>
    </row>
    <row r="3" spans="1:20" ht="13.5" thickBot="1">
      <c r="A3" s="1041"/>
      <c r="B3" s="1041"/>
      <c r="C3" s="1041"/>
      <c r="D3" s="1041"/>
      <c r="E3" s="1041"/>
      <c r="F3" s="229"/>
      <c r="L3" s="185"/>
      <c r="M3" s="1045"/>
      <c r="N3" s="1046"/>
      <c r="O3" s="1046"/>
      <c r="P3" s="1046"/>
      <c r="Q3" s="1046"/>
      <c r="R3" s="1046"/>
      <c r="S3" s="1046"/>
      <c r="T3" s="1047"/>
    </row>
    <row r="4" spans="1:20" ht="45">
      <c r="A4" s="230" t="s">
        <v>548</v>
      </c>
      <c r="B4" s="230" t="s">
        <v>549</v>
      </c>
      <c r="C4" s="230" t="s">
        <v>550</v>
      </c>
      <c r="D4" s="230" t="s">
        <v>551</v>
      </c>
      <c r="E4" s="230" t="s">
        <v>552</v>
      </c>
      <c r="F4" s="229"/>
      <c r="K4">
        <f>IF($Q$13&gt;2016,0,IF($Q$12&gt;$A5,0,IF($Q$9&lt;$A5,0,IF($Q$9&lt;$Q$12,0,IF($Q$9&lt;$A6,($Q$9-$Q$12)*$C6,($A6-$Q$12)*$C6)))))</f>
        <v>0</v>
      </c>
      <c r="L4" s="185"/>
      <c r="M4" s="231"/>
      <c r="N4" s="232"/>
      <c r="O4" s="232"/>
      <c r="P4" s="232"/>
      <c r="Q4" s="232"/>
      <c r="R4" s="232"/>
      <c r="S4" s="232"/>
      <c r="T4" s="233"/>
    </row>
    <row r="5" spans="1:20">
      <c r="A5" s="234">
        <v>5270</v>
      </c>
      <c r="B5" s="234">
        <f>A5</f>
        <v>5270</v>
      </c>
      <c r="C5" s="235">
        <v>0.1</v>
      </c>
      <c r="D5" s="236">
        <f>IF($Q$9&gt;$Q$12,IF($Q$12&gt;$A5,0,($A5-$Q$12)*$C5),0)</f>
        <v>0</v>
      </c>
      <c r="E5" s="236">
        <f>IF($Q$10&gt;$Q$12,IF($Q$12&gt;$A5,0,($A5-$Q$12)*$C5),0)</f>
        <v>0</v>
      </c>
      <c r="F5" s="229"/>
      <c r="K5" s="237"/>
      <c r="L5" s="238"/>
      <c r="M5" s="239"/>
      <c r="N5" s="185"/>
      <c r="O5" s="185"/>
      <c r="P5" s="240" t="s">
        <v>553</v>
      </c>
      <c r="Q5" s="241">
        <v>8390</v>
      </c>
      <c r="R5" s="185"/>
      <c r="S5" s="185"/>
      <c r="T5" s="242"/>
    </row>
    <row r="6" spans="1:20">
      <c r="A6" s="234">
        <v>9000</v>
      </c>
      <c r="B6" s="234">
        <f>A6-A5</f>
        <v>3730</v>
      </c>
      <c r="C6" s="235">
        <v>0.14000000000000001</v>
      </c>
      <c r="D6" s="236">
        <f>IF($Q$14="גבר",IF(OR($Q$9&lt;$A5,$Q$12&gt;A6),0,IF($Q$9&lt;$Q$12,0,IF($Q$9&lt;$A6,($Q$9-$Q$12)*$C6,($A6-$Q$12)*$C6))),IF(OR($Q$12&gt;A6,$Q$9&lt;$A5),0,IF($Q$9&lt;$Q$12,0,IF($Q$9&lt;$A6,($Q$9-$Q$12)*$C6,($A6-$Q$12)*$C6))))</f>
        <v>0</v>
      </c>
      <c r="E6" s="236">
        <f>IF($Q$14="גבר",IF(OR($Q$10&lt;$A5,$Q$12&gt;A6),0,IF($Q$10&lt;$Q$12,0,IF($Q$10&lt;$A6,($Q$10-$Q$12)*$C6,($A6-$Q$12)*$C6))),IF($Q$10&lt;$A5,0,IF(OR($Q$12&gt;$A$6,$Q$10&lt;$Q$12),0,IF($Q$10&lt;$A6,($Q$10-$Q$12)*$C6,($A6-$Q$12)*$C6))))</f>
        <v>0</v>
      </c>
      <c r="F6" s="229"/>
      <c r="K6" s="237"/>
      <c r="L6" s="243"/>
      <c r="M6" s="239"/>
      <c r="N6" s="185"/>
      <c r="O6" s="185"/>
      <c r="P6" s="240" t="s">
        <v>554</v>
      </c>
      <c r="Q6" s="244">
        <f>Q5*IF(YEAR(Q13)&lt;2016,43.5%,IF(AND(YEAR(Q13)&gt;=2016,YEAR(Q13)&lt;=2019),49%,IF(AND(YEAR(Q13)&gt;=2019,YEAR(Q13)&lt;=2024),52%,67%)))</f>
        <v>5621.3</v>
      </c>
      <c r="R6" s="185"/>
      <c r="S6" s="185"/>
      <c r="T6" s="242"/>
    </row>
    <row r="7" spans="1:20">
      <c r="A7" s="234">
        <v>13990</v>
      </c>
      <c r="B7" s="234">
        <f>A7-A6</f>
        <v>4990</v>
      </c>
      <c r="C7" s="235">
        <v>0.21</v>
      </c>
      <c r="D7" s="236">
        <f>IF($Q$14="גבר",IF($Q$9&lt;$A6,0,IF($Q$9&lt;$Q$12,0,IF($Q$9&lt;$A7,IF($A$6&gt;$Q$12, ($Q$9-$A6)*$C7,($Q$9-$Q$12)*$C$7),$B$7*$C7))),IF($Q$9&lt;$A6,0,IF($Q$9&lt;$Q$12,0,IF($Q$9&lt;$A7,IF($A$6&gt;$Q$12, ($Q$9-$A6)*$C7,($Q$9-$Q$12)*$C$7),$B7*$C7))))</f>
        <v>0</v>
      </c>
      <c r="E7" s="236">
        <f>IF($Q$14="גבר",IF($Q$10&lt;$A6,0,IF($Q$10&lt;$Q$12,0,IF($Q$10&lt;$A7,IF($A$6&gt;$Q$12, ($Q$10-$A6)*$C7,($Q$10-$Q$12)*$C$7),$B$7*$C7))),IF($Q$10&lt;$A6,0,IF($Q$10&lt;$Q$12,0,IF($Q$10&lt;$A7,IF($A$6&gt;$Q$12, ($Q$10-$A6)*$C7,($Q$10-$Q$12)*$C$7),$B7*$C7))))</f>
        <v>0</v>
      </c>
      <c r="F7" s="229"/>
      <c r="K7" s="237"/>
      <c r="M7" s="239"/>
      <c r="N7" s="185"/>
      <c r="O7" s="185"/>
      <c r="P7" s="240" t="s">
        <v>555</v>
      </c>
      <c r="Q7" s="245">
        <f>IF(Q14="גבר",2.25,2.75)</f>
        <v>2.75</v>
      </c>
      <c r="R7" s="185"/>
      <c r="S7" s="185"/>
      <c r="T7" s="242"/>
    </row>
    <row r="8" spans="1:20">
      <c r="A8" s="234">
        <v>19980</v>
      </c>
      <c r="B8" s="234">
        <f>A8-A7</f>
        <v>5990</v>
      </c>
      <c r="C8" s="235">
        <v>0.31</v>
      </c>
      <c r="D8" s="236">
        <f>IF($Q$14="גבר",IF($Q$9&lt;$A7,0,IF($Q$9&lt;$Q$12,0,IF($Q$9&lt;$A8, ($Q$9-$A7)*$C8,$B8*$C8))),IF($Q$9&lt;$A7,0,IF($Q$9&lt;$Q$12,0,IF($Q$9&lt;$A8, ($Q$9-$A7)*$C8,$B8*$C8))))</f>
        <v>0</v>
      </c>
      <c r="E8" s="236">
        <f>IF($Q$14="גבר",IF($Q$10&lt;$A7,0,IF($Q$10&lt;$Q$12,0,IF($Q$10&lt;$A8, ($Q$10-$A7)*$C8,$B8*$C8))),IF($Q$10&lt;$A7,0,IF($Q$10&lt;$Q$12,0,IF($Q$10&lt;$A8, ($Q$10-$A7)*$C8,$B8*$C8))))</f>
        <v>0</v>
      </c>
      <c r="F8" s="229"/>
      <c r="K8" s="237"/>
      <c r="L8" s="238"/>
      <c r="M8" s="239"/>
      <c r="N8" s="185"/>
      <c r="O8" s="185"/>
      <c r="P8" s="240" t="s">
        <v>556</v>
      </c>
      <c r="Q8" s="241">
        <v>216</v>
      </c>
      <c r="R8" s="185"/>
      <c r="S8" s="185"/>
      <c r="T8" s="242"/>
    </row>
    <row r="9" spans="1:20">
      <c r="A9" s="234">
        <v>41780</v>
      </c>
      <c r="B9" s="234">
        <f>A9-A8</f>
        <v>21800</v>
      </c>
      <c r="C9" s="235">
        <v>0.34</v>
      </c>
      <c r="D9" s="236">
        <f>IF($Q$14="גבר",IF($Q$9&lt;$A8,0,IF($Q$9&lt;$Q$12,0,IF($Q$9&lt;$A9, ($Q$9-$A8)*$C9,$B9*$C9))),IF($Q$9&lt;$A8,0,IF($Q$9&lt;$Q$12,0,IF($Q$9&lt;$A9, ($Q$9-$A8)*$C9,$B9*$C9))))</f>
        <v>0</v>
      </c>
      <c r="E9" s="236">
        <f>IF($Q$14="גבר",IF($Q$10&lt;$A8,0,IF($Q$10&lt;$Q$12,0,IF($Q$10&lt;$A9, ($Q$10-$A8)*$C9,$B9*$C9))),IF($Q$10&lt;$A8,0,IF($Q$10&lt;$Q$12,0,IF($Q$10&lt;$A9, ($Q$10-$A8)*$C9,$B9*$C9))))</f>
        <v>0</v>
      </c>
      <c r="F9" s="229"/>
      <c r="K9" s="237"/>
      <c r="L9" s="238"/>
      <c r="M9" s="239"/>
      <c r="N9" s="185"/>
      <c r="O9" s="185"/>
      <c r="P9" s="240" t="s">
        <v>557</v>
      </c>
      <c r="Q9" s="246">
        <v>0</v>
      </c>
      <c r="R9" s="261"/>
      <c r="S9" s="185"/>
      <c r="T9" s="242"/>
    </row>
    <row r="10" spans="1:20">
      <c r="A10" s="234">
        <v>99999999</v>
      </c>
      <c r="B10" s="234">
        <f>A10-A9</f>
        <v>99958219</v>
      </c>
      <c r="C10" s="235">
        <v>0.48</v>
      </c>
      <c r="D10" s="236">
        <f>IF(IF($Q$9&gt;$A10,IF($Q$12&gt;$A10,0,IF($Q$12&lt;$A9,$B10*$C10,($B10-$Q$12+$A9)*$C10)),IF($Q$12&gt;$A10,0,IF($Q$12&lt;$A9,($Q$9-$A9)*$C10,($B10-$Q$12+$A9))))&lt;0,0,IF($Q$9&gt;$A10,IF($Q$12&gt;$A10,0,IF($Q$12&lt;$A9,$B10*$C10,($B10-$Q$12+$A9)*$C10)),IF($Q$12&gt;$A10,0,IF($Q$12&lt;$A9,($Q$9-$A9)*$C10,($B10-$Q$12+$A9)))))</f>
        <v>0</v>
      </c>
      <c r="E10" s="236">
        <f>IF(IF($Q$10&gt;$A10,IF($Q$12&gt;$A10,0,IF($Q$12&lt;$A9,$B10*$C10,($B10-$Q$12+$A9)*$C10)),IF($Q$12&gt;$A10,0,IF($Q$12&lt;$A9,($Q$10-$A9)*$C10,($B10-$Q$12+$A9))))&lt;0,0,IF($Q$10&gt;$A10,IF($Q$12&gt;$A10,0,IF($Q$12&lt;$A9,$B10*$C10,($B10-$Q$12+$A9)*$C10)),IF($Q$12&gt;$A10,0,IF($Q$12&lt;$A9,($Q$10-$A9)*$C10,($B10-$Q$12+$A9)))))</f>
        <v>0</v>
      </c>
      <c r="F10" s="229"/>
      <c r="K10" s="237"/>
      <c r="L10" s="238"/>
      <c r="M10" s="239"/>
      <c r="N10" s="185"/>
      <c r="O10" s="185"/>
      <c r="P10" s="240" t="s">
        <v>558</v>
      </c>
      <c r="Q10" s="246">
        <v>0</v>
      </c>
      <c r="R10" s="261"/>
      <c r="S10" s="185"/>
      <c r="T10" s="242"/>
    </row>
    <row r="11" spans="1:20" ht="15">
      <c r="A11" s="1048" t="s">
        <v>559</v>
      </c>
      <c r="B11" s="1048"/>
      <c r="C11" s="1048"/>
      <c r="D11" s="247">
        <f>SUM(D5:D10)</f>
        <v>0</v>
      </c>
      <c r="E11" s="247">
        <f>SUM(E5:E10)</f>
        <v>0</v>
      </c>
      <c r="F11" s="229"/>
      <c r="I11" s="238"/>
      <c r="K11" s="237"/>
      <c r="L11" s="185"/>
      <c r="M11" s="239"/>
      <c r="N11" s="248"/>
      <c r="O11" s="185"/>
      <c r="P11" s="240" t="s">
        <v>560</v>
      </c>
      <c r="Q11" s="249">
        <f>IF(Q14="גבר",4860,5734)</f>
        <v>5734</v>
      </c>
      <c r="R11" s="185"/>
      <c r="S11" s="185"/>
      <c r="T11" s="242"/>
    </row>
    <row r="12" spans="1:20" ht="15">
      <c r="A12" s="1048" t="s">
        <v>561</v>
      </c>
      <c r="B12" s="1048"/>
      <c r="C12" s="1048"/>
      <c r="D12" s="250">
        <f>Q9-D11</f>
        <v>0</v>
      </c>
      <c r="E12" s="250">
        <f>Q10-E11</f>
        <v>0</v>
      </c>
      <c r="F12" s="229"/>
      <c r="H12" s="238"/>
      <c r="I12" s="238"/>
      <c r="K12" s="237"/>
      <c r="L12" s="185"/>
      <c r="M12" s="251"/>
      <c r="N12" s="248"/>
      <c r="O12" s="185"/>
      <c r="P12" s="240" t="s">
        <v>562</v>
      </c>
      <c r="Q12" s="241">
        <f>Q11+Q6</f>
        <v>11355.3</v>
      </c>
      <c r="R12" s="185"/>
      <c r="S12" s="185"/>
      <c r="T12" s="242"/>
    </row>
    <row r="13" spans="1:20">
      <c r="A13" s="252"/>
      <c r="B13" s="252"/>
      <c r="C13" s="252"/>
      <c r="D13" s="252"/>
      <c r="E13" s="252"/>
      <c r="F13" s="229"/>
      <c r="K13" s="237"/>
      <c r="L13" s="185"/>
      <c r="M13" s="239"/>
      <c r="N13" s="253"/>
      <c r="O13" s="253"/>
      <c r="P13" s="240" t="s">
        <v>563</v>
      </c>
      <c r="Q13" s="254">
        <v>45873</v>
      </c>
      <c r="R13" s="185"/>
      <c r="S13" s="185"/>
      <c r="T13" s="242"/>
    </row>
    <row r="14" spans="1:20">
      <c r="A14" s="255"/>
      <c r="B14" s="256"/>
      <c r="C14" s="256"/>
      <c r="D14" s="256"/>
      <c r="E14" s="256"/>
      <c r="F14" s="229"/>
      <c r="L14" s="185"/>
      <c r="M14" s="239"/>
      <c r="N14" s="253"/>
      <c r="O14" s="185"/>
      <c r="P14" s="240" t="s">
        <v>564</v>
      </c>
      <c r="Q14" s="257" t="str">
        <f>'נתוני יסוד'!B2</f>
        <v>???</v>
      </c>
      <c r="R14" s="185"/>
      <c r="S14" s="185"/>
      <c r="T14" s="242"/>
    </row>
    <row r="15" spans="1:20">
      <c r="A15" s="256"/>
      <c r="B15" s="256"/>
      <c r="C15" s="256"/>
      <c r="D15" s="256"/>
      <c r="E15" s="256"/>
      <c r="F15" s="229"/>
      <c r="L15" s="185"/>
      <c r="M15" s="239"/>
      <c r="N15" s="253"/>
      <c r="O15" s="185"/>
      <c r="P15" s="185"/>
      <c r="Q15" s="185"/>
      <c r="R15" s="185"/>
      <c r="S15" s="185"/>
      <c r="T15" s="242"/>
    </row>
    <row r="16" spans="1:20" ht="13.5" thickBot="1">
      <c r="M16" s="258"/>
      <c r="N16" s="259"/>
      <c r="O16" s="259"/>
      <c r="P16" s="259"/>
      <c r="Q16" s="259"/>
      <c r="R16" s="259"/>
      <c r="S16" s="259"/>
      <c r="T16" s="260"/>
    </row>
    <row r="17" spans="13:20" ht="15.75" thickBot="1">
      <c r="M17" s="1049" t="s">
        <v>565</v>
      </c>
      <c r="N17" s="1050"/>
      <c r="O17" s="1050"/>
      <c r="P17" s="1050"/>
      <c r="Q17" s="1050"/>
      <c r="R17" s="1050"/>
      <c r="S17" s="1050"/>
      <c r="T17" s="1051"/>
    </row>
  </sheetData>
  <mergeCells count="5">
    <mergeCell ref="A1:E3"/>
    <mergeCell ref="M2:T3"/>
    <mergeCell ref="A11:C11"/>
    <mergeCell ref="A12:C12"/>
    <mergeCell ref="M17:T17"/>
  </mergeCells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Worksheet______53">
    <tabColor indexed="46"/>
  </sheetPr>
  <dimension ref="A2:L61"/>
  <sheetViews>
    <sheetView rightToLeft="1" topLeftCell="A22" workbookViewId="0">
      <selection activeCell="D33" sqref="D33"/>
    </sheetView>
  </sheetViews>
  <sheetFormatPr defaultRowHeight="23.25"/>
  <cols>
    <col min="1" max="1" width="64.42578125" style="263" customWidth="1"/>
    <col min="2" max="2" width="25.28515625" style="263" customWidth="1"/>
    <col min="3" max="3" width="15.85546875" style="263" bestFit="1" customWidth="1"/>
    <col min="4" max="4" width="24.85546875" style="263" customWidth="1"/>
    <col min="5" max="5" width="12.42578125" style="263" customWidth="1"/>
    <col min="6" max="6" width="24.85546875" style="263" customWidth="1"/>
    <col min="7" max="7" width="11" style="263" customWidth="1"/>
    <col min="8" max="8" width="24.85546875" style="263" customWidth="1"/>
    <col min="9" max="9" width="5.7109375" style="263" customWidth="1"/>
    <col min="10" max="10" width="24.85546875" style="263" customWidth="1"/>
    <col min="11" max="11" width="5.7109375" style="263" customWidth="1"/>
    <col min="12" max="12" width="26.42578125" style="263" customWidth="1"/>
    <col min="13" max="16384" width="9.140625" style="263"/>
  </cols>
  <sheetData>
    <row r="2" spans="1:12">
      <c r="D2" s="1052" t="s">
        <v>598</v>
      </c>
      <c r="E2" s="1052"/>
      <c r="F2" s="1052"/>
      <c r="G2" s="1052"/>
      <c r="H2" s="1052"/>
      <c r="I2" s="1052"/>
      <c r="J2" s="1052"/>
      <c r="K2" s="1052"/>
      <c r="L2" s="1052"/>
    </row>
    <row r="3" spans="1:12" s="267" customFormat="1" ht="46.5">
      <c r="A3" s="262">
        <f>'[1]נתוני יסוד'!B1</f>
        <v>0</v>
      </c>
      <c r="B3" s="276" t="s">
        <v>599</v>
      </c>
      <c r="D3" s="277" t="s">
        <v>600</v>
      </c>
      <c r="F3" s="290" t="s">
        <v>601</v>
      </c>
      <c r="H3" s="287" t="s">
        <v>602</v>
      </c>
      <c r="J3" s="289" t="s">
        <v>603</v>
      </c>
      <c r="L3" s="288" t="s">
        <v>604</v>
      </c>
    </row>
    <row r="5" spans="1:12">
      <c r="A5" s="263" t="s">
        <v>272</v>
      </c>
      <c r="B5" s="263">
        <f>'נתוני יסוד'!B33</f>
        <v>0</v>
      </c>
      <c r="D5" s="263">
        <f>B5</f>
        <v>0</v>
      </c>
      <c r="F5" s="263">
        <f>D5</f>
        <v>0</v>
      </c>
      <c r="H5" s="263">
        <f>'[1]נתוני יסוד'!$B$33</f>
        <v>0</v>
      </c>
      <c r="J5" s="263">
        <f>D5</f>
        <v>0</v>
      </c>
      <c r="L5" s="263">
        <f>D5</f>
        <v>0</v>
      </c>
    </row>
    <row r="6" spans="1:12">
      <c r="A6" s="263" t="s">
        <v>463</v>
      </c>
      <c r="B6" s="263">
        <f>'נתוני יסוד'!B34</f>
        <v>0</v>
      </c>
      <c r="D6" s="263">
        <f t="shared" ref="D6:D13" si="0">B6</f>
        <v>0</v>
      </c>
      <c r="F6" s="263">
        <f t="shared" ref="F6:F13" si="1">D6</f>
        <v>0</v>
      </c>
      <c r="H6" s="263">
        <f>'[1]נתוני יסוד'!$B$34</f>
        <v>0</v>
      </c>
      <c r="J6" s="263">
        <f t="shared" ref="J6:J13" si="2">D6</f>
        <v>0</v>
      </c>
      <c r="L6" s="263">
        <f t="shared" ref="L6:L13" si="3">D6</f>
        <v>0</v>
      </c>
    </row>
    <row r="7" spans="1:12">
      <c r="A7" s="263" t="s">
        <v>566</v>
      </c>
      <c r="B7" s="263">
        <f>'נתוני יסוד'!B35</f>
        <v>0</v>
      </c>
      <c r="D7" s="263">
        <f t="shared" si="0"/>
        <v>0</v>
      </c>
      <c r="F7" s="263">
        <f t="shared" si="1"/>
        <v>0</v>
      </c>
      <c r="H7" s="263">
        <f>'[1]נתוני יסוד'!$B$35</f>
        <v>0</v>
      </c>
      <c r="J7" s="263">
        <f t="shared" si="2"/>
        <v>0</v>
      </c>
      <c r="L7" s="263">
        <f t="shared" si="3"/>
        <v>0</v>
      </c>
    </row>
    <row r="8" spans="1:12">
      <c r="A8" s="263" t="s">
        <v>567</v>
      </c>
      <c r="B8" s="263">
        <f>'נתוני יסוד'!B36</f>
        <v>0</v>
      </c>
      <c r="D8" s="263">
        <f t="shared" si="0"/>
        <v>0</v>
      </c>
      <c r="F8" s="263">
        <f t="shared" si="1"/>
        <v>0</v>
      </c>
      <c r="H8" s="263">
        <f>'[1]נתוני יסוד'!$B$36</f>
        <v>0</v>
      </c>
      <c r="J8" s="263">
        <f t="shared" si="2"/>
        <v>0</v>
      </c>
      <c r="L8" s="263">
        <f t="shared" si="3"/>
        <v>0</v>
      </c>
    </row>
    <row r="10" spans="1:12">
      <c r="A10" s="263" t="s">
        <v>568</v>
      </c>
      <c r="B10" s="263">
        <f>main!BR6</f>
        <v>0</v>
      </c>
      <c r="D10" s="263">
        <f t="shared" si="0"/>
        <v>0</v>
      </c>
      <c r="F10" s="263">
        <f t="shared" si="1"/>
        <v>0</v>
      </c>
      <c r="H10" s="263">
        <f>'[1]חישובי מקורות א'!$BK$6</f>
        <v>0</v>
      </c>
      <c r="J10" s="263">
        <f t="shared" si="2"/>
        <v>0</v>
      </c>
      <c r="L10" s="263">
        <f t="shared" si="3"/>
        <v>0</v>
      </c>
    </row>
    <row r="11" spans="1:12">
      <c r="A11" s="263" t="s">
        <v>569</v>
      </c>
      <c r="B11" s="263">
        <f>main!BQ6</f>
        <v>0</v>
      </c>
      <c r="D11" s="263">
        <f t="shared" si="0"/>
        <v>0</v>
      </c>
      <c r="F11" s="263">
        <f t="shared" si="1"/>
        <v>0</v>
      </c>
      <c r="H11" s="263">
        <f>'[1]חישובי מקורות א'!$BJ$6</f>
        <v>0</v>
      </c>
      <c r="J11" s="263">
        <f t="shared" si="2"/>
        <v>0</v>
      </c>
      <c r="L11" s="263">
        <f t="shared" si="3"/>
        <v>0</v>
      </c>
    </row>
    <row r="12" spans="1:12">
      <c r="A12" s="263" t="s">
        <v>570</v>
      </c>
      <c r="B12" s="263">
        <f>main!BP6</f>
        <v>0</v>
      </c>
      <c r="D12" s="263">
        <f t="shared" si="0"/>
        <v>0</v>
      </c>
      <c r="F12" s="263">
        <f t="shared" si="1"/>
        <v>0</v>
      </c>
      <c r="H12" s="263">
        <f>'[1]חישובי מקורות א'!$BI$6</f>
        <v>0</v>
      </c>
      <c r="J12" s="263">
        <f t="shared" si="2"/>
        <v>0</v>
      </c>
      <c r="L12" s="263">
        <f t="shared" si="3"/>
        <v>0</v>
      </c>
    </row>
    <row r="13" spans="1:12">
      <c r="A13" s="263" t="s">
        <v>571</v>
      </c>
      <c r="B13" s="263">
        <f>main!BO6</f>
        <v>0</v>
      </c>
      <c r="D13" s="263">
        <f t="shared" si="0"/>
        <v>0</v>
      </c>
      <c r="F13" s="263">
        <f t="shared" si="1"/>
        <v>0</v>
      </c>
      <c r="H13" s="263">
        <f>'[1]חישובי מקורות א'!$BH$6</f>
        <v>0</v>
      </c>
      <c r="J13" s="263">
        <f t="shared" si="2"/>
        <v>0</v>
      </c>
      <c r="L13" s="263">
        <f t="shared" si="3"/>
        <v>0</v>
      </c>
    </row>
    <row r="15" spans="1:12">
      <c r="A15" s="263" t="s">
        <v>572</v>
      </c>
      <c r="B15" s="263">
        <f>'[1]חישובי מקורות א'!$BX$6</f>
        <v>0</v>
      </c>
      <c r="D15" s="263">
        <f>'[1]חישובי מקורות א'!$BX$6</f>
        <v>0</v>
      </c>
      <c r="F15" s="263">
        <f>'[1]חישובי מקורות א'!$BX$6</f>
        <v>0</v>
      </c>
      <c r="H15" s="263">
        <f>'[1]חישובי מקורות א'!$BX$6</f>
        <v>0</v>
      </c>
      <c r="J15" s="263">
        <f>'[1]חישובי מקורות א'!$BX$6</f>
        <v>0</v>
      </c>
      <c r="L15" s="263">
        <f>'[1]חישובי מקורות א'!$BX$6</f>
        <v>0</v>
      </c>
    </row>
    <row r="16" spans="1:12">
      <c r="A16" s="263" t="s">
        <v>573</v>
      </c>
      <c r="B16" s="263">
        <f>'[1]חישובי מקורות א'!$BW$6</f>
        <v>0</v>
      </c>
      <c r="D16" s="263">
        <f>'[1]חישובי מקורות א'!$BW$6</f>
        <v>0</v>
      </c>
      <c r="F16" s="263">
        <f>'[1]חישובי מקורות א'!$BW$6</f>
        <v>0</v>
      </c>
      <c r="H16" s="263">
        <f>'[1]חישובי מקורות א'!$BW$6</f>
        <v>0</v>
      </c>
      <c r="J16" s="263">
        <f>'[1]חישובי מקורות א'!$BW$6</f>
        <v>0</v>
      </c>
      <c r="L16" s="263">
        <f>'[1]חישובי מקורות א'!$BW$6</f>
        <v>0</v>
      </c>
    </row>
    <row r="17" spans="1:12">
      <c r="A17" s="263" t="s">
        <v>574</v>
      </c>
      <c r="B17" s="263">
        <f>'[1]חישובי מקורות א'!$BV$6</f>
        <v>0</v>
      </c>
      <c r="D17" s="263">
        <f>'[1]חישובי מקורות א'!$BV$6</f>
        <v>0</v>
      </c>
      <c r="F17" s="263">
        <f>'[1]חישובי מקורות א'!$BV$6</f>
        <v>0</v>
      </c>
      <c r="H17" s="263">
        <f>'[1]חישובי מקורות א'!$BV$6</f>
        <v>0</v>
      </c>
      <c r="J17" s="263">
        <f>'[1]חישובי מקורות א'!$BV$6</f>
        <v>0</v>
      </c>
      <c r="L17" s="263">
        <f>'[1]חישובי מקורות א'!$BV$6</f>
        <v>0</v>
      </c>
    </row>
    <row r="18" spans="1:12">
      <c r="A18" s="263" t="s">
        <v>571</v>
      </c>
      <c r="B18" s="263">
        <f>'[1]חישובי מקורות א'!$BU$6</f>
        <v>0</v>
      </c>
      <c r="D18" s="263">
        <f>'[1]חישובי מקורות א'!$BU$6</f>
        <v>0</v>
      </c>
      <c r="F18" s="263">
        <f>'[1]חישובי מקורות א'!$BU$6</f>
        <v>0</v>
      </c>
      <c r="H18" s="263">
        <f>'[1]חישובי מקורות א'!$BU$6</f>
        <v>0</v>
      </c>
      <c r="J18" s="263">
        <f>'[1]חישובי מקורות א'!$BU$6</f>
        <v>0</v>
      </c>
      <c r="L18" s="263">
        <f>'[1]חישובי מקורות א'!$BU$6</f>
        <v>0</v>
      </c>
    </row>
    <row r="20" spans="1:12">
      <c r="A20" s="263" t="s">
        <v>575</v>
      </c>
      <c r="B20" s="263">
        <f>main!BX6</f>
        <v>0</v>
      </c>
      <c r="D20" s="263">
        <f>'[1]חישובי מקורות א'!$BQ$6</f>
        <v>0</v>
      </c>
      <c r="F20" s="263">
        <f>'[1]חישובי מקורות א'!$BQ$6</f>
        <v>0</v>
      </c>
      <c r="H20" s="263">
        <f>'[1]חישובי מקורות א'!$BQ$6</f>
        <v>0</v>
      </c>
      <c r="J20" s="263">
        <f>'[1]חישובי מקורות א'!$BQ$6</f>
        <v>0</v>
      </c>
      <c r="L20" s="263">
        <f>'[1]חישובי מקורות א'!$BQ$6</f>
        <v>0</v>
      </c>
    </row>
    <row r="21" spans="1:12">
      <c r="A21" s="263" t="s">
        <v>576</v>
      </c>
      <c r="B21" s="263">
        <f>main!BW6</f>
        <v>0</v>
      </c>
      <c r="D21" s="263">
        <f>'[1]חישובי מקורות א'!$BP$6</f>
        <v>0</v>
      </c>
      <c r="F21" s="263">
        <f>'[1]חישובי מקורות א'!$BP$6</f>
        <v>0</v>
      </c>
      <c r="H21" s="263">
        <f>'[1]חישובי מקורות א'!$BP$6</f>
        <v>0</v>
      </c>
      <c r="J21" s="263">
        <f>'[1]חישובי מקורות א'!$BP$6</f>
        <v>0</v>
      </c>
      <c r="L21" s="263">
        <f>'[1]חישובי מקורות א'!$BP$6</f>
        <v>0</v>
      </c>
    </row>
    <row r="22" spans="1:12">
      <c r="A22" s="263" t="s">
        <v>577</v>
      </c>
      <c r="B22" s="263">
        <f>main!BV6</f>
        <v>0</v>
      </c>
      <c r="D22" s="263">
        <f>'[1]חישובי מקורות א'!$BO$6</f>
        <v>0</v>
      </c>
      <c r="F22" s="263">
        <f>'[1]חישובי מקורות א'!$BO$6</f>
        <v>0</v>
      </c>
      <c r="H22" s="263">
        <f>'[1]חישובי מקורות א'!$BO$6</f>
        <v>0</v>
      </c>
      <c r="J22" s="263">
        <f>'[1]חישובי מקורות א'!$BO$6</f>
        <v>0</v>
      </c>
      <c r="L22" s="263">
        <f>'[1]חישובי מקורות א'!$BO$6</f>
        <v>0</v>
      </c>
    </row>
    <row r="23" spans="1:12">
      <c r="A23" s="263" t="s">
        <v>578</v>
      </c>
      <c r="B23" s="263">
        <f>main!BU6</f>
        <v>0</v>
      </c>
      <c r="D23" s="263">
        <f>'[1]חישובי מקורות א'!$BN$6</f>
        <v>0</v>
      </c>
      <c r="F23" s="263">
        <f>'[1]חישובי מקורות א'!$BN$6</f>
        <v>0</v>
      </c>
      <c r="H23" s="263">
        <f>'[1]חישובי מקורות א'!$BN$6</f>
        <v>0</v>
      </c>
      <c r="J23" s="263">
        <f>'[1]חישובי מקורות א'!$BN$6</f>
        <v>0</v>
      </c>
      <c r="L23" s="263">
        <f>'[1]חישובי מקורות א'!$BN$6</f>
        <v>0</v>
      </c>
    </row>
    <row r="25" spans="1:12">
      <c r="A25" s="263" t="s">
        <v>579</v>
      </c>
      <c r="B25" s="263">
        <f>'[1]חישובי מקורות א'!$CE$6</f>
        <v>0</v>
      </c>
      <c r="D25" s="263">
        <f>'[1]חישובי מקורות א'!$CE$6</f>
        <v>0</v>
      </c>
      <c r="F25" s="263">
        <f>'[1]חישובי מקורות א'!$CE$6</f>
        <v>0</v>
      </c>
      <c r="H25" s="263">
        <f>'[1]חישובי מקורות א'!$CE$6</f>
        <v>0</v>
      </c>
      <c r="J25" s="263">
        <f>'[1]חישובי מקורות א'!$CE$6</f>
        <v>0</v>
      </c>
      <c r="L25" s="263">
        <f>'[1]חישובי מקורות א'!$CE$6</f>
        <v>0</v>
      </c>
    </row>
    <row r="26" spans="1:12">
      <c r="A26" s="263" t="s">
        <v>580</v>
      </c>
      <c r="B26" s="263">
        <f>'[1]חישובי מקורות א'!$CD$6</f>
        <v>0</v>
      </c>
      <c r="D26" s="263">
        <f>'[1]חישובי מקורות א'!$CD$6</f>
        <v>0</v>
      </c>
      <c r="F26" s="263">
        <f>'[1]חישובי מקורות א'!$CD$6</f>
        <v>0</v>
      </c>
      <c r="H26" s="263">
        <f>'[1]חישובי מקורות א'!$CD$6</f>
        <v>0</v>
      </c>
      <c r="J26" s="263">
        <f>'[1]חישובי מקורות א'!$CD$6</f>
        <v>0</v>
      </c>
      <c r="L26" s="263">
        <f>'[1]חישובי מקורות א'!$CD$6</f>
        <v>0</v>
      </c>
    </row>
    <row r="27" spans="1:12">
      <c r="A27" s="263" t="s">
        <v>581</v>
      </c>
      <c r="B27" s="263">
        <f>'[1]חישובי מקורות א'!$CC$6</f>
        <v>0</v>
      </c>
      <c r="D27" s="263">
        <f>'[1]חישובי מקורות א'!$CC$6</f>
        <v>0</v>
      </c>
      <c r="F27" s="263">
        <f>'[1]חישובי מקורות א'!$CC$6</f>
        <v>0</v>
      </c>
      <c r="H27" s="263">
        <f>'[1]חישובי מקורות א'!$CC$6</f>
        <v>0</v>
      </c>
      <c r="J27" s="263">
        <f>'[1]חישובי מקורות א'!$CC$6</f>
        <v>0</v>
      </c>
      <c r="L27" s="263">
        <f>'[1]חישובי מקורות א'!$CC$6</f>
        <v>0</v>
      </c>
    </row>
    <row r="28" spans="1:12">
      <c r="A28" s="263" t="s">
        <v>582</v>
      </c>
      <c r="B28" s="263">
        <f>'[1]חישובי מקורות א'!$CB$6</f>
        <v>0</v>
      </c>
      <c r="D28" s="263">
        <f>'[1]חישובי מקורות א'!$CB$6</f>
        <v>0</v>
      </c>
      <c r="F28" s="263">
        <f>'[1]חישובי מקורות א'!$CB$6</f>
        <v>0</v>
      </c>
      <c r="H28" s="263">
        <f>'[1]חישובי מקורות א'!$CB$6</f>
        <v>0</v>
      </c>
      <c r="J28" s="263">
        <f>'[1]חישובי מקורות א'!$CB$6</f>
        <v>0</v>
      </c>
      <c r="L28" s="263">
        <f>'[1]חישובי מקורות א'!$CB$6</f>
        <v>0</v>
      </c>
    </row>
    <row r="31" spans="1:12" s="267" customFormat="1" ht="44.25" customHeight="1">
      <c r="A31" s="262">
        <f>'[1]נתוני יסוד'!B1</f>
        <v>0</v>
      </c>
      <c r="B31" s="276" t="s">
        <v>599</v>
      </c>
      <c r="D31" s="277" t="s">
        <v>600</v>
      </c>
      <c r="F31" s="278" t="s">
        <v>601</v>
      </c>
      <c r="H31" s="279" t="s">
        <v>602</v>
      </c>
      <c r="J31" s="280" t="s">
        <v>603</v>
      </c>
      <c r="L31" s="281" t="s">
        <v>604</v>
      </c>
    </row>
    <row r="32" spans="1:12">
      <c r="A32" s="263" t="s">
        <v>272</v>
      </c>
      <c r="B32" s="263">
        <f>'[1]מקסימום פנסיה עם קצבה פטורה'!$B$11</f>
        <v>0</v>
      </c>
      <c r="D32" s="263">
        <f>'[1]מקסימום פנסיה עם קצבה פטורה'!$B$11</f>
        <v>0</v>
      </c>
      <c r="F32" s="263">
        <f>'[1]מקסימום פנסיה עם קצבה פטורה'!$B$11</f>
        <v>0</v>
      </c>
      <c r="H32" s="263">
        <f>'[1]מקסימום פנסיה עם קצבה פטורה'!$B$11</f>
        <v>0</v>
      </c>
      <c r="J32" s="263">
        <f>'[1]מקסימום פנסיה עם קצבה פטורה'!$B$11</f>
        <v>0</v>
      </c>
      <c r="L32" s="263">
        <f>'[1]מקסימום פנסיה עם קצבה פטורה'!$B$11</f>
        <v>0</v>
      </c>
    </row>
    <row r="33" spans="1:12">
      <c r="A33" s="263" t="s">
        <v>583</v>
      </c>
      <c r="B33" s="263">
        <f>B5-B7</f>
        <v>0</v>
      </c>
      <c r="D33" s="263">
        <v>0</v>
      </c>
      <c r="F33" s="263">
        <v>0</v>
      </c>
      <c r="H33" s="263">
        <v>0</v>
      </c>
      <c r="J33" s="263">
        <f>J5-J7</f>
        <v>0</v>
      </c>
      <c r="L33" s="263">
        <f>L5-L7</f>
        <v>0</v>
      </c>
    </row>
    <row r="34" spans="1:12">
      <c r="A34" s="263" t="s">
        <v>270</v>
      </c>
      <c r="B34" s="263">
        <f>'[1]מקסימום פנסיה עם קצבה פטורה'!B12</f>
        <v>0</v>
      </c>
      <c r="D34" s="263">
        <v>0</v>
      </c>
      <c r="F34" s="263">
        <v>0</v>
      </c>
      <c r="H34" s="263">
        <f>'[1]פיצויים פטורים וקצבה'!D32</f>
        <v>0</v>
      </c>
      <c r="J34" s="263">
        <v>0</v>
      </c>
      <c r="L34" s="263">
        <f>'[1]נתוני יסוד'!B35</f>
        <v>0</v>
      </c>
    </row>
    <row r="35" spans="1:12">
      <c r="A35" s="263" t="s">
        <v>584</v>
      </c>
      <c r="B35" s="263">
        <v>0</v>
      </c>
      <c r="D35" s="263">
        <f>'[1]מקסימום הון'!B8</f>
        <v>0</v>
      </c>
      <c r="F35" s="263">
        <f>'[1]פיצויים פטורים והוני'!D19</f>
        <v>0</v>
      </c>
      <c r="H35" s="263">
        <f>'[1]פיצויים פטורים וקצבה'!D31</f>
        <v>0</v>
      </c>
      <c r="J35" s="263">
        <v>0</v>
      </c>
      <c r="L35" s="263">
        <v>0</v>
      </c>
    </row>
    <row r="36" spans="1:12">
      <c r="A36" s="263" t="s">
        <v>585</v>
      </c>
      <c r="B36" s="263">
        <f>B33</f>
        <v>0</v>
      </c>
      <c r="D36" s="263">
        <f>D32-D35</f>
        <v>0</v>
      </c>
      <c r="F36" s="263">
        <f>'[1]פיצויים פטורים והוני'!D33</f>
        <v>0</v>
      </c>
      <c r="H36" s="263">
        <f>H32-H34-H35</f>
        <v>0</v>
      </c>
      <c r="J36" s="263">
        <f>J32</f>
        <v>0</v>
      </c>
      <c r="L36" s="263">
        <f>L32-L34</f>
        <v>0</v>
      </c>
    </row>
    <row r="37" spans="1:12">
      <c r="A37" s="263" t="s">
        <v>586</v>
      </c>
      <c r="B37" s="263" t="e">
        <f>'[1]מקסימום פנסיה עם קצבה פטורה'!B30</f>
        <v>#DIV/0!</v>
      </c>
      <c r="D37" s="263" t="e">
        <f>'[1]מקסימום הון'!B30</f>
        <v>#DIV/0!</v>
      </c>
      <c r="F37" s="263" t="e">
        <f>'[1]פיצויים פטורים והוני'!D34</f>
        <v>#DIV/0!</v>
      </c>
      <c r="H37" s="263" t="e">
        <f>'[1]פיצויים פטורים וקצבה'!D34</f>
        <v>#DIV/0!</v>
      </c>
      <c r="J37" s="263" t="e">
        <f>'[1]קצבה פטורה והוני'!D34</f>
        <v>#DIV/0!</v>
      </c>
      <c r="L37" s="263" t="e">
        <f>'[1]קצבה פטורה וקצבה'!D34</f>
        <v>#DIV/0!</v>
      </c>
    </row>
    <row r="38" spans="1:12">
      <c r="A38" s="264" t="s">
        <v>587</v>
      </c>
      <c r="B38" s="263" t="e">
        <f>'[1]מקסימום פנסיה עם קצבה פטורה'!B31</f>
        <v>#DIV/0!</v>
      </c>
      <c r="D38" s="263" t="e">
        <f>D36-D37</f>
        <v>#DIV/0!</v>
      </c>
      <c r="F38" s="263" t="e">
        <f>'[1]פיצויים פטורים והוני'!F33</f>
        <v>#DIV/0!</v>
      </c>
      <c r="H38" s="263" t="e">
        <f>'[1]פיצויים פטורים וקצבה'!F33</f>
        <v>#DIV/0!</v>
      </c>
      <c r="J38" s="263" t="e">
        <f>'[1]קצבה פטורה והוני'!D35</f>
        <v>#DIV/0!</v>
      </c>
      <c r="L38" s="263" t="e">
        <f>'[1]קצבה פטורה וקצבה'!D35</f>
        <v>#DIV/0!</v>
      </c>
    </row>
    <row r="39" spans="1:12">
      <c r="A39" s="265" t="s">
        <v>588</v>
      </c>
      <c r="B39" s="282" t="e">
        <f>B38</f>
        <v>#DIV/0!</v>
      </c>
      <c r="C39" s="265"/>
      <c r="D39" s="283" t="e">
        <f>D32-D37</f>
        <v>#DIV/0!</v>
      </c>
      <c r="E39" s="265"/>
      <c r="F39" s="284" t="e">
        <f>'[1]פיצויים פטורים והוני'!D35</f>
        <v>#DIV/0!</v>
      </c>
      <c r="G39" s="265"/>
      <c r="H39" s="285" t="e">
        <f>H32-H37-H34</f>
        <v>#DIV/0!</v>
      </c>
      <c r="I39" s="265"/>
      <c r="J39" s="266" t="e">
        <f>'[1]קצבה פטורה והוני'!E35</f>
        <v>#DIV/0!</v>
      </c>
      <c r="K39" s="265"/>
      <c r="L39" s="286" t="e">
        <f>'[1]קצבה פטורה וקצבה'!E35</f>
        <v>#DIV/0!</v>
      </c>
    </row>
    <row r="41" spans="1:12">
      <c r="A41" s="291" t="s">
        <v>589</v>
      </c>
      <c r="B41" s="263">
        <f>'[1]נתוני יסוד'!B26</f>
        <v>0</v>
      </c>
      <c r="D41" s="263">
        <f>'[1]נתוני יסוד'!B26</f>
        <v>0</v>
      </c>
      <c r="F41" s="263">
        <f>'[1]נתוני יסוד'!B26</f>
        <v>0</v>
      </c>
      <c r="H41" s="263">
        <f>'[1]נתוני יסוד'!B26</f>
        <v>0</v>
      </c>
      <c r="J41" s="263">
        <f>'[1]נתוני יסוד'!B26</f>
        <v>0</v>
      </c>
      <c r="L41" s="263">
        <f>'[1]נתוני יסוד'!B26</f>
        <v>0</v>
      </c>
    </row>
    <row r="42" spans="1:12">
      <c r="A42" s="292" t="s">
        <v>450</v>
      </c>
      <c r="B42" s="263">
        <f>'[1]מקסימום פנסיה עם קצבה פטורה'!B3</f>
        <v>0</v>
      </c>
      <c r="D42" s="263">
        <v>0</v>
      </c>
      <c r="F42" s="263">
        <f>'[1]פיצויים פטורים והוני'!K2</f>
        <v>0</v>
      </c>
      <c r="H42" s="263">
        <f>'[1]נתוני יסוד'!B27</f>
        <v>0</v>
      </c>
      <c r="J42" s="263">
        <f>'[1]נתוני יסוד'!B27</f>
        <v>0</v>
      </c>
      <c r="L42" s="263">
        <f>'[1]נתוני יסוד'!B27</f>
        <v>0</v>
      </c>
    </row>
    <row r="43" spans="1:12">
      <c r="A43" s="293" t="s">
        <v>590</v>
      </c>
      <c r="B43" s="263">
        <f>'[1]מקסימום פנסיה עם קצבה פטורה'!B4</f>
        <v>0</v>
      </c>
      <c r="D43" s="263">
        <v>0</v>
      </c>
      <c r="F43" s="263">
        <v>0</v>
      </c>
      <c r="H43" s="263">
        <v>0</v>
      </c>
      <c r="J43" s="263">
        <v>0</v>
      </c>
      <c r="L43" s="263">
        <v>0</v>
      </c>
    </row>
    <row r="44" spans="1:12">
      <c r="A44" s="292" t="s">
        <v>453</v>
      </c>
      <c r="B44" s="263">
        <f>'[1]מקסימום פנסיה עם קצבה פטורה'!B5</f>
        <v>0</v>
      </c>
      <c r="D44" s="263">
        <f>'[1]מקסימום הון'!B3</f>
        <v>0</v>
      </c>
      <c r="F44" s="263">
        <f>'[1]פיצויים פטורים והוני'!K3</f>
        <v>0</v>
      </c>
      <c r="H44" s="263">
        <f>'[1]נתוני יסוד'!B28</f>
        <v>0</v>
      </c>
      <c r="J44" s="263">
        <f>'[1]נתוני יסוד'!B28</f>
        <v>0</v>
      </c>
      <c r="L44" s="263">
        <f>'[1]נתוני יסוד'!B28</f>
        <v>0</v>
      </c>
    </row>
    <row r="45" spans="1:12">
      <c r="A45" s="292" t="s">
        <v>455</v>
      </c>
      <c r="B45" s="263">
        <f>'[1]מקסימום פנסיה עם קצבה פטורה'!B7</f>
        <v>0</v>
      </c>
      <c r="D45" s="263">
        <f>'[1]מקסימום הון'!B4</f>
        <v>0</v>
      </c>
      <c r="F45" s="263">
        <f>'[1]פיצויים פטורים והוני'!K4</f>
        <v>0</v>
      </c>
      <c r="H45" s="263">
        <f>'[1]נתוני יסוד'!B29</f>
        <v>0</v>
      </c>
      <c r="J45" s="263">
        <f>'[1]נתוני יסוד'!B29</f>
        <v>0</v>
      </c>
      <c r="L45" s="263">
        <f>'[1]נתוני יסוד'!B29</f>
        <v>0</v>
      </c>
    </row>
    <row r="46" spans="1:12">
      <c r="A46" s="292" t="s">
        <v>591</v>
      </c>
      <c r="B46" s="263">
        <f>'[1]מקסימום פנסיה עם קצבה פטורה'!B8</f>
        <v>0</v>
      </c>
      <c r="D46" s="263">
        <f>'[1]מקסימום הון'!B5</f>
        <v>0</v>
      </c>
      <c r="F46" s="263">
        <f>'[1]פיצויים פטורים והוני'!K5</f>
        <v>0</v>
      </c>
      <c r="H46" s="263">
        <f>'[1]נתוני יסוד'!B30</f>
        <v>0</v>
      </c>
      <c r="J46" s="263">
        <f>'[1]נתוני יסוד'!B30</f>
        <v>0</v>
      </c>
      <c r="L46" s="263">
        <f>'[1]נתוני יסוד'!B30</f>
        <v>0</v>
      </c>
    </row>
    <row r="47" spans="1:12">
      <c r="A47" s="292" t="s">
        <v>592</v>
      </c>
      <c r="B47" s="263">
        <f>'[1]מקסימום פנסיה עם קצבה פטורה'!B6</f>
        <v>0</v>
      </c>
      <c r="D47" s="263">
        <v>0</v>
      </c>
      <c r="F47" s="263">
        <v>0</v>
      </c>
      <c r="H47" s="263">
        <f>'[1]פיצויים פטורים וקצבה'!L4</f>
        <v>0</v>
      </c>
      <c r="J47" s="263">
        <v>0</v>
      </c>
      <c r="L47" s="263">
        <f>'[1]נתוני יסוד'!B36</f>
        <v>0</v>
      </c>
    </row>
    <row r="48" spans="1:12">
      <c r="A48" s="294" t="s">
        <v>593</v>
      </c>
      <c r="B48" s="263">
        <f>SUM(B41:B47)</f>
        <v>0</v>
      </c>
      <c r="D48" s="263">
        <f>'[1]מקסימום הון'!E4</f>
        <v>0</v>
      </c>
      <c r="F48" s="263">
        <f>SUM(F41:F46)</f>
        <v>0</v>
      </c>
      <c r="H48" s="263">
        <f>H41+H42+H44+H46+H47</f>
        <v>0</v>
      </c>
      <c r="J48" s="263">
        <f>J41+J42+J43+J44+J45+J46</f>
        <v>0</v>
      </c>
      <c r="L48" s="263">
        <f>L41+L42+L43+L44+L45+L46+L47</f>
        <v>0</v>
      </c>
    </row>
    <row r="49" spans="1:12">
      <c r="A49" s="294" t="s">
        <v>594</v>
      </c>
      <c r="B49" s="282">
        <f>'[1]מקסימום פנסיה עם קצבה פטורה'!J8</f>
        <v>0</v>
      </c>
      <c r="D49" s="283">
        <f>'[1]מקסימום הון'!J10</f>
        <v>0</v>
      </c>
      <c r="F49" s="284">
        <f>'[1]פיצויים פטורים והוני'!O44</f>
        <v>0</v>
      </c>
      <c r="H49" s="285">
        <f>'[1]פיצויים פטורים וקצבה'!N51</f>
        <v>0</v>
      </c>
      <c r="J49" s="266">
        <f>'[1]קצבה פטורה והוני'!N57</f>
        <v>0</v>
      </c>
      <c r="L49" s="286">
        <f>'[1]קצבה פטורה וקצבה'!N51</f>
        <v>0</v>
      </c>
    </row>
    <row r="51" spans="1:12">
      <c r="A51" s="263" t="s">
        <v>595</v>
      </c>
      <c r="B51" s="263">
        <f>'[1]מקסימום פנסיה עם קצבה פטורה'!J4</f>
        <v>0</v>
      </c>
    </row>
    <row r="52" spans="1:12">
      <c r="A52" s="263" t="s">
        <v>596</v>
      </c>
      <c r="D52" s="263">
        <f>'[1]מקסימום הון'!J4+'[1]מקסימום הון'!J6</f>
        <v>0</v>
      </c>
    </row>
    <row r="53" spans="1:12" ht="46.5">
      <c r="A53" s="267" t="str">
        <f>'[1]נתוני יסוד'!A38</f>
        <v>כספים ממקורות הפטורים במשיכה ח"פ בפרישה</v>
      </c>
      <c r="F53" s="263">
        <f>'[1]נתוני יסוד'!B38</f>
        <v>0</v>
      </c>
      <c r="H53" s="263">
        <f>'[1]נתוני יסוד'!B38</f>
        <v>0</v>
      </c>
      <c r="J53" s="263">
        <f>'[1]נתוני יסוד'!B38</f>
        <v>0</v>
      </c>
      <c r="L53" s="263">
        <f>'[1]נתוני יסוד'!B38</f>
        <v>0</v>
      </c>
    </row>
    <row r="56" spans="1:12">
      <c r="A56" s="263" t="s">
        <v>597</v>
      </c>
      <c r="B56" s="282" t="e">
        <f>B51+B39</f>
        <v>#DIV/0!</v>
      </c>
      <c r="D56" s="283" t="e">
        <f>'[1]מקסימום הון'!J7</f>
        <v>#DIV/0!</v>
      </c>
      <c r="F56" s="284" t="e">
        <f>F39+F53</f>
        <v>#DIV/0!</v>
      </c>
      <c r="H56" s="285" t="e">
        <f>H53+H39</f>
        <v>#DIV/0!</v>
      </c>
      <c r="J56" s="266" t="e">
        <f>J53+J39</f>
        <v>#DIV/0!</v>
      </c>
      <c r="L56" s="286" t="e">
        <f>L53+L39</f>
        <v>#DIV/0!</v>
      </c>
    </row>
    <row r="58" spans="1:12" s="267" customFormat="1" ht="46.5">
      <c r="B58" s="276" t="s">
        <v>599</v>
      </c>
      <c r="D58" s="277" t="s">
        <v>600</v>
      </c>
      <c r="F58" s="278" t="s">
        <v>601</v>
      </c>
      <c r="H58" s="279" t="s">
        <v>602</v>
      </c>
      <c r="J58" s="280" t="s">
        <v>603</v>
      </c>
      <c r="L58" s="281" t="s">
        <v>604</v>
      </c>
    </row>
    <row r="61" spans="1:12">
      <c r="B61" s="263" t="s">
        <v>605</v>
      </c>
      <c r="C61" s="263">
        <f>'[1]נתוני יסוד'!B23</f>
        <v>2.5</v>
      </c>
      <c r="D61" s="263" t="s">
        <v>163</v>
      </c>
      <c r="E61" s="263">
        <f>'[1]נתוני יסוד'!B5</f>
        <v>125.59842915811087</v>
      </c>
      <c r="F61" s="263" t="s">
        <v>606</v>
      </c>
      <c r="G61" s="263">
        <f>'[1]נתוני יסוד'!B22</f>
        <v>90</v>
      </c>
    </row>
  </sheetData>
  <mergeCells count="1">
    <mergeCell ref="D2:L2"/>
  </mergeCells>
  <pageMargins left="0.75" right="0.75" top="1" bottom="1" header="0.5" footer="0.5"/>
  <pageSetup paperSize="9" scale="45" orientation="landscape" r:id="rId1"/>
  <headerFooter alignWithMargins="0"/>
  <rowBreaks count="1" manualBreakCount="1">
    <brk id="2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Worksheet______25">
    <tabColor indexed="13"/>
  </sheetPr>
  <dimension ref="A1:I103"/>
  <sheetViews>
    <sheetView rightToLeft="1" workbookViewId="0">
      <selection activeCell="B61" sqref="B61"/>
    </sheetView>
  </sheetViews>
  <sheetFormatPr defaultRowHeight="12.75"/>
  <cols>
    <col min="1" max="1" width="16" style="328" customWidth="1"/>
    <col min="2" max="2" width="18.140625" style="328" customWidth="1"/>
    <col min="3" max="4" width="16.5703125" style="328" customWidth="1"/>
    <col min="5" max="5" width="17.5703125" style="328" customWidth="1"/>
    <col min="6" max="6" width="16.85546875" style="328" customWidth="1"/>
    <col min="7" max="12" width="19.85546875" style="328" customWidth="1"/>
    <col min="13" max="16384" width="9.140625" style="328"/>
  </cols>
  <sheetData>
    <row r="1" spans="1:9">
      <c r="A1" s="609" t="s">
        <v>436</v>
      </c>
      <c r="B1" s="609">
        <f>'נתוני יסוד'!$B$22</f>
        <v>90</v>
      </c>
      <c r="C1" s="609" t="s">
        <v>163</v>
      </c>
      <c r="D1" s="609"/>
      <c r="E1" s="609">
        <f>'[1]נתוני יסוד'!$B$5</f>
        <v>125.59842915811087</v>
      </c>
      <c r="F1" s="609" t="s">
        <v>234</v>
      </c>
      <c r="G1" s="609">
        <f>'[1]נתוני יסוד'!B23</f>
        <v>2.5</v>
      </c>
    </row>
    <row r="2" spans="1:9">
      <c r="C2" s="1053" t="s">
        <v>789</v>
      </c>
      <c r="D2" s="1053"/>
      <c r="E2" s="1053"/>
    </row>
    <row r="4" spans="1:9" ht="24" customHeight="1">
      <c r="A4" s="610"/>
      <c r="B4" s="611" t="s">
        <v>790</v>
      </c>
      <c r="C4" s="610" t="s">
        <v>633</v>
      </c>
      <c r="D4" s="610" t="s">
        <v>791</v>
      </c>
      <c r="E4" s="610" t="s">
        <v>792</v>
      </c>
      <c r="F4" s="610" t="s">
        <v>793</v>
      </c>
      <c r="G4" s="610" t="s">
        <v>794</v>
      </c>
    </row>
    <row r="5" spans="1:9" ht="24" customHeight="1">
      <c r="A5" s="906" t="s">
        <v>599</v>
      </c>
      <c r="B5" s="907">
        <f>'סיכומי מקורות'!$B$51</f>
        <v>0</v>
      </c>
      <c r="C5" s="908" t="e">
        <f>'סיכומי מקורות'!$B$39</f>
        <v>#DIV/0!</v>
      </c>
      <c r="D5" s="908" t="e">
        <f t="shared" ref="D5:D10" si="0">C5+B5</f>
        <v>#DIV/0!</v>
      </c>
      <c r="E5" s="908">
        <f>'מקסימום פנסיה עם קצבה פטורה'!$J$8</f>
        <v>0</v>
      </c>
      <c r="F5" s="908">
        <f>PV(G1/100/12,(B1-E1)*12,E5,0,1)*(-1)</f>
        <v>0</v>
      </c>
      <c r="G5" s="908" t="e">
        <f t="shared" ref="G5:G10" si="1">C5+F5+B5</f>
        <v>#DIV/0!</v>
      </c>
      <c r="I5" s="904" t="s">
        <v>1011</v>
      </c>
    </row>
    <row r="6" spans="1:9" ht="24" customHeight="1">
      <c r="A6" s="615" t="s">
        <v>600</v>
      </c>
      <c r="B6" s="616">
        <f>'[1]סיכומי מקורות'!$D$52</f>
        <v>0</v>
      </c>
      <c r="C6" s="617" t="e">
        <f>'סיכומי מקורות'!$D$39</f>
        <v>#DIV/0!</v>
      </c>
      <c r="D6" s="617" t="e">
        <f t="shared" si="0"/>
        <v>#DIV/0!</v>
      </c>
      <c r="E6" s="617">
        <f>'סיכומי מקורות'!$D$49</f>
        <v>0</v>
      </c>
      <c r="F6" s="617">
        <f>PV(G1/100/12,(B1-E1)*12,E6,0,1)*(-1)</f>
        <v>0</v>
      </c>
      <c r="G6" s="617" t="e">
        <f t="shared" si="1"/>
        <v>#DIV/0!</v>
      </c>
      <c r="I6" s="904" t="s">
        <v>604</v>
      </c>
    </row>
    <row r="7" spans="1:9" ht="24" customHeight="1">
      <c r="A7" s="909" t="s">
        <v>601</v>
      </c>
      <c r="B7" s="910">
        <f>'נתוני יסוד'!$B$38</f>
        <v>0</v>
      </c>
      <c r="C7" s="910" t="e">
        <f>'סיכומי מקורות'!$F$39</f>
        <v>#DIV/0!</v>
      </c>
      <c r="D7" s="910" t="e">
        <f t="shared" si="0"/>
        <v>#DIV/0!</v>
      </c>
      <c r="E7" s="910">
        <f>'פיצויים פטורים והוני'!$O$44</f>
        <v>0</v>
      </c>
      <c r="F7" s="910">
        <f>PV(G1/100/12,(B1-E1)*12,E7,0,1)*(-1)</f>
        <v>0</v>
      </c>
      <c r="G7" s="910" t="e">
        <f t="shared" si="1"/>
        <v>#DIV/0!</v>
      </c>
    </row>
    <row r="8" spans="1:9" ht="24" customHeight="1">
      <c r="A8" s="911" t="s">
        <v>602</v>
      </c>
      <c r="B8" s="912">
        <f>'נתוני יסוד'!$B$38</f>
        <v>0</v>
      </c>
      <c r="C8" s="912" t="e">
        <f>'פיצויים פטורים וקצבה'!$D$35</f>
        <v>#DIV/0!</v>
      </c>
      <c r="D8" s="912" t="e">
        <f t="shared" si="0"/>
        <v>#DIV/0!</v>
      </c>
      <c r="E8" s="912">
        <f>'פיצויים פטורים וקצבה'!$N$51</f>
        <v>0</v>
      </c>
      <c r="F8" s="912">
        <f>PV($G$1/100/12,($B$1-$E$1)*12,E8,,1)*(-1)</f>
        <v>0</v>
      </c>
      <c r="G8" s="912" t="e">
        <f t="shared" si="1"/>
        <v>#DIV/0!</v>
      </c>
    </row>
    <row r="9" spans="1:9" ht="24" customHeight="1">
      <c r="A9" s="913" t="s">
        <v>603</v>
      </c>
      <c r="B9" s="914">
        <f>'נתוני יסוד'!$B$38</f>
        <v>0</v>
      </c>
      <c r="C9" s="914" t="e">
        <f>'קצבה פטורה והוני'!$D$35</f>
        <v>#DIV/0!</v>
      </c>
      <c r="D9" s="914" t="e">
        <f t="shared" si="0"/>
        <v>#DIV/0!</v>
      </c>
      <c r="E9" s="914">
        <f>'קצבה פטורה והוני'!$N$57</f>
        <v>0</v>
      </c>
      <c r="F9" s="914">
        <f>PV($G$1/100/12,($B$1-$E$1)*12,E9,,1)*(-1)</f>
        <v>0</v>
      </c>
      <c r="G9" s="914" t="e">
        <f t="shared" si="1"/>
        <v>#DIV/0!</v>
      </c>
    </row>
    <row r="10" spans="1:9" ht="24" customHeight="1">
      <c r="A10" s="917" t="s">
        <v>604</v>
      </c>
      <c r="B10" s="918">
        <f>'נתוני יסוד'!$B$38</f>
        <v>0</v>
      </c>
      <c r="C10" s="918" t="e">
        <f>'[2]קצבה פטורה וקצבה'!$D$35</f>
        <v>#REF!</v>
      </c>
      <c r="D10" s="918" t="e">
        <f t="shared" si="0"/>
        <v>#REF!</v>
      </c>
      <c r="E10" s="918" t="e">
        <f>'[2]קצבה פטורה וקצבה'!$N$51</f>
        <v>#REF!</v>
      </c>
      <c r="F10" s="918" t="e">
        <f>PV($G$1/100/12,($B$1-$E$1)*12,E10,,1)*(-1)</f>
        <v>#REF!</v>
      </c>
      <c r="G10" s="918" t="e">
        <f t="shared" si="1"/>
        <v>#REF!</v>
      </c>
    </row>
    <row r="11" spans="1:9">
      <c r="A11" s="610"/>
      <c r="B11" s="610"/>
      <c r="C11" s="610"/>
      <c r="D11" s="610"/>
      <c r="E11" s="610"/>
      <c r="F11" s="610"/>
      <c r="G11" s="610"/>
    </row>
    <row r="12" spans="1:9">
      <c r="A12" s="610"/>
      <c r="B12" s="610"/>
      <c r="C12" s="610"/>
      <c r="D12" s="610"/>
      <c r="E12" s="610"/>
      <c r="F12" s="610"/>
      <c r="G12" s="610"/>
    </row>
    <row r="25" spans="9:9">
      <c r="I25" s="622"/>
    </row>
    <row r="41" spans="2:7" ht="21.75" customHeight="1">
      <c r="D41" s="623" t="s">
        <v>795</v>
      </c>
      <c r="E41" s="624" t="e">
        <f>IF(F41=G5,A5,IF(F41=G6,A6,IF(F41=G7,A7,IF(F41=G8,A8,IF(F41=G9,A9,IF(F41=G10,A10,Problem))))))</f>
        <v>#DIV/0!</v>
      </c>
      <c r="F41" s="625" t="e">
        <f>MAXA(G5:G10)</f>
        <v>#DIV/0!</v>
      </c>
    </row>
    <row r="43" spans="2:7">
      <c r="B43" s="621" t="s">
        <v>604</v>
      </c>
      <c r="C43" s="620" t="s">
        <v>603</v>
      </c>
      <c r="D43" s="619" t="s">
        <v>602</v>
      </c>
      <c r="E43" s="618" t="s">
        <v>601</v>
      </c>
      <c r="F43" s="626" t="s">
        <v>600</v>
      </c>
      <c r="G43" s="627" t="s">
        <v>796</v>
      </c>
    </row>
    <row r="45" spans="2:7">
      <c r="C45" s="1054" t="str">
        <f>'נתוני יסוד'!B1</f>
        <v xml:space="preserve"> </v>
      </c>
      <c r="D45" s="1054"/>
      <c r="E45" s="1054"/>
      <c r="F45" s="1054"/>
    </row>
    <row r="46" spans="2:7">
      <c r="C46" s="1054"/>
      <c r="D46" s="1054"/>
      <c r="E46" s="1054"/>
      <c r="F46" s="1054"/>
    </row>
    <row r="47" spans="2:7">
      <c r="C47" s="1054"/>
      <c r="D47" s="1054"/>
      <c r="E47" s="1054"/>
      <c r="F47" s="1054"/>
    </row>
    <row r="48" spans="2:7" ht="13.5" thickBot="1"/>
    <row r="49" spans="1:8" ht="14.25" thickTop="1" thickBot="1">
      <c r="A49" s="628"/>
      <c r="B49" s="628"/>
      <c r="C49" s="628"/>
      <c r="D49" s="628"/>
      <c r="E49" s="628"/>
      <c r="F49" s="628"/>
      <c r="G49" s="628"/>
      <c r="H49" s="628"/>
    </row>
    <row r="50" spans="1:8" ht="13.5" thickTop="1"/>
    <row r="51" spans="1:8">
      <c r="C51" s="1055" t="s">
        <v>797</v>
      </c>
      <c r="D51" s="1056"/>
      <c r="E51" s="1056"/>
    </row>
    <row r="52" spans="1:8">
      <c r="C52" s="1056"/>
      <c r="D52" s="1056"/>
      <c r="E52" s="1056"/>
    </row>
    <row r="54" spans="1:8">
      <c r="A54" s="609" t="s">
        <v>436</v>
      </c>
      <c r="B54" s="629">
        <v>90</v>
      </c>
      <c r="C54" s="609" t="s">
        <v>163</v>
      </c>
      <c r="D54" s="609"/>
      <c r="E54" s="629">
        <v>68</v>
      </c>
      <c r="F54" s="609" t="s">
        <v>234</v>
      </c>
      <c r="G54" s="630">
        <v>3</v>
      </c>
    </row>
    <row r="55" spans="1:8">
      <c r="E55" s="328" t="s">
        <v>798</v>
      </c>
    </row>
    <row r="57" spans="1:8" ht="25.5">
      <c r="A57" s="610"/>
      <c r="B57" s="611" t="s">
        <v>790</v>
      </c>
      <c r="C57" s="610" t="s">
        <v>633</v>
      </c>
      <c r="D57" s="610" t="s">
        <v>791</v>
      </c>
      <c r="E57" s="610" t="s">
        <v>792</v>
      </c>
      <c r="F57" s="610" t="s">
        <v>793</v>
      </c>
      <c r="G57" s="610" t="s">
        <v>794</v>
      </c>
    </row>
    <row r="58" spans="1:8">
      <c r="A58" s="917" t="s">
        <v>599</v>
      </c>
      <c r="B58" s="919">
        <f>'סיכומי מקורות'!$B$51</f>
        <v>0</v>
      </c>
      <c r="C58" s="918" t="e">
        <f>'סיכומי מקורות'!$B$39</f>
        <v>#DIV/0!</v>
      </c>
      <c r="D58" s="918" t="e">
        <f t="shared" ref="D58:D63" si="2">C58+B58</f>
        <v>#DIV/0!</v>
      </c>
      <c r="E58" s="918">
        <f>'מקסימום פנסיה עם קצבה פטורה'!$J$8</f>
        <v>0</v>
      </c>
      <c r="F58" s="918">
        <f>PV(G54/100/12,(B54-E54)*12,E58,0,1)*(-1)</f>
        <v>0</v>
      </c>
      <c r="G58" s="918" t="e">
        <f t="shared" ref="G58:G63" si="3">C58+F58+B58</f>
        <v>#DIV/0!</v>
      </c>
    </row>
    <row r="59" spans="1:8">
      <c r="A59" s="615" t="s">
        <v>600</v>
      </c>
      <c r="B59" s="616">
        <f>'סיכומי מקורות'!$D$52</f>
        <v>0</v>
      </c>
      <c r="C59" s="617" t="e">
        <f>'סיכומי מקורות'!$D$39</f>
        <v>#DIV/0!</v>
      </c>
      <c r="D59" s="617" t="e">
        <f t="shared" si="2"/>
        <v>#DIV/0!</v>
      </c>
      <c r="E59" s="617">
        <f>'סיכומי מקורות'!$D$49</f>
        <v>0</v>
      </c>
      <c r="F59" s="617">
        <f>PV(G54/100/12,(B54-E54)*12,E59,0,1)*(-1)</f>
        <v>0</v>
      </c>
      <c r="G59" s="617" t="e">
        <f t="shared" si="3"/>
        <v>#DIV/0!</v>
      </c>
    </row>
    <row r="60" spans="1:8">
      <c r="A60" s="909" t="s">
        <v>601</v>
      </c>
      <c r="B60" s="910">
        <f>'נתוני יסוד'!$B$38</f>
        <v>0</v>
      </c>
      <c r="C60" s="910" t="e">
        <f>'סיכומי מקורות'!$F$39</f>
        <v>#DIV/0!</v>
      </c>
      <c r="D60" s="910" t="e">
        <f t="shared" si="2"/>
        <v>#DIV/0!</v>
      </c>
      <c r="E60" s="910">
        <f>'פיצויים פטורים והוני'!$O$44</f>
        <v>0</v>
      </c>
      <c r="F60" s="910">
        <f>PV(G54/100/12,(B54-E54)*12,E60,0,1)*(-1)</f>
        <v>0</v>
      </c>
      <c r="G60" s="910" t="e">
        <f t="shared" si="3"/>
        <v>#DIV/0!</v>
      </c>
    </row>
    <row r="61" spans="1:8">
      <c r="A61" s="920" t="s">
        <v>602</v>
      </c>
      <c r="B61" s="921">
        <f>'נתוני יסוד'!$B$38</f>
        <v>0</v>
      </c>
      <c r="C61" s="921" t="e">
        <f>'פיצויים פטורים וקצבה'!$D$35</f>
        <v>#DIV/0!</v>
      </c>
      <c r="D61" s="921" t="e">
        <f t="shared" si="2"/>
        <v>#DIV/0!</v>
      </c>
      <c r="E61" s="921">
        <f>'פיצויים פטורים וקצבה'!$N$51</f>
        <v>0</v>
      </c>
      <c r="F61" s="921">
        <f>PV(G54/100/12,(B54-E54)*12,E61,,1)*(-1)</f>
        <v>0</v>
      </c>
      <c r="G61" s="921" t="e">
        <f t="shared" si="3"/>
        <v>#DIV/0!</v>
      </c>
    </row>
    <row r="62" spans="1:8">
      <c r="A62" s="922" t="s">
        <v>603</v>
      </c>
      <c r="B62" s="923">
        <f>'נתוני יסוד'!$B$38</f>
        <v>0</v>
      </c>
      <c r="C62" s="923" t="e">
        <f>'קצבה פטורה והוני'!$D$35</f>
        <v>#DIV/0!</v>
      </c>
      <c r="D62" s="923" t="e">
        <f t="shared" si="2"/>
        <v>#DIV/0!</v>
      </c>
      <c r="E62" s="923">
        <f>'קצבה פטורה והוני'!$N$57</f>
        <v>0</v>
      </c>
      <c r="F62" s="923">
        <f>PV(G54/100/12,(B54-E54)*12,E62,,1)*(-1)</f>
        <v>0</v>
      </c>
      <c r="G62" s="923" t="e">
        <f t="shared" si="3"/>
        <v>#DIV/0!</v>
      </c>
    </row>
    <row r="63" spans="1:8">
      <c r="A63" s="915" t="s">
        <v>604</v>
      </c>
      <c r="B63" s="916">
        <f>'נתוני יסוד'!$B$38</f>
        <v>0</v>
      </c>
      <c r="C63" s="916" t="e">
        <f>'[2]קצבה פטורה וקצבה'!$D$35</f>
        <v>#REF!</v>
      </c>
      <c r="D63" s="916" t="e">
        <f t="shared" si="2"/>
        <v>#REF!</v>
      </c>
      <c r="E63" s="916" t="e">
        <f>'[2]קצבה פטורה וקצבה'!$N$51</f>
        <v>#REF!</v>
      </c>
      <c r="F63" s="916" t="e">
        <f>PV(G54/100/12,(B54-E54)*12,E63,,1)*(-1)</f>
        <v>#REF!</v>
      </c>
      <c r="G63" s="916" t="e">
        <f t="shared" si="3"/>
        <v>#REF!</v>
      </c>
    </row>
    <row r="64" spans="1:8">
      <c r="A64" s="610"/>
      <c r="B64" s="610"/>
      <c r="C64" s="610"/>
      <c r="D64" s="610"/>
      <c r="E64" s="610"/>
      <c r="F64" s="610"/>
      <c r="G64" s="610"/>
    </row>
    <row r="65" spans="1:7">
      <c r="A65" s="610"/>
      <c r="B65" s="610"/>
      <c r="C65" s="610"/>
      <c r="D65" s="610"/>
      <c r="E65" s="610"/>
      <c r="F65" s="610"/>
      <c r="G65" s="610"/>
    </row>
    <row r="94" spans="2:7">
      <c r="B94" s="621" t="s">
        <v>604</v>
      </c>
      <c r="C94" s="620" t="s">
        <v>603</v>
      </c>
      <c r="D94" s="619" t="s">
        <v>602</v>
      </c>
      <c r="E94" s="618" t="s">
        <v>601</v>
      </c>
      <c r="F94" s="626" t="s">
        <v>600</v>
      </c>
      <c r="G94" s="627" t="s">
        <v>796</v>
      </c>
    </row>
    <row r="98" spans="1:7">
      <c r="C98" s="1054" t="str">
        <f>'נתוני יסוד'!B1</f>
        <v xml:space="preserve"> </v>
      </c>
      <c r="D98" s="1054"/>
      <c r="E98" s="1054"/>
      <c r="F98" s="1054"/>
    </row>
    <row r="99" spans="1:7">
      <c r="C99" s="1054"/>
      <c r="D99" s="1054"/>
      <c r="E99" s="1054"/>
      <c r="F99" s="1054"/>
    </row>
    <row r="100" spans="1:7">
      <c r="C100" s="1054"/>
      <c r="D100" s="1054"/>
      <c r="E100" s="1054"/>
      <c r="F100" s="1054"/>
    </row>
    <row r="102" spans="1:7" ht="27" customHeight="1" thickBot="1">
      <c r="A102" s="1057" t="s">
        <v>799</v>
      </c>
      <c r="B102" s="1058"/>
      <c r="C102" s="1059" t="e">
        <f>IF(F102=G58,A58,IF(F102=G59,A59,IF(F102=G60,A60,IF(F102=G61,A61,IF(F102=G62,A62,IF(F102=G63,A63,Problem))))))</f>
        <v>#DIV/0!</v>
      </c>
      <c r="D102" s="1059"/>
      <c r="E102" s="631" t="s">
        <v>800</v>
      </c>
      <c r="F102" s="1060" t="e">
        <f>MAXA(G58:G63)</f>
        <v>#DIV/0!</v>
      </c>
      <c r="G102" s="1061"/>
    </row>
    <row r="103" spans="1:7" ht="13.5" thickTop="1"/>
  </sheetData>
  <mergeCells count="7">
    <mergeCell ref="C2:E2"/>
    <mergeCell ref="C45:F47"/>
    <mergeCell ref="C51:E52"/>
    <mergeCell ref="C98:F100"/>
    <mergeCell ref="A102:B102"/>
    <mergeCell ref="C102:D102"/>
    <mergeCell ref="F102:G102"/>
  </mergeCells>
  <pageMargins left="0.75" right="0.75" top="0.51" bottom="0.5" header="0.39" footer="0.5"/>
  <pageSetup paperSize="9" scale="80" orientation="landscape" horizontalDpi="4294967293" verticalDpi="4294967293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Worksheet______35">
    <tabColor indexed="50"/>
  </sheetPr>
  <dimension ref="A1:AK102"/>
  <sheetViews>
    <sheetView rightToLeft="1" topLeftCell="A67" workbookViewId="0">
      <selection activeCell="B49" sqref="B49"/>
    </sheetView>
  </sheetViews>
  <sheetFormatPr defaultRowHeight="12.75"/>
  <cols>
    <col min="1" max="15" width="25.7109375" style="607" customWidth="1"/>
    <col min="16" max="16" width="7.7109375" style="607" customWidth="1"/>
    <col min="17" max="19" width="25.7109375" style="607" customWidth="1"/>
    <col min="20" max="16384" width="9.140625" style="607"/>
  </cols>
  <sheetData>
    <row r="1" spans="1:16">
      <c r="A1" s="607" t="s">
        <v>436</v>
      </c>
      <c r="B1" s="607">
        <f>'השוואה בחירתית'!B54</f>
        <v>90</v>
      </c>
      <c r="D1" s="607" t="s">
        <v>163</v>
      </c>
      <c r="E1" s="607">
        <f>'השוואה בחירתית'!E54</f>
        <v>68</v>
      </c>
      <c r="F1" s="607" t="s">
        <v>234</v>
      </c>
      <c r="G1" s="607">
        <f>'נתוני יסוד'!B23</f>
        <v>2.5</v>
      </c>
    </row>
    <row r="3" spans="1:16" ht="23.25" customHeight="1">
      <c r="A3" s="1062" t="s">
        <v>801</v>
      </c>
      <c r="B3" s="1063"/>
    </row>
    <row r="4" spans="1:16" ht="24" customHeight="1">
      <c r="B4" s="607" t="s">
        <v>633</v>
      </c>
      <c r="C4" s="635" t="s">
        <v>790</v>
      </c>
      <c r="D4" s="607" t="s">
        <v>802</v>
      </c>
      <c r="E4" s="607" t="s">
        <v>792</v>
      </c>
      <c r="F4" s="607" t="s">
        <v>793</v>
      </c>
      <c r="G4" s="607" t="s">
        <v>794</v>
      </c>
      <c r="L4" s="607" t="str">
        <f t="shared" ref="L4:M8" si="0">B4</f>
        <v>פיצויים נטו</v>
      </c>
      <c r="M4" s="636" t="str">
        <f t="shared" si="0"/>
        <v>כספים הפטורים במשיכה ח"פ בפרישה</v>
      </c>
      <c r="N4" s="607" t="str">
        <f>F4</f>
        <v>ע"נ של הקצבה</v>
      </c>
      <c r="O4" s="607" t="str">
        <f>G4</f>
        <v xml:space="preserve">סה"כ ע"נ </v>
      </c>
      <c r="P4" s="607" t="s">
        <v>273</v>
      </c>
    </row>
    <row r="5" spans="1:16" s="924" customFormat="1" ht="17.100000000000001" customHeight="1">
      <c r="A5" s="924" t="s">
        <v>601</v>
      </c>
      <c r="B5" s="925" t="e">
        <f>'פיצויים פטורים והוני'!D35</f>
        <v>#DIV/0!</v>
      </c>
      <c r="C5" s="925">
        <f>'נתוני יסוד'!$B$38</f>
        <v>0</v>
      </c>
      <c r="D5" s="925" t="e">
        <f>SUM(B5:C5)</f>
        <v>#DIV/0!</v>
      </c>
      <c r="E5" s="925">
        <f>'פיצויים פטורים והוני'!O44</f>
        <v>0</v>
      </c>
      <c r="F5" s="925">
        <f>PV(G1/100/12,(B1-E1)*12,E5,0,1)*(-1)</f>
        <v>0</v>
      </c>
      <c r="G5" s="925" t="e">
        <f>D5+F5</f>
        <v>#DIV/0!</v>
      </c>
      <c r="K5" s="924" t="s">
        <v>601</v>
      </c>
      <c r="L5" s="926" t="e">
        <f t="shared" si="0"/>
        <v>#DIV/0!</v>
      </c>
      <c r="M5" s="926">
        <f t="shared" si="0"/>
        <v>0</v>
      </c>
      <c r="N5" s="927">
        <f>F5</f>
        <v>0</v>
      </c>
      <c r="O5" s="925" t="e">
        <f>SUM(L5:N5)</f>
        <v>#DIV/0!</v>
      </c>
      <c r="P5" s="925" t="e">
        <f>O5-G5</f>
        <v>#DIV/0!</v>
      </c>
    </row>
    <row r="6" spans="1:16" s="924" customFormat="1" ht="17.100000000000001" customHeight="1">
      <c r="A6" s="924" t="s">
        <v>602</v>
      </c>
      <c r="B6" s="925" t="e">
        <f>'פיצויים פטורים וקצבה'!D35</f>
        <v>#DIV/0!</v>
      </c>
      <c r="C6" s="925">
        <f>'נתוני יסוד'!$B$38</f>
        <v>0</v>
      </c>
      <c r="D6" s="925" t="e">
        <f>SUM(B6:C6)</f>
        <v>#DIV/0!</v>
      </c>
      <c r="E6" s="925">
        <f>'פיצויים פטורים וקצבה'!N51</f>
        <v>0</v>
      </c>
      <c r="F6" s="925">
        <f>PV($G$1/100/12,($B$1-$E$1)*12,E6,,1)*(-1)</f>
        <v>0</v>
      </c>
      <c r="G6" s="925" t="e">
        <f>D6+F6</f>
        <v>#DIV/0!</v>
      </c>
      <c r="K6" s="924" t="s">
        <v>602</v>
      </c>
      <c r="L6" s="926" t="e">
        <f t="shared" si="0"/>
        <v>#DIV/0!</v>
      </c>
      <c r="M6" s="926">
        <f t="shared" si="0"/>
        <v>0</v>
      </c>
      <c r="N6" s="927">
        <f>F6</f>
        <v>0</v>
      </c>
      <c r="O6" s="925" t="e">
        <f>SUM(L6:N6)</f>
        <v>#DIV/0!</v>
      </c>
      <c r="P6" s="925" t="e">
        <f>O6-G6</f>
        <v>#DIV/0!</v>
      </c>
    </row>
    <row r="7" spans="1:16" s="924" customFormat="1" ht="17.100000000000001" customHeight="1">
      <c r="A7" s="924" t="s">
        <v>603</v>
      </c>
      <c r="B7" s="925" t="e">
        <f>'קצבה פטורה והוני'!D35</f>
        <v>#DIV/0!</v>
      </c>
      <c r="C7" s="925">
        <f>'נתוני יסוד'!$B$38</f>
        <v>0</v>
      </c>
      <c r="D7" s="925" t="e">
        <f>SUM(B7:C7)</f>
        <v>#DIV/0!</v>
      </c>
      <c r="E7" s="925">
        <f>'קצבה פטורה והוני'!N57</f>
        <v>0</v>
      </c>
      <c r="F7" s="925">
        <f>PV($G$1/100/12,($B$1-$E$1)*12,E7,,1)*(-1)</f>
        <v>0</v>
      </c>
      <c r="G7" s="925" t="e">
        <f>D7+F7</f>
        <v>#DIV/0!</v>
      </c>
      <c r="K7" s="924" t="s">
        <v>603</v>
      </c>
      <c r="L7" s="926" t="e">
        <f t="shared" si="0"/>
        <v>#DIV/0!</v>
      </c>
      <c r="M7" s="926">
        <f t="shared" si="0"/>
        <v>0</v>
      </c>
      <c r="N7" s="927">
        <f>F7</f>
        <v>0</v>
      </c>
      <c r="O7" s="925" t="e">
        <f>SUM(L7:N7)</f>
        <v>#DIV/0!</v>
      </c>
      <c r="P7" s="925" t="e">
        <f>O7-G7</f>
        <v>#DIV/0!</v>
      </c>
    </row>
    <row r="8" spans="1:16" s="924" customFormat="1" ht="17.100000000000001" customHeight="1">
      <c r="A8" s="924" t="s">
        <v>604</v>
      </c>
      <c r="B8" s="925" t="e">
        <f>'[2]קצבה פטורה וקצבה'!D35</f>
        <v>#REF!</v>
      </c>
      <c r="C8" s="925">
        <f>'נתוני יסוד'!$B$38</f>
        <v>0</v>
      </c>
      <c r="D8" s="925" t="e">
        <f>SUM(B8:C8)</f>
        <v>#REF!</v>
      </c>
      <c r="E8" s="925" t="e">
        <f>'[2]קצבה פטורה וקצבה'!N51</f>
        <v>#REF!</v>
      </c>
      <c r="F8" s="925" t="e">
        <f>PV($G$1/100/12,($B$1-$E$1)*12,E8,,1)*(-1)</f>
        <v>#REF!</v>
      </c>
      <c r="G8" s="925" t="e">
        <f>D8+F8</f>
        <v>#REF!</v>
      </c>
      <c r="K8" s="924" t="s">
        <v>604</v>
      </c>
      <c r="L8" s="926" t="e">
        <f t="shared" si="0"/>
        <v>#REF!</v>
      </c>
      <c r="M8" s="926">
        <f t="shared" si="0"/>
        <v>0</v>
      </c>
      <c r="N8" s="927" t="e">
        <f>F8</f>
        <v>#REF!</v>
      </c>
      <c r="O8" s="925" t="e">
        <f>SUM(L8:N8)</f>
        <v>#REF!</v>
      </c>
      <c r="P8" s="925" t="e">
        <f>O8-G8</f>
        <v>#REF!</v>
      </c>
    </row>
    <row r="9" spans="1:16" s="931" customFormat="1" ht="17.100000000000001" customHeight="1">
      <c r="A9" s="928" t="s">
        <v>599</v>
      </c>
      <c r="B9" s="929" t="e">
        <f>'סיכומי מקורות'!$B$39</f>
        <v>#DIV/0!</v>
      </c>
      <c r="C9" s="930">
        <f>'סיכומי מקורות'!$B$51</f>
        <v>0</v>
      </c>
      <c r="D9" s="930" t="e">
        <f>C9+B9</f>
        <v>#DIV/0!</v>
      </c>
      <c r="E9" s="930">
        <f>'מקסימום פנסיה עם קצבה פטורה'!$J$8</f>
        <v>0</v>
      </c>
      <c r="F9" s="930">
        <f>PV(G1/100/12,(B1-E1)*12,E9,0,1)*(-1)</f>
        <v>0</v>
      </c>
      <c r="G9" s="930" t="e">
        <f>C9+F9+B9</f>
        <v>#DIV/0!</v>
      </c>
    </row>
    <row r="10" spans="1:16" s="931" customFormat="1" ht="17.100000000000001" customHeight="1">
      <c r="A10" s="928" t="s">
        <v>600</v>
      </c>
      <c r="B10" s="929" t="e">
        <f>'סיכומי מקורות'!$D$39</f>
        <v>#DIV/0!</v>
      </c>
      <c r="C10" s="930">
        <f>'סיכומי מקורות'!$D$52</f>
        <v>0</v>
      </c>
      <c r="D10" s="930" t="e">
        <f>C10+B10</f>
        <v>#DIV/0!</v>
      </c>
      <c r="E10" s="930">
        <f>'סיכומי מקורות'!$D$49</f>
        <v>0</v>
      </c>
      <c r="F10" s="930">
        <f>PV(G1/100/12,(B1-E1)*12,E10,0,1)*(-1)</f>
        <v>0</v>
      </c>
      <c r="G10" s="930" t="e">
        <f>C10+F10+B10</f>
        <v>#DIV/0!</v>
      </c>
    </row>
    <row r="42" spans="1:8" ht="12.75" customHeight="1">
      <c r="A42" s="607" t="s">
        <v>803</v>
      </c>
      <c r="B42" s="607" t="s">
        <v>804</v>
      </c>
      <c r="C42" s="607" t="s">
        <v>805</v>
      </c>
      <c r="D42" s="607" t="s">
        <v>806</v>
      </c>
      <c r="E42" s="607" t="s">
        <v>807</v>
      </c>
      <c r="F42" s="607" t="s">
        <v>808</v>
      </c>
      <c r="G42" s="607" t="s">
        <v>809</v>
      </c>
      <c r="H42" s="607" t="s">
        <v>810</v>
      </c>
    </row>
    <row r="43" spans="1:8" s="653" customFormat="1" ht="12.75" customHeight="1">
      <c r="A43" s="652">
        <f>PV(1.5/100/12,(B1-E1)*12,E5,0,1)*(-1)</f>
        <v>0</v>
      </c>
      <c r="B43" s="652">
        <f>PV(2.5/100/12,(B1-E1)*12,E5,0,1)*(-1)</f>
        <v>0</v>
      </c>
      <c r="C43" s="652">
        <f>PV(3/100/12,(B1-E1)*12,E5,0,1)*(-1)</f>
        <v>0</v>
      </c>
      <c r="D43" s="652">
        <f>PV(3.5/100/12,($B1-$E1)*12,$E5,0,1)*(-1)</f>
        <v>0</v>
      </c>
      <c r="E43" s="652">
        <f>PV(4/100/12,($B1-$E1)*12,$E5,0,1)*(-1)</f>
        <v>0</v>
      </c>
      <c r="F43" s="652">
        <f>PV(4.5/100/12,(B1-E1)*12,E5,0,1)*(-1)</f>
        <v>0</v>
      </c>
      <c r="G43" s="652">
        <f>PV(5.5/100/12,(B1-E1)*12,E5,0,1)*(-1)</f>
        <v>0</v>
      </c>
      <c r="H43" s="652">
        <f>PV(6.5/100/12,(B1-E1)*12,E5,0,1)*(-1)</f>
        <v>0</v>
      </c>
    </row>
    <row r="44" spans="1:8" s="655" customFormat="1" ht="12.75" customHeight="1">
      <c r="A44" s="654">
        <f>PV(1.5/100/12,($B$1-$E$1)*12,E6,,1)*(-1)</f>
        <v>0</v>
      </c>
      <c r="B44" s="654">
        <f>PV(2.5/100/12,($B$1-$E$1)*12,E6,,1)*(-1)</f>
        <v>0</v>
      </c>
      <c r="C44" s="654">
        <f>PV(3/100/12,($B$1-$E$1)*12,E6,,1)*(-1)</f>
        <v>0</v>
      </c>
      <c r="D44" s="654">
        <f>PV(3.5/100/12,($B$1-$E$1)*12,$E6,,1)*(-1)</f>
        <v>0</v>
      </c>
      <c r="E44" s="654">
        <f>PV(4/100/12,($B$1-$E$1)*12,$E6,,1)*(-1)</f>
        <v>0</v>
      </c>
      <c r="F44" s="654">
        <f>PV(4.5/100/12,($B$1-$E$1)*12,E6,,1)*(-1)</f>
        <v>0</v>
      </c>
      <c r="G44" s="654">
        <f>PV(5.5/100/12,($B$1-$E$1)*12,E6,,1)*(-1)</f>
        <v>0</v>
      </c>
      <c r="H44" s="654">
        <f>PV(6.5/100/12,($B$1-$E$1)*12,E6,,1)*(-1)</f>
        <v>0</v>
      </c>
    </row>
    <row r="45" spans="1:8" s="657" customFormat="1" ht="12.75" customHeight="1">
      <c r="A45" s="656">
        <f>PV(1.5/100/12,($B$1-$E$1)*12,E7,,1)*(-1)</f>
        <v>0</v>
      </c>
      <c r="B45" s="656">
        <f>PV(2.5/100/12,($B$1-$E$1)*12,E7,,1)*(-1)</f>
        <v>0</v>
      </c>
      <c r="C45" s="656">
        <f>PV(3/100/12,($B$1-$E$1)*12,E7,,1)*(-1)</f>
        <v>0</v>
      </c>
      <c r="D45" s="656">
        <f>PV(3.5/100/12,($B$1-$E$1)*12,$E7,,1)*(-1)</f>
        <v>0</v>
      </c>
      <c r="E45" s="656">
        <f>PV(4/100/12,($B$1-$E$1)*12,$E7,,1)*(-1)</f>
        <v>0</v>
      </c>
      <c r="F45" s="656">
        <f>PV(4.5/100/12,($B$1-$E$1)*12,E7,,1)*(-1)</f>
        <v>0</v>
      </c>
      <c r="G45" s="656">
        <f>PV(5.5/100/12,($B$1-$E$1)*12,E7,,1)*(-1)</f>
        <v>0</v>
      </c>
      <c r="H45" s="656">
        <f>PV(6.5/100/12,($B$1-$E$1)*12,E7,,1)*(-1)</f>
        <v>0</v>
      </c>
    </row>
    <row r="46" spans="1:8" s="659" customFormat="1" ht="12.75" customHeight="1">
      <c r="A46" s="658" t="e">
        <f>PV(1.5/100/12,($B$1-$E$1)*12,E8,,1)*(-1)</f>
        <v>#REF!</v>
      </c>
      <c r="B46" s="658" t="e">
        <f>PV(2.5/100/12,($B$1-$E$1)*12,E8,,1)*(-1)</f>
        <v>#REF!</v>
      </c>
      <c r="C46" s="658" t="e">
        <f>PV(3/100/12,($B$1-$E$1)*12,E8,,1)*(-1)</f>
        <v>#REF!</v>
      </c>
      <c r="D46" s="658" t="e">
        <f>PV(3.5/100/12,($B$1-$E$1)*12,$E8,,1)*(-1)</f>
        <v>#REF!</v>
      </c>
      <c r="E46" s="658" t="e">
        <f>PV(4/100/12,($B$1-$E$1)*12,$E8,,1)*(-1)</f>
        <v>#REF!</v>
      </c>
      <c r="F46" s="658" t="e">
        <f>PV(4.5/100/12,($B$1-$E$1)*12,E8,,1)*(-1)</f>
        <v>#REF!</v>
      </c>
      <c r="G46" s="658" t="e">
        <f>PV(5.5/100/12,($B$1-$E$1)*12,E8,,1)*(-1)</f>
        <v>#REF!</v>
      </c>
      <c r="H46" s="658" t="e">
        <f>PV(6.5/100/12,($B$1-$E$1)*12,E8,,1)*(-1)</f>
        <v>#REF!</v>
      </c>
    </row>
    <row r="47" spans="1:8" s="661" customFormat="1" ht="12.75" customHeight="1">
      <c r="A47" s="660">
        <f>PV(1.5/100/12,($B$1-$E$1)*12,E9,,1)*(-1)</f>
        <v>0</v>
      </c>
      <c r="B47" s="660">
        <f>PV(2.5/100/12,($B$1-$E$1)*12,E9,,1)*(-1)</f>
        <v>0</v>
      </c>
      <c r="C47" s="660">
        <f>PV(3/100/12,($B$1-$E$1)*12,E9,,1)*(-1)</f>
        <v>0</v>
      </c>
      <c r="D47" s="660">
        <f>PV(3.5/100/12,($B$1-$E$1)*12,$E9,,1)*(-1)</f>
        <v>0</v>
      </c>
      <c r="E47" s="660">
        <f>PV(4/100/12,($B$1-$E$1)*12,$E9,,1)*(-1)</f>
        <v>0</v>
      </c>
      <c r="F47" s="660">
        <f>PV(4.5/100/12,($B$1-$E$1)*12,E9,,1)*(-1)</f>
        <v>0</v>
      </c>
      <c r="G47" s="660">
        <f>PV(5.5/100/12,($B$1-$E$1)*12,E9,,1)*(-1)</f>
        <v>0</v>
      </c>
      <c r="H47" s="660">
        <f>PV(6.5/100/12,($B$1-$E$1)*12,E9,,1)*(-1)</f>
        <v>0</v>
      </c>
    </row>
    <row r="48" spans="1:8" s="663" customFormat="1" ht="12.75" customHeight="1">
      <c r="A48" s="662">
        <f>PV(1.5/100/12,($B$1-$E$1)*12,E10,,1)*(-1)</f>
        <v>0</v>
      </c>
      <c r="B48" s="662">
        <f>PV(2.5/100/12,($B$1-$E$1)*12,E10,,1)*(-1)</f>
        <v>0</v>
      </c>
      <c r="C48" s="662">
        <f>PV(3/100/12,($B$1-$E$1)*12,E10,,1)*(-1)</f>
        <v>0</v>
      </c>
      <c r="D48" s="662">
        <f>PV(3.5/100/12,($B$1-$E$1)*12,$E10,,1)*(-1)</f>
        <v>0</v>
      </c>
      <c r="E48" s="662">
        <f>PV(4/100/12,($B$1-$E$1)*12,$E10,,1)*(-1)</f>
        <v>0</v>
      </c>
      <c r="F48" s="662">
        <f>PV(4.5/100/12,($B$1-$E$1)*12,E10,,1)*(-1)</f>
        <v>0</v>
      </c>
      <c r="G48" s="662">
        <f>PV(5.5/100/12,($B$1-$E$1)*12,E10,,1)*(-1)</f>
        <v>0</v>
      </c>
      <c r="H48" s="662">
        <f>PV(6.5/100/12,($B$1-$E$1)*12,E10,,1)*(-1)</f>
        <v>0</v>
      </c>
    </row>
    <row r="49" spans="1:37" ht="24" customHeight="1">
      <c r="A49" s="664"/>
      <c r="B49" s="664"/>
      <c r="C49" s="664"/>
      <c r="D49" s="664"/>
      <c r="E49" s="664"/>
      <c r="F49" s="664"/>
      <c r="G49" s="664"/>
      <c r="H49" s="664"/>
    </row>
    <row r="50" spans="1:37" ht="24" customHeight="1">
      <c r="A50" s="664"/>
      <c r="B50" s="664"/>
      <c r="C50" s="664"/>
      <c r="D50" s="664"/>
      <c r="E50" s="664"/>
      <c r="F50" s="664"/>
      <c r="G50" s="664"/>
      <c r="H50" s="664"/>
    </row>
    <row r="51" spans="1:37">
      <c r="A51" s="665" t="s">
        <v>811</v>
      </c>
      <c r="B51" s="666" t="s">
        <v>600</v>
      </c>
      <c r="C51" s="667" t="s">
        <v>796</v>
      </c>
      <c r="D51" s="668" t="s">
        <v>604</v>
      </c>
      <c r="E51" s="669" t="s">
        <v>603</v>
      </c>
      <c r="F51" s="670" t="s">
        <v>602</v>
      </c>
      <c r="G51" s="671" t="s">
        <v>601</v>
      </c>
      <c r="H51" s="606"/>
      <c r="I51" s="606"/>
    </row>
    <row r="52" spans="1:37" ht="12.75" customHeight="1">
      <c r="A52" s="672"/>
      <c r="B52" s="672"/>
      <c r="C52" s="672"/>
      <c r="D52" s="664"/>
      <c r="E52" s="664"/>
      <c r="F52" s="664"/>
      <c r="G52" s="664"/>
      <c r="H52" s="664"/>
      <c r="I52" s="606"/>
    </row>
    <row r="53" spans="1:37" ht="27" customHeight="1">
      <c r="A53" s="673" t="s">
        <v>812</v>
      </c>
      <c r="B53" s="674">
        <f>'[1]השוואה בחירתית'!B54</f>
        <v>90</v>
      </c>
      <c r="C53" s="672"/>
      <c r="D53" s="664"/>
      <c r="E53" s="664"/>
      <c r="F53" s="664"/>
      <c r="G53" s="664"/>
      <c r="H53" s="664"/>
      <c r="I53" s="606"/>
    </row>
    <row r="54" spans="1:37" ht="12.75" customHeight="1">
      <c r="A54" s="675"/>
      <c r="B54" s="675"/>
      <c r="C54" s="675"/>
      <c r="D54" s="606"/>
      <c r="E54" s="606"/>
      <c r="F54" s="606"/>
      <c r="G54" s="606"/>
      <c r="H54" s="606"/>
      <c r="I54" s="606"/>
    </row>
    <row r="55" spans="1:37">
      <c r="A55" s="606" t="s">
        <v>813</v>
      </c>
      <c r="B55" s="676" t="s">
        <v>814</v>
      </c>
      <c r="C55" s="606" t="s">
        <v>815</v>
      </c>
      <c r="D55" s="606" t="s">
        <v>816</v>
      </c>
      <c r="E55" s="606" t="s">
        <v>817</v>
      </c>
      <c r="F55" s="606" t="s">
        <v>818</v>
      </c>
      <c r="G55" s="606" t="s">
        <v>819</v>
      </c>
      <c r="H55" s="606" t="s">
        <v>820</v>
      </c>
      <c r="I55" s="606"/>
    </row>
    <row r="56" spans="1:37">
      <c r="A56" s="677" t="e">
        <f t="shared" ref="A56:H56" si="1">A43+$D$5</f>
        <v>#DIV/0!</v>
      </c>
      <c r="B56" s="677" t="e">
        <f t="shared" si="1"/>
        <v>#DIV/0!</v>
      </c>
      <c r="C56" s="677" t="e">
        <f t="shared" si="1"/>
        <v>#DIV/0!</v>
      </c>
      <c r="D56" s="677" t="e">
        <f t="shared" si="1"/>
        <v>#DIV/0!</v>
      </c>
      <c r="E56" s="677" t="e">
        <f t="shared" si="1"/>
        <v>#DIV/0!</v>
      </c>
      <c r="F56" s="677" t="e">
        <f t="shared" si="1"/>
        <v>#DIV/0!</v>
      </c>
      <c r="G56" s="677" t="e">
        <f t="shared" si="1"/>
        <v>#DIV/0!</v>
      </c>
      <c r="H56" s="677" t="e">
        <f t="shared" si="1"/>
        <v>#DIV/0!</v>
      </c>
      <c r="I56" s="606"/>
    </row>
    <row r="57" spans="1:37">
      <c r="A57" s="678" t="e">
        <f t="shared" ref="A57:H57" si="2">A44+$D$6</f>
        <v>#DIV/0!</v>
      </c>
      <c r="B57" s="678" t="e">
        <f t="shared" si="2"/>
        <v>#DIV/0!</v>
      </c>
      <c r="C57" s="678" t="e">
        <f t="shared" si="2"/>
        <v>#DIV/0!</v>
      </c>
      <c r="D57" s="678" t="e">
        <f t="shared" si="2"/>
        <v>#DIV/0!</v>
      </c>
      <c r="E57" s="678" t="e">
        <f t="shared" si="2"/>
        <v>#DIV/0!</v>
      </c>
      <c r="F57" s="678" t="e">
        <f t="shared" si="2"/>
        <v>#DIV/0!</v>
      </c>
      <c r="G57" s="678" t="e">
        <f t="shared" si="2"/>
        <v>#DIV/0!</v>
      </c>
      <c r="H57" s="678" t="e">
        <f t="shared" si="2"/>
        <v>#DIV/0!</v>
      </c>
      <c r="I57" s="606"/>
    </row>
    <row r="58" spans="1:37">
      <c r="A58" s="679" t="e">
        <f t="shared" ref="A58:H58" si="3">A45+$D$7</f>
        <v>#DIV/0!</v>
      </c>
      <c r="B58" s="679" t="e">
        <f t="shared" si="3"/>
        <v>#DIV/0!</v>
      </c>
      <c r="C58" s="679" t="e">
        <f t="shared" si="3"/>
        <v>#DIV/0!</v>
      </c>
      <c r="D58" s="679" t="e">
        <f t="shared" si="3"/>
        <v>#DIV/0!</v>
      </c>
      <c r="E58" s="679" t="e">
        <f t="shared" si="3"/>
        <v>#DIV/0!</v>
      </c>
      <c r="F58" s="679" t="e">
        <f t="shared" si="3"/>
        <v>#DIV/0!</v>
      </c>
      <c r="G58" s="679" t="e">
        <f t="shared" si="3"/>
        <v>#DIV/0!</v>
      </c>
      <c r="H58" s="679" t="e">
        <f t="shared" si="3"/>
        <v>#DIV/0!</v>
      </c>
      <c r="I58" s="606"/>
    </row>
    <row r="59" spans="1:37" s="608" customFormat="1">
      <c r="A59" s="680" t="e">
        <f t="shared" ref="A59:H59" si="4">A46+$D$8</f>
        <v>#REF!</v>
      </c>
      <c r="B59" s="680" t="e">
        <f t="shared" si="4"/>
        <v>#REF!</v>
      </c>
      <c r="C59" s="680" t="e">
        <f t="shared" si="4"/>
        <v>#REF!</v>
      </c>
      <c r="D59" s="680" t="e">
        <f t="shared" si="4"/>
        <v>#REF!</v>
      </c>
      <c r="E59" s="680" t="e">
        <f t="shared" si="4"/>
        <v>#REF!</v>
      </c>
      <c r="F59" s="680" t="e">
        <f t="shared" si="4"/>
        <v>#REF!</v>
      </c>
      <c r="G59" s="680" t="e">
        <f t="shared" si="4"/>
        <v>#REF!</v>
      </c>
      <c r="H59" s="680" t="e">
        <f t="shared" si="4"/>
        <v>#REF!</v>
      </c>
      <c r="I59" s="606"/>
      <c r="J59" s="681"/>
    </row>
    <row r="60" spans="1:37" s="685" customFormat="1">
      <c r="A60" s="682" t="e">
        <f>A47+$D$9</f>
        <v>#DIV/0!</v>
      </c>
      <c r="B60" s="682" t="e">
        <f t="shared" ref="B60:H60" si="5">B47+$D$9</f>
        <v>#DIV/0!</v>
      </c>
      <c r="C60" s="682" t="e">
        <f t="shared" si="5"/>
        <v>#DIV/0!</v>
      </c>
      <c r="D60" s="682" t="e">
        <f t="shared" si="5"/>
        <v>#DIV/0!</v>
      </c>
      <c r="E60" s="682" t="e">
        <f t="shared" si="5"/>
        <v>#DIV/0!</v>
      </c>
      <c r="F60" s="682" t="e">
        <f t="shared" si="5"/>
        <v>#DIV/0!</v>
      </c>
      <c r="G60" s="682" t="e">
        <f t="shared" si="5"/>
        <v>#DIV/0!</v>
      </c>
      <c r="H60" s="682" t="e">
        <f t="shared" si="5"/>
        <v>#DIV/0!</v>
      </c>
      <c r="I60" s="665"/>
      <c r="J60" s="683"/>
      <c r="K60" s="684"/>
      <c r="L60" s="684"/>
      <c r="M60" s="684"/>
      <c r="N60" s="684"/>
      <c r="O60" s="684"/>
      <c r="P60" s="684"/>
      <c r="Q60" s="684"/>
      <c r="R60" s="684"/>
      <c r="S60" s="684"/>
      <c r="T60" s="684"/>
      <c r="U60" s="684"/>
      <c r="V60" s="684"/>
      <c r="W60" s="684"/>
      <c r="X60" s="684"/>
      <c r="Y60" s="684"/>
      <c r="Z60" s="684"/>
      <c r="AA60" s="684"/>
      <c r="AB60" s="684"/>
      <c r="AC60" s="684"/>
      <c r="AD60" s="684"/>
      <c r="AE60" s="684"/>
      <c r="AF60" s="684"/>
      <c r="AG60" s="684"/>
      <c r="AH60" s="684"/>
      <c r="AI60" s="684"/>
      <c r="AJ60" s="684"/>
      <c r="AK60" s="684"/>
    </row>
    <row r="61" spans="1:37" s="687" customFormat="1">
      <c r="A61" s="686" t="e">
        <f>A48+$D$10</f>
        <v>#DIV/0!</v>
      </c>
      <c r="B61" s="686" t="e">
        <f t="shared" ref="B61:H61" si="6">B48+$D$10</f>
        <v>#DIV/0!</v>
      </c>
      <c r="C61" s="686" t="e">
        <f t="shared" si="6"/>
        <v>#DIV/0!</v>
      </c>
      <c r="D61" s="686" t="e">
        <f t="shared" si="6"/>
        <v>#DIV/0!</v>
      </c>
      <c r="E61" s="686" t="e">
        <f t="shared" si="6"/>
        <v>#DIV/0!</v>
      </c>
      <c r="F61" s="686" t="e">
        <f t="shared" si="6"/>
        <v>#DIV/0!</v>
      </c>
      <c r="G61" s="686" t="e">
        <f t="shared" si="6"/>
        <v>#DIV/0!</v>
      </c>
      <c r="H61" s="686" t="e">
        <f t="shared" si="6"/>
        <v>#DIV/0!</v>
      </c>
      <c r="I61" s="665"/>
      <c r="J61" s="683"/>
      <c r="K61" s="684"/>
      <c r="L61" s="684"/>
      <c r="M61" s="684"/>
      <c r="N61" s="684"/>
      <c r="O61" s="684"/>
      <c r="P61" s="684"/>
      <c r="Q61" s="684"/>
      <c r="R61" s="684"/>
      <c r="S61" s="684"/>
      <c r="T61" s="684"/>
      <c r="U61" s="684"/>
      <c r="V61" s="684"/>
      <c r="W61" s="684"/>
      <c r="X61" s="684"/>
      <c r="Y61" s="684"/>
      <c r="Z61" s="684"/>
      <c r="AA61" s="684"/>
      <c r="AB61" s="684"/>
      <c r="AC61" s="684"/>
      <c r="AD61" s="684"/>
      <c r="AE61" s="684"/>
      <c r="AF61" s="684"/>
      <c r="AG61" s="684"/>
      <c r="AH61" s="684"/>
      <c r="AI61" s="684"/>
      <c r="AJ61" s="684"/>
      <c r="AK61" s="684"/>
    </row>
    <row r="62" spans="1:37">
      <c r="A62" s="606"/>
      <c r="B62" s="606"/>
      <c r="C62" s="606"/>
      <c r="D62" s="606"/>
      <c r="E62" s="606"/>
      <c r="F62" s="606"/>
      <c r="G62" s="606"/>
      <c r="H62" s="606"/>
      <c r="I62" s="606"/>
    </row>
    <row r="63" spans="1:37">
      <c r="A63" s="606"/>
      <c r="B63" s="606"/>
      <c r="C63" s="606"/>
      <c r="D63" s="606"/>
      <c r="E63" s="606"/>
      <c r="F63" s="606"/>
      <c r="G63" s="606"/>
      <c r="H63" s="606"/>
      <c r="I63" s="606"/>
    </row>
    <row r="64" spans="1:37">
      <c r="A64" s="606"/>
      <c r="B64" s="606"/>
      <c r="C64" s="606"/>
      <c r="D64" s="606"/>
      <c r="E64" s="606"/>
      <c r="F64" s="606"/>
      <c r="G64" s="606"/>
      <c r="H64" s="606"/>
      <c r="I64" s="606"/>
    </row>
    <row r="65" spans="1:9">
      <c r="A65" s="606"/>
      <c r="B65" s="606"/>
      <c r="C65" s="606"/>
      <c r="D65" s="606"/>
      <c r="E65" s="606"/>
      <c r="F65" s="606"/>
      <c r="G65" s="606"/>
      <c r="H65" s="606"/>
      <c r="I65" s="606"/>
    </row>
    <row r="66" spans="1:9">
      <c r="A66" s="606"/>
      <c r="B66" s="606"/>
      <c r="C66" s="606"/>
      <c r="D66" s="606"/>
      <c r="E66" s="606"/>
      <c r="F66" s="606"/>
      <c r="G66" s="606"/>
      <c r="H66" s="606"/>
      <c r="I66" s="606"/>
    </row>
    <row r="67" spans="1:9">
      <c r="A67" s="606"/>
      <c r="B67" s="606"/>
      <c r="C67" s="606"/>
      <c r="D67" s="606"/>
      <c r="E67" s="606"/>
      <c r="F67" s="606"/>
      <c r="G67" s="606"/>
      <c r="H67" s="606"/>
      <c r="I67" s="606"/>
    </row>
    <row r="68" spans="1:9">
      <c r="A68" s="606"/>
      <c r="B68" s="606"/>
      <c r="C68" s="606"/>
      <c r="D68" s="606"/>
      <c r="E68" s="606"/>
      <c r="F68" s="606"/>
      <c r="G68" s="606"/>
      <c r="H68" s="606"/>
      <c r="I68" s="606"/>
    </row>
    <row r="69" spans="1:9">
      <c r="A69" s="606"/>
      <c r="B69" s="606"/>
      <c r="C69" s="606"/>
      <c r="D69" s="606"/>
      <c r="E69" s="606"/>
      <c r="F69" s="606"/>
      <c r="G69" s="606"/>
      <c r="H69" s="606"/>
      <c r="I69" s="606"/>
    </row>
    <row r="70" spans="1:9">
      <c r="A70" s="606"/>
      <c r="B70" s="606"/>
      <c r="C70" s="606"/>
      <c r="D70" s="606"/>
      <c r="E70" s="606"/>
      <c r="F70" s="606"/>
      <c r="G70" s="606"/>
      <c r="H70" s="606"/>
      <c r="I70" s="606"/>
    </row>
    <row r="71" spans="1:9">
      <c r="A71" s="606"/>
      <c r="B71" s="606"/>
      <c r="C71" s="606"/>
      <c r="D71" s="606"/>
      <c r="E71" s="606"/>
      <c r="F71" s="606"/>
      <c r="G71" s="606"/>
      <c r="H71" s="606"/>
      <c r="I71" s="606"/>
    </row>
    <row r="72" spans="1:9">
      <c r="A72" s="606"/>
      <c r="B72" s="606"/>
      <c r="C72" s="606"/>
      <c r="D72" s="606"/>
      <c r="E72" s="606"/>
      <c r="F72" s="606"/>
      <c r="G72" s="606"/>
      <c r="H72" s="606"/>
      <c r="I72" s="606"/>
    </row>
    <row r="73" spans="1:9">
      <c r="A73" s="606"/>
      <c r="B73" s="606"/>
      <c r="C73" s="606"/>
      <c r="D73" s="606"/>
      <c r="E73" s="606"/>
      <c r="F73" s="606"/>
      <c r="G73" s="606"/>
      <c r="H73" s="606"/>
      <c r="I73" s="606"/>
    </row>
    <row r="74" spans="1:9">
      <c r="A74" s="606"/>
      <c r="B74" s="606"/>
      <c r="C74" s="606"/>
      <c r="D74" s="606"/>
      <c r="E74" s="606"/>
      <c r="F74" s="606"/>
      <c r="G74" s="606"/>
      <c r="H74" s="606"/>
      <c r="I74" s="606"/>
    </row>
    <row r="75" spans="1:9">
      <c r="A75" s="606"/>
      <c r="B75" s="606"/>
      <c r="C75" s="606"/>
      <c r="D75" s="606"/>
      <c r="E75" s="606"/>
      <c r="F75" s="606"/>
      <c r="G75" s="606"/>
      <c r="H75" s="606"/>
      <c r="I75" s="606"/>
    </row>
    <row r="76" spans="1:9">
      <c r="A76" s="606"/>
      <c r="B76" s="606"/>
      <c r="C76" s="606"/>
      <c r="D76" s="606"/>
      <c r="E76" s="606"/>
      <c r="F76" s="606"/>
      <c r="G76" s="606"/>
      <c r="H76" s="606"/>
      <c r="I76" s="606"/>
    </row>
    <row r="77" spans="1:9">
      <c r="A77" s="606"/>
      <c r="B77" s="606"/>
      <c r="C77" s="606"/>
      <c r="D77" s="606"/>
      <c r="E77" s="606"/>
      <c r="F77" s="606"/>
      <c r="G77" s="606"/>
      <c r="H77" s="606"/>
      <c r="I77" s="606"/>
    </row>
    <row r="78" spans="1:9">
      <c r="A78" s="606"/>
      <c r="B78" s="606"/>
      <c r="C78" s="606"/>
      <c r="D78" s="606"/>
      <c r="E78" s="606"/>
      <c r="F78" s="606"/>
      <c r="G78" s="606"/>
      <c r="H78" s="606"/>
      <c r="I78" s="606"/>
    </row>
    <row r="79" spans="1:9">
      <c r="A79" s="606"/>
      <c r="B79" s="606"/>
      <c r="C79" s="606"/>
      <c r="D79" s="606"/>
      <c r="E79" s="606"/>
      <c r="F79" s="606"/>
      <c r="G79" s="606"/>
      <c r="H79" s="606"/>
      <c r="I79" s="606"/>
    </row>
    <row r="80" spans="1:9">
      <c r="A80" s="606"/>
      <c r="B80" s="606"/>
      <c r="C80" s="606"/>
      <c r="D80" s="606"/>
      <c r="E80" s="606"/>
      <c r="F80" s="606"/>
      <c r="G80" s="606"/>
      <c r="H80" s="606"/>
      <c r="I80" s="606"/>
    </row>
    <row r="81" spans="1:9">
      <c r="A81" s="606"/>
      <c r="B81" s="606"/>
      <c r="C81" s="606"/>
      <c r="D81" s="606"/>
      <c r="E81" s="606"/>
      <c r="F81" s="606"/>
      <c r="G81" s="606"/>
      <c r="H81" s="606"/>
      <c r="I81" s="606"/>
    </row>
    <row r="82" spans="1:9">
      <c r="A82" s="606"/>
      <c r="B82" s="606"/>
      <c r="C82" s="606"/>
      <c r="D82" s="606"/>
      <c r="E82" s="606"/>
      <c r="F82" s="606"/>
      <c r="G82" s="606"/>
      <c r="H82" s="606"/>
      <c r="I82" s="606"/>
    </row>
    <row r="83" spans="1:9">
      <c r="A83" s="606"/>
      <c r="B83" s="606"/>
      <c r="C83" s="606"/>
      <c r="D83" s="606"/>
      <c r="E83" s="606"/>
      <c r="F83" s="606"/>
      <c r="G83" s="606"/>
      <c r="H83" s="606"/>
      <c r="I83" s="606"/>
    </row>
    <row r="84" spans="1:9">
      <c r="A84" s="606"/>
      <c r="B84" s="606"/>
      <c r="C84" s="606"/>
      <c r="D84" s="606"/>
      <c r="E84" s="606"/>
      <c r="F84" s="606"/>
      <c r="G84" s="606"/>
      <c r="H84" s="606"/>
      <c r="I84" s="606"/>
    </row>
    <row r="85" spans="1:9">
      <c r="A85" s="606"/>
      <c r="B85" s="606"/>
      <c r="C85" s="606"/>
      <c r="D85" s="606"/>
      <c r="E85" s="606"/>
      <c r="F85" s="606"/>
      <c r="G85" s="606"/>
      <c r="H85" s="606"/>
      <c r="I85" s="606"/>
    </row>
    <row r="86" spans="1:9">
      <c r="A86" s="606"/>
      <c r="B86" s="606"/>
      <c r="C86" s="606"/>
      <c r="D86" s="606"/>
      <c r="E86" s="606"/>
      <c r="F86" s="606"/>
      <c r="G86" s="606"/>
      <c r="H86" s="606"/>
      <c r="I86" s="606"/>
    </row>
    <row r="87" spans="1:9">
      <c r="A87" s="606"/>
      <c r="B87" s="606"/>
      <c r="C87" s="606"/>
      <c r="D87" s="606"/>
      <c r="E87" s="606"/>
      <c r="F87" s="606"/>
      <c r="G87" s="606"/>
      <c r="H87" s="606"/>
      <c r="I87" s="606"/>
    </row>
    <row r="88" spans="1:9">
      <c r="A88" s="606"/>
      <c r="B88" s="606"/>
      <c r="C88" s="606"/>
      <c r="D88" s="606"/>
      <c r="E88" s="606"/>
      <c r="F88" s="606"/>
      <c r="G88" s="606"/>
      <c r="H88" s="606"/>
      <c r="I88" s="606"/>
    </row>
    <row r="89" spans="1:9">
      <c r="A89" s="606"/>
      <c r="B89" s="606"/>
      <c r="C89" s="606"/>
      <c r="D89" s="606"/>
      <c r="E89" s="606"/>
      <c r="F89" s="606"/>
      <c r="G89" s="606"/>
      <c r="H89" s="606"/>
      <c r="I89" s="606"/>
    </row>
    <row r="90" spans="1:9">
      <c r="A90" s="606"/>
      <c r="B90" s="688"/>
      <c r="C90" s="688"/>
      <c r="D90" s="606"/>
      <c r="E90" s="606"/>
      <c r="F90" s="606"/>
      <c r="G90" s="606"/>
      <c r="H90" s="606"/>
      <c r="I90" s="606"/>
    </row>
    <row r="91" spans="1:9">
      <c r="A91" s="665" t="s">
        <v>811</v>
      </c>
      <c r="B91" s="666" t="s">
        <v>600</v>
      </c>
      <c r="C91" s="667" t="s">
        <v>796</v>
      </c>
      <c r="D91" s="668" t="s">
        <v>604</v>
      </c>
      <c r="E91" s="669" t="s">
        <v>603</v>
      </c>
      <c r="F91" s="670" t="s">
        <v>602</v>
      </c>
      <c r="G91" s="671" t="s">
        <v>601</v>
      </c>
      <c r="H91" s="606"/>
      <c r="I91" s="606"/>
    </row>
    <row r="92" spans="1:9">
      <c r="A92" s="606"/>
      <c r="B92" s="606"/>
      <c r="C92" s="606"/>
      <c r="D92" s="606"/>
      <c r="E92" s="606"/>
      <c r="F92" s="606"/>
      <c r="G92" s="606"/>
      <c r="H92" s="606"/>
      <c r="I92" s="606"/>
    </row>
    <row r="93" spans="1:9">
      <c r="A93" s="606"/>
      <c r="B93" s="606"/>
      <c r="C93" s="606"/>
      <c r="D93" s="606"/>
      <c r="E93" s="606"/>
      <c r="F93" s="606"/>
      <c r="G93" s="606"/>
      <c r="H93" s="606"/>
      <c r="I93" s="606"/>
    </row>
    <row r="94" spans="1:9">
      <c r="A94" s="606"/>
      <c r="B94" s="606"/>
      <c r="C94" s="606"/>
      <c r="D94" s="606"/>
      <c r="E94" s="606"/>
      <c r="F94" s="606"/>
      <c r="G94" s="606"/>
      <c r="H94" s="606"/>
      <c r="I94" s="606"/>
    </row>
    <row r="95" spans="1:9">
      <c r="A95" s="606"/>
      <c r="B95" s="606"/>
      <c r="C95" s="1064">
        <f>'[1]נתוני יסוד'!B1</f>
        <v>0</v>
      </c>
      <c r="D95" s="1064"/>
      <c r="E95" s="1064"/>
      <c r="F95" s="606"/>
      <c r="G95" s="606"/>
      <c r="H95" s="606"/>
      <c r="I95" s="606"/>
    </row>
    <row r="96" spans="1:9">
      <c r="A96" s="606"/>
      <c r="B96" s="606"/>
      <c r="C96" s="1064"/>
      <c r="D96" s="1064"/>
      <c r="E96" s="1064"/>
      <c r="F96" s="606"/>
      <c r="G96" s="606"/>
      <c r="H96" s="606"/>
      <c r="I96" s="606"/>
    </row>
    <row r="97" spans="1:9">
      <c r="A97" s="606"/>
      <c r="B97" s="606"/>
      <c r="C97" s="606"/>
      <c r="D97" s="606"/>
      <c r="E97" s="606"/>
      <c r="F97" s="606"/>
      <c r="G97" s="606"/>
      <c r="H97" s="606"/>
      <c r="I97" s="606"/>
    </row>
    <row r="98" spans="1:9">
      <c r="A98" s="606"/>
      <c r="B98" s="606"/>
      <c r="C98" s="606"/>
      <c r="D98" s="606"/>
      <c r="E98" s="606"/>
      <c r="F98" s="606"/>
      <c r="G98" s="606"/>
      <c r="H98" s="606"/>
      <c r="I98" s="606"/>
    </row>
    <row r="99" spans="1:9">
      <c r="A99" s="606"/>
      <c r="B99" s="606"/>
      <c r="C99" s="606"/>
      <c r="D99" s="606"/>
      <c r="E99" s="606"/>
      <c r="F99" s="606"/>
      <c r="G99" s="606"/>
      <c r="H99" s="606"/>
      <c r="I99" s="606"/>
    </row>
    <row r="100" spans="1:9">
      <c r="A100" s="606"/>
      <c r="B100" s="606"/>
      <c r="C100" s="606"/>
      <c r="D100" s="606"/>
      <c r="E100" s="606"/>
      <c r="F100" s="606"/>
      <c r="G100" s="606"/>
      <c r="H100" s="606"/>
      <c r="I100" s="606"/>
    </row>
    <row r="101" spans="1:9">
      <c r="A101" s="606"/>
      <c r="B101" s="606"/>
      <c r="C101" s="606"/>
      <c r="D101" s="606"/>
      <c r="E101" s="606"/>
      <c r="F101" s="606"/>
      <c r="G101" s="606"/>
      <c r="H101" s="606"/>
      <c r="I101" s="606"/>
    </row>
    <row r="102" spans="1:9">
      <c r="A102" s="606"/>
      <c r="B102" s="606"/>
      <c r="C102" s="606"/>
      <c r="D102" s="606"/>
      <c r="E102" s="606"/>
      <c r="F102" s="606"/>
      <c r="G102" s="606"/>
      <c r="H102" s="606"/>
      <c r="I102" s="606"/>
    </row>
  </sheetData>
  <mergeCells count="2">
    <mergeCell ref="A3:B3"/>
    <mergeCell ref="C95:E96"/>
  </mergeCells>
  <pageMargins left="0.19685039370078741" right="1.02" top="1.3779527559055118" bottom="0.39370078740157483" header="0.51181102362204722" footer="0.51181102362204722"/>
  <pageSetup paperSize="9" scale="57" orientation="landscape" horizontalDpi="4294967293" verticalDpi="0" r:id="rId1"/>
  <headerFooter alignWithMargins="0"/>
  <rowBreaks count="1" manualBreakCount="1">
    <brk id="50" max="16383" man="1"/>
  </rowBreaks>
  <colBreaks count="1" manualBreakCount="1">
    <brk id="9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Worksheet______43">
    <tabColor indexed="13"/>
  </sheetPr>
  <dimension ref="A1:AK103"/>
  <sheetViews>
    <sheetView rightToLeft="1" topLeftCell="A28" workbookViewId="0">
      <selection activeCell="D52" sqref="D52"/>
    </sheetView>
  </sheetViews>
  <sheetFormatPr defaultRowHeight="12.75"/>
  <cols>
    <col min="1" max="15" width="25.7109375" style="633" customWidth="1"/>
    <col min="16" max="16" width="7.7109375" style="633" customWidth="1"/>
    <col min="17" max="19" width="25.7109375" style="633" customWidth="1"/>
    <col min="20" max="16384" width="9.140625" style="633"/>
  </cols>
  <sheetData>
    <row r="1" spans="1:16">
      <c r="A1" s="633" t="s">
        <v>436</v>
      </c>
      <c r="B1" s="691">
        <v>90</v>
      </c>
      <c r="D1" s="633" t="s">
        <v>163</v>
      </c>
      <c r="E1" s="691">
        <v>67</v>
      </c>
      <c r="F1" s="633" t="s">
        <v>234</v>
      </c>
      <c r="G1" s="692">
        <v>3</v>
      </c>
    </row>
    <row r="3" spans="1:16" ht="23.25" customHeight="1">
      <c r="A3" s="1062" t="s">
        <v>801</v>
      </c>
      <c r="B3" s="1063"/>
    </row>
    <row r="4" spans="1:16" ht="24" customHeight="1">
      <c r="B4" s="633" t="s">
        <v>633</v>
      </c>
      <c r="C4" s="635" t="s">
        <v>790</v>
      </c>
      <c r="D4" s="633" t="s">
        <v>802</v>
      </c>
      <c r="E4" s="633" t="s">
        <v>792</v>
      </c>
      <c r="F4" s="633" t="s">
        <v>793</v>
      </c>
      <c r="G4" s="633" t="s">
        <v>794</v>
      </c>
      <c r="L4" s="633" t="str">
        <f t="shared" ref="L4:M8" si="0">B4</f>
        <v>פיצויים נטו</v>
      </c>
      <c r="M4" s="636" t="str">
        <f t="shared" si="0"/>
        <v>כספים הפטורים במשיכה ח"פ בפרישה</v>
      </c>
      <c r="N4" s="633" t="str">
        <f>F4</f>
        <v>ע"נ של הקצבה</v>
      </c>
      <c r="O4" s="633" t="str">
        <f>G4</f>
        <v xml:space="preserve">סה"כ ע"נ </v>
      </c>
      <c r="P4" s="633" t="s">
        <v>273</v>
      </c>
    </row>
    <row r="5" spans="1:16" s="637" customFormat="1" ht="17.100000000000001" customHeight="1">
      <c r="A5" s="637" t="s">
        <v>601</v>
      </c>
      <c r="B5" s="638" t="e">
        <f>'[1]פיצויים פטורים והוני'!D35</f>
        <v>#DIV/0!</v>
      </c>
      <c r="C5" s="638">
        <f>'[1]נתוני יסוד'!$B$38</f>
        <v>0</v>
      </c>
      <c r="D5" s="638" t="e">
        <f>SUM(B5:C5)</f>
        <v>#DIV/0!</v>
      </c>
      <c r="E5" s="638">
        <f>'[1]פיצויים פטורים והוני'!O44</f>
        <v>0</v>
      </c>
      <c r="F5" s="638">
        <f>PV(G1/100/12,(B1-E1)*12,E5,0,1)*(-1)</f>
        <v>0</v>
      </c>
      <c r="G5" s="638" t="e">
        <f>D5+F5</f>
        <v>#DIV/0!</v>
      </c>
      <c r="K5" s="637" t="s">
        <v>601</v>
      </c>
      <c r="L5" s="639" t="e">
        <f t="shared" si="0"/>
        <v>#DIV/0!</v>
      </c>
      <c r="M5" s="639">
        <f t="shared" si="0"/>
        <v>0</v>
      </c>
      <c r="N5" s="640">
        <f>F5</f>
        <v>0</v>
      </c>
      <c r="O5" s="638" t="e">
        <f>SUM(L5:N5)</f>
        <v>#DIV/0!</v>
      </c>
      <c r="P5" s="638" t="e">
        <f>O5-G5</f>
        <v>#DIV/0!</v>
      </c>
    </row>
    <row r="6" spans="1:16" s="641" customFormat="1" ht="17.100000000000001" customHeight="1">
      <c r="A6" s="641" t="s">
        <v>602</v>
      </c>
      <c r="B6" s="642" t="e">
        <f>'[1]פיצויים פטורים וקצבה'!D35</f>
        <v>#DIV/0!</v>
      </c>
      <c r="C6" s="642">
        <f>'[1]נתוני יסוד'!$B$38</f>
        <v>0</v>
      </c>
      <c r="D6" s="642" t="e">
        <f>SUM(B6:C6)</f>
        <v>#DIV/0!</v>
      </c>
      <c r="E6" s="642">
        <f>'[1]פיצויים פטורים וקצבה'!N51</f>
        <v>0</v>
      </c>
      <c r="F6" s="642">
        <f>PV($G$1/100/12,($B$1-$E$1)*12,E6,,1)*(-1)</f>
        <v>0</v>
      </c>
      <c r="G6" s="642" t="e">
        <f>D6+F6</f>
        <v>#DIV/0!</v>
      </c>
      <c r="K6" s="641" t="s">
        <v>602</v>
      </c>
      <c r="L6" s="643" t="e">
        <f t="shared" si="0"/>
        <v>#DIV/0!</v>
      </c>
      <c r="M6" s="643">
        <f t="shared" si="0"/>
        <v>0</v>
      </c>
      <c r="N6" s="644">
        <f>F6</f>
        <v>0</v>
      </c>
      <c r="O6" s="642" t="e">
        <f>SUM(L6:N6)</f>
        <v>#DIV/0!</v>
      </c>
      <c r="P6" s="642" t="e">
        <f>O6-G6</f>
        <v>#DIV/0!</v>
      </c>
    </row>
    <row r="7" spans="1:16" s="645" customFormat="1" ht="17.100000000000001" customHeight="1">
      <c r="A7" s="645" t="s">
        <v>603</v>
      </c>
      <c r="B7" s="330" t="e">
        <f>'[1]קצבה פטורה והוני'!D35</f>
        <v>#DIV/0!</v>
      </c>
      <c r="C7" s="330">
        <f>'[1]נתוני יסוד'!$B$38</f>
        <v>0</v>
      </c>
      <c r="D7" s="330" t="e">
        <f>SUM(B7:C7)</f>
        <v>#DIV/0!</v>
      </c>
      <c r="E7" s="330">
        <f>'[1]קצבה פטורה והוני'!N57</f>
        <v>0</v>
      </c>
      <c r="F7" s="330">
        <f>PV($G$1/100/12,($B$1-$E$1)*12,E7,,1)*(-1)</f>
        <v>0</v>
      </c>
      <c r="G7" s="330" t="e">
        <f>D7+F7</f>
        <v>#DIV/0!</v>
      </c>
      <c r="K7" s="645" t="s">
        <v>603</v>
      </c>
      <c r="L7" s="646" t="e">
        <f t="shared" si="0"/>
        <v>#DIV/0!</v>
      </c>
      <c r="M7" s="646">
        <f t="shared" si="0"/>
        <v>0</v>
      </c>
      <c r="N7" s="647">
        <f>F7</f>
        <v>0</v>
      </c>
      <c r="O7" s="330" t="e">
        <f>SUM(L7:N7)</f>
        <v>#DIV/0!</v>
      </c>
      <c r="P7" s="330" t="e">
        <f>O7-G7</f>
        <v>#DIV/0!</v>
      </c>
    </row>
    <row r="8" spans="1:16" s="648" customFormat="1" ht="17.100000000000001" customHeight="1">
      <c r="A8" s="648" t="s">
        <v>604</v>
      </c>
      <c r="B8" s="649" t="e">
        <f>'[1]קצבה פטורה וקצבה'!D35</f>
        <v>#DIV/0!</v>
      </c>
      <c r="C8" s="649">
        <f>'[1]נתוני יסוד'!$B$38</f>
        <v>0</v>
      </c>
      <c r="D8" s="649" t="e">
        <f>SUM(B8:C8)</f>
        <v>#DIV/0!</v>
      </c>
      <c r="E8" s="649">
        <f>'[1]קצבה פטורה וקצבה'!N51</f>
        <v>0</v>
      </c>
      <c r="F8" s="649">
        <f>PV($G$1/100/12,($B$1-$E$1)*12,E8,,1)*(-1)</f>
        <v>0</v>
      </c>
      <c r="G8" s="649" t="e">
        <f>D8+F8</f>
        <v>#DIV/0!</v>
      </c>
      <c r="K8" s="648" t="s">
        <v>604</v>
      </c>
      <c r="L8" s="650" t="e">
        <f t="shared" si="0"/>
        <v>#DIV/0!</v>
      </c>
      <c r="M8" s="650">
        <f t="shared" si="0"/>
        <v>0</v>
      </c>
      <c r="N8" s="651">
        <f>F8</f>
        <v>0</v>
      </c>
      <c r="O8" s="649" t="e">
        <f>SUM(L8:N8)</f>
        <v>#DIV/0!</v>
      </c>
      <c r="P8" s="649" t="e">
        <f>O8-G8</f>
        <v>#DIV/0!</v>
      </c>
    </row>
    <row r="9" spans="1:16" s="627" customFormat="1" ht="17.100000000000001" customHeight="1">
      <c r="A9" s="612" t="s">
        <v>599</v>
      </c>
      <c r="B9" s="613" t="e">
        <f>'[1]סיכומי מקורות'!$B$39</f>
        <v>#DIV/0!</v>
      </c>
      <c r="C9" s="614">
        <f>'[1]סיכומי מקורות'!$B$51</f>
        <v>0</v>
      </c>
      <c r="D9" s="614" t="e">
        <f>C9+B9</f>
        <v>#DIV/0!</v>
      </c>
      <c r="E9" s="614">
        <f>'[1]מקסימום פנסיה עם קצבה פטורה'!$J$8</f>
        <v>0</v>
      </c>
      <c r="F9" s="614">
        <f>PV(G1/100/12,(B1-E1)*12,E9,0,1)*(-1)</f>
        <v>0</v>
      </c>
      <c r="G9" s="614" t="e">
        <f>C9+F9+B9</f>
        <v>#DIV/0!</v>
      </c>
    </row>
    <row r="10" spans="1:16" s="626" customFormat="1" ht="17.100000000000001" customHeight="1">
      <c r="A10" s="615" t="s">
        <v>600</v>
      </c>
      <c r="B10" s="616" t="e">
        <f>'[1]סיכומי מקורות'!$D$39</f>
        <v>#DIV/0!</v>
      </c>
      <c r="C10" s="617">
        <f>'[1]סיכומי מקורות'!$D$52</f>
        <v>0</v>
      </c>
      <c r="D10" s="617" t="e">
        <f>C10+B10</f>
        <v>#DIV/0!</v>
      </c>
      <c r="E10" s="617">
        <f>'[1]סיכומי מקורות'!$D$49</f>
        <v>0</v>
      </c>
      <c r="F10" s="617">
        <f>PV(G1/100/12,(B1-E1)*12,E10,0,1)*(-1)</f>
        <v>0</v>
      </c>
      <c r="G10" s="617" t="e">
        <f>C10+F10+B10</f>
        <v>#DIV/0!</v>
      </c>
    </row>
    <row r="11" spans="1:16" s="331" customFormat="1" ht="17.100000000000001" customHeight="1">
      <c r="A11" s="331" t="s">
        <v>821</v>
      </c>
      <c r="B11" s="332" t="e">
        <f>'[1]מקס פטור וקצבה'!D35</f>
        <v>#DIV/0!</v>
      </c>
      <c r="C11" s="332">
        <f>'[1]נתוני יסוד'!$B$38</f>
        <v>0</v>
      </c>
      <c r="D11" s="332" t="e">
        <f>SUM(B11:C11)</f>
        <v>#DIV/0!</v>
      </c>
      <c r="E11" s="332">
        <f>'[1]מקס פטור וקצבה'!N50</f>
        <v>0</v>
      </c>
      <c r="F11" s="332">
        <f>PV($G$1/100/12,($B$1-$E$1)*12,E11,,1)*(-1)</f>
        <v>0</v>
      </c>
      <c r="G11" s="332" t="e">
        <f>D11+F11</f>
        <v>#DIV/0!</v>
      </c>
      <c r="K11" s="331" t="s">
        <v>602</v>
      </c>
      <c r="L11" s="693" t="e">
        <f>B11</f>
        <v>#DIV/0!</v>
      </c>
      <c r="M11" s="693">
        <f>C11</f>
        <v>0</v>
      </c>
      <c r="N11" s="694">
        <f>F11</f>
        <v>0</v>
      </c>
      <c r="O11" s="332" t="e">
        <f>SUM(L11:N11)</f>
        <v>#DIV/0!</v>
      </c>
      <c r="P11" s="332" t="e">
        <f>O11-G11</f>
        <v>#DIV/0!</v>
      </c>
    </row>
    <row r="12" spans="1:16" s="695" customFormat="1">
      <c r="A12" s="695" t="s">
        <v>822</v>
      </c>
      <c r="B12" s="696" t="e">
        <f>'[1]קצבה מוכרת וקצבה'!D35</f>
        <v>#DIV/0!</v>
      </c>
      <c r="C12" s="696">
        <f>'[1]קצבה מוכרת וקצבה'!G30+'[1]קצבה מוכרת וקצבה'!H30+'[1]קצבה מוכרת וקצבה'!G31+'[1]קצבה מוכרת וקצבה'!H31</f>
        <v>0</v>
      </c>
      <c r="D12" s="697" t="e">
        <f>SUM(B12:C12)</f>
        <v>#DIV/0!</v>
      </c>
      <c r="E12" s="698" t="e">
        <f>'[1]קצבה מוכרת וקצבה'!N20</f>
        <v>#DIV/0!</v>
      </c>
      <c r="F12" s="697" t="e">
        <f>PV($G$1/100/12,($B$1-$E$1)*12,E12,,1)*(-1)</f>
        <v>#DIV/0!</v>
      </c>
      <c r="G12" s="697" t="e">
        <f>D12+F12</f>
        <v>#DIV/0!</v>
      </c>
    </row>
    <row r="42" spans="1:8" ht="12.75" customHeight="1">
      <c r="A42" s="633" t="s">
        <v>803</v>
      </c>
      <c r="B42" s="633" t="s">
        <v>804</v>
      </c>
      <c r="C42" s="633" t="s">
        <v>805</v>
      </c>
      <c r="D42" s="633" t="s">
        <v>806</v>
      </c>
      <c r="E42" s="633" t="s">
        <v>807</v>
      </c>
      <c r="F42" s="633" t="s">
        <v>808</v>
      </c>
      <c r="G42" s="633" t="s">
        <v>809</v>
      </c>
      <c r="H42" s="633" t="s">
        <v>810</v>
      </c>
    </row>
    <row r="43" spans="1:8" s="653" customFormat="1" ht="12.75" customHeight="1">
      <c r="A43" s="652">
        <f>PV(1.5/100/12,(B1-E1)*12,E5,0,1)*(-1)</f>
        <v>0</v>
      </c>
      <c r="B43" s="652">
        <f>PV(2.5/100/12,(B1-E1)*12,E5,0,1)*(-1)</f>
        <v>0</v>
      </c>
      <c r="C43" s="652">
        <f>PV(3/100/12,(B1-E1)*12,E5,0,1)*(-1)</f>
        <v>0</v>
      </c>
      <c r="D43" s="652">
        <f>PV(3.5/100/12,($B1-$E1)*12,$E5,0,1)*(-1)</f>
        <v>0</v>
      </c>
      <c r="E43" s="652">
        <f>PV(4/100/12,($B1-$E1)*12,$E5,0,1)*(-1)</f>
        <v>0</v>
      </c>
      <c r="F43" s="652">
        <f>PV(4.5/100/12,(B1-E1)*12,E5,0,1)*(-1)</f>
        <v>0</v>
      </c>
      <c r="G43" s="652">
        <f>PV(5.5/100/12,(B1-E1)*12,E5,0,1)*(-1)</f>
        <v>0</v>
      </c>
      <c r="H43" s="652">
        <f>PV(6.5/100/12,(B1-E1)*12,E5,0,1)*(-1)</f>
        <v>0</v>
      </c>
    </row>
    <row r="44" spans="1:8" s="655" customFormat="1" ht="12.75" customHeight="1">
      <c r="A44" s="654">
        <f t="shared" ref="A44:A49" si="1">PV(1.5/100/12,($B$1-$E$1)*12,E6,,1)*(-1)</f>
        <v>0</v>
      </c>
      <c r="B44" s="654">
        <f t="shared" ref="B44:B49" si="2">PV(2.5/100/12,($B$1-$E$1)*12,E6,,1)*(-1)</f>
        <v>0</v>
      </c>
      <c r="C44" s="654">
        <f t="shared" ref="C44:C49" si="3">PV(3/100/12,($B$1-$E$1)*12,E6,,1)*(-1)</f>
        <v>0</v>
      </c>
      <c r="D44" s="654">
        <f t="shared" ref="D44:D50" si="4">PV(3.5/100/12,($B$1-$E$1)*12,$E6,,1)*(-1)</f>
        <v>0</v>
      </c>
      <c r="E44" s="654">
        <f t="shared" ref="E44:E50" si="5">PV(4/100/12,($B$1-$E$1)*12,$E6,,1)*(-1)</f>
        <v>0</v>
      </c>
      <c r="F44" s="654">
        <f t="shared" ref="F44:F49" si="6">PV(4.5/100/12,($B$1-$E$1)*12,E6,,1)*(-1)</f>
        <v>0</v>
      </c>
      <c r="G44" s="654">
        <f t="shared" ref="G44:G49" si="7">PV(5.5/100/12,($B$1-$E$1)*12,E6,,1)*(-1)</f>
        <v>0</v>
      </c>
      <c r="H44" s="654">
        <f t="shared" ref="H44:H49" si="8">PV(6.5/100/12,($B$1-$E$1)*12,E6,,1)*(-1)</f>
        <v>0</v>
      </c>
    </row>
    <row r="45" spans="1:8" s="657" customFormat="1" ht="12.75" customHeight="1">
      <c r="A45" s="656">
        <f t="shared" si="1"/>
        <v>0</v>
      </c>
      <c r="B45" s="656">
        <f t="shared" si="2"/>
        <v>0</v>
      </c>
      <c r="C45" s="656">
        <f t="shared" si="3"/>
        <v>0</v>
      </c>
      <c r="D45" s="656">
        <f t="shared" si="4"/>
        <v>0</v>
      </c>
      <c r="E45" s="656">
        <f t="shared" si="5"/>
        <v>0</v>
      </c>
      <c r="F45" s="656">
        <f t="shared" si="6"/>
        <v>0</v>
      </c>
      <c r="G45" s="656">
        <f t="shared" si="7"/>
        <v>0</v>
      </c>
      <c r="H45" s="656">
        <f t="shared" si="8"/>
        <v>0</v>
      </c>
    </row>
    <row r="46" spans="1:8" s="659" customFormat="1" ht="12.75" customHeight="1">
      <c r="A46" s="658">
        <f t="shared" si="1"/>
        <v>0</v>
      </c>
      <c r="B46" s="658">
        <f t="shared" si="2"/>
        <v>0</v>
      </c>
      <c r="C46" s="658">
        <f t="shared" si="3"/>
        <v>0</v>
      </c>
      <c r="D46" s="658">
        <f t="shared" si="4"/>
        <v>0</v>
      </c>
      <c r="E46" s="658">
        <f t="shared" si="5"/>
        <v>0</v>
      </c>
      <c r="F46" s="658">
        <f t="shared" si="6"/>
        <v>0</v>
      </c>
      <c r="G46" s="658">
        <f t="shared" si="7"/>
        <v>0</v>
      </c>
      <c r="H46" s="658">
        <f t="shared" si="8"/>
        <v>0</v>
      </c>
    </row>
    <row r="47" spans="1:8" s="661" customFormat="1" ht="12.75" customHeight="1">
      <c r="A47" s="660">
        <f t="shared" si="1"/>
        <v>0</v>
      </c>
      <c r="B47" s="660">
        <f t="shared" si="2"/>
        <v>0</v>
      </c>
      <c r="C47" s="660">
        <f t="shared" si="3"/>
        <v>0</v>
      </c>
      <c r="D47" s="660">
        <f t="shared" si="4"/>
        <v>0</v>
      </c>
      <c r="E47" s="660">
        <f t="shared" si="5"/>
        <v>0</v>
      </c>
      <c r="F47" s="660">
        <f t="shared" si="6"/>
        <v>0</v>
      </c>
      <c r="G47" s="660">
        <f t="shared" si="7"/>
        <v>0</v>
      </c>
      <c r="H47" s="660">
        <f t="shared" si="8"/>
        <v>0</v>
      </c>
    </row>
    <row r="48" spans="1:8" s="663" customFormat="1" ht="12.75" customHeight="1">
      <c r="A48" s="662">
        <f t="shared" si="1"/>
        <v>0</v>
      </c>
      <c r="B48" s="662">
        <f t="shared" si="2"/>
        <v>0</v>
      </c>
      <c r="C48" s="662">
        <f t="shared" si="3"/>
        <v>0</v>
      </c>
      <c r="D48" s="662">
        <f t="shared" si="4"/>
        <v>0</v>
      </c>
      <c r="E48" s="662">
        <f t="shared" si="5"/>
        <v>0</v>
      </c>
      <c r="F48" s="662">
        <f t="shared" si="6"/>
        <v>0</v>
      </c>
      <c r="G48" s="662">
        <f t="shared" si="7"/>
        <v>0</v>
      </c>
      <c r="H48" s="662">
        <f t="shared" si="8"/>
        <v>0</v>
      </c>
    </row>
    <row r="49" spans="1:37" s="700" customFormat="1" ht="12.75" customHeight="1">
      <c r="A49" s="699">
        <f t="shared" si="1"/>
        <v>0</v>
      </c>
      <c r="B49" s="699">
        <f t="shared" si="2"/>
        <v>0</v>
      </c>
      <c r="C49" s="699">
        <f t="shared" si="3"/>
        <v>0</v>
      </c>
      <c r="D49" s="699">
        <f t="shared" si="4"/>
        <v>0</v>
      </c>
      <c r="E49" s="699">
        <f t="shared" si="5"/>
        <v>0</v>
      </c>
      <c r="F49" s="699">
        <f t="shared" si="6"/>
        <v>0</v>
      </c>
      <c r="G49" s="699">
        <f t="shared" si="7"/>
        <v>0</v>
      </c>
      <c r="H49" s="699">
        <f t="shared" si="8"/>
        <v>0</v>
      </c>
    </row>
    <row r="50" spans="1:37" ht="24" customHeight="1">
      <c r="A50" s="701" t="e">
        <f>PV(1.5/100/12,($B$1-$E$1)*12,E12,,1)*(-1)</f>
        <v>#DIV/0!</v>
      </c>
      <c r="B50" s="701" t="e">
        <f>PV(2.5/100/12,($B$1-$E$1)*12,E12,,1)*(-1)</f>
        <v>#DIV/0!</v>
      </c>
      <c r="C50" s="701" t="e">
        <f>PV(3/100/12,($B$1-$E$1)*12,E12,,1)*(-1)</f>
        <v>#DIV/0!</v>
      </c>
      <c r="D50" s="701" t="e">
        <f t="shared" si="4"/>
        <v>#DIV/0!</v>
      </c>
      <c r="E50" s="701" t="e">
        <f t="shared" si="5"/>
        <v>#DIV/0!</v>
      </c>
      <c r="F50" s="701" t="e">
        <f>PV(4.5/100/12,($B$1-$E$1)*12,E12,,1)*(-1)</f>
        <v>#DIV/0!</v>
      </c>
      <c r="G50" s="701" t="e">
        <f>PV(5.5/100/12,($B$1-$E$1)*12,E12,,1)*(-1)</f>
        <v>#DIV/0!</v>
      </c>
      <c r="H50" s="701" t="e">
        <f>PV(6.5/100/12,($B$1-$E$1)*12,E12,,1)*(-1)</f>
        <v>#DIV/0!</v>
      </c>
    </row>
    <row r="51" spans="1:37" ht="24" customHeight="1">
      <c r="A51" s="664"/>
      <c r="B51" s="664"/>
      <c r="C51" s="664"/>
      <c r="D51" s="664"/>
      <c r="E51" s="664"/>
      <c r="F51" s="664"/>
      <c r="G51" s="664"/>
      <c r="H51" s="664"/>
    </row>
    <row r="52" spans="1:37">
      <c r="A52" s="665" t="s">
        <v>811</v>
      </c>
      <c r="B52" s="666" t="s">
        <v>600</v>
      </c>
      <c r="C52" s="667" t="s">
        <v>796</v>
      </c>
      <c r="D52" s="668" t="s">
        <v>604</v>
      </c>
      <c r="E52" s="669" t="s">
        <v>603</v>
      </c>
      <c r="F52" s="670" t="s">
        <v>602</v>
      </c>
      <c r="G52" s="671" t="s">
        <v>601</v>
      </c>
      <c r="H52" s="632"/>
      <c r="I52" s="632"/>
    </row>
    <row r="53" spans="1:37" ht="12.75" customHeight="1">
      <c r="A53" s="672"/>
      <c r="B53" s="672"/>
      <c r="C53" s="672"/>
      <c r="D53" s="664"/>
      <c r="E53" s="664"/>
      <c r="F53" s="664"/>
      <c r="G53" s="664"/>
      <c r="H53" s="664"/>
      <c r="I53" s="632"/>
    </row>
    <row r="54" spans="1:37" ht="12.75" customHeight="1">
      <c r="A54" s="673" t="s">
        <v>812</v>
      </c>
      <c r="B54" s="702">
        <f>B1</f>
        <v>90</v>
      </c>
      <c r="C54" s="672"/>
      <c r="D54" s="664"/>
      <c r="E54" s="664"/>
      <c r="F54" s="664"/>
      <c r="G54" s="664"/>
      <c r="H54" s="664"/>
      <c r="I54" s="632"/>
    </row>
    <row r="55" spans="1:37" ht="12.75" customHeight="1">
      <c r="A55" s="675"/>
      <c r="B55" s="675"/>
      <c r="C55" s="675"/>
      <c r="D55" s="632"/>
      <c r="E55" s="632"/>
      <c r="F55" s="632"/>
      <c r="G55" s="632"/>
      <c r="H55" s="632"/>
      <c r="I55" s="632"/>
    </row>
    <row r="56" spans="1:37">
      <c r="A56" s="632" t="s">
        <v>813</v>
      </c>
      <c r="B56" s="676" t="s">
        <v>814</v>
      </c>
      <c r="C56" s="632" t="s">
        <v>815</v>
      </c>
      <c r="D56" s="632" t="s">
        <v>817</v>
      </c>
      <c r="E56" s="632" t="s">
        <v>817</v>
      </c>
      <c r="F56" s="632" t="s">
        <v>818</v>
      </c>
      <c r="G56" s="632" t="s">
        <v>819</v>
      </c>
      <c r="H56" s="632" t="s">
        <v>820</v>
      </c>
      <c r="I56" s="632"/>
    </row>
    <row r="57" spans="1:37">
      <c r="A57" s="677" t="e">
        <f t="shared" ref="A57:H57" si="9">A43+$D$5</f>
        <v>#DIV/0!</v>
      </c>
      <c r="B57" s="677" t="e">
        <f t="shared" si="9"/>
        <v>#DIV/0!</v>
      </c>
      <c r="C57" s="677" t="e">
        <f t="shared" si="9"/>
        <v>#DIV/0!</v>
      </c>
      <c r="D57" s="677" t="e">
        <f t="shared" si="9"/>
        <v>#DIV/0!</v>
      </c>
      <c r="E57" s="677" t="e">
        <f t="shared" si="9"/>
        <v>#DIV/0!</v>
      </c>
      <c r="F57" s="677" t="e">
        <f t="shared" si="9"/>
        <v>#DIV/0!</v>
      </c>
      <c r="G57" s="677" t="e">
        <f t="shared" si="9"/>
        <v>#DIV/0!</v>
      </c>
      <c r="H57" s="677" t="e">
        <f t="shared" si="9"/>
        <v>#DIV/0!</v>
      </c>
      <c r="I57" s="632"/>
    </row>
    <row r="58" spans="1:37">
      <c r="A58" s="678" t="e">
        <f t="shared" ref="A58:H58" si="10">A44+$D$6</f>
        <v>#DIV/0!</v>
      </c>
      <c r="B58" s="678" t="e">
        <f t="shared" si="10"/>
        <v>#DIV/0!</v>
      </c>
      <c r="C58" s="678" t="e">
        <f t="shared" si="10"/>
        <v>#DIV/0!</v>
      </c>
      <c r="D58" s="678" t="e">
        <f t="shared" si="10"/>
        <v>#DIV/0!</v>
      </c>
      <c r="E58" s="678" t="e">
        <f t="shared" si="10"/>
        <v>#DIV/0!</v>
      </c>
      <c r="F58" s="678" t="e">
        <f t="shared" si="10"/>
        <v>#DIV/0!</v>
      </c>
      <c r="G58" s="678" t="e">
        <f t="shared" si="10"/>
        <v>#DIV/0!</v>
      </c>
      <c r="H58" s="678" t="e">
        <f t="shared" si="10"/>
        <v>#DIV/0!</v>
      </c>
      <c r="I58" s="632"/>
    </row>
    <row r="59" spans="1:37">
      <c r="A59" s="679" t="e">
        <f t="shared" ref="A59:H59" si="11">A45+$D$7</f>
        <v>#DIV/0!</v>
      </c>
      <c r="B59" s="679" t="e">
        <f t="shared" si="11"/>
        <v>#DIV/0!</v>
      </c>
      <c r="C59" s="679" t="e">
        <f t="shared" si="11"/>
        <v>#DIV/0!</v>
      </c>
      <c r="D59" s="679" t="e">
        <f t="shared" si="11"/>
        <v>#DIV/0!</v>
      </c>
      <c r="E59" s="679" t="e">
        <f t="shared" si="11"/>
        <v>#DIV/0!</v>
      </c>
      <c r="F59" s="679" t="e">
        <f t="shared" si="11"/>
        <v>#DIV/0!</v>
      </c>
      <c r="G59" s="679" t="e">
        <f t="shared" si="11"/>
        <v>#DIV/0!</v>
      </c>
      <c r="H59" s="679" t="e">
        <f t="shared" si="11"/>
        <v>#DIV/0!</v>
      </c>
      <c r="I59" s="684"/>
      <c r="J59" s="684"/>
    </row>
    <row r="60" spans="1:37" s="634" customFormat="1">
      <c r="A60" s="680" t="e">
        <f t="shared" ref="A60:H60" si="12">A46+$D$8</f>
        <v>#DIV/0!</v>
      </c>
      <c r="B60" s="680" t="e">
        <f t="shared" si="12"/>
        <v>#DIV/0!</v>
      </c>
      <c r="C60" s="680" t="e">
        <f t="shared" si="12"/>
        <v>#DIV/0!</v>
      </c>
      <c r="D60" s="680" t="e">
        <f t="shared" si="12"/>
        <v>#DIV/0!</v>
      </c>
      <c r="E60" s="680" t="e">
        <f t="shared" si="12"/>
        <v>#DIV/0!</v>
      </c>
      <c r="F60" s="680" t="e">
        <f t="shared" si="12"/>
        <v>#DIV/0!</v>
      </c>
      <c r="G60" s="680" t="e">
        <f t="shared" si="12"/>
        <v>#DIV/0!</v>
      </c>
      <c r="H60" s="680" t="e">
        <f t="shared" si="12"/>
        <v>#DIV/0!</v>
      </c>
      <c r="I60" s="684"/>
      <c r="J60" s="684"/>
      <c r="K60" s="681"/>
    </row>
    <row r="61" spans="1:37" s="685" customFormat="1">
      <c r="A61" s="682" t="e">
        <f>A47+$D$9</f>
        <v>#DIV/0!</v>
      </c>
      <c r="B61" s="682" t="e">
        <f t="shared" ref="B61:H61" si="13">B47+$D$9</f>
        <v>#DIV/0!</v>
      </c>
      <c r="C61" s="682" t="e">
        <f t="shared" si="13"/>
        <v>#DIV/0!</v>
      </c>
      <c r="D61" s="682" t="e">
        <f t="shared" si="13"/>
        <v>#DIV/0!</v>
      </c>
      <c r="E61" s="682" t="e">
        <f t="shared" si="13"/>
        <v>#DIV/0!</v>
      </c>
      <c r="F61" s="682" t="e">
        <f t="shared" si="13"/>
        <v>#DIV/0!</v>
      </c>
      <c r="G61" s="682" t="e">
        <f t="shared" si="13"/>
        <v>#DIV/0!</v>
      </c>
      <c r="H61" s="682" t="e">
        <f t="shared" si="13"/>
        <v>#DIV/0!</v>
      </c>
      <c r="I61" s="684"/>
      <c r="J61" s="684"/>
      <c r="K61" s="683"/>
      <c r="L61" s="684"/>
      <c r="M61" s="684"/>
      <c r="N61" s="684"/>
      <c r="O61" s="684"/>
      <c r="P61" s="684"/>
      <c r="Q61" s="684"/>
      <c r="R61" s="684"/>
      <c r="S61" s="684"/>
      <c r="T61" s="684"/>
      <c r="U61" s="684"/>
      <c r="V61" s="684"/>
      <c r="W61" s="684"/>
      <c r="X61" s="684"/>
      <c r="Y61" s="684"/>
      <c r="Z61" s="684"/>
      <c r="AA61" s="684"/>
      <c r="AB61" s="684"/>
      <c r="AC61" s="684"/>
      <c r="AD61" s="684"/>
      <c r="AE61" s="684"/>
      <c r="AF61" s="684"/>
      <c r="AG61" s="684"/>
      <c r="AH61" s="684"/>
      <c r="AI61" s="684"/>
      <c r="AJ61" s="684"/>
      <c r="AK61" s="684"/>
    </row>
    <row r="62" spans="1:37" s="687" customFormat="1">
      <c r="A62" s="686" t="e">
        <f t="shared" ref="A62:H62" si="14">A48+$D$10</f>
        <v>#DIV/0!</v>
      </c>
      <c r="B62" s="686" t="e">
        <f t="shared" si="14"/>
        <v>#DIV/0!</v>
      </c>
      <c r="C62" s="686" t="e">
        <f t="shared" si="14"/>
        <v>#DIV/0!</v>
      </c>
      <c r="D62" s="686" t="e">
        <f t="shared" si="14"/>
        <v>#DIV/0!</v>
      </c>
      <c r="E62" s="686" t="e">
        <f t="shared" si="14"/>
        <v>#DIV/0!</v>
      </c>
      <c r="F62" s="686" t="e">
        <f t="shared" si="14"/>
        <v>#DIV/0!</v>
      </c>
      <c r="G62" s="686" t="e">
        <f t="shared" si="14"/>
        <v>#DIV/0!</v>
      </c>
      <c r="H62" s="686" t="e">
        <f t="shared" si="14"/>
        <v>#DIV/0!</v>
      </c>
      <c r="I62" s="684"/>
      <c r="J62" s="684"/>
      <c r="K62" s="683"/>
      <c r="L62" s="684"/>
      <c r="M62" s="684"/>
      <c r="N62" s="684"/>
      <c r="O62" s="684"/>
      <c r="P62" s="684"/>
      <c r="Q62" s="684"/>
      <c r="R62" s="684"/>
      <c r="S62" s="684"/>
      <c r="T62" s="684"/>
      <c r="U62" s="684"/>
      <c r="V62" s="684"/>
      <c r="W62" s="684"/>
      <c r="X62" s="684"/>
      <c r="Y62" s="684"/>
      <c r="Z62" s="684"/>
      <c r="AA62" s="684"/>
      <c r="AB62" s="684"/>
      <c r="AC62" s="684"/>
      <c r="AD62" s="684"/>
      <c r="AE62" s="684"/>
      <c r="AF62" s="684"/>
      <c r="AG62" s="684"/>
      <c r="AH62" s="684"/>
      <c r="AI62" s="684"/>
      <c r="AJ62" s="684"/>
      <c r="AK62" s="684"/>
    </row>
    <row r="63" spans="1:37" s="705" customFormat="1">
      <c r="A63" s="703" t="e">
        <f t="shared" ref="A63:H64" si="15">A49+$D$11</f>
        <v>#DIV/0!</v>
      </c>
      <c r="B63" s="703" t="e">
        <f t="shared" si="15"/>
        <v>#DIV/0!</v>
      </c>
      <c r="C63" s="703" t="e">
        <f t="shared" si="15"/>
        <v>#DIV/0!</v>
      </c>
      <c r="D63" s="703" t="e">
        <f t="shared" si="15"/>
        <v>#DIV/0!</v>
      </c>
      <c r="E63" s="703" t="e">
        <f t="shared" si="15"/>
        <v>#DIV/0!</v>
      </c>
      <c r="F63" s="703" t="e">
        <f t="shared" si="15"/>
        <v>#DIV/0!</v>
      </c>
      <c r="G63" s="703" t="e">
        <f t="shared" si="15"/>
        <v>#DIV/0!</v>
      </c>
      <c r="H63" s="703" t="e">
        <f t="shared" si="15"/>
        <v>#DIV/0!</v>
      </c>
      <c r="I63" s="684"/>
      <c r="J63" s="684"/>
      <c r="K63" s="704"/>
    </row>
    <row r="64" spans="1:37" s="707" customFormat="1">
      <c r="A64" s="706" t="e">
        <f t="shared" si="15"/>
        <v>#DIV/0!</v>
      </c>
      <c r="B64" s="706" t="e">
        <f t="shared" si="15"/>
        <v>#DIV/0!</v>
      </c>
      <c r="C64" s="706" t="e">
        <f t="shared" si="15"/>
        <v>#DIV/0!</v>
      </c>
      <c r="D64" s="706" t="e">
        <f t="shared" si="15"/>
        <v>#DIV/0!</v>
      </c>
      <c r="E64" s="706" t="e">
        <f t="shared" si="15"/>
        <v>#DIV/0!</v>
      </c>
      <c r="F64" s="706" t="e">
        <f t="shared" si="15"/>
        <v>#DIV/0!</v>
      </c>
      <c r="G64" s="706" t="e">
        <f t="shared" si="15"/>
        <v>#DIV/0!</v>
      </c>
      <c r="H64" s="706" t="e">
        <f t="shared" si="15"/>
        <v>#DIV/0!</v>
      </c>
      <c r="I64" s="684"/>
      <c r="J64" s="684"/>
    </row>
    <row r="65" spans="1:10">
      <c r="A65" s="632"/>
      <c r="B65" s="632"/>
      <c r="C65" s="632"/>
      <c r="D65" s="632"/>
      <c r="E65" s="632"/>
      <c r="F65" s="632"/>
      <c r="G65" s="632"/>
      <c r="H65" s="632"/>
      <c r="I65" s="684"/>
      <c r="J65" s="684"/>
    </row>
    <row r="66" spans="1:10">
      <c r="A66" s="632"/>
      <c r="B66" s="632"/>
      <c r="C66" s="632"/>
      <c r="D66" s="632"/>
      <c r="E66" s="632"/>
      <c r="F66" s="632"/>
      <c r="G66" s="632"/>
      <c r="H66" s="632"/>
      <c r="I66" s="632"/>
    </row>
    <row r="67" spans="1:10">
      <c r="A67" s="632"/>
      <c r="B67" s="632"/>
      <c r="C67" s="632"/>
      <c r="D67" s="632"/>
      <c r="E67" s="632"/>
      <c r="F67" s="632"/>
      <c r="G67" s="632"/>
      <c r="H67" s="632"/>
      <c r="I67" s="632"/>
    </row>
    <row r="68" spans="1:10">
      <c r="A68" s="632"/>
      <c r="B68" s="632"/>
      <c r="C68" s="632"/>
      <c r="D68" s="632"/>
      <c r="E68" s="632"/>
      <c r="F68" s="632"/>
      <c r="G68" s="632"/>
      <c r="H68" s="632"/>
      <c r="I68" s="632"/>
    </row>
    <row r="69" spans="1:10">
      <c r="A69" s="632"/>
      <c r="B69" s="632"/>
      <c r="C69" s="632"/>
      <c r="D69" s="632"/>
      <c r="E69" s="632"/>
      <c r="F69" s="632"/>
      <c r="G69" s="632"/>
      <c r="H69" s="632"/>
      <c r="I69" s="632"/>
    </row>
    <row r="70" spans="1:10">
      <c r="A70" s="632"/>
      <c r="B70" s="632"/>
      <c r="C70" s="632"/>
      <c r="D70" s="632"/>
      <c r="E70" s="632"/>
      <c r="F70" s="632"/>
      <c r="G70" s="632"/>
      <c r="H70" s="632"/>
      <c r="I70" s="632"/>
    </row>
    <row r="71" spans="1:10">
      <c r="A71" s="632"/>
      <c r="B71" s="632"/>
      <c r="C71" s="632"/>
      <c r="D71" s="632"/>
      <c r="E71" s="632"/>
      <c r="F71" s="632"/>
      <c r="G71" s="632"/>
      <c r="H71" s="632"/>
      <c r="I71" s="632"/>
    </row>
    <row r="72" spans="1:10">
      <c r="A72" s="632"/>
      <c r="B72" s="632"/>
      <c r="C72" s="632"/>
      <c r="D72" s="632"/>
      <c r="E72" s="632"/>
      <c r="F72" s="632"/>
      <c r="G72" s="632"/>
      <c r="H72" s="632"/>
      <c r="I72" s="632"/>
    </row>
    <row r="73" spans="1:10">
      <c r="A73" s="632"/>
      <c r="B73" s="632"/>
      <c r="C73" s="632"/>
      <c r="D73" s="632"/>
      <c r="E73" s="632"/>
      <c r="F73" s="632"/>
      <c r="G73" s="632"/>
      <c r="H73" s="632"/>
      <c r="I73" s="632"/>
    </row>
    <row r="74" spans="1:10">
      <c r="A74" s="632"/>
      <c r="B74" s="632"/>
      <c r="C74" s="632"/>
      <c r="D74" s="632"/>
      <c r="E74" s="632"/>
      <c r="F74" s="632"/>
      <c r="G74" s="632"/>
      <c r="H74" s="632"/>
      <c r="I74" s="632"/>
    </row>
    <row r="75" spans="1:10">
      <c r="A75" s="632"/>
      <c r="B75" s="632"/>
      <c r="C75" s="632"/>
      <c r="D75" s="632"/>
      <c r="E75" s="632"/>
      <c r="F75" s="632"/>
      <c r="G75" s="632"/>
      <c r="H75" s="632"/>
      <c r="I75" s="632"/>
    </row>
    <row r="76" spans="1:10">
      <c r="A76" s="632"/>
      <c r="B76" s="632"/>
      <c r="C76" s="632"/>
      <c r="D76" s="632"/>
      <c r="E76" s="632"/>
      <c r="F76" s="632"/>
      <c r="G76" s="632"/>
      <c r="H76" s="632"/>
      <c r="I76" s="632"/>
    </row>
    <row r="77" spans="1:10">
      <c r="A77" s="632"/>
      <c r="B77" s="632"/>
      <c r="C77" s="632"/>
      <c r="D77" s="632"/>
      <c r="E77" s="632"/>
      <c r="F77" s="632"/>
      <c r="G77" s="632"/>
      <c r="H77" s="632"/>
      <c r="I77" s="632"/>
    </row>
    <row r="78" spans="1:10">
      <c r="A78" s="632"/>
      <c r="B78" s="632"/>
      <c r="C78" s="632"/>
      <c r="D78" s="632"/>
      <c r="E78" s="632"/>
      <c r="F78" s="632"/>
      <c r="G78" s="632"/>
      <c r="H78" s="632"/>
      <c r="I78" s="632"/>
    </row>
    <row r="79" spans="1:10">
      <c r="A79" s="632"/>
      <c r="B79" s="632"/>
      <c r="C79" s="632"/>
      <c r="D79" s="632"/>
      <c r="E79" s="632"/>
      <c r="F79" s="632"/>
      <c r="G79" s="632"/>
      <c r="H79" s="632"/>
      <c r="I79" s="632"/>
    </row>
    <row r="80" spans="1:10">
      <c r="A80" s="632"/>
      <c r="B80" s="632"/>
      <c r="C80" s="632"/>
      <c r="D80" s="632"/>
      <c r="E80" s="632"/>
      <c r="F80" s="632"/>
      <c r="G80" s="632"/>
      <c r="H80" s="632"/>
      <c r="I80" s="632"/>
    </row>
    <row r="81" spans="1:9">
      <c r="A81" s="632"/>
      <c r="B81" s="632"/>
      <c r="C81" s="632"/>
      <c r="D81" s="632"/>
      <c r="E81" s="632"/>
      <c r="F81" s="632"/>
      <c r="G81" s="632"/>
      <c r="H81" s="632"/>
      <c r="I81" s="632"/>
    </row>
    <row r="82" spans="1:9">
      <c r="A82" s="632"/>
      <c r="B82" s="632"/>
      <c r="C82" s="632"/>
      <c r="D82" s="632"/>
      <c r="E82" s="632"/>
      <c r="F82" s="632"/>
      <c r="G82" s="632"/>
      <c r="H82" s="632"/>
      <c r="I82" s="632"/>
    </row>
    <row r="83" spans="1:9">
      <c r="A83" s="632"/>
      <c r="B83" s="632"/>
      <c r="C83" s="632"/>
      <c r="D83" s="632"/>
      <c r="E83" s="632"/>
      <c r="F83" s="632"/>
      <c r="G83" s="632"/>
      <c r="H83" s="632"/>
      <c r="I83" s="632"/>
    </row>
    <row r="84" spans="1:9">
      <c r="A84" s="632"/>
      <c r="B84" s="632"/>
      <c r="C84" s="632"/>
      <c r="D84" s="632"/>
      <c r="E84" s="632"/>
      <c r="F84" s="632"/>
      <c r="G84" s="632"/>
      <c r="H84" s="632"/>
      <c r="I84" s="632"/>
    </row>
    <row r="85" spans="1:9">
      <c r="A85" s="632"/>
      <c r="B85" s="632"/>
      <c r="C85" s="632"/>
      <c r="D85" s="632"/>
      <c r="E85" s="632"/>
      <c r="F85" s="632"/>
      <c r="G85" s="632"/>
      <c r="H85" s="632"/>
      <c r="I85" s="632"/>
    </row>
    <row r="86" spans="1:9">
      <c r="A86" s="632"/>
      <c r="B86" s="632"/>
      <c r="C86" s="632"/>
      <c r="D86" s="632"/>
      <c r="E86" s="632"/>
      <c r="F86" s="632"/>
      <c r="G86" s="632"/>
      <c r="H86" s="632"/>
      <c r="I86" s="632"/>
    </row>
    <row r="87" spans="1:9">
      <c r="A87" s="632"/>
      <c r="B87" s="632"/>
      <c r="C87" s="632"/>
      <c r="D87" s="632"/>
      <c r="E87" s="632"/>
      <c r="F87" s="632"/>
      <c r="G87" s="632"/>
      <c r="H87" s="632"/>
      <c r="I87" s="632"/>
    </row>
    <row r="88" spans="1:9">
      <c r="A88" s="632"/>
      <c r="B88" s="632"/>
      <c r="C88" s="632"/>
      <c r="D88" s="632"/>
      <c r="E88" s="632"/>
      <c r="F88" s="632"/>
      <c r="G88" s="632"/>
      <c r="H88" s="632"/>
      <c r="I88" s="632"/>
    </row>
    <row r="89" spans="1:9">
      <c r="A89" s="632"/>
      <c r="B89" s="632"/>
      <c r="C89" s="632"/>
      <c r="D89" s="632"/>
      <c r="E89" s="632"/>
      <c r="F89" s="632"/>
      <c r="G89" s="632"/>
      <c r="H89" s="632"/>
      <c r="I89" s="632"/>
    </row>
    <row r="90" spans="1:9">
      <c r="A90" s="632"/>
      <c r="B90" s="632"/>
      <c r="C90" s="632"/>
      <c r="D90" s="632"/>
      <c r="E90" s="632"/>
      <c r="F90" s="632"/>
      <c r="G90" s="632"/>
      <c r="H90" s="632"/>
      <c r="I90" s="632"/>
    </row>
    <row r="91" spans="1:9">
      <c r="A91" s="632"/>
      <c r="B91" s="688"/>
      <c r="C91" s="688"/>
      <c r="D91" s="632"/>
      <c r="E91" s="632"/>
      <c r="F91" s="632"/>
      <c r="G91" s="632"/>
      <c r="H91" s="632"/>
      <c r="I91" s="632"/>
    </row>
    <row r="92" spans="1:9">
      <c r="A92" s="665" t="s">
        <v>811</v>
      </c>
      <c r="B92" s="666" t="s">
        <v>600</v>
      </c>
      <c r="C92" s="667" t="s">
        <v>796</v>
      </c>
      <c r="D92" s="668" t="s">
        <v>604</v>
      </c>
      <c r="E92" s="669" t="s">
        <v>603</v>
      </c>
      <c r="F92" s="670" t="s">
        <v>602</v>
      </c>
      <c r="G92" s="671" t="s">
        <v>601</v>
      </c>
      <c r="H92" s="632"/>
      <c r="I92" s="632"/>
    </row>
    <row r="93" spans="1:9">
      <c r="A93" s="632"/>
      <c r="B93" s="632"/>
      <c r="C93" s="632"/>
      <c r="D93" s="632"/>
      <c r="E93" s="632"/>
      <c r="F93" s="632"/>
      <c r="G93" s="632"/>
      <c r="H93" s="632"/>
      <c r="I93" s="632"/>
    </row>
    <row r="94" spans="1:9">
      <c r="A94" s="632"/>
      <c r="B94" s="632"/>
      <c r="C94" s="632"/>
      <c r="D94" s="632"/>
      <c r="E94" s="632"/>
      <c r="F94" s="632"/>
      <c r="G94" s="632"/>
      <c r="H94" s="632"/>
      <c r="I94" s="632"/>
    </row>
    <row r="95" spans="1:9">
      <c r="A95" s="632"/>
      <c r="B95" s="632"/>
      <c r="C95" s="632"/>
      <c r="D95" s="632"/>
      <c r="E95" s="632"/>
      <c r="F95" s="632"/>
      <c r="G95" s="632"/>
      <c r="H95" s="632"/>
      <c r="I95" s="632"/>
    </row>
    <row r="96" spans="1:9">
      <c r="A96" s="632"/>
      <c r="B96" s="632"/>
      <c r="C96" s="1064">
        <f>'[1]נתוני יסוד'!B1</f>
        <v>0</v>
      </c>
      <c r="D96" s="1064"/>
      <c r="E96" s="1064"/>
      <c r="F96" s="632"/>
      <c r="G96" s="632"/>
      <c r="H96" s="632"/>
      <c r="I96" s="632"/>
    </row>
    <row r="97" spans="1:9">
      <c r="A97" s="632"/>
      <c r="B97" s="632"/>
      <c r="C97" s="1064"/>
      <c r="D97" s="1064"/>
      <c r="E97" s="1064"/>
      <c r="F97" s="632"/>
      <c r="G97" s="632"/>
      <c r="H97" s="632"/>
      <c r="I97" s="632"/>
    </row>
    <row r="98" spans="1:9">
      <c r="A98" s="632"/>
      <c r="B98" s="632"/>
      <c r="C98" s="632"/>
      <c r="D98" s="632"/>
      <c r="E98" s="632"/>
      <c r="F98" s="632"/>
      <c r="G98" s="632"/>
      <c r="H98" s="632"/>
      <c r="I98" s="632"/>
    </row>
    <row r="99" spans="1:9">
      <c r="A99" s="632"/>
      <c r="B99" s="632"/>
      <c r="C99" s="632"/>
      <c r="D99" s="632"/>
      <c r="E99" s="632"/>
      <c r="F99" s="632"/>
      <c r="G99" s="632"/>
      <c r="H99" s="632"/>
      <c r="I99" s="632"/>
    </row>
    <row r="100" spans="1:9">
      <c r="A100" s="632"/>
      <c r="B100" s="632"/>
      <c r="C100" s="632"/>
      <c r="D100" s="632"/>
      <c r="E100" s="632"/>
      <c r="F100" s="632"/>
      <c r="G100" s="632"/>
      <c r="H100" s="632"/>
      <c r="I100" s="632"/>
    </row>
    <row r="101" spans="1:9">
      <c r="A101" s="632"/>
      <c r="B101" s="632"/>
      <c r="C101" s="632"/>
      <c r="D101" s="632"/>
      <c r="E101" s="632"/>
      <c r="F101" s="632"/>
      <c r="G101" s="632"/>
      <c r="H101" s="632"/>
      <c r="I101" s="632"/>
    </row>
    <row r="102" spans="1:9">
      <c r="A102" s="632"/>
      <c r="B102" s="632"/>
      <c r="C102" s="632"/>
      <c r="D102" s="632"/>
      <c r="E102" s="632"/>
      <c r="F102" s="632"/>
      <c r="G102" s="632"/>
      <c r="H102" s="632"/>
      <c r="I102" s="632"/>
    </row>
    <row r="103" spans="1:9">
      <c r="A103" s="632"/>
      <c r="B103" s="632"/>
      <c r="C103" s="632"/>
      <c r="D103" s="632"/>
      <c r="E103" s="632"/>
      <c r="F103" s="632"/>
      <c r="G103" s="632"/>
      <c r="H103" s="632"/>
      <c r="I103" s="632"/>
    </row>
  </sheetData>
  <mergeCells count="2">
    <mergeCell ref="A3:B3"/>
    <mergeCell ref="C96:E97"/>
  </mergeCell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Worksheet______54"/>
  <dimension ref="A1:AB348"/>
  <sheetViews>
    <sheetView rightToLeft="1" workbookViewId="0">
      <selection activeCell="N17" sqref="N17"/>
    </sheetView>
  </sheetViews>
  <sheetFormatPr defaultRowHeight="12.75"/>
  <cols>
    <col min="1" max="1" width="11" style="689" customWidth="1"/>
    <col min="2" max="3" width="18.42578125" style="689" customWidth="1"/>
    <col min="4" max="4" width="11" style="689" customWidth="1"/>
    <col min="5" max="5" width="11.140625" style="689" customWidth="1"/>
    <col min="6" max="6" width="10.42578125" bestFit="1" customWidth="1"/>
    <col min="7" max="7" width="11.140625" style="689" customWidth="1"/>
    <col min="8" max="8" width="10" style="689" customWidth="1"/>
    <col min="9" max="9" width="12.28515625" style="689" customWidth="1"/>
    <col min="10" max="10" width="10.28515625" style="689" customWidth="1"/>
    <col min="11" max="11" width="9.85546875" style="689" bestFit="1" customWidth="1"/>
    <col min="12" max="13" width="12.85546875" style="689" customWidth="1"/>
    <col min="14" max="14" width="13.5703125" style="689" customWidth="1"/>
    <col min="15" max="15" width="11.42578125" style="689" customWidth="1"/>
    <col min="16" max="16" width="9.140625" style="689"/>
    <col min="17" max="17" width="22" style="689" customWidth="1"/>
    <col min="18" max="16384" width="9.140625" style="689"/>
  </cols>
  <sheetData>
    <row r="1" spans="1:28" s="710" customFormat="1" ht="35.25" customHeight="1">
      <c r="A1" s="709">
        <v>7</v>
      </c>
      <c r="B1" s="1066" t="s">
        <v>823</v>
      </c>
      <c r="C1" s="1066"/>
      <c r="D1" s="1067"/>
      <c r="E1" s="1067"/>
      <c r="F1" s="1067"/>
      <c r="G1" s="1067"/>
      <c r="H1" s="1067"/>
      <c r="J1" s="710" t="s">
        <v>824</v>
      </c>
      <c r="Y1" s="710" t="s">
        <v>825</v>
      </c>
      <c r="Z1" s="710" t="s">
        <v>271</v>
      </c>
      <c r="AA1" s="710" t="s">
        <v>615</v>
      </c>
      <c r="AB1" s="710" t="s">
        <v>618</v>
      </c>
    </row>
    <row r="2" spans="1:28" s="713" customFormat="1" ht="27" customHeight="1">
      <c r="A2" s="711"/>
      <c r="B2" s="711" t="s">
        <v>826</v>
      </c>
      <c r="C2" s="711"/>
      <c r="D2" s="711"/>
      <c r="E2" s="711" t="s">
        <v>27</v>
      </c>
      <c r="F2" s="712"/>
      <c r="G2" s="711"/>
      <c r="H2" s="711"/>
      <c r="I2" s="711"/>
      <c r="J2" s="711"/>
      <c r="K2" s="711"/>
      <c r="L2" s="711" t="s">
        <v>827</v>
      </c>
      <c r="M2" s="711" t="s">
        <v>827</v>
      </c>
      <c r="N2" s="711" t="s">
        <v>827</v>
      </c>
      <c r="O2" s="711" t="s">
        <v>634</v>
      </c>
      <c r="P2" s="711"/>
    </row>
    <row r="3" spans="1:28">
      <c r="A3" s="714" t="s">
        <v>828</v>
      </c>
      <c r="B3" s="714" t="s">
        <v>829</v>
      </c>
      <c r="C3" s="714" t="s">
        <v>830</v>
      </c>
      <c r="D3" s="714" t="s">
        <v>831</v>
      </c>
      <c r="E3" s="714" t="s">
        <v>832</v>
      </c>
      <c r="F3" s="714" t="s">
        <v>833</v>
      </c>
      <c r="G3" s="714" t="s">
        <v>834</v>
      </c>
      <c r="H3" s="714" t="s">
        <v>835</v>
      </c>
      <c r="I3" s="714" t="s">
        <v>836</v>
      </c>
      <c r="J3" s="714" t="s">
        <v>837</v>
      </c>
      <c r="K3" s="714"/>
      <c r="L3" s="714" t="s">
        <v>838</v>
      </c>
      <c r="M3" s="714" t="s">
        <v>839</v>
      </c>
      <c r="N3" s="714" t="s">
        <v>840</v>
      </c>
      <c r="O3" s="714" t="s">
        <v>841</v>
      </c>
      <c r="P3" s="714"/>
      <c r="Q3" s="714" t="s">
        <v>842</v>
      </c>
      <c r="R3" s="714" t="s">
        <v>843</v>
      </c>
    </row>
    <row r="4" spans="1:28">
      <c r="A4" s="714">
        <v>370</v>
      </c>
      <c r="B4" s="714" t="s">
        <v>844</v>
      </c>
      <c r="C4" s="714" t="s">
        <v>271</v>
      </c>
      <c r="D4" s="715">
        <v>7.5</v>
      </c>
      <c r="E4" s="716"/>
      <c r="F4" s="717"/>
      <c r="G4" s="715">
        <v>7.5</v>
      </c>
      <c r="H4" s="716"/>
      <c r="I4" s="715">
        <v>0.01</v>
      </c>
      <c r="J4" s="716"/>
      <c r="K4" s="622"/>
      <c r="L4" s="622">
        <f t="shared" ref="L4:L32" si="0">J4/I4*100</f>
        <v>0</v>
      </c>
      <c r="M4" s="622">
        <f t="shared" ref="M4:M32" si="1">IF(OR(C4=$AA$1,C4=$AB$1),E4/D4*100,0)</f>
        <v>0</v>
      </c>
      <c r="N4" s="622">
        <f t="shared" ref="N4:N32" si="2">IF(C4=$Z$1,E4/D4*100,0)</f>
        <v>0</v>
      </c>
      <c r="O4" s="622">
        <f t="shared" ref="O4:O32" si="3">H4/G4*100</f>
        <v>0</v>
      </c>
      <c r="P4" s="689" t="s">
        <v>845</v>
      </c>
      <c r="Q4" s="714"/>
      <c r="R4" s="714"/>
    </row>
    <row r="5" spans="1:28">
      <c r="A5" s="714">
        <v>390</v>
      </c>
      <c r="B5" s="714" t="s">
        <v>846</v>
      </c>
      <c r="C5" s="714" t="s">
        <v>271</v>
      </c>
      <c r="D5" s="715">
        <v>5</v>
      </c>
      <c r="E5" s="716"/>
      <c r="F5" s="717">
        <f>E5</f>
        <v>0</v>
      </c>
      <c r="G5" s="715">
        <v>5</v>
      </c>
      <c r="H5" s="716"/>
      <c r="I5" s="715">
        <v>8.33</v>
      </c>
      <c r="J5" s="716"/>
      <c r="K5" s="622"/>
      <c r="L5" s="622">
        <f t="shared" si="0"/>
        <v>0</v>
      </c>
      <c r="M5" s="622">
        <f t="shared" si="1"/>
        <v>0</v>
      </c>
      <c r="N5" s="622">
        <f t="shared" si="2"/>
        <v>0</v>
      </c>
      <c r="O5" s="622">
        <f t="shared" si="3"/>
        <v>0</v>
      </c>
      <c r="P5" s="689" t="s">
        <v>845</v>
      </c>
      <c r="Q5" s="714"/>
      <c r="R5" s="714"/>
    </row>
    <row r="6" spans="1:28">
      <c r="A6" s="714">
        <v>402</v>
      </c>
      <c r="B6" s="714" t="s">
        <v>847</v>
      </c>
      <c r="C6" s="714" t="s">
        <v>271</v>
      </c>
      <c r="D6" s="715">
        <v>5</v>
      </c>
      <c r="E6" s="716"/>
      <c r="F6" s="717">
        <f>E6</f>
        <v>0</v>
      </c>
      <c r="G6" s="715">
        <v>5</v>
      </c>
      <c r="H6" s="716"/>
      <c r="I6" s="715">
        <v>8.5</v>
      </c>
      <c r="J6" s="716"/>
      <c r="K6" s="622"/>
      <c r="L6" s="622">
        <f t="shared" si="0"/>
        <v>0</v>
      </c>
      <c r="M6" s="622">
        <f t="shared" si="1"/>
        <v>0</v>
      </c>
      <c r="N6" s="622">
        <f t="shared" si="2"/>
        <v>0</v>
      </c>
      <c r="O6" s="622">
        <f t="shared" si="3"/>
        <v>0</v>
      </c>
      <c r="P6" s="689" t="s">
        <v>845</v>
      </c>
      <c r="Q6" s="714"/>
      <c r="R6" s="714"/>
    </row>
    <row r="7" spans="1:28">
      <c r="A7" s="714">
        <v>416</v>
      </c>
      <c r="B7" s="714" t="s">
        <v>848</v>
      </c>
      <c r="C7" s="714" t="s">
        <v>615</v>
      </c>
      <c r="D7" s="715">
        <v>6</v>
      </c>
      <c r="E7" s="716"/>
      <c r="F7" s="717">
        <f>5/6*E7</f>
        <v>0</v>
      </c>
      <c r="G7" s="715">
        <v>5.5</v>
      </c>
      <c r="H7" s="716"/>
      <c r="I7" s="715">
        <v>8.33</v>
      </c>
      <c r="J7" s="716"/>
      <c r="K7" s="622"/>
      <c r="L7" s="622">
        <f t="shared" si="0"/>
        <v>0</v>
      </c>
      <c r="M7" s="622">
        <f t="shared" si="1"/>
        <v>0</v>
      </c>
      <c r="N7" s="622">
        <f t="shared" si="2"/>
        <v>0</v>
      </c>
      <c r="O7" s="622">
        <f t="shared" si="3"/>
        <v>0</v>
      </c>
      <c r="P7" s="689" t="s">
        <v>538</v>
      </c>
      <c r="Q7" s="714"/>
      <c r="R7" s="714"/>
    </row>
    <row r="8" spans="1:28">
      <c r="A8" s="714">
        <v>791</v>
      </c>
      <c r="B8" s="714" t="s">
        <v>849</v>
      </c>
      <c r="C8" s="714" t="s">
        <v>825</v>
      </c>
      <c r="D8" s="715">
        <v>1</v>
      </c>
      <c r="E8" s="718"/>
      <c r="F8" s="717"/>
      <c r="G8" s="715">
        <v>0.5</v>
      </c>
      <c r="H8" s="716"/>
      <c r="I8" s="715">
        <v>0.01</v>
      </c>
      <c r="J8" s="716"/>
      <c r="K8" s="622"/>
      <c r="L8" s="622">
        <f>J8/I8*100</f>
        <v>0</v>
      </c>
      <c r="M8" s="622">
        <f>IF(OR(C8=$AA$1,C8=$AB$1),E8/D8*100,0)</f>
        <v>0</v>
      </c>
      <c r="N8" s="622">
        <f>IF(C8=$Z$1,E8/D8*100,0)</f>
        <v>0</v>
      </c>
      <c r="O8" s="622">
        <f t="shared" si="3"/>
        <v>0</v>
      </c>
      <c r="P8" s="689" t="s">
        <v>850</v>
      </c>
      <c r="Q8" s="714"/>
      <c r="R8" s="714"/>
    </row>
    <row r="9" spans="1:28">
      <c r="A9" s="714">
        <v>792</v>
      </c>
      <c r="B9" s="714" t="s">
        <v>851</v>
      </c>
      <c r="C9" s="714" t="s">
        <v>825</v>
      </c>
      <c r="D9" s="715">
        <v>2.5</v>
      </c>
      <c r="E9" s="718"/>
      <c r="F9" s="717"/>
      <c r="G9" s="715">
        <v>2.5</v>
      </c>
      <c r="H9" s="716"/>
      <c r="I9" s="715">
        <v>0.01</v>
      </c>
      <c r="J9" s="716"/>
      <c r="K9" s="622"/>
      <c r="L9" s="622">
        <f t="shared" si="0"/>
        <v>0</v>
      </c>
      <c r="M9" s="622">
        <f t="shared" si="1"/>
        <v>0</v>
      </c>
      <c r="N9" s="622">
        <f t="shared" si="2"/>
        <v>0</v>
      </c>
      <c r="O9" s="622">
        <f t="shared" si="3"/>
        <v>0</v>
      </c>
      <c r="P9" s="689" t="s">
        <v>850</v>
      </c>
      <c r="Q9" s="714"/>
      <c r="R9" s="714"/>
    </row>
    <row r="10" spans="1:28">
      <c r="A10" s="714">
        <v>793</v>
      </c>
      <c r="B10" s="714" t="s">
        <v>852</v>
      </c>
      <c r="C10" s="714" t="s">
        <v>825</v>
      </c>
      <c r="D10" s="715">
        <v>1</v>
      </c>
      <c r="E10" s="718"/>
      <c r="F10" s="717"/>
      <c r="G10" s="715">
        <v>0.5</v>
      </c>
      <c r="H10" s="716"/>
      <c r="I10" s="715">
        <v>0.01</v>
      </c>
      <c r="J10" s="716"/>
      <c r="K10" s="622"/>
      <c r="L10" s="622">
        <f t="shared" si="0"/>
        <v>0</v>
      </c>
      <c r="M10" s="622">
        <f t="shared" si="1"/>
        <v>0</v>
      </c>
      <c r="N10" s="622">
        <f t="shared" si="2"/>
        <v>0</v>
      </c>
      <c r="O10" s="622">
        <f t="shared" si="3"/>
        <v>0</v>
      </c>
      <c r="P10" s="689" t="s">
        <v>850</v>
      </c>
      <c r="Q10" s="714"/>
      <c r="R10" s="714"/>
    </row>
    <row r="11" spans="1:28">
      <c r="A11" s="714">
        <v>794</v>
      </c>
      <c r="B11" s="714" t="s">
        <v>853</v>
      </c>
      <c r="C11" s="714" t="s">
        <v>825</v>
      </c>
      <c r="D11" s="715">
        <v>14.33</v>
      </c>
      <c r="E11" s="719"/>
      <c r="F11" s="717">
        <f>5/14.33*E11</f>
        <v>0</v>
      </c>
      <c r="G11" s="715">
        <v>5.5</v>
      </c>
      <c r="H11" s="716"/>
      <c r="I11" s="715">
        <v>8.33</v>
      </c>
      <c r="J11" s="720">
        <f>(8.33/14.33)*E11</f>
        <v>0</v>
      </c>
      <c r="K11" s="622"/>
      <c r="L11" s="622">
        <f>(E11/D11)*100</f>
        <v>0</v>
      </c>
      <c r="M11" s="622">
        <f>IF(OR(C11=$AA$1,C11=$AB$1),E11/D11*(6/14.33)*100,0)</f>
        <v>0</v>
      </c>
      <c r="N11" s="622">
        <f t="shared" si="2"/>
        <v>0</v>
      </c>
      <c r="O11" s="622">
        <f t="shared" si="3"/>
        <v>0</v>
      </c>
      <c r="P11" s="689" t="s">
        <v>850</v>
      </c>
      <c r="Q11" s="714"/>
      <c r="R11" s="714"/>
    </row>
    <row r="12" spans="1:28">
      <c r="A12" s="714">
        <v>795</v>
      </c>
      <c r="B12" s="714" t="s">
        <v>854</v>
      </c>
      <c r="C12" s="714" t="s">
        <v>825</v>
      </c>
      <c r="D12" s="715">
        <v>12</v>
      </c>
      <c r="E12" s="719"/>
      <c r="F12" s="717">
        <f>5/D12*E12</f>
        <v>0</v>
      </c>
      <c r="G12" s="715">
        <v>5.5</v>
      </c>
      <c r="H12" s="716"/>
      <c r="I12" s="715">
        <v>6</v>
      </c>
      <c r="J12" s="720">
        <f>6/12*E12</f>
        <v>0</v>
      </c>
      <c r="K12" s="622"/>
      <c r="L12" s="622">
        <f>(E12/D12)*100</f>
        <v>0</v>
      </c>
      <c r="M12" s="622">
        <f>IF(OR(C12=$AA$1,C12=$AB$1),E12/D12*(6/12)*100,0)</f>
        <v>0</v>
      </c>
      <c r="N12" s="622">
        <f t="shared" si="2"/>
        <v>0</v>
      </c>
      <c r="O12" s="622">
        <f t="shared" si="3"/>
        <v>0</v>
      </c>
      <c r="P12" s="689" t="s">
        <v>850</v>
      </c>
      <c r="Q12" s="714"/>
      <c r="R12" s="714"/>
    </row>
    <row r="13" spans="1:28">
      <c r="A13" s="714">
        <v>796</v>
      </c>
      <c r="B13" s="714" t="s">
        <v>855</v>
      </c>
      <c r="C13" s="714" t="s">
        <v>825</v>
      </c>
      <c r="D13" s="715">
        <v>2.5</v>
      </c>
      <c r="E13" s="718"/>
      <c r="F13" s="717" t="s">
        <v>798</v>
      </c>
      <c r="G13" s="715">
        <v>2.5</v>
      </c>
      <c r="H13" s="716"/>
      <c r="I13" s="715">
        <v>0.01</v>
      </c>
      <c r="J13" s="716"/>
      <c r="K13" s="622"/>
      <c r="L13" s="622">
        <f>J13/I13*100</f>
        <v>0</v>
      </c>
      <c r="M13" s="622">
        <f t="shared" si="1"/>
        <v>0</v>
      </c>
      <c r="N13" s="622">
        <f t="shared" si="2"/>
        <v>0</v>
      </c>
      <c r="O13" s="622">
        <f t="shared" si="3"/>
        <v>0</v>
      </c>
      <c r="P13" s="689" t="s">
        <v>850</v>
      </c>
      <c r="Q13" s="714"/>
      <c r="R13" s="714"/>
    </row>
    <row r="14" spans="1:28">
      <c r="A14" s="714">
        <v>801</v>
      </c>
      <c r="B14" s="714" t="s">
        <v>856</v>
      </c>
      <c r="C14" s="714" t="s">
        <v>618</v>
      </c>
      <c r="D14" s="715">
        <v>6</v>
      </c>
      <c r="E14" s="716"/>
      <c r="F14" s="717">
        <f t="shared" ref="F14:F27" si="4">5/D14*E14</f>
        <v>0</v>
      </c>
      <c r="G14" s="715">
        <v>5.5</v>
      </c>
      <c r="H14" s="716"/>
      <c r="I14" s="715">
        <v>8.33</v>
      </c>
      <c r="J14" s="716"/>
      <c r="K14" s="622"/>
      <c r="L14" s="622">
        <f t="shared" si="0"/>
        <v>0</v>
      </c>
      <c r="M14" s="622">
        <f t="shared" si="1"/>
        <v>0</v>
      </c>
      <c r="N14" s="622">
        <f t="shared" si="2"/>
        <v>0</v>
      </c>
      <c r="O14" s="622">
        <f t="shared" si="3"/>
        <v>0</v>
      </c>
      <c r="P14" s="689" t="s">
        <v>538</v>
      </c>
      <c r="Q14" s="714"/>
      <c r="R14" s="714"/>
    </row>
    <row r="15" spans="1:28">
      <c r="A15" s="714">
        <v>818</v>
      </c>
      <c r="B15" s="714" t="s">
        <v>857</v>
      </c>
      <c r="C15" s="714" t="s">
        <v>615</v>
      </c>
      <c r="D15" s="715">
        <v>6</v>
      </c>
      <c r="E15" s="716"/>
      <c r="F15" s="717">
        <f t="shared" si="4"/>
        <v>0</v>
      </c>
      <c r="G15" s="715">
        <v>5.5</v>
      </c>
      <c r="H15" s="716"/>
      <c r="I15" s="715">
        <v>8.33</v>
      </c>
      <c r="J15" s="716"/>
      <c r="K15" s="622"/>
      <c r="L15" s="622">
        <f t="shared" si="0"/>
        <v>0</v>
      </c>
      <c r="M15" s="622">
        <f t="shared" si="1"/>
        <v>0</v>
      </c>
      <c r="N15" s="622">
        <f t="shared" si="2"/>
        <v>0</v>
      </c>
      <c r="O15" s="622">
        <f t="shared" si="3"/>
        <v>0</v>
      </c>
      <c r="P15" s="689" t="s">
        <v>538</v>
      </c>
      <c r="Q15" s="714"/>
      <c r="R15" s="714"/>
    </row>
    <row r="16" spans="1:28">
      <c r="A16" s="714">
        <v>829</v>
      </c>
      <c r="B16" s="714" t="s">
        <v>858</v>
      </c>
      <c r="C16" s="714" t="s">
        <v>615</v>
      </c>
      <c r="D16" s="715">
        <v>5</v>
      </c>
      <c r="E16" s="716"/>
      <c r="F16" s="717">
        <f t="shared" si="4"/>
        <v>0</v>
      </c>
      <c r="G16" s="715">
        <v>5</v>
      </c>
      <c r="H16" s="716"/>
      <c r="I16" s="715">
        <v>0.01</v>
      </c>
      <c r="J16" s="716"/>
      <c r="K16" s="622"/>
      <c r="L16" s="622">
        <f t="shared" si="0"/>
        <v>0</v>
      </c>
      <c r="M16" s="622">
        <f t="shared" si="1"/>
        <v>0</v>
      </c>
      <c r="N16" s="622">
        <f t="shared" si="2"/>
        <v>0</v>
      </c>
      <c r="O16" s="622">
        <f t="shared" si="3"/>
        <v>0</v>
      </c>
      <c r="P16" s="689" t="s">
        <v>538</v>
      </c>
      <c r="Q16" s="690" t="s">
        <v>859</v>
      </c>
      <c r="R16" s="690" t="s">
        <v>635</v>
      </c>
    </row>
    <row r="17" spans="1:18">
      <c r="A17" s="714">
        <v>830</v>
      </c>
      <c r="B17" s="714" t="s">
        <v>860</v>
      </c>
      <c r="C17" s="714" t="s">
        <v>615</v>
      </c>
      <c r="D17" s="715">
        <v>6</v>
      </c>
      <c r="E17" s="716"/>
      <c r="F17" s="717">
        <f t="shared" si="4"/>
        <v>0</v>
      </c>
      <c r="G17" s="715">
        <v>5.5</v>
      </c>
      <c r="H17" s="716"/>
      <c r="I17" s="715">
        <v>6</v>
      </c>
      <c r="J17" s="716"/>
      <c r="K17" s="622"/>
      <c r="L17" s="622">
        <f t="shared" si="0"/>
        <v>0</v>
      </c>
      <c r="M17" s="622">
        <f t="shared" si="1"/>
        <v>0</v>
      </c>
      <c r="N17" s="622">
        <f t="shared" si="2"/>
        <v>0</v>
      </c>
      <c r="O17" s="622">
        <f t="shared" si="3"/>
        <v>0</v>
      </c>
      <c r="P17" s="689" t="s">
        <v>538</v>
      </c>
      <c r="Q17" s="714"/>
      <c r="R17" s="714"/>
    </row>
    <row r="18" spans="1:18">
      <c r="A18" s="714">
        <v>833</v>
      </c>
      <c r="B18" s="714" t="s">
        <v>861</v>
      </c>
      <c r="C18" s="714" t="s">
        <v>618</v>
      </c>
      <c r="D18" s="715">
        <v>0.01</v>
      </c>
      <c r="E18" s="716"/>
      <c r="F18" s="717">
        <f t="shared" si="4"/>
        <v>0</v>
      </c>
      <c r="G18" s="715">
        <v>0.01</v>
      </c>
      <c r="H18" s="716"/>
      <c r="I18" s="715">
        <v>8.33</v>
      </c>
      <c r="J18" s="716"/>
      <c r="K18" s="622"/>
      <c r="L18" s="622">
        <f t="shared" si="0"/>
        <v>0</v>
      </c>
      <c r="M18" s="622">
        <f t="shared" si="1"/>
        <v>0</v>
      </c>
      <c r="N18" s="622">
        <f t="shared" si="2"/>
        <v>0</v>
      </c>
      <c r="O18" s="622">
        <f t="shared" si="3"/>
        <v>0</v>
      </c>
      <c r="Q18" s="714"/>
      <c r="R18" s="714"/>
    </row>
    <row r="19" spans="1:18">
      <c r="A19" s="714">
        <v>833</v>
      </c>
      <c r="B19" s="714" t="s">
        <v>862</v>
      </c>
      <c r="C19" s="714" t="s">
        <v>615</v>
      </c>
      <c r="D19" s="715">
        <v>5</v>
      </c>
      <c r="E19" s="716"/>
      <c r="F19" s="717">
        <f t="shared" si="4"/>
        <v>0</v>
      </c>
      <c r="G19" s="715">
        <v>5</v>
      </c>
      <c r="H19" s="716"/>
      <c r="I19" s="715">
        <v>8.33</v>
      </c>
      <c r="J19" s="716"/>
      <c r="K19" s="622"/>
      <c r="L19" s="622">
        <f t="shared" si="0"/>
        <v>0</v>
      </c>
      <c r="M19" s="622">
        <f t="shared" si="1"/>
        <v>0</v>
      </c>
      <c r="N19" s="622">
        <f t="shared" si="2"/>
        <v>0</v>
      </c>
      <c r="O19" s="622">
        <f t="shared" si="3"/>
        <v>0</v>
      </c>
      <c r="P19" s="689" t="s">
        <v>538</v>
      </c>
      <c r="Q19" s="714"/>
      <c r="R19" s="714"/>
    </row>
    <row r="20" spans="1:18">
      <c r="A20" s="714">
        <v>834</v>
      </c>
      <c r="B20" s="714" t="s">
        <v>863</v>
      </c>
      <c r="C20" s="714" t="s">
        <v>615</v>
      </c>
      <c r="D20" s="715">
        <v>5</v>
      </c>
      <c r="E20" s="716"/>
      <c r="F20" s="717">
        <f t="shared" si="4"/>
        <v>0</v>
      </c>
      <c r="G20" s="715">
        <v>5</v>
      </c>
      <c r="H20" s="716"/>
      <c r="I20" s="715">
        <v>8.33</v>
      </c>
      <c r="J20" s="716"/>
      <c r="K20" s="622"/>
      <c r="L20" s="622">
        <f t="shared" si="0"/>
        <v>0</v>
      </c>
      <c r="M20" s="622">
        <f t="shared" si="1"/>
        <v>0</v>
      </c>
      <c r="N20" s="622">
        <f t="shared" si="2"/>
        <v>0</v>
      </c>
      <c r="O20" s="622">
        <f t="shared" si="3"/>
        <v>0</v>
      </c>
      <c r="P20" s="689" t="s">
        <v>538</v>
      </c>
      <c r="Q20" s="690" t="s">
        <v>861</v>
      </c>
      <c r="R20" s="690" t="s">
        <v>861</v>
      </c>
    </row>
    <row r="21" spans="1:18">
      <c r="A21" s="714">
        <v>835</v>
      </c>
      <c r="B21" s="714" t="s">
        <v>846</v>
      </c>
      <c r="C21" s="714" t="s">
        <v>271</v>
      </c>
      <c r="D21" s="715">
        <v>5</v>
      </c>
      <c r="E21" s="716"/>
      <c r="F21" s="717">
        <f t="shared" si="4"/>
        <v>0</v>
      </c>
      <c r="G21" s="715">
        <v>5</v>
      </c>
      <c r="H21" s="716"/>
      <c r="I21" s="715">
        <v>8.33</v>
      </c>
      <c r="J21" s="716"/>
      <c r="K21" s="622"/>
      <c r="L21" s="622">
        <f t="shared" si="0"/>
        <v>0</v>
      </c>
      <c r="M21" s="622">
        <f t="shared" si="1"/>
        <v>0</v>
      </c>
      <c r="N21" s="622">
        <f t="shared" si="2"/>
        <v>0</v>
      </c>
      <c r="O21" s="622">
        <f t="shared" si="3"/>
        <v>0</v>
      </c>
      <c r="P21" s="689" t="s">
        <v>845</v>
      </c>
      <c r="Q21" s="714"/>
      <c r="R21" s="714"/>
    </row>
    <row r="22" spans="1:18">
      <c r="A22" s="714">
        <v>836</v>
      </c>
      <c r="B22" s="714" t="s">
        <v>864</v>
      </c>
      <c r="C22" s="714" t="s">
        <v>615</v>
      </c>
      <c r="D22" s="715">
        <v>5</v>
      </c>
      <c r="E22" s="716"/>
      <c r="F22" s="717">
        <f t="shared" si="4"/>
        <v>0</v>
      </c>
      <c r="G22" s="715">
        <v>5</v>
      </c>
      <c r="H22" s="716"/>
      <c r="I22" s="715">
        <v>8.33</v>
      </c>
      <c r="J22" s="716"/>
      <c r="K22" s="622"/>
      <c r="L22" s="622">
        <f t="shared" si="0"/>
        <v>0</v>
      </c>
      <c r="M22" s="622">
        <f t="shared" si="1"/>
        <v>0</v>
      </c>
      <c r="N22" s="622">
        <f t="shared" si="2"/>
        <v>0</v>
      </c>
      <c r="O22" s="622">
        <f t="shared" si="3"/>
        <v>0</v>
      </c>
      <c r="P22" s="689" t="s">
        <v>538</v>
      </c>
      <c r="Q22" s="714"/>
      <c r="R22" s="714"/>
    </row>
    <row r="23" spans="1:18">
      <c r="A23" s="714">
        <v>841</v>
      </c>
      <c r="B23" s="714" t="s">
        <v>844</v>
      </c>
      <c r="C23" s="714" t="s">
        <v>271</v>
      </c>
      <c r="D23" s="715">
        <v>7.5</v>
      </c>
      <c r="E23" s="716"/>
      <c r="F23" s="717">
        <f t="shared" si="4"/>
        <v>0</v>
      </c>
      <c r="G23" s="715">
        <v>7.5</v>
      </c>
      <c r="H23" s="716"/>
      <c r="I23" s="715">
        <v>0.01</v>
      </c>
      <c r="J23" s="716"/>
      <c r="K23" s="622"/>
      <c r="L23" s="622">
        <f t="shared" si="0"/>
        <v>0</v>
      </c>
      <c r="M23" s="622">
        <f t="shared" si="1"/>
        <v>0</v>
      </c>
      <c r="N23" s="622">
        <f t="shared" si="2"/>
        <v>0</v>
      </c>
      <c r="O23" s="622">
        <f t="shared" si="3"/>
        <v>0</v>
      </c>
      <c r="P23" s="689" t="s">
        <v>538</v>
      </c>
      <c r="Q23" s="714"/>
      <c r="R23" s="714"/>
    </row>
    <row r="24" spans="1:18">
      <c r="A24" s="714">
        <v>842</v>
      </c>
      <c r="B24" s="714" t="s">
        <v>865</v>
      </c>
      <c r="C24" s="714" t="s">
        <v>615</v>
      </c>
      <c r="D24" s="715">
        <v>5</v>
      </c>
      <c r="E24" s="716"/>
      <c r="F24" s="717">
        <f t="shared" si="4"/>
        <v>0</v>
      </c>
      <c r="G24" s="715">
        <v>5</v>
      </c>
      <c r="H24" s="716"/>
      <c r="I24" s="715">
        <v>0.01</v>
      </c>
      <c r="J24" s="716"/>
      <c r="K24" s="622"/>
      <c r="L24" s="622">
        <f t="shared" si="0"/>
        <v>0</v>
      </c>
      <c r="M24" s="622">
        <f t="shared" si="1"/>
        <v>0</v>
      </c>
      <c r="N24" s="622">
        <f t="shared" si="2"/>
        <v>0</v>
      </c>
      <c r="O24" s="622">
        <f t="shared" si="3"/>
        <v>0</v>
      </c>
      <c r="P24" s="689" t="s">
        <v>538</v>
      </c>
      <c r="Q24" s="714"/>
      <c r="R24" s="714"/>
    </row>
    <row r="25" spans="1:18">
      <c r="A25" s="714">
        <v>843</v>
      </c>
      <c r="B25" s="714" t="s">
        <v>866</v>
      </c>
      <c r="C25" s="714" t="s">
        <v>615</v>
      </c>
      <c r="D25" s="715">
        <v>2.5</v>
      </c>
      <c r="E25" s="718"/>
      <c r="F25" s="717" t="s">
        <v>798</v>
      </c>
      <c r="G25" s="715">
        <v>2.5</v>
      </c>
      <c r="H25" s="716"/>
      <c r="I25" s="715">
        <v>0.01</v>
      </c>
      <c r="J25" s="716"/>
      <c r="K25" s="622"/>
      <c r="L25" s="622">
        <f t="shared" si="0"/>
        <v>0</v>
      </c>
      <c r="M25" s="622">
        <f t="shared" si="1"/>
        <v>0</v>
      </c>
      <c r="N25" s="622">
        <f t="shared" si="2"/>
        <v>0</v>
      </c>
      <c r="O25" s="622">
        <f t="shared" si="3"/>
        <v>0</v>
      </c>
      <c r="P25" s="689" t="s">
        <v>867</v>
      </c>
      <c r="Q25" s="714"/>
      <c r="R25" s="714"/>
    </row>
    <row r="26" spans="1:18">
      <c r="A26" s="714">
        <v>844</v>
      </c>
      <c r="B26" s="714" t="s">
        <v>868</v>
      </c>
      <c r="C26" s="714" t="s">
        <v>271</v>
      </c>
      <c r="D26" s="715">
        <v>5</v>
      </c>
      <c r="E26" s="716"/>
      <c r="F26" s="717">
        <f t="shared" si="4"/>
        <v>0</v>
      </c>
      <c r="G26" s="715">
        <v>5</v>
      </c>
      <c r="H26" s="716"/>
      <c r="I26" s="715">
        <v>0.01</v>
      </c>
      <c r="J26" s="716"/>
      <c r="K26" s="622"/>
      <c r="L26" s="622">
        <f t="shared" si="0"/>
        <v>0</v>
      </c>
      <c r="M26" s="622">
        <f t="shared" si="1"/>
        <v>0</v>
      </c>
      <c r="N26" s="622">
        <f t="shared" si="2"/>
        <v>0</v>
      </c>
      <c r="O26" s="622">
        <f t="shared" si="3"/>
        <v>0</v>
      </c>
      <c r="P26" s="689" t="s">
        <v>845</v>
      </c>
      <c r="Q26" s="714"/>
      <c r="R26" s="714"/>
    </row>
    <row r="27" spans="1:18">
      <c r="A27" s="714">
        <v>880</v>
      </c>
      <c r="B27" s="714" t="s">
        <v>869</v>
      </c>
      <c r="C27" s="714" t="s">
        <v>615</v>
      </c>
      <c r="D27" s="715">
        <v>5</v>
      </c>
      <c r="E27" s="716"/>
      <c r="F27" s="717">
        <f t="shared" si="4"/>
        <v>0</v>
      </c>
      <c r="G27" s="715">
        <v>5</v>
      </c>
      <c r="H27" s="716"/>
      <c r="I27" s="715">
        <v>8.5</v>
      </c>
      <c r="J27" s="716"/>
      <c r="K27" s="622"/>
      <c r="L27" s="622">
        <f t="shared" si="0"/>
        <v>0</v>
      </c>
      <c r="M27" s="622">
        <f t="shared" si="1"/>
        <v>0</v>
      </c>
      <c r="N27" s="622">
        <f t="shared" si="2"/>
        <v>0</v>
      </c>
      <c r="O27" s="622">
        <f t="shared" si="3"/>
        <v>0</v>
      </c>
      <c r="P27" s="689" t="s">
        <v>538</v>
      </c>
      <c r="Q27" s="714"/>
      <c r="R27" s="714"/>
    </row>
    <row r="28" spans="1:18">
      <c r="B28" s="689" t="s">
        <v>870</v>
      </c>
      <c r="D28" s="622">
        <v>0.01</v>
      </c>
      <c r="E28" s="716"/>
      <c r="F28" s="717"/>
      <c r="G28" s="622">
        <v>0.01</v>
      </c>
      <c r="H28" s="716"/>
      <c r="I28" s="622">
        <v>0.01</v>
      </c>
      <c r="J28" s="716"/>
      <c r="K28" s="622"/>
      <c r="L28" s="622">
        <f t="shared" si="0"/>
        <v>0</v>
      </c>
      <c r="M28" s="622">
        <f t="shared" si="1"/>
        <v>0</v>
      </c>
      <c r="N28" s="622">
        <f t="shared" si="2"/>
        <v>0</v>
      </c>
      <c r="O28" s="622">
        <f t="shared" si="3"/>
        <v>0</v>
      </c>
      <c r="Q28" s="714"/>
      <c r="R28" s="714"/>
    </row>
    <row r="29" spans="1:18">
      <c r="D29" s="622">
        <v>0.01</v>
      </c>
      <c r="E29" s="716"/>
      <c r="F29" s="717"/>
      <c r="G29" s="622">
        <v>0.01</v>
      </c>
      <c r="H29" s="716"/>
      <c r="I29" s="622">
        <v>0.01</v>
      </c>
      <c r="J29" s="716"/>
      <c r="K29" s="622"/>
      <c r="L29" s="622">
        <f t="shared" si="0"/>
        <v>0</v>
      </c>
      <c r="M29" s="622">
        <f t="shared" si="1"/>
        <v>0</v>
      </c>
      <c r="N29" s="622">
        <f t="shared" si="2"/>
        <v>0</v>
      </c>
      <c r="O29" s="622">
        <f t="shared" si="3"/>
        <v>0</v>
      </c>
      <c r="Q29" s="714"/>
      <c r="R29" s="714"/>
    </row>
    <row r="30" spans="1:18">
      <c r="D30" s="622">
        <v>0.01</v>
      </c>
      <c r="E30" s="716"/>
      <c r="F30" s="717"/>
      <c r="G30" s="622">
        <v>0.01</v>
      </c>
      <c r="H30" s="716"/>
      <c r="I30" s="622">
        <v>0.01</v>
      </c>
      <c r="J30" s="716"/>
      <c r="K30" s="622"/>
      <c r="L30" s="622">
        <f t="shared" si="0"/>
        <v>0</v>
      </c>
      <c r="M30" s="622">
        <f t="shared" si="1"/>
        <v>0</v>
      </c>
      <c r="N30" s="622">
        <f t="shared" si="2"/>
        <v>0</v>
      </c>
      <c r="O30" s="622">
        <f t="shared" si="3"/>
        <v>0</v>
      </c>
      <c r="Q30" s="714"/>
      <c r="R30" s="714"/>
    </row>
    <row r="31" spans="1:18">
      <c r="D31" s="622">
        <v>0.01</v>
      </c>
      <c r="E31" s="716"/>
      <c r="F31" s="717"/>
      <c r="G31" s="622">
        <v>0.01</v>
      </c>
      <c r="H31" s="716"/>
      <c r="I31" s="622">
        <v>0.01</v>
      </c>
      <c r="J31" s="716"/>
      <c r="K31" s="622"/>
      <c r="L31" s="622">
        <f t="shared" si="0"/>
        <v>0</v>
      </c>
      <c r="M31" s="622">
        <f t="shared" si="1"/>
        <v>0</v>
      </c>
      <c r="N31" s="622">
        <f t="shared" si="2"/>
        <v>0</v>
      </c>
      <c r="O31" s="622">
        <f t="shared" si="3"/>
        <v>0</v>
      </c>
      <c r="Q31" s="714"/>
      <c r="R31" s="714"/>
    </row>
    <row r="32" spans="1:18">
      <c r="D32" s="622">
        <v>0.01</v>
      </c>
      <c r="E32" s="716"/>
      <c r="F32" s="717"/>
      <c r="G32" s="622">
        <v>0.01</v>
      </c>
      <c r="H32" s="716"/>
      <c r="I32" s="622">
        <v>0.01</v>
      </c>
      <c r="J32" s="716"/>
      <c r="K32" s="622"/>
      <c r="L32" s="622">
        <f t="shared" si="0"/>
        <v>0</v>
      </c>
      <c r="M32" s="622">
        <f t="shared" si="1"/>
        <v>0</v>
      </c>
      <c r="N32" s="622">
        <f t="shared" si="2"/>
        <v>0</v>
      </c>
      <c r="O32" s="622">
        <f t="shared" si="3"/>
        <v>0</v>
      </c>
      <c r="Q32" s="714"/>
      <c r="R32" s="714"/>
    </row>
    <row r="33" spans="1:18" ht="13.5" thickBot="1">
      <c r="D33" s="622"/>
      <c r="E33" s="622"/>
      <c r="F33" s="717">
        <f>SUM(F4:F32)</f>
        <v>0</v>
      </c>
      <c r="G33" s="622"/>
      <c r="H33" s="622"/>
      <c r="I33" s="622"/>
      <c r="J33" s="622"/>
      <c r="K33" s="622"/>
      <c r="L33" s="721"/>
      <c r="M33" s="721"/>
      <c r="N33" s="721"/>
      <c r="O33" s="721"/>
      <c r="Q33" s="714"/>
      <c r="R33" s="714"/>
    </row>
    <row r="34" spans="1:18" ht="14.25" thickTop="1" thickBot="1">
      <c r="L34" s="622">
        <f>SUM(L4:L32)</f>
        <v>0</v>
      </c>
      <c r="M34" s="622">
        <f>SUM(M4:M33)</f>
        <v>0</v>
      </c>
      <c r="N34" s="622">
        <f>SUM(N4:N33)</f>
        <v>0</v>
      </c>
      <c r="O34" s="622">
        <f>SUM(O4:O33)</f>
        <v>0</v>
      </c>
      <c r="Q34" s="714"/>
      <c r="R34" s="714"/>
    </row>
    <row r="35" spans="1:18">
      <c r="A35" s="714"/>
      <c r="B35" s="714" t="s">
        <v>871</v>
      </c>
      <c r="C35" s="714"/>
      <c r="D35" s="722" t="s">
        <v>872</v>
      </c>
      <c r="E35" s="723" t="s">
        <v>873</v>
      </c>
      <c r="K35" s="689" t="s">
        <v>874</v>
      </c>
    </row>
    <row r="36" spans="1:18">
      <c r="A36" s="714" t="s">
        <v>875</v>
      </c>
      <c r="B36" s="715">
        <v>28200</v>
      </c>
      <c r="C36" s="714"/>
      <c r="D36" s="724" t="s">
        <v>876</v>
      </c>
      <c r="E36" s="725">
        <f>28200*6%</f>
        <v>1692</v>
      </c>
      <c r="K36" s="726" t="s">
        <v>615</v>
      </c>
      <c r="L36" s="727">
        <f>L27+L24+L22+L20+L19+L18+L17+L16+L15+L14+L7</f>
        <v>0</v>
      </c>
      <c r="M36" s="727">
        <f>M27+M24+M22+M20+M19+M18+M17+M16+M15+M14+M7</f>
        <v>0</v>
      </c>
      <c r="N36" s="726"/>
      <c r="O36" s="727">
        <f>O27+O24+O23+O22+O20+O19+O17+O16+O15+O14+O7</f>
        <v>0</v>
      </c>
    </row>
    <row r="37" spans="1:18" ht="13.5" thickBot="1">
      <c r="A37" s="728" t="s">
        <v>290</v>
      </c>
      <c r="B37" s="729">
        <f>O7+O14+O15+O16+O17+O19+O20+O22+O23+O24+O27</f>
        <v>0</v>
      </c>
      <c r="C37" s="714"/>
      <c r="D37" s="730" t="s">
        <v>877</v>
      </c>
      <c r="E37" s="731">
        <f>E27+E24+E22+E20+E19+E17+E16+E15+E14+E7</f>
        <v>0</v>
      </c>
      <c r="K37" s="732" t="s">
        <v>878</v>
      </c>
      <c r="L37" s="733">
        <f>L26+L25+L23+L21+L6+L5+L4</f>
        <v>0</v>
      </c>
      <c r="M37" s="732"/>
      <c r="N37" s="733">
        <f>N26+N25+N23+N21+N6+N5+N4</f>
        <v>0</v>
      </c>
      <c r="O37" s="733">
        <f>O26+O25+O21+O6+O5+O4</f>
        <v>0</v>
      </c>
    </row>
    <row r="38" spans="1:18" ht="13.5" thickTop="1">
      <c r="A38" s="714" t="s">
        <v>879</v>
      </c>
      <c r="B38" s="715">
        <f>B36-B37</f>
        <v>28200</v>
      </c>
      <c r="C38" s="714"/>
      <c r="D38" s="734" t="s">
        <v>880</v>
      </c>
      <c r="E38" s="735">
        <f>E37-E36</f>
        <v>-1692</v>
      </c>
      <c r="K38" s="736" t="s">
        <v>881</v>
      </c>
      <c r="L38" s="737">
        <f>L13+L12+L11+L10+L9+L8</f>
        <v>0</v>
      </c>
      <c r="M38" s="736"/>
      <c r="N38" s="736"/>
      <c r="O38" s="737">
        <f>O13+O12+O11+O10+O9+O8</f>
        <v>0</v>
      </c>
    </row>
    <row r="39" spans="1:18">
      <c r="A39" s="714"/>
      <c r="B39" s="715"/>
      <c r="C39" s="714"/>
      <c r="D39" s="724"/>
      <c r="E39" s="725"/>
    </row>
    <row r="40" spans="1:18">
      <c r="A40" s="714"/>
      <c r="B40" s="715"/>
      <c r="C40" s="714"/>
      <c r="D40" s="724"/>
      <c r="E40" s="725"/>
    </row>
    <row r="41" spans="1:18">
      <c r="A41" s="714" t="s">
        <v>882</v>
      </c>
      <c r="B41" s="715">
        <v>9400</v>
      </c>
      <c r="C41" s="714"/>
      <c r="D41" s="724" t="s">
        <v>883</v>
      </c>
      <c r="E41" s="725">
        <f>9400*5%</f>
        <v>470</v>
      </c>
      <c r="I41" s="689" t="s">
        <v>884</v>
      </c>
    </row>
    <row r="42" spans="1:18" ht="13.5" thickBot="1">
      <c r="A42" s="738" t="s">
        <v>290</v>
      </c>
      <c r="B42" s="739">
        <f>O4+O5+O6+O21+O26</f>
        <v>0</v>
      </c>
      <c r="C42" s="714"/>
      <c r="D42" s="740" t="s">
        <v>877</v>
      </c>
      <c r="E42" s="741">
        <f>E26+E25+E23+E21+E6+E5+E4</f>
        <v>0</v>
      </c>
      <c r="I42" s="622">
        <f>F33/5%</f>
        <v>0</v>
      </c>
    </row>
    <row r="43" spans="1:18" ht="13.5" thickBot="1">
      <c r="A43" s="714" t="s">
        <v>879</v>
      </c>
      <c r="B43" s="715">
        <f>B41-B42</f>
        <v>9400</v>
      </c>
      <c r="C43" s="714"/>
      <c r="D43" s="742" t="s">
        <v>880</v>
      </c>
      <c r="E43" s="743">
        <f>E42-E41</f>
        <v>-470</v>
      </c>
    </row>
    <row r="44" spans="1:18">
      <c r="A44" s="715"/>
      <c r="B44" s="715"/>
      <c r="C44" s="715"/>
      <c r="D44" s="622"/>
      <c r="E44" s="622"/>
      <c r="F44" s="717"/>
      <c r="G44" s="622"/>
      <c r="H44" s="622"/>
      <c r="I44" s="622"/>
      <c r="J44" s="622"/>
      <c r="K44" s="622"/>
      <c r="L44" s="622"/>
      <c r="M44" s="622"/>
    </row>
    <row r="45" spans="1:18">
      <c r="A45" s="715"/>
      <c r="B45" s="715"/>
      <c r="C45" s="715"/>
      <c r="D45" s="622"/>
      <c r="E45" s="622"/>
      <c r="F45" s="717"/>
      <c r="G45" s="622"/>
      <c r="H45" s="622"/>
      <c r="I45" s="622"/>
      <c r="J45" s="622"/>
      <c r="K45" s="622"/>
      <c r="L45" s="622"/>
      <c r="M45" s="622"/>
      <c r="O45" s="622"/>
    </row>
    <row r="46" spans="1:18">
      <c r="A46" s="715"/>
      <c r="B46" s="715"/>
      <c r="C46" s="715"/>
      <c r="D46" s="622"/>
      <c r="E46" s="622"/>
      <c r="F46" s="717"/>
      <c r="G46" s="622"/>
      <c r="H46" s="622"/>
      <c r="I46" s="622"/>
      <c r="J46" s="622"/>
      <c r="K46" s="622"/>
      <c r="L46" s="622"/>
      <c r="M46" s="622"/>
    </row>
    <row r="47" spans="1:18">
      <c r="A47" s="715"/>
      <c r="B47" s="715"/>
      <c r="C47" s="715"/>
      <c r="D47" s="622" t="s">
        <v>885</v>
      </c>
      <c r="E47" s="622"/>
      <c r="F47" s="717"/>
      <c r="G47" s="622" t="s">
        <v>23</v>
      </c>
      <c r="H47" s="622"/>
      <c r="I47" s="622" t="s">
        <v>16</v>
      </c>
      <c r="J47" s="622"/>
      <c r="K47" s="622" t="s">
        <v>290</v>
      </c>
      <c r="L47" s="622"/>
      <c r="M47" s="622"/>
    </row>
    <row r="48" spans="1:18">
      <c r="A48" s="715"/>
      <c r="B48" s="715"/>
      <c r="C48" s="715"/>
      <c r="D48" s="622"/>
      <c r="E48" s="622"/>
      <c r="F48" s="717"/>
      <c r="G48" s="622"/>
      <c r="H48" s="622"/>
      <c r="I48" s="622"/>
      <c r="J48" s="622"/>
      <c r="K48" s="622"/>
      <c r="L48" s="622"/>
      <c r="M48" s="622"/>
    </row>
    <row r="49" spans="1:13">
      <c r="A49" s="715">
        <v>794</v>
      </c>
      <c r="B49" s="715" t="s">
        <v>853</v>
      </c>
      <c r="C49" s="715" t="s">
        <v>615</v>
      </c>
      <c r="D49" s="622">
        <v>5</v>
      </c>
      <c r="E49" s="622">
        <f>K49*5%</f>
        <v>0</v>
      </c>
      <c r="F49" s="717"/>
      <c r="G49" s="622">
        <v>5</v>
      </c>
      <c r="H49" s="622">
        <f>K49*5%</f>
        <v>0</v>
      </c>
      <c r="I49" s="622">
        <v>8.33</v>
      </c>
      <c r="J49" s="622">
        <f>K49*8.33%</f>
        <v>0</v>
      </c>
      <c r="K49" s="622">
        <f>O11</f>
        <v>0</v>
      </c>
      <c r="L49" s="622"/>
      <c r="M49" s="622"/>
    </row>
    <row r="50" spans="1:13">
      <c r="A50" s="715"/>
      <c r="B50" s="715"/>
      <c r="C50" s="715"/>
      <c r="D50" s="622">
        <v>1</v>
      </c>
      <c r="E50" s="622">
        <f>K49*1%</f>
        <v>0</v>
      </c>
      <c r="F50" s="717"/>
      <c r="G50" s="622">
        <v>0.5</v>
      </c>
      <c r="H50" s="622">
        <f>K49*0.5%</f>
        <v>0</v>
      </c>
      <c r="I50" s="622"/>
      <c r="J50" s="622"/>
      <c r="K50" s="622"/>
      <c r="L50" s="622"/>
      <c r="M50" s="622"/>
    </row>
    <row r="51" spans="1:13">
      <c r="A51" s="715"/>
      <c r="B51" s="715"/>
      <c r="C51" s="715"/>
      <c r="D51" s="622"/>
      <c r="E51" s="622"/>
      <c r="F51" s="717"/>
      <c r="G51" s="622"/>
      <c r="H51" s="622"/>
      <c r="I51" s="622"/>
      <c r="J51" s="622"/>
      <c r="K51" s="622"/>
      <c r="L51" s="622"/>
      <c r="M51" s="622"/>
    </row>
    <row r="52" spans="1:13">
      <c r="A52" s="715"/>
      <c r="B52" s="715"/>
      <c r="C52" s="715"/>
      <c r="D52" s="622"/>
      <c r="E52" s="622"/>
      <c r="F52" s="717"/>
      <c r="G52" s="622"/>
      <c r="H52" s="622"/>
      <c r="I52" s="622"/>
      <c r="J52" s="622"/>
      <c r="K52" s="622"/>
      <c r="L52" s="622"/>
      <c r="M52" s="622"/>
    </row>
    <row r="53" spans="1:13">
      <c r="A53" s="715">
        <v>795</v>
      </c>
      <c r="B53" s="715" t="s">
        <v>854</v>
      </c>
      <c r="C53" s="715" t="s">
        <v>615</v>
      </c>
      <c r="D53" s="622">
        <v>5</v>
      </c>
      <c r="E53" s="622">
        <f>K53*5%</f>
        <v>0</v>
      </c>
      <c r="F53" s="717"/>
      <c r="G53" s="622">
        <v>5</v>
      </c>
      <c r="H53" s="622">
        <f>K53*5%</f>
        <v>0</v>
      </c>
      <c r="I53" s="622">
        <v>6</v>
      </c>
      <c r="J53" s="622">
        <f>K53*6%</f>
        <v>0</v>
      </c>
      <c r="K53" s="622">
        <f>O12</f>
        <v>0</v>
      </c>
      <c r="L53" s="622"/>
      <c r="M53" s="622"/>
    </row>
    <row r="54" spans="1:13">
      <c r="A54" s="715"/>
      <c r="B54" s="715"/>
      <c r="C54" s="715"/>
      <c r="D54" s="622">
        <v>1</v>
      </c>
      <c r="E54" s="622">
        <f>K53*1%</f>
        <v>0</v>
      </c>
      <c r="F54" s="717"/>
      <c r="G54" s="622">
        <v>0.5</v>
      </c>
      <c r="H54" s="622">
        <f>K53*0.5%</f>
        <v>0</v>
      </c>
      <c r="I54" s="622"/>
      <c r="J54" s="622"/>
      <c r="K54" s="622"/>
      <c r="L54" s="622"/>
      <c r="M54" s="622"/>
    </row>
    <row r="55" spans="1:13">
      <c r="A55" s="715"/>
      <c r="B55" s="715"/>
      <c r="C55" s="715"/>
      <c r="D55" s="622"/>
      <c r="E55" s="622"/>
      <c r="F55" s="717"/>
      <c r="G55" s="622"/>
      <c r="H55" s="622"/>
      <c r="I55" s="622"/>
      <c r="J55" s="622"/>
      <c r="K55" s="622"/>
      <c r="L55" s="622"/>
      <c r="M55" s="622"/>
    </row>
    <row r="56" spans="1:13">
      <c r="A56" s="715"/>
      <c r="B56" s="715"/>
      <c r="C56" s="715"/>
      <c r="D56" s="622"/>
      <c r="E56" s="622"/>
      <c r="F56" s="717"/>
      <c r="G56" s="622"/>
      <c r="H56" s="622"/>
      <c r="I56" s="622"/>
      <c r="J56" s="622"/>
      <c r="K56" s="622"/>
      <c r="L56" s="622"/>
      <c r="M56" s="622"/>
    </row>
    <row r="57" spans="1:13">
      <c r="A57" s="715" t="s">
        <v>875</v>
      </c>
      <c r="B57" s="715">
        <v>28200</v>
      </c>
      <c r="C57" s="715"/>
      <c r="D57" s="622"/>
      <c r="E57" s="622"/>
      <c r="F57" s="717"/>
      <c r="G57" s="622"/>
      <c r="H57" s="622"/>
      <c r="I57" s="622"/>
      <c r="J57" s="622"/>
      <c r="K57" s="622"/>
      <c r="L57" s="622"/>
      <c r="M57" s="622"/>
    </row>
    <row r="58" spans="1:13" ht="13.5" thickBot="1">
      <c r="A58" s="744" t="s">
        <v>290</v>
      </c>
      <c r="B58" s="744">
        <f>H58+F58+D58</f>
        <v>-2988.55</v>
      </c>
      <c r="C58" s="715" t="s">
        <v>636</v>
      </c>
      <c r="D58" s="622">
        <f>B37</f>
        <v>0</v>
      </c>
      <c r="E58" s="622" t="s">
        <v>886</v>
      </c>
      <c r="F58" s="745">
        <v>-2988.55</v>
      </c>
      <c r="G58" s="622" t="s">
        <v>886</v>
      </c>
      <c r="H58" s="746"/>
      <c r="I58" s="622"/>
      <c r="J58" s="622"/>
      <c r="K58" s="622"/>
      <c r="L58" s="622"/>
      <c r="M58" s="622"/>
    </row>
    <row r="59" spans="1:13">
      <c r="A59" s="715"/>
      <c r="B59" s="715">
        <f>B57-B58</f>
        <v>31188.55</v>
      </c>
      <c r="C59" s="715"/>
      <c r="D59" s="622"/>
      <c r="E59" s="622"/>
      <c r="F59" s="717"/>
      <c r="G59" s="622"/>
      <c r="H59" s="622"/>
      <c r="I59" s="622"/>
      <c r="J59" s="622"/>
      <c r="K59" s="622"/>
      <c r="L59" s="622"/>
      <c r="M59" s="622"/>
    </row>
    <row r="60" spans="1:13">
      <c r="A60" s="715"/>
      <c r="B60" s="715"/>
      <c r="C60" s="715"/>
      <c r="D60" s="622"/>
      <c r="E60" s="622"/>
      <c r="F60" s="717"/>
      <c r="G60" s="622"/>
      <c r="H60" s="622"/>
      <c r="I60" s="622"/>
      <c r="J60" s="622"/>
      <c r="K60" s="622"/>
      <c r="L60" s="622"/>
      <c r="M60" s="622"/>
    </row>
    <row r="61" spans="1:13">
      <c r="A61" s="715"/>
      <c r="B61" s="715"/>
      <c r="C61" s="715"/>
      <c r="D61" s="622"/>
      <c r="E61" s="622"/>
      <c r="F61" s="717"/>
      <c r="G61" s="622"/>
      <c r="H61" s="622"/>
      <c r="I61" s="622"/>
      <c r="J61" s="622"/>
      <c r="K61" s="622"/>
      <c r="L61" s="622"/>
      <c r="M61" s="622"/>
    </row>
    <row r="62" spans="1:13">
      <c r="A62" s="715"/>
      <c r="B62" s="715"/>
      <c r="C62" s="715"/>
      <c r="D62" s="622"/>
      <c r="E62" s="622"/>
      <c r="F62" s="717"/>
      <c r="G62" s="622"/>
      <c r="H62" s="622"/>
      <c r="I62" s="622"/>
      <c r="J62" s="622"/>
      <c r="K62" s="622"/>
      <c r="L62" s="622"/>
      <c r="M62" s="622"/>
    </row>
    <row r="63" spans="1:13">
      <c r="A63" s="715" t="s">
        <v>882</v>
      </c>
      <c r="B63" s="715">
        <v>9400</v>
      </c>
      <c r="C63" s="715"/>
      <c r="D63" s="622"/>
      <c r="E63" s="622"/>
      <c r="F63" s="717"/>
      <c r="G63" s="622"/>
      <c r="H63" s="622"/>
      <c r="I63" s="622"/>
      <c r="J63" s="622"/>
      <c r="K63" s="622"/>
      <c r="L63" s="622"/>
      <c r="M63" s="622"/>
    </row>
    <row r="64" spans="1:13" ht="13.5" thickBot="1">
      <c r="A64" s="747" t="s">
        <v>290</v>
      </c>
      <c r="B64" s="747">
        <f>D64+F64+H64</f>
        <v>0</v>
      </c>
      <c r="C64" s="715" t="s">
        <v>636</v>
      </c>
      <c r="D64" s="622">
        <f>B42</f>
        <v>0</v>
      </c>
      <c r="E64" s="622" t="s">
        <v>886</v>
      </c>
      <c r="F64" s="748"/>
      <c r="G64" s="622" t="s">
        <v>886</v>
      </c>
      <c r="H64" s="749"/>
      <c r="I64" s="622"/>
      <c r="J64" s="622"/>
      <c r="K64" s="622"/>
      <c r="L64" s="622"/>
      <c r="M64" s="622"/>
    </row>
    <row r="65" spans="1:13">
      <c r="A65" s="715"/>
      <c r="B65" s="715">
        <f>B63-B64</f>
        <v>9400</v>
      </c>
      <c r="C65" s="715"/>
      <c r="D65" s="622"/>
      <c r="E65" s="622"/>
      <c r="F65" s="717"/>
      <c r="G65" s="622"/>
      <c r="H65" s="622"/>
      <c r="I65" s="622"/>
      <c r="J65" s="622"/>
      <c r="K65" s="622"/>
      <c r="L65" s="622"/>
      <c r="M65" s="622"/>
    </row>
    <row r="66" spans="1:13">
      <c r="A66" s="715"/>
      <c r="B66" s="715"/>
      <c r="C66" s="715"/>
      <c r="D66" s="622"/>
      <c r="E66" s="622"/>
      <c r="F66" s="717"/>
      <c r="G66" s="622"/>
      <c r="H66" s="622"/>
      <c r="I66" s="622"/>
      <c r="J66" s="622"/>
      <c r="K66" s="622"/>
      <c r="L66" s="622"/>
      <c r="M66" s="622"/>
    </row>
    <row r="67" spans="1:13">
      <c r="A67" s="715"/>
      <c r="B67" s="715"/>
      <c r="C67" s="715"/>
      <c r="D67" s="622"/>
      <c r="E67" s="622"/>
      <c r="F67" s="717"/>
      <c r="G67" s="622"/>
      <c r="H67" s="622"/>
      <c r="I67" s="622"/>
      <c r="J67" s="622"/>
      <c r="K67" s="622"/>
      <c r="L67" s="622"/>
      <c r="M67" s="622"/>
    </row>
    <row r="68" spans="1:13">
      <c r="A68" s="715"/>
      <c r="B68" s="715"/>
      <c r="C68" s="715"/>
      <c r="D68" s="622"/>
      <c r="E68" s="622"/>
      <c r="F68" s="717"/>
      <c r="G68" s="622"/>
      <c r="H68" s="622"/>
      <c r="I68" s="622"/>
      <c r="J68" s="622"/>
      <c r="K68" s="622"/>
      <c r="L68" s="622"/>
      <c r="M68" s="622"/>
    </row>
    <row r="69" spans="1:13">
      <c r="A69" s="715"/>
      <c r="B69" s="715"/>
      <c r="C69" s="715"/>
      <c r="D69" s="622"/>
      <c r="E69" s="622"/>
      <c r="F69" s="717"/>
      <c r="G69" s="622"/>
      <c r="H69" s="622"/>
      <c r="I69" s="622"/>
      <c r="J69" s="622"/>
      <c r="K69" s="622"/>
      <c r="L69" s="622"/>
      <c r="M69" s="622"/>
    </row>
    <row r="70" spans="1:13">
      <c r="A70" s="715"/>
      <c r="B70" s="715"/>
      <c r="C70" s="715"/>
      <c r="D70" s="622"/>
      <c r="E70" s="622"/>
      <c r="F70" s="717"/>
      <c r="G70" s="622"/>
      <c r="H70" s="622"/>
      <c r="I70" s="622"/>
      <c r="J70" s="622"/>
      <c r="K70" s="622"/>
      <c r="L70" s="622"/>
      <c r="M70" s="622"/>
    </row>
    <row r="71" spans="1:13">
      <c r="A71" s="715"/>
      <c r="B71" s="715"/>
      <c r="C71" s="715"/>
      <c r="D71" s="622"/>
      <c r="E71" s="622"/>
      <c r="F71" s="717"/>
      <c r="G71" s="622"/>
      <c r="H71" s="622"/>
      <c r="I71" s="622"/>
      <c r="J71" s="622"/>
      <c r="K71" s="622"/>
      <c r="L71" s="622"/>
      <c r="M71" s="622"/>
    </row>
    <row r="72" spans="1:13">
      <c r="A72" s="715"/>
      <c r="B72" s="715"/>
      <c r="C72" s="715"/>
      <c r="D72" s="1068" t="s">
        <v>615</v>
      </c>
      <c r="E72" s="622"/>
      <c r="F72" s="717" t="s">
        <v>887</v>
      </c>
      <c r="G72" s="622" t="s">
        <v>888</v>
      </c>
      <c r="H72" s="622"/>
      <c r="I72" s="622">
        <f>L72*K72</f>
        <v>1692</v>
      </c>
      <c r="J72" s="622" t="s">
        <v>636</v>
      </c>
      <c r="K72" s="750">
        <v>0.06</v>
      </c>
      <c r="L72" s="622">
        <v>28200</v>
      </c>
      <c r="M72" s="622"/>
    </row>
    <row r="73" spans="1:13">
      <c r="A73" s="715"/>
      <c r="B73" s="715"/>
      <c r="C73" s="715"/>
      <c r="D73" s="1068"/>
      <c r="E73" s="622"/>
      <c r="F73" s="717"/>
      <c r="G73" s="622"/>
      <c r="H73" s="622"/>
      <c r="I73" s="622"/>
      <c r="J73" s="622"/>
      <c r="K73" s="622"/>
      <c r="L73" s="622"/>
      <c r="M73" s="622"/>
    </row>
    <row r="74" spans="1:13">
      <c r="A74" s="715"/>
      <c r="B74" s="715"/>
      <c r="C74" s="715"/>
      <c r="D74" s="1068"/>
      <c r="E74" s="622"/>
      <c r="F74" s="717" t="s">
        <v>889</v>
      </c>
      <c r="G74" s="622" t="s">
        <v>890</v>
      </c>
      <c r="H74" s="622" t="s">
        <v>482</v>
      </c>
      <c r="I74" s="622">
        <f>E7+E14+E15+E16+E17+E19+E20+E22+E24+E27</f>
        <v>0</v>
      </c>
      <c r="J74" s="622"/>
      <c r="K74" s="622"/>
      <c r="L74" s="622"/>
      <c r="M74" s="622"/>
    </row>
    <row r="75" spans="1:13">
      <c r="A75" s="715"/>
      <c r="B75" s="715"/>
      <c r="C75" s="715"/>
      <c r="D75" s="1068"/>
      <c r="E75" s="622"/>
      <c r="F75" s="717"/>
      <c r="G75" s="622"/>
      <c r="H75" s="622"/>
      <c r="I75" s="622"/>
      <c r="J75" s="622"/>
      <c r="K75" s="622"/>
      <c r="L75" s="622"/>
      <c r="M75" s="622"/>
    </row>
    <row r="76" spans="1:13">
      <c r="A76" s="715"/>
      <c r="B76" s="715"/>
      <c r="C76" s="715"/>
      <c r="D76" s="1068"/>
      <c r="E76" s="622"/>
      <c r="F76" s="717"/>
      <c r="G76" s="622"/>
      <c r="H76" s="622" t="s">
        <v>891</v>
      </c>
      <c r="I76" s="727">
        <f>I74-I72</f>
        <v>-1692</v>
      </c>
      <c r="J76" s="622"/>
      <c r="K76" s="622"/>
      <c r="L76" s="622"/>
      <c r="M76" s="622"/>
    </row>
    <row r="77" spans="1:13">
      <c r="A77" s="715"/>
      <c r="B77" s="715"/>
      <c r="C77" s="715"/>
      <c r="D77" s="1068"/>
      <c r="E77" s="622"/>
      <c r="F77" s="717"/>
      <c r="G77" s="622"/>
      <c r="H77" s="622"/>
      <c r="I77" s="751"/>
      <c r="J77" s="622"/>
      <c r="K77" s="622"/>
      <c r="L77" s="622"/>
      <c r="M77" s="622"/>
    </row>
    <row r="78" spans="1:13">
      <c r="A78" s="715"/>
      <c r="B78" s="715"/>
      <c r="C78" s="715"/>
      <c r="D78" s="1068"/>
      <c r="E78" s="622"/>
      <c r="F78" s="717"/>
      <c r="G78" s="622" t="s">
        <v>892</v>
      </c>
      <c r="H78" s="622"/>
      <c r="I78" s="751">
        <f>I74+((F58+H58)*5%)</f>
        <v>-149.42750000000001</v>
      </c>
      <c r="J78" s="622"/>
      <c r="K78" s="622"/>
      <c r="L78" s="622"/>
      <c r="M78" s="622"/>
    </row>
    <row r="79" spans="1:13">
      <c r="A79" s="715"/>
      <c r="B79" s="715"/>
      <c r="C79" s="715"/>
      <c r="D79" s="622"/>
      <c r="E79" s="622"/>
      <c r="F79" s="717"/>
      <c r="G79" s="622"/>
      <c r="H79" s="622"/>
      <c r="I79" s="751"/>
      <c r="J79" s="622"/>
      <c r="K79" s="622"/>
      <c r="L79" s="622"/>
      <c r="M79" s="622"/>
    </row>
    <row r="80" spans="1:13">
      <c r="A80" s="715"/>
      <c r="B80" s="715"/>
      <c r="C80" s="715"/>
      <c r="D80" s="622"/>
      <c r="E80" s="622"/>
      <c r="F80" s="717"/>
      <c r="G80" s="622"/>
      <c r="H80" s="622" t="s">
        <v>893</v>
      </c>
      <c r="I80" s="751">
        <f>I78-I72</f>
        <v>-1841.4275</v>
      </c>
      <c r="J80" s="622"/>
      <c r="K80" s="622"/>
      <c r="L80" s="622"/>
      <c r="M80" s="622"/>
    </row>
    <row r="81" spans="1:13">
      <c r="A81" s="715"/>
      <c r="B81" s="715"/>
      <c r="C81" s="715"/>
      <c r="D81" s="622"/>
      <c r="E81" s="622"/>
      <c r="F81" s="717"/>
      <c r="G81" s="622"/>
      <c r="H81" s="622"/>
      <c r="I81" s="751"/>
      <c r="J81" s="622"/>
      <c r="K81" s="622"/>
      <c r="L81" s="622"/>
      <c r="M81" s="622"/>
    </row>
    <row r="82" spans="1:13">
      <c r="A82" s="715"/>
      <c r="B82" s="715"/>
      <c r="C82" s="715"/>
      <c r="D82" s="622"/>
      <c r="E82" s="622"/>
      <c r="F82" s="717"/>
      <c r="G82" s="622"/>
      <c r="H82" s="622"/>
      <c r="I82" s="751"/>
      <c r="J82" s="622"/>
      <c r="K82" s="622"/>
      <c r="L82" s="622"/>
      <c r="M82" s="622"/>
    </row>
    <row r="83" spans="1:13">
      <c r="A83" s="715"/>
      <c r="B83" s="715"/>
      <c r="C83" s="715"/>
      <c r="D83" s="1069" t="s">
        <v>878</v>
      </c>
      <c r="E83" s="622"/>
      <c r="F83" s="717"/>
      <c r="G83" s="622"/>
      <c r="H83" s="622"/>
      <c r="I83" s="751"/>
      <c r="J83" s="622"/>
      <c r="K83" s="622"/>
      <c r="L83" s="622"/>
      <c r="M83" s="622"/>
    </row>
    <row r="84" spans="1:13">
      <c r="A84" s="715"/>
      <c r="B84" s="715"/>
      <c r="C84" s="715"/>
      <c r="D84" s="1069"/>
      <c r="E84" s="622"/>
      <c r="F84" s="717" t="s">
        <v>887</v>
      </c>
      <c r="G84" s="622" t="s">
        <v>888</v>
      </c>
      <c r="H84" s="622"/>
      <c r="I84" s="751">
        <f>L84*K84</f>
        <v>470</v>
      </c>
      <c r="J84" s="622" t="s">
        <v>636</v>
      </c>
      <c r="K84" s="750">
        <v>0.05</v>
      </c>
      <c r="L84" s="622">
        <v>9400</v>
      </c>
      <c r="M84" s="622"/>
    </row>
    <row r="85" spans="1:13">
      <c r="A85" s="715"/>
      <c r="B85" s="715"/>
      <c r="C85" s="715"/>
      <c r="D85" s="1069"/>
      <c r="E85" s="622"/>
      <c r="F85" s="717"/>
      <c r="G85" s="622"/>
      <c r="H85" s="622"/>
      <c r="I85" s="751"/>
      <c r="J85" s="622"/>
      <c r="K85" s="622"/>
      <c r="L85" s="622"/>
      <c r="M85" s="622"/>
    </row>
    <row r="86" spans="1:13">
      <c r="A86" s="715"/>
      <c r="B86" s="715"/>
      <c r="C86" s="715"/>
      <c r="D86" s="1069"/>
      <c r="E86" s="622"/>
      <c r="F86" s="717" t="s">
        <v>889</v>
      </c>
      <c r="G86" s="622" t="s">
        <v>890</v>
      </c>
      <c r="H86" s="622" t="s">
        <v>482</v>
      </c>
      <c r="I86" s="751">
        <f>E5+E6+E21+E23+E26</f>
        <v>0</v>
      </c>
      <c r="J86" s="622"/>
      <c r="K86" s="622"/>
      <c r="L86" s="622"/>
      <c r="M86" s="622"/>
    </row>
    <row r="87" spans="1:13">
      <c r="A87" s="715"/>
      <c r="B87" s="715"/>
      <c r="C87" s="715"/>
      <c r="D87" s="1069"/>
      <c r="E87" s="622"/>
      <c r="F87" s="717"/>
      <c r="G87" s="622"/>
      <c r="H87" s="622"/>
      <c r="I87" s="751"/>
      <c r="J87" s="622"/>
      <c r="K87" s="622"/>
      <c r="L87" s="622"/>
      <c r="M87" s="622"/>
    </row>
    <row r="88" spans="1:13">
      <c r="A88" s="715"/>
      <c r="B88" s="715"/>
      <c r="C88" s="715"/>
      <c r="D88" s="1069"/>
      <c r="E88" s="622"/>
      <c r="F88" s="717"/>
      <c r="G88" s="622" t="s">
        <v>892</v>
      </c>
      <c r="H88" s="622"/>
      <c r="I88" s="751">
        <f>I86+((H64+F64)*5%)</f>
        <v>0</v>
      </c>
      <c r="J88" s="622"/>
      <c r="K88" s="622"/>
      <c r="L88" s="622"/>
      <c r="M88" s="622"/>
    </row>
    <row r="89" spans="1:13">
      <c r="A89" s="715"/>
      <c r="B89" s="715"/>
      <c r="C89" s="715"/>
      <c r="D89" s="1069"/>
      <c r="E89" s="622"/>
      <c r="F89" s="717"/>
      <c r="G89" s="622"/>
      <c r="H89" s="622"/>
      <c r="I89" s="751"/>
      <c r="J89" s="622"/>
      <c r="K89" s="622"/>
      <c r="L89" s="622"/>
      <c r="M89" s="622"/>
    </row>
    <row r="90" spans="1:13">
      <c r="A90" s="715"/>
      <c r="B90" s="715"/>
      <c r="C90" s="715"/>
      <c r="D90" s="1069"/>
      <c r="E90" s="622"/>
      <c r="F90" s="717"/>
      <c r="G90" s="622"/>
      <c r="H90" s="622" t="s">
        <v>893</v>
      </c>
      <c r="I90" s="751">
        <f>I88-I84</f>
        <v>-470</v>
      </c>
      <c r="J90" s="622"/>
      <c r="K90" s="622"/>
      <c r="L90" s="622"/>
      <c r="M90" s="622"/>
    </row>
    <row r="91" spans="1:13">
      <c r="A91" s="714"/>
      <c r="B91" s="715"/>
      <c r="C91" s="714"/>
      <c r="D91" s="1069"/>
      <c r="I91" s="610"/>
    </row>
    <row r="92" spans="1:13">
      <c r="A92" s="714"/>
      <c r="B92" s="715"/>
      <c r="C92" s="714"/>
      <c r="D92" s="1069"/>
      <c r="I92" s="610"/>
    </row>
    <row r="93" spans="1:13">
      <c r="A93" s="714"/>
      <c r="B93" s="715"/>
      <c r="C93" s="714"/>
      <c r="D93" s="1069"/>
      <c r="G93" s="689" t="s">
        <v>894</v>
      </c>
      <c r="I93" s="751">
        <f>I86+E25</f>
        <v>0</v>
      </c>
    </row>
    <row r="94" spans="1:13">
      <c r="A94" s="714"/>
      <c r="B94" s="715"/>
      <c r="C94" s="714"/>
      <c r="D94" s="1069"/>
      <c r="I94" s="610"/>
    </row>
    <row r="95" spans="1:13">
      <c r="A95" s="714"/>
      <c r="B95" s="715"/>
      <c r="C95" s="714"/>
      <c r="D95" s="1069"/>
      <c r="G95" s="689" t="s">
        <v>895</v>
      </c>
      <c r="I95" s="727">
        <f>I93-I84</f>
        <v>-470</v>
      </c>
    </row>
    <row r="96" spans="1:13">
      <c r="A96" s="714"/>
      <c r="B96" s="715"/>
      <c r="C96" s="714"/>
      <c r="D96" s="1069"/>
    </row>
    <row r="97" spans="1:3">
      <c r="A97" s="714"/>
      <c r="B97" s="715"/>
      <c r="C97" s="714"/>
    </row>
    <row r="98" spans="1:3">
      <c r="A98" s="714"/>
      <c r="B98" s="715"/>
      <c r="C98" s="714"/>
    </row>
    <row r="99" spans="1:3">
      <c r="A99" s="714"/>
      <c r="B99" s="715"/>
      <c r="C99" s="714"/>
    </row>
    <row r="100" spans="1:3">
      <c r="A100" s="714"/>
      <c r="B100" s="715"/>
      <c r="C100" s="714"/>
    </row>
    <row r="101" spans="1:3">
      <c r="A101" s="714"/>
      <c r="B101" s="715"/>
      <c r="C101" s="714"/>
    </row>
    <row r="102" spans="1:3">
      <c r="A102" s="714"/>
      <c r="B102" s="715"/>
      <c r="C102" s="714"/>
    </row>
    <row r="103" spans="1:3">
      <c r="A103" s="714"/>
      <c r="B103" s="715"/>
      <c r="C103" s="714"/>
    </row>
    <row r="104" spans="1:3">
      <c r="A104" s="714"/>
      <c r="B104" s="715"/>
      <c r="C104" s="714"/>
    </row>
    <row r="105" spans="1:3">
      <c r="A105" s="714"/>
      <c r="B105" s="715"/>
      <c r="C105" s="714"/>
    </row>
    <row r="106" spans="1:3">
      <c r="A106" s="714"/>
      <c r="B106" s="715"/>
      <c r="C106" s="714"/>
    </row>
    <row r="107" spans="1:3">
      <c r="A107" s="714"/>
      <c r="B107" s="715"/>
      <c r="C107" s="714"/>
    </row>
    <row r="108" spans="1:3">
      <c r="A108" s="714"/>
      <c r="B108" s="715"/>
      <c r="C108" s="714"/>
    </row>
    <row r="109" spans="1:3">
      <c r="A109" s="714"/>
      <c r="B109" s="715"/>
      <c r="C109" s="714"/>
    </row>
    <row r="110" spans="1:3">
      <c r="A110" s="714"/>
      <c r="B110" s="715"/>
      <c r="C110" s="714"/>
    </row>
    <row r="111" spans="1:3">
      <c r="A111" s="714"/>
      <c r="B111" s="715"/>
      <c r="C111" s="714"/>
    </row>
    <row r="112" spans="1:3">
      <c r="A112" s="714"/>
      <c r="B112" s="715"/>
      <c r="C112" s="714"/>
    </row>
    <row r="113" spans="1:3">
      <c r="A113" s="714"/>
      <c r="B113" s="715"/>
      <c r="C113" s="714"/>
    </row>
    <row r="114" spans="1:3">
      <c r="A114" s="714"/>
      <c r="B114" s="715"/>
      <c r="C114" s="714"/>
    </row>
    <row r="115" spans="1:3">
      <c r="A115" s="714"/>
      <c r="B115" s="715"/>
      <c r="C115" s="714"/>
    </row>
    <row r="116" spans="1:3">
      <c r="A116" s="714"/>
      <c r="B116" s="715"/>
      <c r="C116" s="714"/>
    </row>
    <row r="117" spans="1:3">
      <c r="A117" s="714"/>
      <c r="B117" s="715"/>
      <c r="C117" s="714"/>
    </row>
    <row r="118" spans="1:3">
      <c r="A118" s="714"/>
      <c r="B118" s="715"/>
      <c r="C118" s="714"/>
    </row>
    <row r="119" spans="1:3">
      <c r="A119" s="714"/>
      <c r="B119" s="715"/>
      <c r="C119" s="714"/>
    </row>
    <row r="120" spans="1:3">
      <c r="A120" s="714"/>
      <c r="B120" s="715"/>
      <c r="C120" s="714"/>
    </row>
    <row r="121" spans="1:3">
      <c r="A121" s="714"/>
      <c r="B121" s="715"/>
      <c r="C121" s="714"/>
    </row>
    <row r="122" spans="1:3">
      <c r="A122" s="714"/>
      <c r="B122" s="715"/>
      <c r="C122" s="714"/>
    </row>
    <row r="123" spans="1:3">
      <c r="A123" s="714"/>
      <c r="B123" s="715"/>
      <c r="C123" s="714"/>
    </row>
    <row r="124" spans="1:3">
      <c r="A124" s="714"/>
      <c r="B124" s="715"/>
      <c r="C124" s="714"/>
    </row>
    <row r="125" spans="1:3">
      <c r="A125" s="714"/>
      <c r="B125" s="715"/>
      <c r="C125" s="714"/>
    </row>
    <row r="126" spans="1:3">
      <c r="A126" s="714"/>
      <c r="B126" s="715"/>
      <c r="C126" s="714"/>
    </row>
    <row r="127" spans="1:3">
      <c r="A127" s="714"/>
      <c r="B127" s="715"/>
      <c r="C127" s="714"/>
    </row>
    <row r="128" spans="1:3">
      <c r="A128" s="714"/>
      <c r="B128" s="715"/>
      <c r="C128" s="714"/>
    </row>
    <row r="129" spans="1:3">
      <c r="A129" s="714"/>
      <c r="B129" s="715"/>
      <c r="C129" s="714"/>
    </row>
    <row r="130" spans="1:3">
      <c r="A130" s="714"/>
      <c r="B130" s="715"/>
      <c r="C130" s="714"/>
    </row>
    <row r="131" spans="1:3">
      <c r="A131" s="714"/>
      <c r="B131" s="715"/>
      <c r="C131" s="714"/>
    </row>
    <row r="132" spans="1:3">
      <c r="A132" s="714"/>
      <c r="B132" s="715"/>
      <c r="C132" s="714"/>
    </row>
    <row r="133" spans="1:3">
      <c r="A133" s="714"/>
      <c r="B133" s="715"/>
      <c r="C133" s="714"/>
    </row>
    <row r="134" spans="1:3">
      <c r="A134" s="714"/>
      <c r="B134" s="715"/>
      <c r="C134" s="714"/>
    </row>
    <row r="135" spans="1:3">
      <c r="A135" s="714"/>
      <c r="B135" s="715"/>
      <c r="C135" s="714"/>
    </row>
    <row r="136" spans="1:3">
      <c r="A136" s="714"/>
      <c r="B136" s="715"/>
      <c r="C136" s="714"/>
    </row>
    <row r="137" spans="1:3">
      <c r="A137" s="714"/>
      <c r="B137" s="715"/>
      <c r="C137" s="714"/>
    </row>
    <row r="138" spans="1:3">
      <c r="A138" s="714"/>
      <c r="B138" s="715"/>
      <c r="C138" s="714"/>
    </row>
    <row r="139" spans="1:3">
      <c r="A139" s="714"/>
      <c r="B139" s="715"/>
      <c r="C139" s="714"/>
    </row>
    <row r="140" spans="1:3">
      <c r="A140" s="714"/>
      <c r="B140" s="715"/>
      <c r="C140" s="714"/>
    </row>
    <row r="141" spans="1:3">
      <c r="A141" s="714"/>
      <c r="B141" s="715"/>
      <c r="C141" s="714"/>
    </row>
    <row r="142" spans="1:3">
      <c r="A142" s="714"/>
      <c r="B142" s="715"/>
      <c r="C142" s="714"/>
    </row>
    <row r="143" spans="1:3">
      <c r="A143" s="714"/>
      <c r="B143" s="715"/>
      <c r="C143" s="714"/>
    </row>
    <row r="144" spans="1:3">
      <c r="A144" s="714"/>
      <c r="B144" s="715"/>
      <c r="C144" s="714"/>
    </row>
    <row r="145" spans="1:3">
      <c r="A145" s="714"/>
      <c r="B145" s="715"/>
      <c r="C145" s="714"/>
    </row>
    <row r="146" spans="1:3">
      <c r="A146" s="714"/>
      <c r="B146" s="715"/>
      <c r="C146" s="714"/>
    </row>
    <row r="147" spans="1:3">
      <c r="A147" s="714"/>
      <c r="B147" s="715"/>
      <c r="C147" s="714"/>
    </row>
    <row r="148" spans="1:3">
      <c r="A148" s="714"/>
      <c r="B148" s="715"/>
      <c r="C148" s="714"/>
    </row>
    <row r="149" spans="1:3">
      <c r="A149" s="714"/>
      <c r="B149" s="715"/>
      <c r="C149" s="714"/>
    </row>
    <row r="150" spans="1:3">
      <c r="A150" s="714"/>
      <c r="B150" s="715"/>
      <c r="C150" s="714"/>
    </row>
    <row r="151" spans="1:3">
      <c r="A151" s="714"/>
      <c r="B151" s="715"/>
      <c r="C151" s="714"/>
    </row>
    <row r="152" spans="1:3">
      <c r="A152" s="714"/>
      <c r="B152" s="715"/>
      <c r="C152" s="714"/>
    </row>
    <row r="153" spans="1:3">
      <c r="A153" s="714"/>
      <c r="B153" s="715"/>
      <c r="C153" s="714"/>
    </row>
    <row r="154" spans="1:3">
      <c r="A154" s="714"/>
      <c r="B154" s="715"/>
      <c r="C154" s="714"/>
    </row>
    <row r="155" spans="1:3">
      <c r="A155" s="714"/>
      <c r="B155" s="715"/>
      <c r="C155" s="714"/>
    </row>
    <row r="156" spans="1:3">
      <c r="A156" s="714"/>
      <c r="B156" s="715"/>
      <c r="C156" s="714"/>
    </row>
    <row r="157" spans="1:3">
      <c r="A157" s="714"/>
      <c r="B157" s="715"/>
      <c r="C157" s="714"/>
    </row>
    <row r="158" spans="1:3">
      <c r="A158" s="714"/>
      <c r="B158" s="715"/>
      <c r="C158" s="714"/>
    </row>
    <row r="159" spans="1:3">
      <c r="A159" s="714"/>
      <c r="B159" s="715"/>
      <c r="C159" s="714"/>
    </row>
    <row r="160" spans="1:3">
      <c r="A160" s="714"/>
      <c r="B160" s="715"/>
      <c r="C160" s="714"/>
    </row>
    <row r="161" spans="1:18">
      <c r="A161" s="714"/>
      <c r="B161" s="715"/>
      <c r="C161" s="714"/>
    </row>
    <row r="162" spans="1:18">
      <c r="A162" s="714"/>
      <c r="B162" s="715"/>
      <c r="C162" s="714"/>
    </row>
    <row r="163" spans="1:18">
      <c r="A163" s="714"/>
      <c r="B163" s="715"/>
      <c r="C163" s="714"/>
    </row>
    <row r="164" spans="1:18">
      <c r="A164" s="714"/>
      <c r="B164" s="715"/>
      <c r="C164" s="714"/>
    </row>
    <row r="165" spans="1:18">
      <c r="A165" s="714"/>
      <c r="B165" s="715"/>
      <c r="C165" s="714"/>
    </row>
    <row r="166" spans="1:18">
      <c r="A166" s="714"/>
      <c r="B166" s="715"/>
      <c r="C166" s="714"/>
    </row>
    <row r="167" spans="1:18">
      <c r="A167" s="714"/>
      <c r="B167" s="715"/>
      <c r="C167" s="714"/>
    </row>
    <row r="168" spans="1:18">
      <c r="A168" s="714"/>
      <c r="B168" s="715"/>
      <c r="C168" s="714"/>
    </row>
    <row r="169" spans="1:18">
      <c r="B169" s="622"/>
    </row>
    <row r="170" spans="1:18">
      <c r="B170" s="622"/>
    </row>
    <row r="171" spans="1:18">
      <c r="B171" s="622"/>
    </row>
    <row r="172" spans="1:18">
      <c r="B172" s="622"/>
    </row>
    <row r="173" spans="1:18" s="714" customFormat="1" ht="30">
      <c r="A173" s="752"/>
      <c r="B173" s="1070" t="s">
        <v>364</v>
      </c>
      <c r="C173" s="1070"/>
      <c r="D173" s="1070">
        <f>D1</f>
        <v>0</v>
      </c>
      <c r="E173" s="1070"/>
      <c r="F173" s="1070"/>
      <c r="G173" s="1070"/>
      <c r="H173" s="1070"/>
      <c r="I173" s="752"/>
      <c r="J173" s="752"/>
      <c r="K173" s="752"/>
      <c r="L173" s="752"/>
      <c r="M173" s="752"/>
      <c r="N173" s="752"/>
      <c r="O173" s="752"/>
      <c r="P173" s="752"/>
      <c r="Q173" s="752"/>
    </row>
    <row r="174" spans="1:18" s="714" customFormat="1" ht="18">
      <c r="A174" s="711"/>
      <c r="B174" s="711" t="s">
        <v>896</v>
      </c>
      <c r="C174" s="711"/>
      <c r="D174" s="711"/>
      <c r="E174" s="711" t="s">
        <v>27</v>
      </c>
      <c r="F174" s="712"/>
      <c r="G174" s="711"/>
      <c r="H174" s="711"/>
      <c r="I174" s="711"/>
      <c r="J174" s="711"/>
      <c r="K174" s="711"/>
      <c r="L174" s="711" t="s">
        <v>827</v>
      </c>
      <c r="M174" s="711" t="s">
        <v>827</v>
      </c>
      <c r="N174" s="711" t="s">
        <v>827</v>
      </c>
      <c r="O174" s="711" t="s">
        <v>634</v>
      </c>
      <c r="P174" s="711"/>
      <c r="Q174" s="711"/>
    </row>
    <row r="175" spans="1:18" s="714" customFormat="1">
      <c r="A175" s="714" t="s">
        <v>828</v>
      </c>
      <c r="B175" s="714" t="s">
        <v>829</v>
      </c>
      <c r="C175" s="714" t="s">
        <v>830</v>
      </c>
      <c r="D175" s="714" t="s">
        <v>831</v>
      </c>
      <c r="E175" s="714" t="s">
        <v>832</v>
      </c>
      <c r="F175" s="714" t="s">
        <v>833</v>
      </c>
      <c r="G175" s="714" t="s">
        <v>834</v>
      </c>
      <c r="H175" s="714" t="s">
        <v>835</v>
      </c>
      <c r="I175" s="714" t="s">
        <v>836</v>
      </c>
      <c r="J175" s="714" t="s">
        <v>837</v>
      </c>
      <c r="L175" s="714" t="s">
        <v>838</v>
      </c>
      <c r="M175" s="714" t="s">
        <v>839</v>
      </c>
      <c r="N175" s="714" t="s">
        <v>840</v>
      </c>
      <c r="O175" s="714" t="s">
        <v>841</v>
      </c>
      <c r="Q175" s="714" t="s">
        <v>842</v>
      </c>
      <c r="R175" s="714" t="s">
        <v>843</v>
      </c>
    </row>
    <row r="176" spans="1:18">
      <c r="A176" s="714">
        <v>370</v>
      </c>
      <c r="B176" s="714" t="s">
        <v>844</v>
      </c>
      <c r="C176" s="714" t="s">
        <v>271</v>
      </c>
      <c r="D176" s="715">
        <v>7.5</v>
      </c>
      <c r="E176" s="715"/>
      <c r="F176" s="753"/>
      <c r="G176" s="715">
        <v>7.5</v>
      </c>
      <c r="H176" s="715"/>
      <c r="I176" s="715">
        <v>0.01</v>
      </c>
      <c r="J176" s="715"/>
      <c r="K176" s="622"/>
      <c r="L176" s="715">
        <f t="shared" ref="L176:L206" si="5">J176/I176*100</f>
        <v>0</v>
      </c>
      <c r="M176" s="715">
        <f>IF(OR(C176=$AA$1,C176=$AB$1),E176/D176*100,0)</f>
        <v>0</v>
      </c>
      <c r="N176" s="715">
        <f>IF(C176=$Z$1,E176/D176*100,0)</f>
        <v>0</v>
      </c>
      <c r="O176" s="715">
        <f t="shared" ref="O176:O206" si="6">H176/G176*100</f>
        <v>0</v>
      </c>
      <c r="P176" s="714" t="s">
        <v>845</v>
      </c>
      <c r="Q176" s="714"/>
      <c r="R176" s="714"/>
    </row>
    <row r="177" spans="1:18">
      <c r="A177" s="714">
        <v>390</v>
      </c>
      <c r="B177" s="714" t="s">
        <v>846</v>
      </c>
      <c r="C177" s="714" t="s">
        <v>271</v>
      </c>
      <c r="D177" s="715">
        <v>5</v>
      </c>
      <c r="E177" s="715"/>
      <c r="F177" s="753">
        <f>E177</f>
        <v>0</v>
      </c>
      <c r="G177" s="715">
        <v>5</v>
      </c>
      <c r="H177" s="715"/>
      <c r="I177" s="715">
        <v>8.33</v>
      </c>
      <c r="J177" s="715"/>
      <c r="K177" s="622"/>
      <c r="L177" s="715">
        <f t="shared" si="5"/>
        <v>0</v>
      </c>
      <c r="M177" s="715">
        <f>IF(OR(C177=$AA$1,C177=$AB$1),E177/D177*100,0)</f>
        <v>0</v>
      </c>
      <c r="N177" s="715">
        <f>IF(C177=$Z$1,E177/D177*100,0)</f>
        <v>0</v>
      </c>
      <c r="O177" s="715">
        <f t="shared" si="6"/>
        <v>0</v>
      </c>
      <c r="P177" s="714" t="s">
        <v>845</v>
      </c>
      <c r="Q177" s="714"/>
      <c r="R177" s="714"/>
    </row>
    <row r="178" spans="1:18">
      <c r="A178" s="714">
        <v>402</v>
      </c>
      <c r="B178" s="714" t="s">
        <v>847</v>
      </c>
      <c r="C178" s="714" t="s">
        <v>271</v>
      </c>
      <c r="D178" s="715">
        <v>5</v>
      </c>
      <c r="E178" s="715"/>
      <c r="F178" s="753">
        <f>E178</f>
        <v>0</v>
      </c>
      <c r="G178" s="715">
        <v>5</v>
      </c>
      <c r="H178" s="715"/>
      <c r="I178" s="715">
        <v>8.5</v>
      </c>
      <c r="J178" s="715"/>
      <c r="K178" s="622"/>
      <c r="L178" s="715">
        <f t="shared" si="5"/>
        <v>0</v>
      </c>
      <c r="M178" s="715">
        <f>IF(OR(C178=$AA$1,C178=$AB$1),E178/D178*100,0)</f>
        <v>0</v>
      </c>
      <c r="N178" s="715">
        <f>IF(C178=$Z$1,E178/D178*100,0)</f>
        <v>0</v>
      </c>
      <c r="O178" s="715">
        <f t="shared" si="6"/>
        <v>0</v>
      </c>
      <c r="P178" s="714" t="s">
        <v>845</v>
      </c>
      <c r="Q178" s="714"/>
      <c r="R178" s="714"/>
    </row>
    <row r="179" spans="1:18">
      <c r="A179" s="714">
        <v>416</v>
      </c>
      <c r="B179" s="714" t="s">
        <v>848</v>
      </c>
      <c r="C179" s="714" t="s">
        <v>615</v>
      </c>
      <c r="D179" s="715">
        <v>6</v>
      </c>
      <c r="E179" s="715"/>
      <c r="F179" s="753">
        <f>5/6*E179</f>
        <v>0</v>
      </c>
      <c r="G179" s="715">
        <v>5.5</v>
      </c>
      <c r="H179" s="715"/>
      <c r="I179" s="715">
        <v>8.33</v>
      </c>
      <c r="J179" s="715"/>
      <c r="K179" s="622"/>
      <c r="L179" s="715">
        <f t="shared" si="5"/>
        <v>0</v>
      </c>
      <c r="M179" s="715">
        <f>IF(OR(C179=$AA$1,C179=$AB$1),E179/D179*100,0)</f>
        <v>0</v>
      </c>
      <c r="N179" s="715">
        <f>IF(C179=$Z$1,E179/D179*100,0)</f>
        <v>0</v>
      </c>
      <c r="O179" s="715">
        <f t="shared" si="6"/>
        <v>0</v>
      </c>
      <c r="P179" s="714" t="s">
        <v>538</v>
      </c>
      <c r="Q179" s="714"/>
      <c r="R179" s="714"/>
    </row>
    <row r="180" spans="1:18">
      <c r="A180" s="714">
        <v>791</v>
      </c>
      <c r="B180" s="714" t="s">
        <v>849</v>
      </c>
      <c r="C180" s="714" t="s">
        <v>825</v>
      </c>
      <c r="D180" s="715">
        <v>1</v>
      </c>
      <c r="E180" s="715"/>
      <c r="F180" s="753"/>
      <c r="G180" s="715">
        <v>0.5</v>
      </c>
      <c r="H180" s="715"/>
      <c r="I180" s="715">
        <v>0.01</v>
      </c>
      <c r="J180" s="715"/>
      <c r="K180" s="622"/>
      <c r="L180" s="715">
        <f t="shared" si="5"/>
        <v>0</v>
      </c>
      <c r="M180" s="715">
        <f>IF(OR(C180=$AA$1,C180=$AB$1),E180/D180*100,0)</f>
        <v>0</v>
      </c>
      <c r="N180" s="715">
        <f>IF(C180=$Z$1,E180/D180*100,0)</f>
        <v>0</v>
      </c>
      <c r="O180" s="715">
        <f t="shared" si="6"/>
        <v>0</v>
      </c>
      <c r="P180" s="714"/>
      <c r="Q180" s="714"/>
      <c r="R180" s="714"/>
    </row>
    <row r="181" spans="1:18">
      <c r="A181" s="714">
        <v>792</v>
      </c>
      <c r="B181" s="714" t="s">
        <v>851</v>
      </c>
      <c r="C181" s="714" t="s">
        <v>825</v>
      </c>
      <c r="D181" s="715">
        <v>2.5</v>
      </c>
      <c r="E181" s="715"/>
      <c r="F181" s="753"/>
      <c r="G181" s="715">
        <v>2.5</v>
      </c>
      <c r="H181" s="715"/>
      <c r="I181" s="715">
        <v>0.01</v>
      </c>
      <c r="J181" s="715"/>
      <c r="K181" s="622"/>
      <c r="L181" s="715">
        <f t="shared" si="5"/>
        <v>0</v>
      </c>
      <c r="M181" s="715">
        <f t="shared" ref="M181:M206" si="7">IF(OR(C181=$AA$1,C181=$AB$1),E181/D181*100,0)</f>
        <v>0</v>
      </c>
      <c r="N181" s="715">
        <f t="shared" ref="N181:N206" si="8">IF(C181=$Z$1,E181/D181*100,0)</f>
        <v>0</v>
      </c>
      <c r="O181" s="715">
        <f t="shared" si="6"/>
        <v>0</v>
      </c>
      <c r="P181" s="714"/>
      <c r="Q181" s="714"/>
      <c r="R181" s="714"/>
    </row>
    <row r="182" spans="1:18">
      <c r="A182" s="714">
        <v>793</v>
      </c>
      <c r="B182" s="714" t="s">
        <v>852</v>
      </c>
      <c r="C182" s="714" t="s">
        <v>825</v>
      </c>
      <c r="D182" s="715">
        <v>1</v>
      </c>
      <c r="E182" s="715"/>
      <c r="F182" s="753"/>
      <c r="G182" s="715">
        <v>0.5</v>
      </c>
      <c r="H182" s="715"/>
      <c r="I182" s="715">
        <v>0.01</v>
      </c>
      <c r="J182" s="715"/>
      <c r="K182" s="622"/>
      <c r="L182" s="715">
        <f t="shared" si="5"/>
        <v>0</v>
      </c>
      <c r="M182" s="715">
        <f t="shared" si="7"/>
        <v>0</v>
      </c>
      <c r="N182" s="715">
        <f t="shared" si="8"/>
        <v>0</v>
      </c>
      <c r="O182" s="715">
        <f t="shared" si="6"/>
        <v>0</v>
      </c>
      <c r="P182" s="714"/>
      <c r="Q182" s="714"/>
      <c r="R182" s="714"/>
    </row>
    <row r="183" spans="1:18">
      <c r="A183" s="714">
        <v>794</v>
      </c>
      <c r="B183" s="714" t="s">
        <v>853</v>
      </c>
      <c r="C183" s="714" t="s">
        <v>615</v>
      </c>
      <c r="D183" s="715">
        <v>5</v>
      </c>
      <c r="E183" s="715"/>
      <c r="F183" s="753">
        <f>E183</f>
        <v>0</v>
      </c>
      <c r="G183" s="715">
        <v>5</v>
      </c>
      <c r="H183" s="715"/>
      <c r="I183" s="715">
        <v>8.33</v>
      </c>
      <c r="J183" s="715">
        <f>8.33/14.33*E183</f>
        <v>0</v>
      </c>
      <c r="K183" s="622"/>
      <c r="L183" s="715">
        <f t="shared" si="5"/>
        <v>0</v>
      </c>
      <c r="M183" s="715">
        <f t="shared" si="7"/>
        <v>0</v>
      </c>
      <c r="N183" s="715">
        <f t="shared" si="8"/>
        <v>0</v>
      </c>
      <c r="O183" s="715">
        <f t="shared" si="6"/>
        <v>0</v>
      </c>
      <c r="P183" s="714" t="s">
        <v>538</v>
      </c>
      <c r="Q183" s="714"/>
      <c r="R183" s="714"/>
    </row>
    <row r="184" spans="1:18">
      <c r="A184" s="714" t="s">
        <v>897</v>
      </c>
      <c r="B184" s="714" t="s">
        <v>853</v>
      </c>
      <c r="C184" s="714" t="s">
        <v>825</v>
      </c>
      <c r="D184" s="715">
        <v>1</v>
      </c>
      <c r="E184" s="715"/>
      <c r="F184" s="753"/>
      <c r="G184" s="715">
        <v>0.5</v>
      </c>
      <c r="H184" s="715"/>
      <c r="I184" s="715">
        <v>0.01</v>
      </c>
      <c r="J184" s="715"/>
      <c r="K184" s="622"/>
      <c r="L184" s="715">
        <f t="shared" si="5"/>
        <v>0</v>
      </c>
      <c r="M184" s="715">
        <f t="shared" si="7"/>
        <v>0</v>
      </c>
      <c r="N184" s="715">
        <f t="shared" si="8"/>
        <v>0</v>
      </c>
      <c r="O184" s="715">
        <f t="shared" si="6"/>
        <v>0</v>
      </c>
      <c r="P184" s="714"/>
      <c r="Q184" s="714"/>
      <c r="R184" s="714"/>
    </row>
    <row r="185" spans="1:18">
      <c r="A185" s="714">
        <v>795</v>
      </c>
      <c r="B185" s="714" t="s">
        <v>854</v>
      </c>
      <c r="C185" s="714" t="s">
        <v>615</v>
      </c>
      <c r="D185" s="715">
        <v>5</v>
      </c>
      <c r="E185" s="715"/>
      <c r="F185" s="753">
        <f>E185</f>
        <v>0</v>
      </c>
      <c r="G185" s="715">
        <v>5</v>
      </c>
      <c r="H185" s="715"/>
      <c r="I185" s="715">
        <v>6</v>
      </c>
      <c r="J185" s="715">
        <f>6/12*E185</f>
        <v>0</v>
      </c>
      <c r="K185" s="622"/>
      <c r="L185" s="715">
        <f t="shared" si="5"/>
        <v>0</v>
      </c>
      <c r="M185" s="715">
        <f t="shared" si="7"/>
        <v>0</v>
      </c>
      <c r="N185" s="715">
        <f t="shared" si="8"/>
        <v>0</v>
      </c>
      <c r="O185" s="715">
        <f t="shared" si="6"/>
        <v>0</v>
      </c>
      <c r="P185" s="714" t="s">
        <v>538</v>
      </c>
      <c r="Q185" s="714"/>
      <c r="R185" s="714"/>
    </row>
    <row r="186" spans="1:18">
      <c r="A186" s="714" t="s">
        <v>898</v>
      </c>
      <c r="B186" s="714" t="s">
        <v>854</v>
      </c>
      <c r="C186" s="714" t="s">
        <v>825</v>
      </c>
      <c r="D186" s="715">
        <v>1</v>
      </c>
      <c r="E186" s="715"/>
      <c r="F186" s="753"/>
      <c r="G186" s="715">
        <v>0.5</v>
      </c>
      <c r="H186" s="715"/>
      <c r="I186" s="715">
        <v>0.01</v>
      </c>
      <c r="J186" s="715"/>
      <c r="K186" s="622"/>
      <c r="L186" s="715">
        <f t="shared" si="5"/>
        <v>0</v>
      </c>
      <c r="M186" s="715">
        <f t="shared" si="7"/>
        <v>0</v>
      </c>
      <c r="N186" s="715">
        <f t="shared" si="8"/>
        <v>0</v>
      </c>
      <c r="O186" s="715">
        <f t="shared" si="6"/>
        <v>0</v>
      </c>
      <c r="P186" s="714"/>
      <c r="Q186" s="714"/>
      <c r="R186" s="714"/>
    </row>
    <row r="187" spans="1:18">
      <c r="A187" s="714">
        <v>796</v>
      </c>
      <c r="B187" s="714" t="s">
        <v>855</v>
      </c>
      <c r="C187" s="714" t="s">
        <v>825</v>
      </c>
      <c r="D187" s="715">
        <v>2.5</v>
      </c>
      <c r="E187" s="715"/>
      <c r="F187" s="753"/>
      <c r="G187" s="715">
        <v>2.5</v>
      </c>
      <c r="H187" s="715"/>
      <c r="I187" s="715">
        <v>0.01</v>
      </c>
      <c r="J187" s="715"/>
      <c r="K187" s="622"/>
      <c r="L187" s="715">
        <f t="shared" si="5"/>
        <v>0</v>
      </c>
      <c r="M187" s="715">
        <f t="shared" si="7"/>
        <v>0</v>
      </c>
      <c r="N187" s="715">
        <f t="shared" si="8"/>
        <v>0</v>
      </c>
      <c r="O187" s="715">
        <f t="shared" si="6"/>
        <v>0</v>
      </c>
      <c r="P187" s="714"/>
      <c r="Q187" s="714"/>
      <c r="R187" s="714"/>
    </row>
    <row r="188" spans="1:18">
      <c r="A188" s="714">
        <v>801</v>
      </c>
      <c r="B188" s="714" t="s">
        <v>856</v>
      </c>
      <c r="C188" s="714" t="s">
        <v>618</v>
      </c>
      <c r="D188" s="715">
        <v>6</v>
      </c>
      <c r="E188" s="715"/>
      <c r="F188" s="753">
        <f>5/6*E188</f>
        <v>0</v>
      </c>
      <c r="G188" s="715">
        <v>5.5</v>
      </c>
      <c r="H188" s="715"/>
      <c r="I188" s="715">
        <v>8.33</v>
      </c>
      <c r="J188" s="715"/>
      <c r="K188" s="622"/>
      <c r="L188" s="715">
        <f t="shared" si="5"/>
        <v>0</v>
      </c>
      <c r="M188" s="715">
        <f t="shared" si="7"/>
        <v>0</v>
      </c>
      <c r="N188" s="715">
        <f t="shared" si="8"/>
        <v>0</v>
      </c>
      <c r="O188" s="715">
        <f t="shared" si="6"/>
        <v>0</v>
      </c>
      <c r="P188" s="714" t="s">
        <v>538</v>
      </c>
      <c r="Q188" s="690" t="s">
        <v>859</v>
      </c>
      <c r="R188" s="690" t="s">
        <v>635</v>
      </c>
    </row>
    <row r="189" spans="1:18">
      <c r="A189" s="714">
        <v>818</v>
      </c>
      <c r="B189" s="714" t="s">
        <v>857</v>
      </c>
      <c r="C189" s="714" t="s">
        <v>615</v>
      </c>
      <c r="D189" s="715">
        <v>6</v>
      </c>
      <c r="E189" s="715"/>
      <c r="F189" s="753">
        <f>5/6*E189</f>
        <v>0</v>
      </c>
      <c r="G189" s="715">
        <v>5.5</v>
      </c>
      <c r="H189" s="715"/>
      <c r="I189" s="715">
        <v>8.33</v>
      </c>
      <c r="J189" s="715"/>
      <c r="K189" s="622"/>
      <c r="L189" s="715">
        <f t="shared" si="5"/>
        <v>0</v>
      </c>
      <c r="M189" s="715">
        <f t="shared" si="7"/>
        <v>0</v>
      </c>
      <c r="N189" s="715">
        <f t="shared" si="8"/>
        <v>0</v>
      </c>
      <c r="O189" s="715">
        <f t="shared" si="6"/>
        <v>0</v>
      </c>
      <c r="P189" s="714" t="s">
        <v>538</v>
      </c>
      <c r="Q189" s="714"/>
      <c r="R189" s="714"/>
    </row>
    <row r="190" spans="1:18">
      <c r="A190" s="714">
        <v>829</v>
      </c>
      <c r="B190" s="714" t="s">
        <v>858</v>
      </c>
      <c r="C190" s="714" t="s">
        <v>615</v>
      </c>
      <c r="D190" s="715">
        <v>5</v>
      </c>
      <c r="E190" s="715"/>
      <c r="F190" s="753">
        <f>E190</f>
        <v>0</v>
      </c>
      <c r="G190" s="715">
        <v>5</v>
      </c>
      <c r="H190" s="715"/>
      <c r="I190" s="715">
        <v>0.01</v>
      </c>
      <c r="J190" s="715">
        <v>0</v>
      </c>
      <c r="K190" s="622"/>
      <c r="L190" s="715">
        <f t="shared" si="5"/>
        <v>0</v>
      </c>
      <c r="M190" s="715">
        <f t="shared" si="7"/>
        <v>0</v>
      </c>
      <c r="N190" s="715">
        <f t="shared" si="8"/>
        <v>0</v>
      </c>
      <c r="O190" s="715">
        <f t="shared" si="6"/>
        <v>0</v>
      </c>
      <c r="P190" s="714" t="s">
        <v>538</v>
      </c>
      <c r="Q190" s="714"/>
      <c r="R190" s="714"/>
    </row>
    <row r="191" spans="1:18">
      <c r="A191" s="714">
        <v>830</v>
      </c>
      <c r="B191" s="714" t="s">
        <v>860</v>
      </c>
      <c r="C191" s="714" t="s">
        <v>615</v>
      </c>
      <c r="D191" s="715">
        <v>6</v>
      </c>
      <c r="E191" s="715"/>
      <c r="F191" s="753">
        <f>5/6*E191</f>
        <v>0</v>
      </c>
      <c r="G191" s="715">
        <v>5.5</v>
      </c>
      <c r="H191" s="715"/>
      <c r="I191" s="715">
        <v>6</v>
      </c>
      <c r="J191" s="715"/>
      <c r="K191" s="622"/>
      <c r="L191" s="715">
        <f t="shared" si="5"/>
        <v>0</v>
      </c>
      <c r="M191" s="715">
        <f t="shared" si="7"/>
        <v>0</v>
      </c>
      <c r="N191" s="715">
        <f t="shared" si="8"/>
        <v>0</v>
      </c>
      <c r="O191" s="715">
        <f t="shared" si="6"/>
        <v>0</v>
      </c>
      <c r="P191" s="714" t="s">
        <v>538</v>
      </c>
      <c r="Q191" s="714"/>
      <c r="R191" s="714"/>
    </row>
    <row r="192" spans="1:18">
      <c r="A192" s="714">
        <v>833</v>
      </c>
      <c r="B192" s="714" t="s">
        <v>861</v>
      </c>
      <c r="C192" s="714" t="s">
        <v>618</v>
      </c>
      <c r="D192" s="715">
        <v>0.01</v>
      </c>
      <c r="E192" s="715"/>
      <c r="F192" s="753"/>
      <c r="G192" s="715">
        <v>0.01</v>
      </c>
      <c r="H192" s="715"/>
      <c r="I192" s="715">
        <v>8.33</v>
      </c>
      <c r="J192" s="715"/>
      <c r="K192" s="622"/>
      <c r="L192" s="715">
        <f t="shared" si="5"/>
        <v>0</v>
      </c>
      <c r="M192" s="715">
        <f t="shared" si="7"/>
        <v>0</v>
      </c>
      <c r="N192" s="715">
        <f t="shared" si="8"/>
        <v>0</v>
      </c>
      <c r="O192" s="715">
        <f t="shared" si="6"/>
        <v>0</v>
      </c>
      <c r="P192" s="714"/>
      <c r="Q192" s="690" t="s">
        <v>861</v>
      </c>
      <c r="R192" s="690" t="s">
        <v>861</v>
      </c>
    </row>
    <row r="193" spans="1:18">
      <c r="A193" s="714">
        <v>833</v>
      </c>
      <c r="B193" s="714" t="s">
        <v>862</v>
      </c>
      <c r="C193" s="714" t="s">
        <v>615</v>
      </c>
      <c r="D193" s="715">
        <v>5</v>
      </c>
      <c r="E193" s="715"/>
      <c r="F193" s="753">
        <f>E193</f>
        <v>0</v>
      </c>
      <c r="G193" s="715">
        <v>5</v>
      </c>
      <c r="H193" s="715"/>
      <c r="I193" s="715">
        <v>0.01</v>
      </c>
      <c r="J193" s="715"/>
      <c r="K193" s="622"/>
      <c r="L193" s="715">
        <f t="shared" si="5"/>
        <v>0</v>
      </c>
      <c r="M193" s="715">
        <f t="shared" si="7"/>
        <v>0</v>
      </c>
      <c r="N193" s="715">
        <f t="shared" si="8"/>
        <v>0</v>
      </c>
      <c r="O193" s="715">
        <f t="shared" si="6"/>
        <v>0</v>
      </c>
      <c r="P193" s="714" t="s">
        <v>538</v>
      </c>
      <c r="Q193" s="714"/>
      <c r="R193" s="714"/>
    </row>
    <row r="194" spans="1:18">
      <c r="A194" s="714">
        <v>834</v>
      </c>
      <c r="B194" s="714" t="s">
        <v>863</v>
      </c>
      <c r="C194" s="714" t="s">
        <v>615</v>
      </c>
      <c r="D194" s="715">
        <v>5</v>
      </c>
      <c r="E194" s="715"/>
      <c r="F194" s="753">
        <f>E194</f>
        <v>0</v>
      </c>
      <c r="G194" s="715">
        <v>5</v>
      </c>
      <c r="H194" s="715"/>
      <c r="I194" s="715">
        <v>8.33</v>
      </c>
      <c r="J194" s="715"/>
      <c r="K194" s="622"/>
      <c r="L194" s="715">
        <f t="shared" si="5"/>
        <v>0</v>
      </c>
      <c r="M194" s="715">
        <f t="shared" si="7"/>
        <v>0</v>
      </c>
      <c r="N194" s="715">
        <f t="shared" si="8"/>
        <v>0</v>
      </c>
      <c r="O194" s="715">
        <f t="shared" si="6"/>
        <v>0</v>
      </c>
      <c r="P194" s="714" t="s">
        <v>538</v>
      </c>
      <c r="Q194" s="714"/>
      <c r="R194" s="714"/>
    </row>
    <row r="195" spans="1:18">
      <c r="A195" s="714">
        <v>835</v>
      </c>
      <c r="B195" s="714" t="s">
        <v>846</v>
      </c>
      <c r="C195" s="714" t="s">
        <v>271</v>
      </c>
      <c r="D195" s="715">
        <v>5</v>
      </c>
      <c r="E195" s="715"/>
      <c r="F195" s="753">
        <f>E195</f>
        <v>0</v>
      </c>
      <c r="G195" s="715">
        <v>5</v>
      </c>
      <c r="H195" s="715"/>
      <c r="I195" s="715">
        <v>8.33</v>
      </c>
      <c r="J195" s="715"/>
      <c r="K195" s="622"/>
      <c r="L195" s="715">
        <f t="shared" si="5"/>
        <v>0</v>
      </c>
      <c r="M195" s="715">
        <f t="shared" si="7"/>
        <v>0</v>
      </c>
      <c r="N195" s="715">
        <f t="shared" si="8"/>
        <v>0</v>
      </c>
      <c r="O195" s="715">
        <f t="shared" si="6"/>
        <v>0</v>
      </c>
      <c r="P195" s="714" t="s">
        <v>845</v>
      </c>
      <c r="Q195" s="714"/>
      <c r="R195" s="714"/>
    </row>
    <row r="196" spans="1:18">
      <c r="A196" s="714">
        <v>836</v>
      </c>
      <c r="B196" s="714" t="s">
        <v>864</v>
      </c>
      <c r="C196" s="714" t="s">
        <v>615</v>
      </c>
      <c r="D196" s="715">
        <v>5</v>
      </c>
      <c r="E196" s="715"/>
      <c r="F196" s="753">
        <f>E196</f>
        <v>0</v>
      </c>
      <c r="G196" s="715">
        <v>5</v>
      </c>
      <c r="H196" s="715"/>
      <c r="I196" s="715">
        <v>8.33</v>
      </c>
      <c r="J196" s="715"/>
      <c r="K196" s="622"/>
      <c r="L196" s="715">
        <f t="shared" si="5"/>
        <v>0</v>
      </c>
      <c r="M196" s="715">
        <f t="shared" si="7"/>
        <v>0</v>
      </c>
      <c r="N196" s="715">
        <f t="shared" si="8"/>
        <v>0</v>
      </c>
      <c r="O196" s="715">
        <f t="shared" si="6"/>
        <v>0</v>
      </c>
      <c r="P196" s="714" t="s">
        <v>538</v>
      </c>
      <c r="Q196" s="714"/>
      <c r="R196" s="714"/>
    </row>
    <row r="197" spans="1:18">
      <c r="A197" s="714">
        <v>841</v>
      </c>
      <c r="B197" s="714" t="s">
        <v>844</v>
      </c>
      <c r="C197" s="714" t="s">
        <v>271</v>
      </c>
      <c r="D197" s="715">
        <v>7.5</v>
      </c>
      <c r="E197" s="715"/>
      <c r="F197" s="753">
        <f>5/7.5*E197</f>
        <v>0</v>
      </c>
      <c r="G197" s="715">
        <v>7.5</v>
      </c>
      <c r="H197" s="715"/>
      <c r="I197" s="715">
        <v>0.01</v>
      </c>
      <c r="J197" s="715"/>
      <c r="K197" s="622"/>
      <c r="L197" s="715">
        <f t="shared" si="5"/>
        <v>0</v>
      </c>
      <c r="M197" s="715">
        <f t="shared" si="7"/>
        <v>0</v>
      </c>
      <c r="N197" s="715">
        <f t="shared" si="8"/>
        <v>0</v>
      </c>
      <c r="O197" s="715">
        <f t="shared" si="6"/>
        <v>0</v>
      </c>
      <c r="P197" s="714" t="s">
        <v>538</v>
      </c>
      <c r="Q197" s="714"/>
      <c r="R197" s="714"/>
    </row>
    <row r="198" spans="1:18">
      <c r="A198" s="714">
        <v>842</v>
      </c>
      <c r="B198" s="714" t="s">
        <v>865</v>
      </c>
      <c r="C198" s="714" t="s">
        <v>615</v>
      </c>
      <c r="D198" s="715">
        <v>5</v>
      </c>
      <c r="E198" s="715"/>
      <c r="F198" s="753">
        <f>E198</f>
        <v>0</v>
      </c>
      <c r="G198" s="715">
        <v>5</v>
      </c>
      <c r="H198" s="715"/>
      <c r="I198" s="715">
        <v>0.01</v>
      </c>
      <c r="J198" s="715">
        <v>0</v>
      </c>
      <c r="K198" s="622"/>
      <c r="L198" s="715">
        <f t="shared" si="5"/>
        <v>0</v>
      </c>
      <c r="M198" s="715">
        <f t="shared" si="7"/>
        <v>0</v>
      </c>
      <c r="N198" s="715">
        <f t="shared" si="8"/>
        <v>0</v>
      </c>
      <c r="O198" s="715">
        <f t="shared" si="6"/>
        <v>0</v>
      </c>
      <c r="P198" s="714" t="s">
        <v>538</v>
      </c>
      <c r="Q198" s="714"/>
      <c r="R198" s="714"/>
    </row>
    <row r="199" spans="1:18">
      <c r="A199" s="714">
        <v>843</v>
      </c>
      <c r="B199" s="714" t="s">
        <v>866</v>
      </c>
      <c r="C199" s="714" t="s">
        <v>615</v>
      </c>
      <c r="D199" s="715">
        <v>2.5</v>
      </c>
      <c r="E199" s="715"/>
      <c r="F199" s="753"/>
      <c r="G199" s="715">
        <v>2.5</v>
      </c>
      <c r="H199" s="715"/>
      <c r="I199" s="715">
        <v>0.01</v>
      </c>
      <c r="J199" s="715"/>
      <c r="K199" s="622"/>
      <c r="L199" s="715">
        <f t="shared" si="5"/>
        <v>0</v>
      </c>
      <c r="M199" s="715">
        <f t="shared" si="7"/>
        <v>0</v>
      </c>
      <c r="N199" s="715">
        <f t="shared" si="8"/>
        <v>0</v>
      </c>
      <c r="O199" s="715">
        <f t="shared" si="6"/>
        <v>0</v>
      </c>
      <c r="P199" s="714"/>
      <c r="Q199" s="714"/>
      <c r="R199" s="714"/>
    </row>
    <row r="200" spans="1:18">
      <c r="A200" s="714">
        <v>844</v>
      </c>
      <c r="B200" s="714" t="s">
        <v>868</v>
      </c>
      <c r="C200" s="714" t="s">
        <v>271</v>
      </c>
      <c r="D200" s="715">
        <v>5</v>
      </c>
      <c r="E200" s="715"/>
      <c r="F200" s="753">
        <f>E200</f>
        <v>0</v>
      </c>
      <c r="G200" s="715">
        <v>5</v>
      </c>
      <c r="H200" s="715"/>
      <c r="I200" s="715">
        <v>0.01</v>
      </c>
      <c r="J200" s="715"/>
      <c r="K200" s="622"/>
      <c r="L200" s="715">
        <f t="shared" si="5"/>
        <v>0</v>
      </c>
      <c r="M200" s="715">
        <f t="shared" si="7"/>
        <v>0</v>
      </c>
      <c r="N200" s="715">
        <f t="shared" si="8"/>
        <v>0</v>
      </c>
      <c r="O200" s="715">
        <f t="shared" si="6"/>
        <v>0</v>
      </c>
      <c r="P200" s="714" t="s">
        <v>845</v>
      </c>
      <c r="Q200" s="714"/>
      <c r="R200" s="714"/>
    </row>
    <row r="201" spans="1:18">
      <c r="A201" s="714">
        <v>880</v>
      </c>
      <c r="B201" s="714" t="s">
        <v>869</v>
      </c>
      <c r="C201" s="714" t="s">
        <v>615</v>
      </c>
      <c r="D201" s="715">
        <v>5</v>
      </c>
      <c r="E201" s="715"/>
      <c r="F201" s="753">
        <f>E201</f>
        <v>0</v>
      </c>
      <c r="G201" s="715">
        <v>5</v>
      </c>
      <c r="H201" s="715"/>
      <c r="I201" s="715">
        <v>8.5</v>
      </c>
      <c r="J201" s="715"/>
      <c r="K201" s="622"/>
      <c r="L201" s="715">
        <f t="shared" si="5"/>
        <v>0</v>
      </c>
      <c r="M201" s="715">
        <f t="shared" si="7"/>
        <v>0</v>
      </c>
      <c r="N201" s="715">
        <f t="shared" si="8"/>
        <v>0</v>
      </c>
      <c r="O201" s="715">
        <f t="shared" si="6"/>
        <v>0</v>
      </c>
      <c r="P201" s="714" t="s">
        <v>538</v>
      </c>
      <c r="Q201" s="714"/>
      <c r="R201" s="714"/>
    </row>
    <row r="202" spans="1:18">
      <c r="B202" s="689" t="s">
        <v>870</v>
      </c>
      <c r="D202" s="622">
        <v>0.01</v>
      </c>
      <c r="E202" s="715"/>
      <c r="F202" s="717"/>
      <c r="G202" s="622">
        <v>0.01</v>
      </c>
      <c r="H202" s="715"/>
      <c r="I202" s="622">
        <v>0.01</v>
      </c>
      <c r="J202" s="715"/>
      <c r="K202" s="622"/>
      <c r="L202" s="715">
        <f t="shared" si="5"/>
        <v>0</v>
      </c>
      <c r="M202" s="715">
        <f t="shared" si="7"/>
        <v>0</v>
      </c>
      <c r="N202" s="715">
        <f t="shared" si="8"/>
        <v>0</v>
      </c>
      <c r="O202" s="715">
        <f t="shared" si="6"/>
        <v>0</v>
      </c>
      <c r="P202" s="714"/>
      <c r="Q202" s="714"/>
      <c r="R202" s="714"/>
    </row>
    <row r="203" spans="1:18">
      <c r="D203" s="622">
        <v>0.01</v>
      </c>
      <c r="E203" s="715"/>
      <c r="F203" s="717"/>
      <c r="G203" s="622">
        <v>0.01</v>
      </c>
      <c r="H203" s="715"/>
      <c r="I203" s="622">
        <v>0.01</v>
      </c>
      <c r="J203" s="715"/>
      <c r="K203" s="622"/>
      <c r="L203" s="715">
        <f t="shared" si="5"/>
        <v>0</v>
      </c>
      <c r="M203" s="715">
        <f t="shared" si="7"/>
        <v>0</v>
      </c>
      <c r="N203" s="715">
        <f t="shared" si="8"/>
        <v>0</v>
      </c>
      <c r="O203" s="715">
        <f t="shared" si="6"/>
        <v>0</v>
      </c>
      <c r="P203" s="714"/>
      <c r="Q203" s="714"/>
      <c r="R203" s="714"/>
    </row>
    <row r="204" spans="1:18">
      <c r="D204" s="622">
        <v>0.01</v>
      </c>
      <c r="E204" s="715"/>
      <c r="F204" s="717"/>
      <c r="G204" s="622">
        <v>0.01</v>
      </c>
      <c r="H204" s="715"/>
      <c r="I204" s="622">
        <v>0.01</v>
      </c>
      <c r="J204" s="715"/>
      <c r="K204" s="622"/>
      <c r="L204" s="715">
        <f t="shared" si="5"/>
        <v>0</v>
      </c>
      <c r="M204" s="715">
        <f t="shared" si="7"/>
        <v>0</v>
      </c>
      <c r="N204" s="715">
        <f t="shared" si="8"/>
        <v>0</v>
      </c>
      <c r="O204" s="715">
        <f t="shared" si="6"/>
        <v>0</v>
      </c>
      <c r="P204" s="714"/>
      <c r="Q204" s="714"/>
      <c r="R204" s="714"/>
    </row>
    <row r="205" spans="1:18">
      <c r="D205" s="622">
        <v>0.01</v>
      </c>
      <c r="E205" s="715"/>
      <c r="F205" s="717"/>
      <c r="G205" s="622">
        <v>0.01</v>
      </c>
      <c r="H205" s="715"/>
      <c r="I205" s="622">
        <v>0.01</v>
      </c>
      <c r="J205" s="715"/>
      <c r="K205" s="622"/>
      <c r="L205" s="715">
        <f t="shared" si="5"/>
        <v>0</v>
      </c>
      <c r="M205" s="715">
        <f t="shared" si="7"/>
        <v>0</v>
      </c>
      <c r="N205" s="715">
        <f t="shared" si="8"/>
        <v>0</v>
      </c>
      <c r="O205" s="715">
        <f t="shared" si="6"/>
        <v>0</v>
      </c>
      <c r="P205" s="714"/>
      <c r="Q205" s="714"/>
      <c r="R205" s="714"/>
    </row>
    <row r="206" spans="1:18">
      <c r="D206" s="622">
        <v>0.01</v>
      </c>
      <c r="E206" s="715"/>
      <c r="F206" s="717"/>
      <c r="G206" s="622">
        <v>0.01</v>
      </c>
      <c r="H206" s="715"/>
      <c r="I206" s="622">
        <v>0.01</v>
      </c>
      <c r="J206" s="715"/>
      <c r="K206" s="622"/>
      <c r="L206" s="715">
        <f t="shared" si="5"/>
        <v>0</v>
      </c>
      <c r="M206" s="715">
        <f t="shared" si="7"/>
        <v>0</v>
      </c>
      <c r="N206" s="715">
        <f t="shared" si="8"/>
        <v>0</v>
      </c>
      <c r="O206" s="715">
        <f t="shared" si="6"/>
        <v>0</v>
      </c>
      <c r="P206" s="714"/>
      <c r="Q206" s="714"/>
      <c r="R206" s="714"/>
    </row>
    <row r="207" spans="1:18" ht="13.5" thickBot="1">
      <c r="D207" s="622"/>
      <c r="E207" s="622"/>
      <c r="G207" s="622"/>
      <c r="H207" s="622"/>
      <c r="I207" s="622"/>
      <c r="J207" s="622"/>
      <c r="K207" s="622"/>
      <c r="L207" s="754"/>
      <c r="M207" s="754"/>
      <c r="N207" s="754"/>
      <c r="O207" s="754"/>
      <c r="P207" s="714"/>
    </row>
    <row r="208" spans="1:18" ht="13.5" thickTop="1">
      <c r="A208" s="714"/>
      <c r="B208" s="714"/>
      <c r="C208" s="714"/>
      <c r="L208" s="715">
        <f>SUM(L176:L206)</f>
        <v>0</v>
      </c>
      <c r="M208" s="715">
        <f>SUM(M176:M207)</f>
        <v>0</v>
      </c>
      <c r="N208" s="715">
        <f>SUM(N176:N207)</f>
        <v>0</v>
      </c>
      <c r="O208" s="715">
        <f>SUM(O176:O207)</f>
        <v>0</v>
      </c>
      <c r="P208" s="714"/>
    </row>
    <row r="209" spans="1:16">
      <c r="A209" s="714"/>
      <c r="B209" s="714"/>
      <c r="C209" s="714"/>
      <c r="L209" s="714"/>
      <c r="M209" s="714"/>
      <c r="N209" s="714"/>
      <c r="O209" s="714"/>
      <c r="P209" s="714"/>
    </row>
    <row r="210" spans="1:16">
      <c r="A210" s="714" t="s">
        <v>875</v>
      </c>
      <c r="B210" s="715">
        <v>28200</v>
      </c>
      <c r="C210" s="714"/>
    </row>
    <row r="211" spans="1:16" ht="13.5" thickBot="1">
      <c r="A211" s="728" t="s">
        <v>290</v>
      </c>
      <c r="B211" s="729">
        <f>O179+O188+O189+O190+O191+O193+O194+O196+O197+O198+O201+O183+O185</f>
        <v>0</v>
      </c>
      <c r="C211" s="714"/>
    </row>
    <row r="212" spans="1:16" ht="13.5" thickTop="1">
      <c r="A212" s="714" t="s">
        <v>879</v>
      </c>
      <c r="B212" s="715">
        <f>B210-B211</f>
        <v>28200</v>
      </c>
      <c r="C212" s="714"/>
    </row>
    <row r="213" spans="1:16">
      <c r="A213" s="714"/>
      <c r="B213" s="715"/>
      <c r="C213" s="714"/>
    </row>
    <row r="214" spans="1:16">
      <c r="A214" s="714"/>
      <c r="B214" s="715"/>
      <c r="C214" s="714"/>
    </row>
    <row r="215" spans="1:16">
      <c r="A215" s="714" t="s">
        <v>882</v>
      </c>
      <c r="B215" s="715">
        <v>9450</v>
      </c>
      <c r="C215" s="714"/>
    </row>
    <row r="216" spans="1:16" ht="13.5" thickBot="1">
      <c r="A216" s="738" t="s">
        <v>290</v>
      </c>
      <c r="B216" s="739">
        <f>O176+O177+O178+O195+O200</f>
        <v>0</v>
      </c>
      <c r="C216" s="714"/>
    </row>
    <row r="217" spans="1:16">
      <c r="A217" s="714" t="s">
        <v>879</v>
      </c>
      <c r="B217" s="715">
        <f>B215-B216</f>
        <v>9450</v>
      </c>
      <c r="C217" s="714"/>
    </row>
    <row r="218" spans="1:16">
      <c r="B218" s="622"/>
    </row>
    <row r="219" spans="1:16">
      <c r="B219" s="622"/>
    </row>
    <row r="220" spans="1:16">
      <c r="B220" s="622"/>
    </row>
    <row r="221" spans="1:16">
      <c r="B221" s="622"/>
    </row>
    <row r="222" spans="1:16">
      <c r="B222" s="622"/>
    </row>
    <row r="223" spans="1:16">
      <c r="B223" s="622"/>
    </row>
    <row r="224" spans="1:16">
      <c r="B224" s="622"/>
    </row>
    <row r="225" spans="2:2">
      <c r="B225" s="622"/>
    </row>
    <row r="226" spans="2:2">
      <c r="B226" s="622"/>
    </row>
    <row r="227" spans="2:2">
      <c r="B227" s="622"/>
    </row>
    <row r="228" spans="2:2">
      <c r="B228" s="622"/>
    </row>
    <row r="229" spans="2:2">
      <c r="B229" s="622"/>
    </row>
    <row r="230" spans="2:2">
      <c r="B230" s="622"/>
    </row>
    <row r="231" spans="2:2">
      <c r="B231" s="622"/>
    </row>
    <row r="232" spans="2:2">
      <c r="B232" s="622"/>
    </row>
    <row r="233" spans="2:2">
      <c r="B233" s="622"/>
    </row>
    <row r="234" spans="2:2">
      <c r="B234" s="622"/>
    </row>
    <row r="235" spans="2:2">
      <c r="B235" s="622"/>
    </row>
    <row r="236" spans="2:2">
      <c r="B236" s="622"/>
    </row>
    <row r="237" spans="2:2">
      <c r="B237" s="622"/>
    </row>
    <row r="238" spans="2:2">
      <c r="B238" s="622"/>
    </row>
    <row r="239" spans="2:2">
      <c r="B239" s="622"/>
    </row>
    <row r="240" spans="2:2">
      <c r="B240" s="622"/>
    </row>
    <row r="241" spans="1:16">
      <c r="B241" s="622"/>
    </row>
    <row r="242" spans="1:16">
      <c r="B242" s="622"/>
    </row>
    <row r="243" spans="1:16">
      <c r="B243" s="622"/>
    </row>
    <row r="244" spans="1:16">
      <c r="B244" s="622"/>
    </row>
    <row r="245" spans="1:16">
      <c r="B245" s="622"/>
    </row>
    <row r="246" spans="1:16">
      <c r="B246" s="622"/>
    </row>
    <row r="247" spans="1:16">
      <c r="B247" s="622"/>
    </row>
    <row r="248" spans="1:16">
      <c r="B248" s="622"/>
    </row>
    <row r="249" spans="1:16">
      <c r="B249" s="622"/>
    </row>
    <row r="250" spans="1:16">
      <c r="B250" s="622"/>
    </row>
    <row r="251" spans="1:16">
      <c r="B251" s="622"/>
    </row>
    <row r="252" spans="1:16">
      <c r="B252" s="622"/>
    </row>
    <row r="254" spans="1:16" ht="13.5" thickBot="1"/>
    <row r="255" spans="1:16" ht="14.25" thickTop="1" thickBot="1">
      <c r="A255" s="755"/>
      <c r="B255" s="755"/>
      <c r="C255" s="755"/>
      <c r="D255" s="755"/>
      <c r="E255" s="755"/>
      <c r="G255" s="755"/>
      <c r="H255" s="755"/>
      <c r="I255" s="755"/>
      <c r="J255" s="755"/>
      <c r="K255" s="755"/>
      <c r="L255" s="755"/>
      <c r="M255" s="755"/>
      <c r="N255" s="755"/>
      <c r="O255" s="755"/>
      <c r="P255" s="756"/>
    </row>
    <row r="256" spans="1:16" ht="13.5" thickTop="1"/>
    <row r="257" spans="2:17" ht="23.25">
      <c r="C257" s="1065" t="s">
        <v>899</v>
      </c>
      <c r="D257" s="1065"/>
    </row>
    <row r="260" spans="2:17">
      <c r="B260" s="689" t="s">
        <v>900</v>
      </c>
      <c r="C260" s="689" t="s">
        <v>901</v>
      </c>
      <c r="D260" s="689" t="s">
        <v>902</v>
      </c>
      <c r="E260" s="689" t="s">
        <v>903</v>
      </c>
      <c r="G260" s="689" t="s">
        <v>798</v>
      </c>
      <c r="H260" s="689" t="s">
        <v>904</v>
      </c>
      <c r="J260" s="689" t="s">
        <v>905</v>
      </c>
      <c r="K260" s="689" t="s">
        <v>903</v>
      </c>
      <c r="L260" s="689" t="s">
        <v>906</v>
      </c>
      <c r="N260" s="689" t="s">
        <v>907</v>
      </c>
      <c r="Q260" s="689" t="s">
        <v>879</v>
      </c>
    </row>
    <row r="261" spans="2:17">
      <c r="N261" s="689" t="s">
        <v>908</v>
      </c>
      <c r="O261" s="622">
        <f>C262+C263+C264</f>
        <v>0</v>
      </c>
      <c r="Q261" s="622">
        <f>28200-O261</f>
        <v>28200</v>
      </c>
    </row>
    <row r="262" spans="2:17">
      <c r="B262" s="689" t="s">
        <v>618</v>
      </c>
      <c r="C262" s="622"/>
      <c r="D262" s="622">
        <v>8.33</v>
      </c>
      <c r="E262" s="622">
        <f>C262*D262/100</f>
        <v>0</v>
      </c>
      <c r="G262" s="622"/>
      <c r="H262" s="622">
        <v>6</v>
      </c>
      <c r="I262" s="622"/>
      <c r="J262" s="622">
        <v>5.5</v>
      </c>
      <c r="K262" s="622">
        <f>C262*J262/100</f>
        <v>0</v>
      </c>
      <c r="L262" s="689" t="s">
        <v>618</v>
      </c>
      <c r="N262" s="689" t="s">
        <v>909</v>
      </c>
      <c r="O262" s="622">
        <f>C268</f>
        <v>0</v>
      </c>
      <c r="Q262" s="622">
        <f>9450-O262</f>
        <v>9450</v>
      </c>
    </row>
    <row r="263" spans="2:17">
      <c r="B263" s="689" t="s">
        <v>910</v>
      </c>
      <c r="C263" s="622"/>
      <c r="D263" s="622">
        <v>8.33</v>
      </c>
      <c r="E263" s="622">
        <f t="shared" ref="E263:E303" si="9">C263*D263/100</f>
        <v>0</v>
      </c>
      <c r="G263" s="622"/>
      <c r="H263" s="622">
        <v>5</v>
      </c>
      <c r="I263" s="622"/>
      <c r="J263" s="622">
        <v>5</v>
      </c>
      <c r="K263" s="622">
        <f t="shared" ref="K263:K303" si="10">C263*J263/100</f>
        <v>0</v>
      </c>
      <c r="L263" s="689" t="s">
        <v>615</v>
      </c>
    </row>
    <row r="264" spans="2:17">
      <c r="B264" s="689" t="s">
        <v>911</v>
      </c>
      <c r="C264" s="622"/>
      <c r="D264" s="622">
        <v>8.33</v>
      </c>
      <c r="E264" s="622">
        <f t="shared" si="9"/>
        <v>0</v>
      </c>
      <c r="G264" s="622"/>
      <c r="H264" s="622">
        <v>5</v>
      </c>
      <c r="I264" s="622"/>
      <c r="J264" s="622">
        <v>5</v>
      </c>
      <c r="K264" s="622">
        <f t="shared" si="10"/>
        <v>0</v>
      </c>
      <c r="L264" s="689" t="s">
        <v>615</v>
      </c>
    </row>
    <row r="265" spans="2:17">
      <c r="B265" s="689" t="s">
        <v>912</v>
      </c>
      <c r="C265" s="622"/>
      <c r="D265" s="622">
        <v>0</v>
      </c>
      <c r="E265" s="622">
        <f t="shared" si="9"/>
        <v>0</v>
      </c>
      <c r="G265" s="622"/>
      <c r="H265" s="622">
        <v>1</v>
      </c>
      <c r="I265" s="622"/>
      <c r="J265" s="622">
        <v>0.5</v>
      </c>
      <c r="K265" s="622">
        <f t="shared" si="10"/>
        <v>0</v>
      </c>
      <c r="L265" s="689" t="s">
        <v>271</v>
      </c>
    </row>
    <row r="266" spans="2:17">
      <c r="B266" s="689" t="s">
        <v>913</v>
      </c>
      <c r="C266" s="622"/>
      <c r="D266" s="622">
        <v>0</v>
      </c>
      <c r="E266" s="622">
        <f t="shared" si="9"/>
        <v>0</v>
      </c>
      <c r="G266" s="622"/>
      <c r="H266" s="622">
        <v>1</v>
      </c>
      <c r="I266" s="622"/>
      <c r="J266" s="622">
        <v>0.5</v>
      </c>
      <c r="K266" s="622">
        <f t="shared" si="10"/>
        <v>0</v>
      </c>
      <c r="L266" s="689" t="s">
        <v>271</v>
      </c>
    </row>
    <row r="267" spans="2:17">
      <c r="B267" s="689" t="s">
        <v>912</v>
      </c>
      <c r="C267" s="622"/>
      <c r="D267" s="622">
        <v>8.33</v>
      </c>
      <c r="E267" s="757">
        <f t="shared" si="9"/>
        <v>0</v>
      </c>
      <c r="G267" s="622" t="s">
        <v>914</v>
      </c>
      <c r="H267" s="622">
        <v>6</v>
      </c>
      <c r="I267" s="622" t="s">
        <v>914</v>
      </c>
      <c r="J267" s="622">
        <v>5.5</v>
      </c>
      <c r="K267" s="622">
        <f t="shared" si="10"/>
        <v>0</v>
      </c>
      <c r="L267" s="689" t="s">
        <v>271</v>
      </c>
    </row>
    <row r="268" spans="2:17">
      <c r="B268" s="689" t="s">
        <v>915</v>
      </c>
      <c r="C268" s="622"/>
      <c r="D268" s="622">
        <v>8.33</v>
      </c>
      <c r="E268" s="622">
        <f t="shared" si="9"/>
        <v>0</v>
      </c>
      <c r="G268" s="622"/>
      <c r="H268" s="622">
        <v>5</v>
      </c>
      <c r="I268" s="622"/>
      <c r="J268" s="622">
        <v>5</v>
      </c>
      <c r="K268" s="622">
        <f t="shared" si="10"/>
        <v>0</v>
      </c>
      <c r="L268" s="689" t="s">
        <v>271</v>
      </c>
    </row>
    <row r="269" spans="2:17">
      <c r="B269" s="689" t="s">
        <v>916</v>
      </c>
      <c r="C269" s="622"/>
      <c r="D269" s="622">
        <v>8.33</v>
      </c>
      <c r="E269" s="622">
        <f t="shared" si="9"/>
        <v>0</v>
      </c>
      <c r="G269" s="622"/>
      <c r="H269" s="622">
        <v>0</v>
      </c>
      <c r="I269" s="622"/>
      <c r="J269" s="622">
        <v>0</v>
      </c>
      <c r="K269" s="622">
        <f t="shared" si="10"/>
        <v>0</v>
      </c>
      <c r="L269" s="689" t="s">
        <v>615</v>
      </c>
    </row>
    <row r="270" spans="2:17">
      <c r="C270" s="622">
        <v>0</v>
      </c>
      <c r="D270" s="622">
        <v>8.33</v>
      </c>
      <c r="E270" s="622">
        <f t="shared" si="9"/>
        <v>0</v>
      </c>
      <c r="G270" s="622"/>
      <c r="H270" s="622">
        <v>0</v>
      </c>
      <c r="I270" s="622"/>
      <c r="J270" s="622">
        <v>0</v>
      </c>
      <c r="K270" s="622">
        <f t="shared" si="10"/>
        <v>0</v>
      </c>
    </row>
    <row r="271" spans="2:17">
      <c r="C271" s="622">
        <v>0</v>
      </c>
      <c r="D271" s="622">
        <v>8.33</v>
      </c>
      <c r="E271" s="622">
        <f t="shared" si="9"/>
        <v>0</v>
      </c>
      <c r="G271" s="622"/>
      <c r="H271" s="622">
        <v>0</v>
      </c>
      <c r="I271" s="622"/>
      <c r="J271" s="622">
        <v>0</v>
      </c>
      <c r="K271" s="622">
        <f t="shared" si="10"/>
        <v>0</v>
      </c>
    </row>
    <row r="272" spans="2:17">
      <c r="C272" s="622">
        <v>0</v>
      </c>
      <c r="D272" s="622">
        <v>8.33</v>
      </c>
      <c r="E272" s="622">
        <f t="shared" si="9"/>
        <v>0</v>
      </c>
      <c r="G272" s="622"/>
      <c r="H272" s="622">
        <v>0</v>
      </c>
      <c r="I272" s="622"/>
      <c r="J272" s="622">
        <v>0</v>
      </c>
      <c r="K272" s="622">
        <f t="shared" si="10"/>
        <v>0</v>
      </c>
    </row>
    <row r="273" spans="3:11">
      <c r="C273" s="622">
        <v>0</v>
      </c>
      <c r="D273" s="622">
        <v>8.33</v>
      </c>
      <c r="E273" s="622">
        <f t="shared" si="9"/>
        <v>0</v>
      </c>
      <c r="G273" s="622"/>
      <c r="H273" s="622">
        <v>0</v>
      </c>
      <c r="I273" s="622"/>
      <c r="J273" s="622">
        <v>0</v>
      </c>
      <c r="K273" s="622">
        <f t="shared" si="10"/>
        <v>0</v>
      </c>
    </row>
    <row r="274" spans="3:11">
      <c r="C274" s="622">
        <v>0</v>
      </c>
      <c r="D274" s="622">
        <v>8.33</v>
      </c>
      <c r="E274" s="622">
        <f t="shared" si="9"/>
        <v>0</v>
      </c>
      <c r="G274" s="622"/>
      <c r="H274" s="622">
        <v>0</v>
      </c>
      <c r="I274" s="622"/>
      <c r="J274" s="622">
        <v>0</v>
      </c>
      <c r="K274" s="622">
        <f t="shared" si="10"/>
        <v>0</v>
      </c>
    </row>
    <row r="275" spans="3:11">
      <c r="C275" s="622">
        <v>0</v>
      </c>
      <c r="D275" s="622">
        <v>8.33</v>
      </c>
      <c r="E275" s="622">
        <f t="shared" si="9"/>
        <v>0</v>
      </c>
      <c r="G275" s="622"/>
      <c r="H275" s="622">
        <v>0</v>
      </c>
      <c r="I275" s="622"/>
      <c r="J275" s="622">
        <v>0</v>
      </c>
      <c r="K275" s="622">
        <f t="shared" si="10"/>
        <v>0</v>
      </c>
    </row>
    <row r="276" spans="3:11">
      <c r="C276" s="622">
        <v>0</v>
      </c>
      <c r="D276" s="622">
        <v>8.33</v>
      </c>
      <c r="E276" s="622">
        <f t="shared" si="9"/>
        <v>0</v>
      </c>
      <c r="G276" s="622"/>
      <c r="H276" s="622">
        <v>0</v>
      </c>
      <c r="I276" s="622"/>
      <c r="J276" s="622">
        <v>0</v>
      </c>
      <c r="K276" s="622">
        <f t="shared" si="10"/>
        <v>0</v>
      </c>
    </row>
    <row r="277" spans="3:11">
      <c r="C277" s="622">
        <v>0</v>
      </c>
      <c r="D277" s="622">
        <v>8.33</v>
      </c>
      <c r="E277" s="622">
        <f t="shared" si="9"/>
        <v>0</v>
      </c>
      <c r="G277" s="622"/>
      <c r="H277" s="622">
        <v>0</v>
      </c>
      <c r="I277" s="622"/>
      <c r="J277" s="622">
        <v>0</v>
      </c>
      <c r="K277" s="622">
        <f t="shared" si="10"/>
        <v>0</v>
      </c>
    </row>
    <row r="278" spans="3:11">
      <c r="C278" s="622">
        <v>0</v>
      </c>
      <c r="D278" s="622">
        <v>8.33</v>
      </c>
      <c r="E278" s="622">
        <f t="shared" si="9"/>
        <v>0</v>
      </c>
      <c r="G278" s="622"/>
      <c r="H278" s="622">
        <v>0</v>
      </c>
      <c r="I278" s="622"/>
      <c r="J278" s="622">
        <v>0</v>
      </c>
      <c r="K278" s="622">
        <f t="shared" si="10"/>
        <v>0</v>
      </c>
    </row>
    <row r="279" spans="3:11">
      <c r="C279" s="622">
        <v>0</v>
      </c>
      <c r="D279" s="622">
        <v>8.33</v>
      </c>
      <c r="E279" s="622">
        <f t="shared" si="9"/>
        <v>0</v>
      </c>
      <c r="G279" s="622"/>
      <c r="H279" s="622">
        <v>0</v>
      </c>
      <c r="I279" s="622"/>
      <c r="J279" s="622">
        <v>0</v>
      </c>
      <c r="K279" s="622">
        <f t="shared" si="10"/>
        <v>0</v>
      </c>
    </row>
    <row r="280" spans="3:11">
      <c r="C280" s="622">
        <v>0</v>
      </c>
      <c r="D280" s="622">
        <v>8.33</v>
      </c>
      <c r="E280" s="622">
        <f t="shared" si="9"/>
        <v>0</v>
      </c>
      <c r="G280" s="622"/>
      <c r="H280" s="622">
        <v>0</v>
      </c>
      <c r="I280" s="622"/>
      <c r="J280" s="622">
        <v>0</v>
      </c>
      <c r="K280" s="622">
        <f t="shared" si="10"/>
        <v>0</v>
      </c>
    </row>
    <row r="281" spans="3:11">
      <c r="C281" s="622">
        <v>0</v>
      </c>
      <c r="D281" s="622">
        <v>8.33</v>
      </c>
      <c r="E281" s="622">
        <f t="shared" si="9"/>
        <v>0</v>
      </c>
      <c r="G281" s="622"/>
      <c r="H281" s="622">
        <v>0</v>
      </c>
      <c r="I281" s="622"/>
      <c r="J281" s="622">
        <v>0</v>
      </c>
      <c r="K281" s="622">
        <f t="shared" si="10"/>
        <v>0</v>
      </c>
    </row>
    <row r="282" spans="3:11">
      <c r="C282" s="622">
        <v>0</v>
      </c>
      <c r="D282" s="622">
        <v>8.33</v>
      </c>
      <c r="E282" s="622">
        <f t="shared" si="9"/>
        <v>0</v>
      </c>
      <c r="G282" s="622"/>
      <c r="H282" s="622">
        <v>0</v>
      </c>
      <c r="I282" s="622"/>
      <c r="J282" s="622">
        <v>0</v>
      </c>
      <c r="K282" s="622">
        <f t="shared" si="10"/>
        <v>0</v>
      </c>
    </row>
    <row r="283" spans="3:11">
      <c r="C283" s="622">
        <v>0</v>
      </c>
      <c r="D283" s="622">
        <v>8.33</v>
      </c>
      <c r="E283" s="622">
        <f t="shared" si="9"/>
        <v>0</v>
      </c>
      <c r="G283" s="622"/>
      <c r="H283" s="622">
        <v>0</v>
      </c>
      <c r="I283" s="622"/>
      <c r="J283" s="622">
        <v>0</v>
      </c>
      <c r="K283" s="622">
        <f t="shared" si="10"/>
        <v>0</v>
      </c>
    </row>
    <row r="284" spans="3:11">
      <c r="C284" s="622">
        <v>0</v>
      </c>
      <c r="D284" s="622">
        <v>8.33</v>
      </c>
      <c r="E284" s="622">
        <f t="shared" si="9"/>
        <v>0</v>
      </c>
      <c r="G284" s="622"/>
      <c r="H284" s="622">
        <v>0</v>
      </c>
      <c r="I284" s="622"/>
      <c r="J284" s="622">
        <v>0</v>
      </c>
      <c r="K284" s="622">
        <f t="shared" si="10"/>
        <v>0</v>
      </c>
    </row>
    <row r="285" spans="3:11">
      <c r="C285" s="622">
        <v>0</v>
      </c>
      <c r="D285" s="622">
        <v>8.33</v>
      </c>
      <c r="E285" s="622">
        <f t="shared" si="9"/>
        <v>0</v>
      </c>
      <c r="G285" s="622"/>
      <c r="H285" s="622">
        <v>0</v>
      </c>
      <c r="I285" s="622"/>
      <c r="J285" s="622">
        <v>0</v>
      </c>
      <c r="K285" s="622">
        <f t="shared" si="10"/>
        <v>0</v>
      </c>
    </row>
    <row r="286" spans="3:11">
      <c r="C286" s="622">
        <v>0</v>
      </c>
      <c r="D286" s="622">
        <v>8.33</v>
      </c>
      <c r="E286" s="622">
        <f t="shared" si="9"/>
        <v>0</v>
      </c>
      <c r="G286" s="622"/>
      <c r="H286" s="622">
        <v>0</v>
      </c>
      <c r="I286" s="622"/>
      <c r="J286" s="622">
        <v>0</v>
      </c>
      <c r="K286" s="622">
        <f t="shared" si="10"/>
        <v>0</v>
      </c>
    </row>
    <row r="287" spans="3:11">
      <c r="C287" s="622">
        <v>0</v>
      </c>
      <c r="D287" s="622">
        <v>8.33</v>
      </c>
      <c r="E287" s="622">
        <f t="shared" si="9"/>
        <v>0</v>
      </c>
      <c r="G287" s="622"/>
      <c r="H287" s="622">
        <v>0</v>
      </c>
      <c r="I287" s="622"/>
      <c r="J287" s="622">
        <v>0</v>
      </c>
      <c r="K287" s="622">
        <f t="shared" si="10"/>
        <v>0</v>
      </c>
    </row>
    <row r="288" spans="3:11">
      <c r="C288" s="622">
        <v>0</v>
      </c>
      <c r="D288" s="622">
        <v>8.33</v>
      </c>
      <c r="E288" s="622">
        <f t="shared" si="9"/>
        <v>0</v>
      </c>
      <c r="G288" s="622"/>
      <c r="H288" s="622">
        <v>0</v>
      </c>
      <c r="I288" s="622"/>
      <c r="J288" s="622">
        <v>0</v>
      </c>
      <c r="K288" s="622">
        <f t="shared" si="10"/>
        <v>0</v>
      </c>
    </row>
    <row r="289" spans="3:11">
      <c r="C289" s="622">
        <v>0</v>
      </c>
      <c r="D289" s="622">
        <v>8.33</v>
      </c>
      <c r="E289" s="622">
        <f t="shared" si="9"/>
        <v>0</v>
      </c>
      <c r="G289" s="622"/>
      <c r="H289" s="622">
        <v>0</v>
      </c>
      <c r="I289" s="622"/>
      <c r="J289" s="622">
        <v>0</v>
      </c>
      <c r="K289" s="622">
        <f t="shared" si="10"/>
        <v>0</v>
      </c>
    </row>
    <row r="290" spans="3:11">
      <c r="C290" s="622">
        <v>0</v>
      </c>
      <c r="D290" s="622">
        <v>8.33</v>
      </c>
      <c r="E290" s="622">
        <f t="shared" si="9"/>
        <v>0</v>
      </c>
      <c r="G290" s="622"/>
      <c r="H290" s="622">
        <v>0</v>
      </c>
      <c r="I290" s="622"/>
      <c r="J290" s="622">
        <v>0</v>
      </c>
      <c r="K290" s="622">
        <f t="shared" si="10"/>
        <v>0</v>
      </c>
    </row>
    <row r="291" spans="3:11">
      <c r="C291" s="622">
        <v>0</v>
      </c>
      <c r="D291" s="622">
        <v>8.33</v>
      </c>
      <c r="E291" s="622">
        <f t="shared" si="9"/>
        <v>0</v>
      </c>
      <c r="G291" s="622"/>
      <c r="H291" s="622">
        <v>0</v>
      </c>
      <c r="I291" s="622"/>
      <c r="J291" s="622">
        <v>0</v>
      </c>
      <c r="K291" s="622">
        <f t="shared" si="10"/>
        <v>0</v>
      </c>
    </row>
    <row r="292" spans="3:11">
      <c r="C292" s="622">
        <v>0</v>
      </c>
      <c r="D292" s="622">
        <v>8.33</v>
      </c>
      <c r="E292" s="622">
        <f t="shared" si="9"/>
        <v>0</v>
      </c>
      <c r="G292" s="622"/>
      <c r="H292" s="622">
        <v>0</v>
      </c>
      <c r="I292" s="622"/>
      <c r="J292" s="622">
        <v>0</v>
      </c>
      <c r="K292" s="622">
        <f t="shared" si="10"/>
        <v>0</v>
      </c>
    </row>
    <row r="293" spans="3:11">
      <c r="C293" s="622">
        <v>0</v>
      </c>
      <c r="D293" s="622">
        <v>8.33</v>
      </c>
      <c r="E293" s="622">
        <f t="shared" si="9"/>
        <v>0</v>
      </c>
      <c r="G293" s="622"/>
      <c r="H293" s="622">
        <v>0</v>
      </c>
      <c r="I293" s="622"/>
      <c r="J293" s="622">
        <v>0</v>
      </c>
      <c r="K293" s="622">
        <f t="shared" si="10"/>
        <v>0</v>
      </c>
    </row>
    <row r="294" spans="3:11">
      <c r="C294" s="622">
        <v>0</v>
      </c>
      <c r="D294" s="622">
        <v>8.33</v>
      </c>
      <c r="E294" s="622">
        <f t="shared" si="9"/>
        <v>0</v>
      </c>
      <c r="G294" s="622"/>
      <c r="H294" s="622">
        <v>0</v>
      </c>
      <c r="I294" s="622"/>
      <c r="J294" s="622">
        <v>0</v>
      </c>
      <c r="K294" s="622">
        <f t="shared" si="10"/>
        <v>0</v>
      </c>
    </row>
    <row r="295" spans="3:11">
      <c r="C295" s="622">
        <v>0</v>
      </c>
      <c r="D295" s="622">
        <v>8.33</v>
      </c>
      <c r="E295" s="622">
        <f t="shared" si="9"/>
        <v>0</v>
      </c>
      <c r="G295" s="622"/>
      <c r="H295" s="622">
        <v>0</v>
      </c>
      <c r="I295" s="622"/>
      <c r="J295" s="622">
        <v>0</v>
      </c>
      <c r="K295" s="622">
        <f t="shared" si="10"/>
        <v>0</v>
      </c>
    </row>
    <row r="296" spans="3:11">
      <c r="C296" s="622">
        <v>0</v>
      </c>
      <c r="D296" s="622">
        <v>8.33</v>
      </c>
      <c r="E296" s="622">
        <f t="shared" si="9"/>
        <v>0</v>
      </c>
      <c r="G296" s="622"/>
      <c r="H296" s="622">
        <v>0</v>
      </c>
      <c r="I296" s="622"/>
      <c r="J296" s="622">
        <v>0</v>
      </c>
      <c r="K296" s="622">
        <f t="shared" si="10"/>
        <v>0</v>
      </c>
    </row>
    <row r="297" spans="3:11">
      <c r="C297" s="622">
        <v>0</v>
      </c>
      <c r="D297" s="622">
        <v>8.33</v>
      </c>
      <c r="E297" s="622">
        <f t="shared" si="9"/>
        <v>0</v>
      </c>
      <c r="G297" s="622"/>
      <c r="H297" s="622">
        <v>0</v>
      </c>
      <c r="I297" s="622"/>
      <c r="J297" s="622">
        <v>0</v>
      </c>
      <c r="K297" s="622">
        <f t="shared" si="10"/>
        <v>0</v>
      </c>
    </row>
    <row r="298" spans="3:11">
      <c r="C298" s="622">
        <v>0</v>
      </c>
      <c r="D298" s="622">
        <v>8.33</v>
      </c>
      <c r="E298" s="622">
        <f t="shared" si="9"/>
        <v>0</v>
      </c>
      <c r="G298" s="622"/>
      <c r="H298" s="622">
        <v>0</v>
      </c>
      <c r="I298" s="622"/>
      <c r="J298" s="622">
        <v>0</v>
      </c>
      <c r="K298" s="622">
        <f t="shared" si="10"/>
        <v>0</v>
      </c>
    </row>
    <row r="299" spans="3:11">
      <c r="C299" s="622">
        <v>0</v>
      </c>
      <c r="D299" s="622">
        <v>8.33</v>
      </c>
      <c r="E299" s="622">
        <f t="shared" si="9"/>
        <v>0</v>
      </c>
      <c r="G299" s="622"/>
      <c r="H299" s="622">
        <v>0</v>
      </c>
      <c r="I299" s="622"/>
      <c r="J299" s="622">
        <v>0</v>
      </c>
      <c r="K299" s="622">
        <f t="shared" si="10"/>
        <v>0</v>
      </c>
    </row>
    <row r="300" spans="3:11">
      <c r="C300" s="622">
        <v>0</v>
      </c>
      <c r="D300" s="622">
        <v>8.33</v>
      </c>
      <c r="E300" s="622">
        <f t="shared" si="9"/>
        <v>0</v>
      </c>
      <c r="G300" s="622"/>
      <c r="H300" s="622">
        <v>0</v>
      </c>
      <c r="I300" s="622"/>
      <c r="J300" s="622">
        <v>0</v>
      </c>
      <c r="K300" s="622">
        <f t="shared" si="10"/>
        <v>0</v>
      </c>
    </row>
    <row r="301" spans="3:11">
      <c r="C301" s="622">
        <v>0</v>
      </c>
      <c r="D301" s="622">
        <v>8.33</v>
      </c>
      <c r="E301" s="622">
        <f t="shared" si="9"/>
        <v>0</v>
      </c>
      <c r="G301" s="622"/>
      <c r="H301" s="622">
        <v>0</v>
      </c>
      <c r="I301" s="622"/>
      <c r="J301" s="622">
        <v>0</v>
      </c>
      <c r="K301" s="622">
        <f t="shared" si="10"/>
        <v>0</v>
      </c>
    </row>
    <row r="302" spans="3:11">
      <c r="C302" s="622">
        <v>0</v>
      </c>
      <c r="D302" s="622">
        <v>8.33</v>
      </c>
      <c r="E302" s="622">
        <f t="shared" si="9"/>
        <v>0</v>
      </c>
      <c r="G302" s="622"/>
      <c r="H302" s="622">
        <v>0</v>
      </c>
      <c r="I302" s="622"/>
      <c r="J302" s="622">
        <v>0</v>
      </c>
      <c r="K302" s="622">
        <f t="shared" si="10"/>
        <v>0</v>
      </c>
    </row>
    <row r="303" spans="3:11">
      <c r="C303" s="622">
        <v>0</v>
      </c>
      <c r="D303" s="622">
        <v>8.33</v>
      </c>
      <c r="E303" s="622">
        <f t="shared" si="9"/>
        <v>0</v>
      </c>
      <c r="G303" s="622"/>
      <c r="H303" s="622">
        <v>0</v>
      </c>
      <c r="I303" s="622"/>
      <c r="J303" s="622">
        <v>0</v>
      </c>
      <c r="K303" s="622">
        <f t="shared" si="10"/>
        <v>0</v>
      </c>
    </row>
    <row r="304" spans="3:11">
      <c r="C304" s="622"/>
      <c r="D304" s="622"/>
      <c r="E304" s="622"/>
      <c r="G304" s="622"/>
      <c r="H304" s="622"/>
      <c r="I304" s="622"/>
      <c r="J304" s="622"/>
      <c r="K304" s="622"/>
    </row>
    <row r="306" spans="1:18" ht="13.5" thickBot="1"/>
    <row r="307" spans="1:18" ht="14.25" thickTop="1" thickBot="1">
      <c r="B307" s="758"/>
      <c r="C307" s="759"/>
      <c r="D307" s="759"/>
      <c r="E307" s="759"/>
      <c r="G307" s="759"/>
      <c r="H307" s="759"/>
      <c r="I307" s="759"/>
      <c r="J307" s="759"/>
      <c r="K307" s="759"/>
      <c r="L307" s="759"/>
      <c r="M307" s="759"/>
      <c r="N307" s="759"/>
      <c r="O307" s="759"/>
      <c r="P307" s="759"/>
      <c r="Q307" s="759"/>
      <c r="R307" s="760"/>
    </row>
    <row r="308" spans="1:18" ht="13.5" thickTop="1"/>
    <row r="310" spans="1:18">
      <c r="C310" s="689" t="s">
        <v>917</v>
      </c>
    </row>
    <row r="312" spans="1:18">
      <c r="A312" s="689" t="s">
        <v>843</v>
      </c>
      <c r="B312" s="689" t="s">
        <v>918</v>
      </c>
      <c r="C312" s="689" t="s">
        <v>290</v>
      </c>
      <c r="D312" s="689" t="s">
        <v>902</v>
      </c>
      <c r="E312" s="689" t="s">
        <v>903</v>
      </c>
      <c r="G312" s="689" t="s">
        <v>798</v>
      </c>
      <c r="H312" s="689" t="s">
        <v>904</v>
      </c>
      <c r="J312" s="689" t="s">
        <v>905</v>
      </c>
      <c r="K312" s="689" t="s">
        <v>903</v>
      </c>
      <c r="L312" s="689" t="s">
        <v>906</v>
      </c>
    </row>
    <row r="313" spans="1:18">
      <c r="A313" s="689" t="s">
        <v>919</v>
      </c>
      <c r="C313" s="622"/>
      <c r="D313" s="622">
        <v>8.33</v>
      </c>
      <c r="E313" s="622">
        <f>C313*D313/100</f>
        <v>0</v>
      </c>
      <c r="G313" s="622"/>
      <c r="H313" s="622">
        <v>5</v>
      </c>
      <c r="I313" s="622"/>
      <c r="J313" s="622">
        <v>5</v>
      </c>
      <c r="K313" s="622">
        <f>C313*J313/100</f>
        <v>0</v>
      </c>
      <c r="L313" s="689" t="s">
        <v>615</v>
      </c>
    </row>
    <row r="314" spans="1:18">
      <c r="A314" s="689" t="s">
        <v>919</v>
      </c>
      <c r="C314" s="622"/>
      <c r="D314" s="622"/>
      <c r="E314" s="622"/>
      <c r="G314" s="622"/>
      <c r="H314" s="622"/>
      <c r="I314" s="622"/>
      <c r="J314" s="622"/>
      <c r="K314" s="622"/>
    </row>
    <row r="315" spans="1:18">
      <c r="A315" s="689" t="s">
        <v>919</v>
      </c>
      <c r="C315" s="622"/>
      <c r="D315" s="622"/>
      <c r="E315" s="622"/>
      <c r="G315" s="622"/>
      <c r="H315" s="622"/>
      <c r="I315" s="622"/>
      <c r="J315" s="622"/>
      <c r="K315" s="622"/>
    </row>
    <row r="316" spans="1:18">
      <c r="A316" s="689" t="s">
        <v>920</v>
      </c>
      <c r="C316" s="622"/>
      <c r="D316" s="622">
        <v>8.33</v>
      </c>
      <c r="E316" s="622">
        <f t="shared" ref="E316:E347" si="11">C316*D316/100</f>
        <v>0</v>
      </c>
      <c r="G316" s="622"/>
      <c r="H316" s="622"/>
      <c r="I316" s="622"/>
      <c r="J316" s="622"/>
      <c r="K316" s="622">
        <f t="shared" ref="K316:K347" si="12">C316*J316/100</f>
        <v>0</v>
      </c>
    </row>
    <row r="317" spans="1:18">
      <c r="A317" s="689" t="s">
        <v>920</v>
      </c>
      <c r="C317" s="622"/>
      <c r="D317" s="622"/>
      <c r="E317" s="622">
        <f t="shared" si="11"/>
        <v>0</v>
      </c>
      <c r="G317" s="622"/>
      <c r="H317" s="622">
        <v>7.5</v>
      </c>
      <c r="I317" s="622"/>
      <c r="J317" s="622">
        <v>7.5</v>
      </c>
      <c r="K317" s="622">
        <f t="shared" si="12"/>
        <v>0</v>
      </c>
    </row>
    <row r="318" spans="1:18">
      <c r="A318" s="689" t="s">
        <v>920</v>
      </c>
      <c r="C318" s="622"/>
      <c r="D318" s="622">
        <v>8.33</v>
      </c>
      <c r="E318" s="622">
        <f t="shared" si="11"/>
        <v>0</v>
      </c>
      <c r="G318" s="622"/>
      <c r="H318" s="622"/>
      <c r="I318" s="622"/>
      <c r="J318" s="622"/>
      <c r="K318" s="622">
        <f t="shared" si="12"/>
        <v>0</v>
      </c>
    </row>
    <row r="319" spans="1:18">
      <c r="A319" s="689" t="s">
        <v>920</v>
      </c>
      <c r="C319" s="622"/>
      <c r="D319" s="622"/>
      <c r="E319" s="622">
        <f t="shared" si="11"/>
        <v>0</v>
      </c>
      <c r="G319" s="622"/>
      <c r="H319" s="622"/>
      <c r="I319" s="622"/>
      <c r="J319" s="622">
        <v>5</v>
      </c>
      <c r="K319" s="622">
        <f t="shared" si="12"/>
        <v>0</v>
      </c>
    </row>
    <row r="320" spans="1:18">
      <c r="A320" s="689" t="s">
        <v>920</v>
      </c>
      <c r="C320" s="622"/>
      <c r="D320" s="622"/>
      <c r="E320" s="622">
        <f t="shared" si="11"/>
        <v>0</v>
      </c>
      <c r="G320" s="622"/>
      <c r="H320" s="622">
        <v>7.5</v>
      </c>
      <c r="I320" s="622"/>
      <c r="J320" s="622">
        <v>7.5</v>
      </c>
      <c r="K320" s="622">
        <f t="shared" si="12"/>
        <v>0</v>
      </c>
    </row>
    <row r="321" spans="3:11">
      <c r="C321" s="622">
        <v>0</v>
      </c>
      <c r="D321" s="622"/>
      <c r="E321" s="622">
        <f t="shared" si="11"/>
        <v>0</v>
      </c>
      <c r="G321" s="622"/>
      <c r="H321" s="622"/>
      <c r="I321" s="622"/>
      <c r="J321" s="622"/>
      <c r="K321" s="622">
        <f t="shared" si="12"/>
        <v>0</v>
      </c>
    </row>
    <row r="322" spans="3:11">
      <c r="C322" s="622">
        <v>0</v>
      </c>
      <c r="D322" s="622"/>
      <c r="E322" s="622">
        <f t="shared" si="11"/>
        <v>0</v>
      </c>
      <c r="G322" s="622"/>
      <c r="H322" s="622"/>
      <c r="I322" s="622"/>
      <c r="J322" s="622"/>
      <c r="K322" s="622">
        <f t="shared" si="12"/>
        <v>0</v>
      </c>
    </row>
    <row r="323" spans="3:11">
      <c r="C323" s="622">
        <v>0</v>
      </c>
      <c r="D323" s="622"/>
      <c r="E323" s="622">
        <f t="shared" si="11"/>
        <v>0</v>
      </c>
      <c r="G323" s="622"/>
      <c r="H323" s="622"/>
      <c r="I323" s="622"/>
      <c r="J323" s="622"/>
      <c r="K323" s="622">
        <f t="shared" si="12"/>
        <v>0</v>
      </c>
    </row>
    <row r="324" spans="3:11">
      <c r="C324" s="622">
        <v>0</v>
      </c>
      <c r="D324" s="622"/>
      <c r="E324" s="622">
        <f t="shared" si="11"/>
        <v>0</v>
      </c>
      <c r="G324" s="622"/>
      <c r="H324" s="622"/>
      <c r="I324" s="622"/>
      <c r="J324" s="622"/>
      <c r="K324" s="622">
        <f t="shared" si="12"/>
        <v>0</v>
      </c>
    </row>
    <row r="325" spans="3:11">
      <c r="C325" s="622">
        <v>0</v>
      </c>
      <c r="D325" s="622"/>
      <c r="E325" s="622">
        <f t="shared" si="11"/>
        <v>0</v>
      </c>
      <c r="G325" s="622"/>
      <c r="H325" s="622"/>
      <c r="I325" s="622"/>
      <c r="J325" s="622"/>
      <c r="K325" s="622">
        <f t="shared" si="12"/>
        <v>0</v>
      </c>
    </row>
    <row r="326" spans="3:11">
      <c r="C326" s="622">
        <v>0</v>
      </c>
      <c r="D326" s="622"/>
      <c r="E326" s="622">
        <f t="shared" si="11"/>
        <v>0</v>
      </c>
      <c r="G326" s="622"/>
      <c r="H326" s="622"/>
      <c r="I326" s="622"/>
      <c r="J326" s="622"/>
      <c r="K326" s="622">
        <f t="shared" si="12"/>
        <v>0</v>
      </c>
    </row>
    <row r="327" spans="3:11">
      <c r="C327" s="622">
        <v>0</v>
      </c>
      <c r="D327" s="622"/>
      <c r="E327" s="622">
        <f t="shared" si="11"/>
        <v>0</v>
      </c>
      <c r="G327" s="622"/>
      <c r="H327" s="622"/>
      <c r="I327" s="622"/>
      <c r="J327" s="622"/>
      <c r="K327" s="622">
        <f t="shared" si="12"/>
        <v>0</v>
      </c>
    </row>
    <row r="328" spans="3:11">
      <c r="C328" s="622">
        <v>0</v>
      </c>
      <c r="D328" s="622"/>
      <c r="E328" s="622">
        <f t="shared" si="11"/>
        <v>0</v>
      </c>
      <c r="G328" s="622"/>
      <c r="H328" s="622"/>
      <c r="I328" s="622"/>
      <c r="J328" s="622"/>
      <c r="K328" s="622">
        <f t="shared" si="12"/>
        <v>0</v>
      </c>
    </row>
    <row r="329" spans="3:11">
      <c r="C329" s="622">
        <v>0</v>
      </c>
      <c r="D329" s="622"/>
      <c r="E329" s="622">
        <f t="shared" si="11"/>
        <v>0</v>
      </c>
      <c r="G329" s="622"/>
      <c r="H329" s="622"/>
      <c r="I329" s="622"/>
      <c r="J329" s="622"/>
      <c r="K329" s="622">
        <f t="shared" si="12"/>
        <v>0</v>
      </c>
    </row>
    <row r="330" spans="3:11">
      <c r="C330" s="622">
        <v>0</v>
      </c>
      <c r="D330" s="622"/>
      <c r="E330" s="622">
        <f t="shared" si="11"/>
        <v>0</v>
      </c>
      <c r="G330" s="622"/>
      <c r="H330" s="622"/>
      <c r="I330" s="622"/>
      <c r="J330" s="622"/>
      <c r="K330" s="622">
        <f t="shared" si="12"/>
        <v>0</v>
      </c>
    </row>
    <row r="331" spans="3:11">
      <c r="C331" s="622">
        <v>0</v>
      </c>
      <c r="D331" s="622"/>
      <c r="E331" s="622">
        <f t="shared" si="11"/>
        <v>0</v>
      </c>
      <c r="G331" s="622"/>
      <c r="H331" s="622"/>
      <c r="I331" s="622"/>
      <c r="J331" s="622"/>
      <c r="K331" s="622">
        <f t="shared" si="12"/>
        <v>0</v>
      </c>
    </row>
    <row r="332" spans="3:11">
      <c r="C332" s="622">
        <v>0</v>
      </c>
      <c r="D332" s="622"/>
      <c r="E332" s="622">
        <f t="shared" si="11"/>
        <v>0</v>
      </c>
      <c r="G332" s="622"/>
      <c r="H332" s="622"/>
      <c r="I332" s="622"/>
      <c r="J332" s="622"/>
      <c r="K332" s="622">
        <f t="shared" si="12"/>
        <v>0</v>
      </c>
    </row>
    <row r="333" spans="3:11">
      <c r="C333" s="622">
        <v>0</v>
      </c>
      <c r="D333" s="622"/>
      <c r="E333" s="622">
        <f t="shared" si="11"/>
        <v>0</v>
      </c>
      <c r="G333" s="622"/>
      <c r="H333" s="622"/>
      <c r="I333" s="622"/>
      <c r="J333" s="622"/>
      <c r="K333" s="622">
        <f t="shared" si="12"/>
        <v>0</v>
      </c>
    </row>
    <row r="334" spans="3:11">
      <c r="C334" s="622">
        <v>0</v>
      </c>
      <c r="D334" s="622"/>
      <c r="E334" s="622">
        <f t="shared" si="11"/>
        <v>0</v>
      </c>
      <c r="G334" s="622"/>
      <c r="H334" s="622"/>
      <c r="I334" s="622"/>
      <c r="J334" s="622"/>
      <c r="K334" s="622">
        <f t="shared" si="12"/>
        <v>0</v>
      </c>
    </row>
    <row r="335" spans="3:11">
      <c r="C335" s="622">
        <v>0</v>
      </c>
      <c r="D335" s="622"/>
      <c r="E335" s="622">
        <f t="shared" si="11"/>
        <v>0</v>
      </c>
      <c r="G335" s="622"/>
      <c r="H335" s="622"/>
      <c r="I335" s="622"/>
      <c r="J335" s="622"/>
      <c r="K335" s="622">
        <f t="shared" si="12"/>
        <v>0</v>
      </c>
    </row>
    <row r="336" spans="3:11">
      <c r="C336" s="622">
        <v>0</v>
      </c>
      <c r="D336" s="622"/>
      <c r="E336" s="622">
        <f t="shared" si="11"/>
        <v>0</v>
      </c>
      <c r="G336" s="622"/>
      <c r="H336" s="622"/>
      <c r="I336" s="622"/>
      <c r="J336" s="622"/>
      <c r="K336" s="622">
        <f t="shared" si="12"/>
        <v>0</v>
      </c>
    </row>
    <row r="337" spans="3:12">
      <c r="C337" s="622">
        <v>0</v>
      </c>
      <c r="D337" s="622"/>
      <c r="E337" s="622">
        <f t="shared" si="11"/>
        <v>0</v>
      </c>
      <c r="G337" s="622"/>
      <c r="H337" s="622"/>
      <c r="I337" s="622"/>
      <c r="J337" s="622"/>
      <c r="K337" s="622">
        <f t="shared" si="12"/>
        <v>0</v>
      </c>
    </row>
    <row r="338" spans="3:12">
      <c r="C338" s="622">
        <v>0</v>
      </c>
      <c r="D338" s="622"/>
      <c r="E338" s="622">
        <f t="shared" si="11"/>
        <v>0</v>
      </c>
      <c r="G338" s="622"/>
      <c r="H338" s="622"/>
      <c r="I338" s="622"/>
      <c r="J338" s="622"/>
      <c r="K338" s="622">
        <f t="shared" si="12"/>
        <v>0</v>
      </c>
    </row>
    <row r="339" spans="3:12">
      <c r="C339" s="622">
        <v>0</v>
      </c>
      <c r="D339" s="622"/>
      <c r="E339" s="622">
        <f t="shared" si="11"/>
        <v>0</v>
      </c>
      <c r="G339" s="622"/>
      <c r="H339" s="622"/>
      <c r="I339" s="622"/>
      <c r="J339" s="622"/>
      <c r="K339" s="622">
        <f t="shared" si="12"/>
        <v>0</v>
      </c>
    </row>
    <row r="340" spans="3:12">
      <c r="C340" s="622">
        <v>0</v>
      </c>
      <c r="D340" s="622"/>
      <c r="E340" s="622">
        <f t="shared" si="11"/>
        <v>0</v>
      </c>
      <c r="G340" s="622"/>
      <c r="H340" s="622"/>
      <c r="I340" s="622"/>
      <c r="J340" s="622"/>
      <c r="K340" s="622">
        <f t="shared" si="12"/>
        <v>0</v>
      </c>
    </row>
    <row r="341" spans="3:12">
      <c r="C341" s="622">
        <v>0</v>
      </c>
      <c r="D341" s="622"/>
      <c r="E341" s="622">
        <f t="shared" si="11"/>
        <v>0</v>
      </c>
      <c r="G341" s="622"/>
      <c r="H341" s="622"/>
      <c r="I341" s="622"/>
      <c r="J341" s="622"/>
      <c r="K341" s="622">
        <f t="shared" si="12"/>
        <v>0</v>
      </c>
    </row>
    <row r="342" spans="3:12">
      <c r="C342" s="622">
        <v>0</v>
      </c>
      <c r="D342" s="622"/>
      <c r="E342" s="622">
        <f t="shared" si="11"/>
        <v>0</v>
      </c>
      <c r="G342" s="622"/>
      <c r="H342" s="622"/>
      <c r="I342" s="622"/>
      <c r="J342" s="622"/>
      <c r="K342" s="622">
        <f t="shared" si="12"/>
        <v>0</v>
      </c>
    </row>
    <row r="343" spans="3:12">
      <c r="C343" s="622">
        <v>0</v>
      </c>
      <c r="D343" s="622"/>
      <c r="E343" s="622">
        <f t="shared" si="11"/>
        <v>0</v>
      </c>
      <c r="G343" s="622"/>
      <c r="H343" s="622"/>
      <c r="I343" s="622"/>
      <c r="J343" s="622"/>
      <c r="K343" s="622">
        <f t="shared" si="12"/>
        <v>0</v>
      </c>
    </row>
    <row r="344" spans="3:12">
      <c r="C344" s="622">
        <v>0</v>
      </c>
      <c r="D344" s="622"/>
      <c r="E344" s="622">
        <f t="shared" si="11"/>
        <v>0</v>
      </c>
      <c r="G344" s="622"/>
      <c r="H344" s="622"/>
      <c r="I344" s="622"/>
      <c r="J344" s="622"/>
      <c r="K344" s="622">
        <f t="shared" si="12"/>
        <v>0</v>
      </c>
    </row>
    <row r="345" spans="3:12">
      <c r="C345" s="622">
        <v>0</v>
      </c>
      <c r="D345" s="622"/>
      <c r="E345" s="622">
        <f t="shared" si="11"/>
        <v>0</v>
      </c>
      <c r="G345" s="622"/>
      <c r="H345" s="622"/>
      <c r="I345" s="622"/>
      <c r="J345" s="622"/>
      <c r="K345" s="622">
        <f t="shared" si="12"/>
        <v>0</v>
      </c>
    </row>
    <row r="346" spans="3:12">
      <c r="C346" s="622">
        <v>0</v>
      </c>
      <c r="D346" s="622"/>
      <c r="E346" s="622">
        <f t="shared" si="11"/>
        <v>0</v>
      </c>
      <c r="G346" s="622"/>
      <c r="H346" s="622"/>
      <c r="I346" s="622"/>
      <c r="J346" s="622"/>
      <c r="K346" s="622">
        <f t="shared" si="12"/>
        <v>0</v>
      </c>
    </row>
    <row r="347" spans="3:12">
      <c r="C347" s="622">
        <v>0</v>
      </c>
      <c r="D347" s="622"/>
      <c r="E347" s="622">
        <f t="shared" si="11"/>
        <v>0</v>
      </c>
      <c r="G347" s="622"/>
      <c r="H347" s="622"/>
      <c r="I347" s="622"/>
      <c r="J347" s="622"/>
      <c r="K347" s="622">
        <f t="shared" si="12"/>
        <v>0</v>
      </c>
    </row>
    <row r="348" spans="3:12">
      <c r="L348" s="689" t="s">
        <v>538</v>
      </c>
    </row>
  </sheetData>
  <mergeCells count="7">
    <mergeCell ref="C257:D257"/>
    <mergeCell ref="B1:C1"/>
    <mergeCell ref="D1:H1"/>
    <mergeCell ref="D72:D78"/>
    <mergeCell ref="D83:D96"/>
    <mergeCell ref="B173:C173"/>
    <mergeCell ref="D173:H173"/>
  </mergeCells>
  <dataValidations count="1">
    <dataValidation type="list" allowBlank="1" showInputMessage="1" showErrorMessage="1" sqref="L313:L347 L261:L306 C176:C251 C4:C57 C59:C63 C65:C172">
      <formula1>$Y$1:$AB$1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3"/>
  <sheetViews>
    <sheetView rightToLeft="1" workbookViewId="0">
      <selection activeCell="C5" sqref="C5"/>
    </sheetView>
  </sheetViews>
  <sheetFormatPr defaultRowHeight="12.75"/>
  <cols>
    <col min="1" max="1" width="6.7109375" customWidth="1"/>
    <col min="2" max="5" width="12.7109375" customWidth="1"/>
    <col min="6" max="8" width="14.7109375" customWidth="1"/>
    <col min="9" max="9" width="14" customWidth="1"/>
  </cols>
  <sheetData>
    <row r="1" spans="1:9" ht="18.75">
      <c r="A1" s="149"/>
      <c r="B1" s="154"/>
      <c r="C1" s="154"/>
      <c r="D1" s="153"/>
      <c r="E1" s="154"/>
      <c r="F1" s="153"/>
      <c r="G1" s="153"/>
      <c r="H1" s="153"/>
      <c r="I1" s="153"/>
    </row>
    <row r="2" spans="1:9" ht="18.75">
      <c r="A2" s="149"/>
      <c r="B2" s="154"/>
      <c r="C2" s="1003" t="s">
        <v>365</v>
      </c>
      <c r="D2" s="35"/>
      <c r="E2" s="154"/>
      <c r="F2" s="153"/>
      <c r="G2" s="153"/>
      <c r="H2" s="153"/>
      <c r="I2" s="153"/>
    </row>
    <row r="3" spans="1:9" ht="25.5">
      <c r="A3" s="149"/>
      <c r="B3" s="154"/>
      <c r="C3" s="1166" t="s">
        <v>414</v>
      </c>
      <c r="D3" s="69">
        <v>45873</v>
      </c>
      <c r="E3" s="154"/>
      <c r="F3" s="153"/>
      <c r="G3" s="153"/>
      <c r="H3" s="153"/>
      <c r="I3" s="153"/>
    </row>
    <row r="4" spans="1:9" ht="18.75">
      <c r="A4" s="149"/>
      <c r="B4" s="154"/>
      <c r="C4" s="154"/>
      <c r="D4" s="153"/>
      <c r="E4" s="154"/>
      <c r="F4" s="153"/>
      <c r="G4" s="153"/>
      <c r="H4" s="153"/>
      <c r="I4" s="153"/>
    </row>
    <row r="5" spans="1:9" ht="18.75">
      <c r="A5" s="149"/>
      <c r="B5" s="154"/>
      <c r="C5" s="154"/>
      <c r="D5" s="153"/>
      <c r="E5" s="154"/>
      <c r="F5" s="153"/>
      <c r="G5" s="153"/>
      <c r="H5" s="153"/>
      <c r="I5" s="153"/>
    </row>
    <row r="6" spans="1:9" ht="18.75">
      <c r="A6" s="149"/>
      <c r="B6" s="154"/>
      <c r="C6" s="154"/>
      <c r="D6" s="153"/>
      <c r="E6" s="154"/>
      <c r="F6" s="153"/>
      <c r="G6" s="153"/>
      <c r="H6" s="153"/>
      <c r="I6" s="153"/>
    </row>
    <row r="7" spans="1:9" ht="13.5" thickBot="1">
      <c r="A7" s="155"/>
      <c r="B7" s="155"/>
      <c r="C7" s="155"/>
      <c r="D7" s="156"/>
      <c r="E7" s="157"/>
      <c r="F7" s="156"/>
      <c r="G7" s="156"/>
      <c r="H7" s="156"/>
      <c r="I7" s="156"/>
    </row>
    <row r="8" spans="1:9" ht="38.25" thickBot="1">
      <c r="A8" s="158" t="s">
        <v>496</v>
      </c>
      <c r="B8" s="158" t="s">
        <v>497</v>
      </c>
      <c r="C8" s="158" t="s">
        <v>516</v>
      </c>
      <c r="D8" s="158" t="s">
        <v>231</v>
      </c>
      <c r="E8" s="159" t="s">
        <v>498</v>
      </c>
      <c r="F8" s="158" t="s">
        <v>1135</v>
      </c>
      <c r="G8" s="158" t="s">
        <v>1136</v>
      </c>
      <c r="H8" s="158" t="s">
        <v>1137</v>
      </c>
      <c r="I8" s="158" t="s">
        <v>1106</v>
      </c>
    </row>
    <row r="9" spans="1:9" ht="39.950000000000003" customHeight="1">
      <c r="A9" s="164" t="str">
        <f>IF(main!A9&gt;0,main!A9,"")</f>
        <v/>
      </c>
      <c r="B9" s="165" t="str">
        <f>IF(main!B9&gt;0,main!B9,"")</f>
        <v/>
      </c>
      <c r="C9" s="165" t="str">
        <f>IF(main!C9&gt;0,main!C9,"")</f>
        <v/>
      </c>
      <c r="D9" s="165" t="str">
        <f>IF(main!D9&gt;0,main!D9,"")</f>
        <v/>
      </c>
      <c r="E9" s="165" t="str">
        <f>IF(main!E9&gt;0,main!E9,"")</f>
        <v/>
      </c>
      <c r="F9" s="165"/>
      <c r="G9" s="165"/>
      <c r="H9" s="165"/>
      <c r="I9" s="989"/>
    </row>
    <row r="10" spans="1:9" ht="39.950000000000003" customHeight="1">
      <c r="A10" s="164" t="str">
        <f>IF(main!A10&gt;0,main!A10,"")</f>
        <v/>
      </c>
      <c r="B10" s="165" t="str">
        <f>IF(main!B10&gt;0,main!B10,"")</f>
        <v/>
      </c>
      <c r="C10" s="165" t="str">
        <f>IF(main!C10&gt;0,main!C10,"")</f>
        <v/>
      </c>
      <c r="D10" s="165" t="str">
        <f>IF(main!D10&gt;0,main!D10,"")</f>
        <v/>
      </c>
      <c r="E10" s="165" t="str">
        <f>IF(main!E10&gt;0,main!E10,"")</f>
        <v/>
      </c>
      <c r="F10" s="165"/>
      <c r="G10" s="165"/>
      <c r="H10" s="165"/>
      <c r="I10" s="989"/>
    </row>
    <row r="11" spans="1:9" ht="39.950000000000003" customHeight="1">
      <c r="A11" s="164" t="str">
        <f>IF(main!A11&gt;0,main!A11,"")</f>
        <v/>
      </c>
      <c r="B11" s="165" t="str">
        <f>IF(main!B11&gt;0,main!B11,"")</f>
        <v/>
      </c>
      <c r="C11" s="165" t="str">
        <f>IF(main!C11&gt;0,main!C11,"")</f>
        <v/>
      </c>
      <c r="D11" s="165" t="str">
        <f>IF(main!D11&gt;0,main!D11,"")</f>
        <v/>
      </c>
      <c r="E11" s="165" t="str">
        <f>IF(main!E11&gt;0,main!E11,"")</f>
        <v/>
      </c>
      <c r="F11" s="165"/>
      <c r="G11" s="165"/>
      <c r="H11" s="165"/>
      <c r="I11" s="989"/>
    </row>
    <row r="12" spans="1:9" ht="39.950000000000003" customHeight="1">
      <c r="A12" s="164" t="str">
        <f>IF(main!A12&gt;0,main!A12,"")</f>
        <v/>
      </c>
      <c r="B12" s="165" t="str">
        <f>IF(main!B12&gt;0,main!B12,"")</f>
        <v/>
      </c>
      <c r="C12" s="165" t="str">
        <f>IF(main!C12&gt;0,main!C12,"")</f>
        <v/>
      </c>
      <c r="D12" s="165" t="str">
        <f>IF(main!D12&gt;0,main!D12,"")</f>
        <v/>
      </c>
      <c r="E12" s="165" t="str">
        <f>IF(main!E12&gt;0,main!E12,"")</f>
        <v/>
      </c>
      <c r="F12" s="165"/>
      <c r="G12" s="165"/>
      <c r="H12" s="165"/>
      <c r="I12" s="989"/>
    </row>
    <row r="13" spans="1:9" ht="39.950000000000003" customHeight="1">
      <c r="A13" s="164" t="str">
        <f>IF(main!A13&gt;0,main!A13,"")</f>
        <v/>
      </c>
      <c r="B13" s="165" t="str">
        <f>IF(main!B13&gt;0,main!B13,"")</f>
        <v/>
      </c>
      <c r="C13" s="165" t="str">
        <f>IF(main!C13&gt;0,main!C13,"")</f>
        <v/>
      </c>
      <c r="D13" s="165" t="str">
        <f>IF(main!D13&gt;0,main!D13,"")</f>
        <v/>
      </c>
      <c r="E13" s="165" t="str">
        <f>IF(main!E13&gt;0,main!E13,"")</f>
        <v/>
      </c>
      <c r="F13" s="165"/>
      <c r="G13" s="165"/>
      <c r="H13" s="165"/>
      <c r="I13" s="989"/>
    </row>
    <row r="14" spans="1:9" ht="39.950000000000003" customHeight="1">
      <c r="A14" s="164" t="str">
        <f>IF(main!A14&gt;0,main!A14,"")</f>
        <v/>
      </c>
      <c r="B14" s="165" t="str">
        <f>IF(main!B14&gt;0,main!B14,"")</f>
        <v/>
      </c>
      <c r="C14" s="165" t="str">
        <f>IF(main!C14&gt;0,main!C14,"")</f>
        <v/>
      </c>
      <c r="D14" s="165" t="str">
        <f>IF(main!D14&gt;0,main!D14,"")</f>
        <v/>
      </c>
      <c r="E14" s="165" t="str">
        <f>IF(main!E14&gt;0,main!E14,"")</f>
        <v/>
      </c>
      <c r="F14" s="165"/>
      <c r="G14" s="165"/>
      <c r="H14" s="165"/>
      <c r="I14" s="989"/>
    </row>
    <row r="15" spans="1:9" ht="39.950000000000003" customHeight="1">
      <c r="A15" s="164" t="str">
        <f>IF(main!A15&gt;0,main!A15,"")</f>
        <v/>
      </c>
      <c r="B15" s="165" t="str">
        <f>IF(main!B15&gt;0,main!B15,"")</f>
        <v/>
      </c>
      <c r="C15" s="165" t="str">
        <f>IF(main!C15&gt;0,main!C15,"")</f>
        <v/>
      </c>
      <c r="D15" s="165" t="str">
        <f>IF(main!D15&gt;0,main!D15,"")</f>
        <v/>
      </c>
      <c r="E15" s="165" t="str">
        <f>IF(main!E15&gt;0,main!E15,"")</f>
        <v/>
      </c>
      <c r="F15" s="165"/>
      <c r="G15" s="165"/>
      <c r="H15" s="165"/>
      <c r="I15" s="989"/>
    </row>
    <row r="16" spans="1:9" ht="39.950000000000003" customHeight="1">
      <c r="A16" s="164" t="str">
        <f>IF(main!A16&gt;0,main!A16,"")</f>
        <v/>
      </c>
      <c r="B16" s="165" t="str">
        <f>IF(main!B16&gt;0,main!B16,"")</f>
        <v/>
      </c>
      <c r="C16" s="165" t="str">
        <f>IF(main!C16&gt;0,main!C16,"")</f>
        <v/>
      </c>
      <c r="D16" s="165" t="str">
        <f>IF(main!D16&gt;0,main!D16,"")</f>
        <v/>
      </c>
      <c r="E16" s="165" t="str">
        <f>IF(main!E16&gt;0,main!E16,"")</f>
        <v/>
      </c>
      <c r="F16" s="165"/>
      <c r="G16" s="165"/>
      <c r="H16" s="165"/>
      <c r="I16" s="989"/>
    </row>
    <row r="17" spans="1:9" ht="39.950000000000003" customHeight="1">
      <c r="A17" s="164" t="str">
        <f>IF(main!A17&gt;0,main!A17,"")</f>
        <v/>
      </c>
      <c r="B17" s="165" t="str">
        <f>IF(main!B17&gt;0,main!B17,"")</f>
        <v/>
      </c>
      <c r="C17" s="165" t="str">
        <f>IF(main!C17&gt;0,main!C17,"")</f>
        <v/>
      </c>
      <c r="D17" s="165" t="str">
        <f>IF(main!D17&gt;0,main!D17,"")</f>
        <v/>
      </c>
      <c r="E17" s="165" t="str">
        <f>IF(main!E17&gt;0,main!E17,"")</f>
        <v/>
      </c>
      <c r="F17" s="165"/>
      <c r="G17" s="165"/>
      <c r="H17" s="165"/>
      <c r="I17" s="989"/>
    </row>
    <row r="18" spans="1:9" ht="39.950000000000003" customHeight="1">
      <c r="A18" s="164" t="str">
        <f>IF(main!A18&gt;0,main!A18,"")</f>
        <v/>
      </c>
      <c r="B18" s="165" t="str">
        <f>IF(main!B18&gt;0,main!B18,"")</f>
        <v/>
      </c>
      <c r="C18" s="165" t="str">
        <f>IF(main!C18&gt;0,main!C18,"")</f>
        <v/>
      </c>
      <c r="D18" s="165" t="str">
        <f>IF(main!D18&gt;0,main!D18,"")</f>
        <v/>
      </c>
      <c r="E18" s="165" t="str">
        <f>IF(main!E18&gt;0,main!E18,"")</f>
        <v/>
      </c>
      <c r="F18" s="165"/>
      <c r="G18" s="165"/>
      <c r="H18" s="165"/>
      <c r="I18" s="989"/>
    </row>
    <row r="19" spans="1:9" ht="39.950000000000003" customHeight="1">
      <c r="A19" s="164" t="str">
        <f>IF(main!A19&gt;0,main!A19,"")</f>
        <v/>
      </c>
      <c r="B19" s="165" t="str">
        <f>IF(main!B19&gt;0,main!B19,"")</f>
        <v/>
      </c>
      <c r="C19" s="165" t="str">
        <f>IF(main!C19&gt;0,main!C19,"")</f>
        <v/>
      </c>
      <c r="D19" s="165" t="str">
        <f>IF(main!D19&gt;0,main!D19,"")</f>
        <v/>
      </c>
      <c r="E19" s="165" t="str">
        <f>IF(main!E19&gt;0,main!E19,"")</f>
        <v/>
      </c>
      <c r="F19" s="165"/>
      <c r="G19" s="165"/>
      <c r="H19" s="165"/>
      <c r="I19" s="989"/>
    </row>
    <row r="20" spans="1:9" ht="39.950000000000003" customHeight="1">
      <c r="A20" s="164" t="str">
        <f>IF(main!A20&gt;0,main!A20,"")</f>
        <v/>
      </c>
      <c r="B20" s="165" t="str">
        <f>IF(main!B20&gt;0,main!B20,"")</f>
        <v/>
      </c>
      <c r="C20" s="165" t="str">
        <f>IF(main!C20&gt;0,main!C20,"")</f>
        <v/>
      </c>
      <c r="D20" s="165" t="str">
        <f>IF(main!D20&gt;0,main!D20,"")</f>
        <v/>
      </c>
      <c r="E20" s="165" t="str">
        <f>IF(main!E20&gt;0,main!E20,"")</f>
        <v/>
      </c>
      <c r="F20" s="165"/>
      <c r="G20" s="165"/>
      <c r="H20" s="165"/>
      <c r="I20" s="989"/>
    </row>
    <row r="21" spans="1:9" ht="39.950000000000003" customHeight="1">
      <c r="A21" s="164" t="str">
        <f>IF(main!A21&gt;0,main!A21,"")</f>
        <v/>
      </c>
      <c r="B21" s="165" t="str">
        <f>IF(main!B21&gt;0,main!B21,"")</f>
        <v/>
      </c>
      <c r="C21" s="165" t="str">
        <f>IF(main!C21&gt;0,main!C21,"")</f>
        <v/>
      </c>
      <c r="D21" s="165" t="str">
        <f>IF(main!D21&gt;0,main!D21,"")</f>
        <v/>
      </c>
      <c r="E21" s="165" t="str">
        <f>IF(main!E21&gt;0,main!E21,"")</f>
        <v/>
      </c>
      <c r="F21" s="165"/>
      <c r="G21" s="165"/>
      <c r="H21" s="165"/>
      <c r="I21" s="989"/>
    </row>
    <row r="22" spans="1:9" ht="39.950000000000003" customHeight="1">
      <c r="A22" s="164" t="str">
        <f>IF(main!A22&gt;0,main!A22,"")</f>
        <v/>
      </c>
      <c r="B22" s="165" t="str">
        <f>IF(main!B22&gt;0,main!B22,"")</f>
        <v/>
      </c>
      <c r="C22" s="165" t="str">
        <f>IF(main!C22&gt;0,main!C22,"")</f>
        <v/>
      </c>
      <c r="D22" s="165" t="str">
        <f>IF(main!D22&gt;0,main!D22,"")</f>
        <v/>
      </c>
      <c r="E22" s="165" t="str">
        <f>IF(main!E22&gt;0,main!E22,"")</f>
        <v/>
      </c>
      <c r="F22" s="165"/>
      <c r="G22" s="165"/>
      <c r="H22" s="165"/>
      <c r="I22" s="989"/>
    </row>
    <row r="23" spans="1:9" ht="39.950000000000003" customHeight="1">
      <c r="A23" s="164" t="str">
        <f>IF(main!A23&gt;0,main!A23,"")</f>
        <v/>
      </c>
      <c r="B23" s="165" t="str">
        <f>IF(main!B23&gt;0,main!B23,"")</f>
        <v/>
      </c>
      <c r="C23" s="165" t="str">
        <f>IF(main!C23&gt;0,main!C23,"")</f>
        <v/>
      </c>
      <c r="D23" s="165" t="str">
        <f>IF(main!D23&gt;0,main!D23,"")</f>
        <v/>
      </c>
      <c r="E23" s="165" t="str">
        <f>IF(main!E23&gt;0,main!E23,"")</f>
        <v/>
      </c>
      <c r="F23" s="165"/>
      <c r="G23" s="165"/>
      <c r="H23" s="165"/>
      <c r="I23" s="989"/>
    </row>
    <row r="24" spans="1:9" ht="39.950000000000003" customHeight="1">
      <c r="A24" s="164" t="str">
        <f>IF(main!A24&gt;0,main!A24,"")</f>
        <v/>
      </c>
      <c r="B24" s="165" t="str">
        <f>IF(main!B24&gt;0,main!B24,"")</f>
        <v/>
      </c>
      <c r="C24" s="165" t="str">
        <f>IF(main!C24&gt;0,main!C24,"")</f>
        <v/>
      </c>
      <c r="D24" s="165" t="str">
        <f>IF(main!D24&gt;0,main!D24,"")</f>
        <v/>
      </c>
      <c r="E24" s="165" t="str">
        <f>IF(main!E24&gt;0,main!E24,"")</f>
        <v/>
      </c>
      <c r="F24" s="165"/>
      <c r="G24" s="165"/>
      <c r="H24" s="165"/>
      <c r="I24" s="989"/>
    </row>
    <row r="25" spans="1:9" ht="39.950000000000003" customHeight="1">
      <c r="A25" s="164" t="str">
        <f>IF(main!A25&gt;0,main!A25,"")</f>
        <v/>
      </c>
      <c r="B25" s="165" t="str">
        <f>IF(main!B25&gt;0,main!B25,"")</f>
        <v/>
      </c>
      <c r="C25" s="165" t="str">
        <f>IF(main!C25&gt;0,main!C25,"")</f>
        <v/>
      </c>
      <c r="D25" s="165" t="str">
        <f>IF(main!D25&gt;0,main!D25,"")</f>
        <v/>
      </c>
      <c r="E25" s="165" t="str">
        <f>IF(main!E25&gt;0,main!E25,"")</f>
        <v/>
      </c>
      <c r="F25" s="165"/>
      <c r="G25" s="165"/>
      <c r="H25" s="165"/>
      <c r="I25" s="989"/>
    </row>
    <row r="26" spans="1:9" ht="39.950000000000003" customHeight="1">
      <c r="A26" s="164" t="str">
        <f>IF(main!A26&gt;0,main!A26,"")</f>
        <v/>
      </c>
      <c r="B26" s="165" t="str">
        <f>IF(main!B26&gt;0,main!B26,"")</f>
        <v/>
      </c>
      <c r="C26" s="165" t="str">
        <f>IF(main!C26&gt;0,main!C26,"")</f>
        <v/>
      </c>
      <c r="D26" s="165" t="str">
        <f>IF(main!D26&gt;0,main!D26,"")</f>
        <v/>
      </c>
      <c r="E26" s="165" t="str">
        <f>IF(main!E26&gt;0,main!E26,"")</f>
        <v/>
      </c>
      <c r="F26" s="165"/>
      <c r="G26" s="165"/>
      <c r="H26" s="165"/>
      <c r="I26" s="989"/>
    </row>
    <row r="27" spans="1:9" ht="39.950000000000003" customHeight="1">
      <c r="A27" s="164" t="str">
        <f>IF(main!A27&gt;0,main!A27,"")</f>
        <v/>
      </c>
      <c r="B27" s="165" t="str">
        <f>IF(main!B27&gt;0,main!B27,"")</f>
        <v/>
      </c>
      <c r="C27" s="165" t="str">
        <f>IF(main!C27&gt;0,main!C27,"")</f>
        <v/>
      </c>
      <c r="D27" s="165" t="str">
        <f>IF(main!D27&gt;0,main!D27,"")</f>
        <v/>
      </c>
      <c r="E27" s="165" t="str">
        <f>IF(main!E27&gt;0,main!E27,"")</f>
        <v/>
      </c>
      <c r="F27" s="165"/>
      <c r="G27" s="165"/>
      <c r="H27" s="165"/>
      <c r="I27" s="989"/>
    </row>
    <row r="28" spans="1:9" ht="39.950000000000003" customHeight="1">
      <c r="A28" s="164" t="str">
        <f>IF(main!A28&gt;0,main!A28,"")</f>
        <v/>
      </c>
      <c r="B28" s="165" t="str">
        <f>IF(main!B28&gt;0,main!B28,"")</f>
        <v/>
      </c>
      <c r="C28" s="165" t="str">
        <f>IF(main!C28&gt;0,main!C28,"")</f>
        <v/>
      </c>
      <c r="D28" s="165" t="str">
        <f>IF(main!D28&gt;0,main!D28,"")</f>
        <v/>
      </c>
      <c r="E28" s="165" t="str">
        <f>IF(main!E28&gt;0,main!E28,"")</f>
        <v/>
      </c>
      <c r="F28" s="165"/>
      <c r="G28" s="165"/>
      <c r="H28" s="165"/>
      <c r="I28" s="989"/>
    </row>
    <row r="29" spans="1:9" ht="39.950000000000003" customHeight="1">
      <c r="A29" s="164" t="str">
        <f>IF(main!A29&gt;0,main!A29,"")</f>
        <v/>
      </c>
      <c r="B29" s="165" t="str">
        <f>IF(main!B29&gt;0,main!B29,"")</f>
        <v/>
      </c>
      <c r="C29" s="165" t="str">
        <f>IF(main!C29&gt;0,main!C29,"")</f>
        <v/>
      </c>
      <c r="D29" s="165" t="str">
        <f>IF(main!D29&gt;0,main!D29,"")</f>
        <v/>
      </c>
      <c r="E29" s="165" t="str">
        <f>IF(main!E29&gt;0,main!E29,"")</f>
        <v/>
      </c>
      <c r="F29" s="165"/>
      <c r="G29" s="165"/>
      <c r="H29" s="165"/>
      <c r="I29" s="989"/>
    </row>
    <row r="30" spans="1:9" ht="39.950000000000003" customHeight="1">
      <c r="A30" s="164" t="str">
        <f>IF(main!A30&gt;0,main!A30,"")</f>
        <v/>
      </c>
      <c r="B30" s="165" t="str">
        <f>IF(main!B30&gt;0,main!B30,"")</f>
        <v/>
      </c>
      <c r="C30" s="165" t="str">
        <f>IF(main!C30&gt;0,main!C30,"")</f>
        <v/>
      </c>
      <c r="D30" s="165" t="str">
        <f>IF(main!D30&gt;0,main!D30,"")</f>
        <v/>
      </c>
      <c r="E30" s="165" t="str">
        <f>IF(main!E30&gt;0,main!E30,"")</f>
        <v/>
      </c>
      <c r="F30" s="165"/>
      <c r="G30" s="165"/>
      <c r="H30" s="165"/>
      <c r="I30" s="989"/>
    </row>
    <row r="31" spans="1:9" ht="39.950000000000003" customHeight="1">
      <c r="A31" s="164" t="str">
        <f>IF(main!A31&gt;0,main!A31,"")</f>
        <v/>
      </c>
      <c r="B31" s="165" t="str">
        <f>IF(main!B31&gt;0,main!B31,"")</f>
        <v/>
      </c>
      <c r="C31" s="165" t="str">
        <f>IF(main!C31&gt;0,main!C31,"")</f>
        <v/>
      </c>
      <c r="D31" s="165" t="str">
        <f>IF(main!D31&gt;0,main!D31,"")</f>
        <v/>
      </c>
      <c r="E31" s="165" t="str">
        <f>IF(main!E31&gt;0,main!E31,"")</f>
        <v/>
      </c>
      <c r="F31" s="165"/>
      <c r="G31" s="165"/>
      <c r="H31" s="165"/>
      <c r="I31" s="989"/>
    </row>
    <row r="32" spans="1:9" ht="39.950000000000003" customHeight="1">
      <c r="A32" s="164" t="str">
        <f>IF(main!A32&gt;0,main!A32,"")</f>
        <v/>
      </c>
      <c r="B32" s="165" t="str">
        <f>IF(main!B32&gt;0,main!B32,"")</f>
        <v/>
      </c>
      <c r="C32" s="165" t="str">
        <f>IF(main!C32&gt;0,main!C32,"")</f>
        <v/>
      </c>
      <c r="D32" s="165" t="str">
        <f>IF(main!D32&gt;0,main!D32,"")</f>
        <v/>
      </c>
      <c r="E32" s="165" t="str">
        <f>IF(main!E32&gt;0,main!E32,"")</f>
        <v/>
      </c>
      <c r="F32" s="165"/>
      <c r="G32" s="165"/>
      <c r="H32" s="165"/>
      <c r="I32" s="989"/>
    </row>
    <row r="33" spans="1:9" ht="39.950000000000003" customHeight="1">
      <c r="A33" s="164" t="str">
        <f>IF(main!A33&gt;0,main!A33,"")</f>
        <v/>
      </c>
      <c r="B33" s="165" t="str">
        <f>IF(main!B33&gt;0,main!B33,"")</f>
        <v/>
      </c>
      <c r="C33" s="165" t="str">
        <f>IF(main!C33&gt;0,main!C33,"")</f>
        <v/>
      </c>
      <c r="D33" s="165" t="str">
        <f>IF(main!D33&gt;0,main!D33,"")</f>
        <v/>
      </c>
      <c r="E33" s="165" t="str">
        <f>IF(main!E33&gt;0,main!E33,"")</f>
        <v/>
      </c>
      <c r="F33" s="165"/>
      <c r="G33" s="165"/>
      <c r="H33" s="165"/>
      <c r="I33" s="989"/>
    </row>
    <row r="34" spans="1:9" ht="39.950000000000003" customHeight="1">
      <c r="A34" s="164" t="str">
        <f>IF(main!A34&gt;0,main!A34,"")</f>
        <v/>
      </c>
      <c r="B34" s="165" t="str">
        <f>IF(main!B34&gt;0,main!B34,"")</f>
        <v/>
      </c>
      <c r="C34" s="165" t="str">
        <f>IF(main!C34&gt;0,main!C34,"")</f>
        <v/>
      </c>
      <c r="D34" s="165" t="str">
        <f>IF(main!D34&gt;0,main!D34,"")</f>
        <v/>
      </c>
      <c r="E34" s="165" t="str">
        <f>IF(main!E34&gt;0,main!E34,"")</f>
        <v/>
      </c>
      <c r="F34" s="165"/>
      <c r="G34" s="165"/>
      <c r="H34" s="165"/>
      <c r="I34" s="989"/>
    </row>
    <row r="35" spans="1:9" ht="39.950000000000003" customHeight="1">
      <c r="A35" s="164" t="str">
        <f>IF(main!A35&gt;0,main!A35,"")</f>
        <v/>
      </c>
      <c r="B35" s="165" t="str">
        <f>IF(main!B35&gt;0,main!B35,"")</f>
        <v/>
      </c>
      <c r="C35" s="165" t="str">
        <f>IF(main!C35&gt;0,main!C35,"")</f>
        <v/>
      </c>
      <c r="D35" s="165" t="str">
        <f>IF(main!D35&gt;0,main!D35,"")</f>
        <v/>
      </c>
      <c r="E35" s="165" t="str">
        <f>IF(main!E35&gt;0,main!E35,"")</f>
        <v/>
      </c>
      <c r="F35" s="165"/>
      <c r="G35" s="165"/>
      <c r="H35" s="165"/>
      <c r="I35" s="989"/>
    </row>
    <row r="36" spans="1:9" ht="39.950000000000003" customHeight="1">
      <c r="A36" s="164" t="str">
        <f>IF(main!A36&gt;0,main!A36,"")</f>
        <v/>
      </c>
      <c r="B36" s="165" t="str">
        <f>IF(main!B36&gt;0,main!B36,"")</f>
        <v/>
      </c>
      <c r="C36" s="165" t="str">
        <f>IF(main!C36&gt;0,main!C36,"")</f>
        <v/>
      </c>
      <c r="D36" s="165" t="str">
        <f>IF(main!D36&gt;0,main!D36,"")</f>
        <v/>
      </c>
      <c r="E36" s="165" t="str">
        <f>IF(main!E36&gt;0,main!E36,"")</f>
        <v/>
      </c>
      <c r="F36" s="165"/>
      <c r="G36" s="165"/>
      <c r="H36" s="165"/>
      <c r="I36" s="989"/>
    </row>
    <row r="37" spans="1:9" ht="39.950000000000003" customHeight="1">
      <c r="A37" s="164" t="str">
        <f>IF(main!A37&gt;0,main!A37,"")</f>
        <v/>
      </c>
      <c r="B37" s="165" t="str">
        <f>IF(main!B37&gt;0,main!B37,"")</f>
        <v/>
      </c>
      <c r="C37" s="165" t="str">
        <f>IF(main!C37&gt;0,main!C37,"")</f>
        <v/>
      </c>
      <c r="D37" s="165" t="str">
        <f>IF(main!D37&gt;0,main!D37,"")</f>
        <v/>
      </c>
      <c r="E37" s="165" t="str">
        <f>IF(main!E37&gt;0,main!E37,"")</f>
        <v/>
      </c>
      <c r="F37" s="165"/>
      <c r="G37" s="165"/>
      <c r="H37" s="165"/>
      <c r="I37" s="989"/>
    </row>
    <row r="38" spans="1:9" ht="39.950000000000003" customHeight="1">
      <c r="A38" s="164" t="str">
        <f>IF(main!A38&gt;0,main!A38,"")</f>
        <v/>
      </c>
      <c r="B38" s="165" t="str">
        <f>IF(main!B38&gt;0,main!B38,"")</f>
        <v/>
      </c>
      <c r="C38" s="165" t="str">
        <f>IF(main!C38&gt;0,main!C38,"")</f>
        <v/>
      </c>
      <c r="D38" s="165" t="str">
        <f>IF(main!D38&gt;0,main!D38,"")</f>
        <v/>
      </c>
      <c r="E38" s="165" t="str">
        <f>IF(main!E38&gt;0,main!E38,"")</f>
        <v/>
      </c>
      <c r="F38" s="165"/>
      <c r="G38" s="165"/>
      <c r="H38" s="165"/>
      <c r="I38" s="989"/>
    </row>
    <row r="39" spans="1:9" ht="39.950000000000003" customHeight="1">
      <c r="A39" s="164" t="str">
        <f>IF(main!A39&gt;0,main!A39,"")</f>
        <v/>
      </c>
      <c r="B39" s="165" t="str">
        <f>IF(main!B39&gt;0,main!B39,"")</f>
        <v/>
      </c>
      <c r="C39" s="165" t="str">
        <f>IF(main!C39&gt;0,main!C39,"")</f>
        <v/>
      </c>
      <c r="D39" s="165" t="str">
        <f>IF(main!D39&gt;0,main!D39,"")</f>
        <v/>
      </c>
      <c r="E39" s="165" t="str">
        <f>IF(main!E39&gt;0,main!E39,"")</f>
        <v/>
      </c>
      <c r="F39" s="165"/>
      <c r="G39" s="165"/>
      <c r="H39" s="165"/>
      <c r="I39" s="989"/>
    </row>
    <row r="40" spans="1:9" ht="39.950000000000003" customHeight="1">
      <c r="A40" s="164" t="str">
        <f>IF(main!A40&gt;0,main!A40,"")</f>
        <v/>
      </c>
      <c r="B40" s="165" t="str">
        <f>IF(main!B40&gt;0,main!B40,"")</f>
        <v/>
      </c>
      <c r="C40" s="165" t="str">
        <f>IF(main!C40&gt;0,main!C40,"")</f>
        <v/>
      </c>
      <c r="D40" s="165" t="str">
        <f>IF(main!D40&gt;0,main!D40,"")</f>
        <v/>
      </c>
      <c r="E40" s="165" t="str">
        <f>IF(main!E40&gt;0,main!E40,"")</f>
        <v/>
      </c>
      <c r="F40" s="165"/>
      <c r="G40" s="165"/>
      <c r="H40" s="165"/>
      <c r="I40" s="989"/>
    </row>
    <row r="41" spans="1:9" ht="39.950000000000003" customHeight="1">
      <c r="A41" s="164" t="str">
        <f>IF(main!A41&gt;0,main!A41,"")</f>
        <v/>
      </c>
      <c r="B41" s="165" t="str">
        <f>IF(main!B41&gt;0,main!B41,"")</f>
        <v/>
      </c>
      <c r="C41" s="165" t="str">
        <f>IF(main!C41&gt;0,main!C41,"")</f>
        <v/>
      </c>
      <c r="D41" s="165" t="str">
        <f>IF(main!D41&gt;0,main!D41,"")</f>
        <v/>
      </c>
      <c r="E41" s="165" t="str">
        <f>IF(main!E41&gt;0,main!E41,"")</f>
        <v/>
      </c>
      <c r="F41" s="165"/>
      <c r="G41" s="165"/>
      <c r="H41" s="165"/>
      <c r="I41" s="989"/>
    </row>
    <row r="42" spans="1:9" ht="39.950000000000003" customHeight="1">
      <c r="A42" s="164" t="str">
        <f>IF(main!A42&gt;0,main!A42,"")</f>
        <v/>
      </c>
      <c r="B42" s="165" t="str">
        <f>IF(main!B42&gt;0,main!B42,"")</f>
        <v/>
      </c>
      <c r="C42" s="165" t="str">
        <f>IF(main!C42&gt;0,main!C42,"")</f>
        <v/>
      </c>
      <c r="D42" s="165" t="str">
        <f>IF(main!D42&gt;0,main!D42,"")</f>
        <v/>
      </c>
      <c r="E42" s="165" t="str">
        <f>IF(main!E42&gt;0,main!E42,"")</f>
        <v/>
      </c>
      <c r="F42" s="165"/>
      <c r="G42" s="165"/>
      <c r="H42" s="165"/>
      <c r="I42" s="989"/>
    </row>
    <row r="43" spans="1:9" ht="39.950000000000003" customHeight="1">
      <c r="A43" s="164" t="str">
        <f>IF(main!A43&gt;0,main!A43,"")</f>
        <v/>
      </c>
      <c r="B43" s="165" t="str">
        <f>IF(main!B43&gt;0,main!B43,"")</f>
        <v/>
      </c>
      <c r="C43" s="165" t="str">
        <f>IF(main!C43&gt;0,main!C43,"")</f>
        <v/>
      </c>
      <c r="D43" s="165" t="str">
        <f>IF(main!D43&gt;0,main!D43,"")</f>
        <v/>
      </c>
      <c r="E43" s="165" t="str">
        <f>IF(main!E43&gt;0,main!E43,"")</f>
        <v/>
      </c>
      <c r="F43" s="165"/>
      <c r="G43" s="165"/>
      <c r="H43" s="165"/>
      <c r="I43" s="989"/>
    </row>
    <row r="44" spans="1:9" ht="39.950000000000003" customHeight="1">
      <c r="A44" s="164" t="str">
        <f>IF(main!A44&gt;0,main!A44,"")</f>
        <v/>
      </c>
      <c r="B44" s="165" t="str">
        <f>IF(main!B44&gt;0,main!B44,"")</f>
        <v/>
      </c>
      <c r="C44" s="165" t="str">
        <f>IF(main!C44&gt;0,main!C44,"")</f>
        <v/>
      </c>
      <c r="D44" s="165" t="str">
        <f>IF(main!D44&gt;0,main!D44,"")</f>
        <v/>
      </c>
      <c r="E44" s="165" t="str">
        <f>IF(main!E44&gt;0,main!E44,"")</f>
        <v/>
      </c>
      <c r="F44" s="165"/>
      <c r="G44" s="165"/>
      <c r="H44" s="165"/>
      <c r="I44" s="989"/>
    </row>
    <row r="45" spans="1:9" ht="39.950000000000003" customHeight="1">
      <c r="A45" s="164" t="str">
        <f>IF(main!A45&gt;0,main!A45,"")</f>
        <v/>
      </c>
      <c r="B45" s="165" t="str">
        <f>IF(main!B45&gt;0,main!B45,"")</f>
        <v/>
      </c>
      <c r="C45" s="165" t="str">
        <f>IF(main!C45&gt;0,main!C45,"")</f>
        <v/>
      </c>
      <c r="D45" s="165" t="str">
        <f>IF(main!D45&gt;0,main!D45,"")</f>
        <v/>
      </c>
      <c r="E45" s="165" t="str">
        <f>IF(main!E45&gt;0,main!E45,"")</f>
        <v/>
      </c>
      <c r="F45" s="165"/>
      <c r="G45" s="165"/>
      <c r="H45" s="165"/>
      <c r="I45" s="989"/>
    </row>
    <row r="46" spans="1:9" ht="39.950000000000003" customHeight="1">
      <c r="A46" s="164" t="str">
        <f>IF(main!A46&gt;0,main!A46,"")</f>
        <v/>
      </c>
      <c r="B46" s="165" t="str">
        <f>IF(main!B46&gt;0,main!B46,"")</f>
        <v/>
      </c>
      <c r="C46" s="165" t="str">
        <f>IF(main!C46&gt;0,main!C46,"")</f>
        <v/>
      </c>
      <c r="D46" s="165" t="str">
        <f>IF(main!D46&gt;0,main!D46,"")</f>
        <v/>
      </c>
      <c r="E46" s="165" t="str">
        <f>IF(main!E46&gt;0,main!E46,"")</f>
        <v/>
      </c>
      <c r="F46" s="165"/>
      <c r="G46" s="165"/>
      <c r="H46" s="165"/>
      <c r="I46" s="989"/>
    </row>
    <row r="47" spans="1:9" ht="39.950000000000003" customHeight="1">
      <c r="A47" s="164" t="str">
        <f>IF(main!A47&gt;0,main!A47,"")</f>
        <v/>
      </c>
      <c r="B47" s="165" t="str">
        <f>IF(main!B47&gt;0,main!B47,"")</f>
        <v/>
      </c>
      <c r="C47" s="165" t="str">
        <f>IF(main!C47&gt;0,main!C47,"")</f>
        <v/>
      </c>
      <c r="D47" s="165" t="str">
        <f>IF(main!D47&gt;0,main!D47,"")</f>
        <v/>
      </c>
      <c r="E47" s="165" t="str">
        <f>IF(main!E47&gt;0,main!E47,"")</f>
        <v/>
      </c>
      <c r="F47" s="165"/>
      <c r="G47" s="165"/>
      <c r="H47" s="165"/>
      <c r="I47" s="989"/>
    </row>
    <row r="48" spans="1:9" ht="39.950000000000003" customHeight="1">
      <c r="A48" s="164" t="str">
        <f>IF(main!A48&gt;0,main!A48,"")</f>
        <v/>
      </c>
      <c r="B48" s="165" t="str">
        <f>IF(main!B48&gt;0,main!B48,"")</f>
        <v/>
      </c>
      <c r="C48" s="165" t="str">
        <f>IF(main!C48&gt;0,main!C48,"")</f>
        <v/>
      </c>
      <c r="D48" s="165" t="str">
        <f>IF(main!D48&gt;0,main!D48,"")</f>
        <v/>
      </c>
      <c r="E48" s="165" t="str">
        <f>IF(main!E48&gt;0,main!E48,"")</f>
        <v/>
      </c>
      <c r="F48" s="165"/>
      <c r="G48" s="165"/>
      <c r="H48" s="165"/>
      <c r="I48" s="989"/>
    </row>
    <row r="49" spans="1:9" ht="39.950000000000003" customHeight="1">
      <c r="A49" s="164" t="str">
        <f>IF(main!A49&gt;0,main!A49,"")</f>
        <v/>
      </c>
      <c r="B49" s="165" t="str">
        <f>IF(main!B49&gt;0,main!B49,"")</f>
        <v/>
      </c>
      <c r="C49" s="165" t="str">
        <f>IF(main!C49&gt;0,main!C49,"")</f>
        <v/>
      </c>
      <c r="D49" s="165" t="str">
        <f>IF(main!D49&gt;0,main!D49,"")</f>
        <v/>
      </c>
      <c r="E49" s="165" t="str">
        <f>IF(main!E49&gt;0,main!E49,"")</f>
        <v/>
      </c>
      <c r="F49" s="165"/>
      <c r="G49" s="165"/>
      <c r="H49" s="165"/>
      <c r="I49" s="989"/>
    </row>
    <row r="50" spans="1:9" ht="39.950000000000003" customHeight="1">
      <c r="A50" s="164" t="str">
        <f>IF(main!A50&gt;0,main!A50,"")</f>
        <v/>
      </c>
      <c r="B50" s="165" t="str">
        <f>IF(main!B50&gt;0,main!B50,"")</f>
        <v/>
      </c>
      <c r="C50" s="165" t="str">
        <f>IF(main!C50&gt;0,main!C50,"")</f>
        <v/>
      </c>
      <c r="D50" s="165" t="str">
        <f>IF(main!D50&gt;0,main!D50,"")</f>
        <v/>
      </c>
      <c r="E50" s="165" t="str">
        <f>IF(main!E50&gt;0,main!E50,"")</f>
        <v/>
      </c>
      <c r="F50" s="165"/>
      <c r="G50" s="165"/>
      <c r="H50" s="165"/>
      <c r="I50" s="989"/>
    </row>
    <row r="51" spans="1:9" ht="39.950000000000003" customHeight="1">
      <c r="A51" s="164" t="str">
        <f>IF(main!A51&gt;0,main!A51,"")</f>
        <v/>
      </c>
      <c r="B51" s="165" t="str">
        <f>IF(main!B51&gt;0,main!B51,"")</f>
        <v/>
      </c>
      <c r="C51" s="165" t="str">
        <f>IF(main!C51&gt;0,main!C51,"")</f>
        <v/>
      </c>
      <c r="D51" s="165" t="str">
        <f>IF(main!D51&gt;0,main!D51,"")</f>
        <v/>
      </c>
      <c r="E51" s="165" t="str">
        <f>IF(main!E51&gt;0,main!E51,"")</f>
        <v/>
      </c>
      <c r="F51" s="165"/>
      <c r="G51" s="165"/>
      <c r="H51" s="165"/>
      <c r="I51" s="989"/>
    </row>
    <row r="52" spans="1:9" ht="18.75">
      <c r="A52" s="164" t="str">
        <f>IF(main!A52&gt;0,main!A52,"")</f>
        <v/>
      </c>
      <c r="B52" s="165" t="str">
        <f>IF(main!B52&gt;0,main!B52,"")</f>
        <v/>
      </c>
      <c r="C52" s="165" t="str">
        <f>IF(main!C52&gt;0,main!C52,"")</f>
        <v/>
      </c>
      <c r="D52" s="165" t="str">
        <f>IF(main!D52&gt;0,main!D52,"")</f>
        <v/>
      </c>
      <c r="E52" s="165" t="str">
        <f>IF(main!E52&gt;0,main!E52,"")</f>
        <v/>
      </c>
      <c r="F52" s="165" t="str">
        <f>main!N52</f>
        <v/>
      </c>
      <c r="G52" s="165" t="str">
        <f>IF(main!K52&gt;0,main!K52,"")</f>
        <v/>
      </c>
      <c r="H52" s="165" t="str">
        <f>IF(main!O52&gt;0,main!O52,"")</f>
        <v/>
      </c>
      <c r="I52" s="989" t="str">
        <f>IF(main!R52&gt;0,main!R52,"")</f>
        <v/>
      </c>
    </row>
    <row r="53" spans="1:9">
      <c r="A53" s="173"/>
      <c r="B53" s="173"/>
      <c r="C53" s="173"/>
      <c r="D53" s="174"/>
      <c r="E53" s="173"/>
      <c r="F53" s="174"/>
      <c r="G53" s="174"/>
      <c r="H53" s="174"/>
      <c r="I53" s="174"/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Worksheet______63">
    <tabColor indexed="40"/>
  </sheetPr>
  <dimension ref="A2:W33"/>
  <sheetViews>
    <sheetView rightToLeft="1" workbookViewId="0">
      <selection activeCell="D10" sqref="D10"/>
    </sheetView>
  </sheetViews>
  <sheetFormatPr defaultRowHeight="15"/>
  <cols>
    <col min="1" max="3" width="12.7109375" style="761" customWidth="1"/>
    <col min="4" max="4" width="17" style="761" customWidth="1"/>
    <col min="5" max="6" width="12.7109375" style="761" customWidth="1"/>
    <col min="7" max="7" width="16.42578125" style="761" customWidth="1"/>
    <col min="8" max="8" width="12.7109375" style="761" customWidth="1"/>
    <col min="9" max="9" width="15.5703125" style="761" customWidth="1"/>
    <col min="10" max="17" width="12.7109375" style="761" customWidth="1"/>
    <col min="18" max="16384" width="9.140625" style="708"/>
  </cols>
  <sheetData>
    <row r="2" spans="2:23">
      <c r="D2" s="1071" t="s">
        <v>921</v>
      </c>
      <c r="E2" s="1071"/>
      <c r="F2" s="1071"/>
      <c r="G2" s="1071"/>
      <c r="H2" s="1071"/>
      <c r="I2" s="1071"/>
      <c r="J2" s="1071"/>
    </row>
    <row r="3" spans="2:23">
      <c r="D3" s="1071"/>
      <c r="E3" s="1071"/>
      <c r="F3" s="1071"/>
      <c r="G3" s="1071"/>
      <c r="H3" s="1071"/>
      <c r="I3" s="1071"/>
      <c r="J3" s="1071"/>
    </row>
    <row r="4" spans="2:23">
      <c r="C4" s="761" t="s">
        <v>922</v>
      </c>
      <c r="E4" s="761" t="s">
        <v>923</v>
      </c>
      <c r="G4" s="761" t="s">
        <v>924</v>
      </c>
      <c r="I4" s="761" t="s">
        <v>925</v>
      </c>
    </row>
    <row r="5" spans="2:23">
      <c r="B5" s="762" t="s">
        <v>926</v>
      </c>
      <c r="C5" s="763">
        <v>78000</v>
      </c>
      <c r="D5" s="764" t="s">
        <v>886</v>
      </c>
      <c r="E5" s="763">
        <v>-56000</v>
      </c>
      <c r="F5" s="764" t="s">
        <v>886</v>
      </c>
      <c r="G5" s="763">
        <v>24560</v>
      </c>
      <c r="H5" s="764" t="s">
        <v>886</v>
      </c>
      <c r="I5" s="763">
        <v>256.32</v>
      </c>
      <c r="J5" s="764" t="s">
        <v>636</v>
      </c>
      <c r="K5" s="764">
        <f>C5+E5+G5+I5</f>
        <v>46816.32</v>
      </c>
    </row>
    <row r="7" spans="2:23">
      <c r="B7" s="765" t="s">
        <v>927</v>
      </c>
      <c r="C7" s="766">
        <v>1</v>
      </c>
      <c r="D7" s="761" t="s">
        <v>538</v>
      </c>
      <c r="E7" s="766">
        <v>0</v>
      </c>
      <c r="F7" s="761" t="s">
        <v>538</v>
      </c>
      <c r="G7" s="766">
        <v>0</v>
      </c>
      <c r="H7" s="761" t="s">
        <v>538</v>
      </c>
      <c r="I7" s="767">
        <v>0</v>
      </c>
      <c r="J7" s="761" t="s">
        <v>636</v>
      </c>
      <c r="K7" s="761">
        <f>W7*V7*U7*T7</f>
        <v>1</v>
      </c>
      <c r="T7" s="708">
        <f>IF(I7=0,1,I7)</f>
        <v>1</v>
      </c>
      <c r="U7" s="708">
        <f>IF(G7=0,1,G7)</f>
        <v>1</v>
      </c>
      <c r="V7" s="708">
        <f>IF(E7=0,1,E7)</f>
        <v>1</v>
      </c>
      <c r="W7" s="708">
        <f>IF(C7=0,1,C7)</f>
        <v>1</v>
      </c>
    </row>
    <row r="9" spans="2:23">
      <c r="B9" s="768" t="s">
        <v>928</v>
      </c>
    </row>
    <row r="10" spans="2:23">
      <c r="C10" s="761" t="s">
        <v>36</v>
      </c>
      <c r="D10" s="763">
        <v>3500000</v>
      </c>
      <c r="H10" s="769" t="s">
        <v>929</v>
      </c>
      <c r="I10" s="770">
        <v>85000000</v>
      </c>
    </row>
    <row r="11" spans="2:23">
      <c r="D11" s="771" t="s">
        <v>930</v>
      </c>
      <c r="E11" s="761" t="s">
        <v>636</v>
      </c>
      <c r="F11" s="772">
        <f>D10/D12</f>
        <v>11666.666666666666</v>
      </c>
      <c r="I11" s="770">
        <v>1000000</v>
      </c>
      <c r="J11" s="761" t="s">
        <v>376</v>
      </c>
    </row>
    <row r="12" spans="2:23">
      <c r="C12" s="761" t="s">
        <v>931</v>
      </c>
      <c r="D12" s="773">
        <v>300</v>
      </c>
      <c r="I12" s="770">
        <v>100000</v>
      </c>
      <c r="J12" s="761" t="s">
        <v>376</v>
      </c>
    </row>
    <row r="13" spans="2:23">
      <c r="I13" s="770">
        <v>10000</v>
      </c>
      <c r="J13" s="761" t="s">
        <v>376</v>
      </c>
    </row>
    <row r="14" spans="2:23">
      <c r="I14" s="770">
        <v>100</v>
      </c>
      <c r="J14" s="761" t="s">
        <v>376</v>
      </c>
    </row>
    <row r="15" spans="2:23">
      <c r="I15" s="770">
        <v>10</v>
      </c>
      <c r="J15" s="761" t="s">
        <v>376</v>
      </c>
    </row>
    <row r="16" spans="2:23">
      <c r="I16" s="774" t="s">
        <v>932</v>
      </c>
    </row>
    <row r="17" spans="2:9">
      <c r="H17" s="761" t="s">
        <v>933</v>
      </c>
      <c r="I17" s="775">
        <f>I10-I11-I12-I13-I14-I15</f>
        <v>83889890</v>
      </c>
    </row>
    <row r="20" spans="2:9">
      <c r="B20" s="761" t="s">
        <v>934</v>
      </c>
      <c r="C20" s="761" t="s">
        <v>935</v>
      </c>
      <c r="D20" s="776">
        <v>0</v>
      </c>
      <c r="F20" s="761" t="s">
        <v>248</v>
      </c>
      <c r="G20" s="761" t="s">
        <v>936</v>
      </c>
      <c r="H20" s="777">
        <v>0</v>
      </c>
    </row>
    <row r="21" spans="2:9">
      <c r="C21" s="761" t="s">
        <v>937</v>
      </c>
      <c r="D21" s="776">
        <v>1000</v>
      </c>
      <c r="G21" s="761" t="s">
        <v>937</v>
      </c>
      <c r="H21" s="777">
        <v>1000</v>
      </c>
    </row>
    <row r="22" spans="2:9">
      <c r="C22" s="761" t="s">
        <v>234</v>
      </c>
      <c r="D22" s="776">
        <v>3.8</v>
      </c>
      <c r="G22" s="761" t="s">
        <v>234</v>
      </c>
      <c r="H22" s="777">
        <v>3.8</v>
      </c>
    </row>
    <row r="23" spans="2:9">
      <c r="C23" s="761" t="s">
        <v>637</v>
      </c>
      <c r="D23" s="776">
        <v>10</v>
      </c>
      <c r="G23" s="761" t="s">
        <v>637</v>
      </c>
      <c r="H23" s="777">
        <v>10</v>
      </c>
    </row>
    <row r="25" spans="2:9">
      <c r="C25" s="761" t="s">
        <v>938</v>
      </c>
      <c r="D25" s="772">
        <f>FV(D22/100/12,D23*12,D21,D20,0)*(-1)</f>
        <v>145707.44148025557</v>
      </c>
      <c r="G25" s="761" t="s">
        <v>939</v>
      </c>
      <c r="H25" s="772">
        <f>PV(H22/100/12,H23*12,H21,H20)*(-1)</f>
        <v>99703.54025123865</v>
      </c>
    </row>
    <row r="28" spans="2:9">
      <c r="B28" s="761" t="s">
        <v>940</v>
      </c>
      <c r="C28" s="761" t="s">
        <v>935</v>
      </c>
      <c r="D28" s="778">
        <v>100000</v>
      </c>
      <c r="F28" s="761" t="s">
        <v>941</v>
      </c>
      <c r="G28" s="761" t="s">
        <v>935</v>
      </c>
      <c r="H28" s="763">
        <v>100000</v>
      </c>
    </row>
    <row r="29" spans="2:9">
      <c r="C29" s="761" t="s">
        <v>637</v>
      </c>
      <c r="D29" s="778">
        <v>10</v>
      </c>
      <c r="G29" s="761" t="s">
        <v>637</v>
      </c>
      <c r="H29" s="763">
        <v>10</v>
      </c>
    </row>
    <row r="30" spans="2:9">
      <c r="C30" s="761" t="s">
        <v>942</v>
      </c>
      <c r="D30" s="778">
        <v>0</v>
      </c>
      <c r="G30" s="761" t="s">
        <v>234</v>
      </c>
      <c r="H30" s="763">
        <v>3.8</v>
      </c>
    </row>
    <row r="31" spans="2:9">
      <c r="C31" s="761" t="s">
        <v>937</v>
      </c>
      <c r="D31" s="778">
        <v>1000</v>
      </c>
      <c r="G31" s="761" t="s">
        <v>943</v>
      </c>
      <c r="H31" s="763">
        <v>0</v>
      </c>
    </row>
    <row r="32" spans="2:9">
      <c r="H32" s="764"/>
    </row>
    <row r="33" spans="3:8">
      <c r="C33" s="761" t="s">
        <v>234</v>
      </c>
      <c r="D33" s="779">
        <f>E33*12*100</f>
        <v>3.8041628817572994</v>
      </c>
      <c r="E33" s="780">
        <f>RATE(D29*12,-D31,D28,D30,1)</f>
        <v>3.1701357347977497E-3</v>
      </c>
      <c r="G33" s="761" t="s">
        <v>944</v>
      </c>
      <c r="H33" s="772">
        <f>PMT(H30/100/12,H29*12,H28,H31)*(-1)</f>
        <v>1002.9734124587183</v>
      </c>
    </row>
  </sheetData>
  <mergeCells count="1">
    <mergeCell ref="D2:J3"/>
  </mergeCells>
  <dataValidations count="1">
    <dataValidation type="decimal" operator="notEqual" allowBlank="1" showInputMessage="1" showErrorMessage="1" sqref="C7 D12">
      <formula1>0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Worksheet______72">
    <tabColor indexed="45"/>
  </sheetPr>
  <dimension ref="A1:AL60"/>
  <sheetViews>
    <sheetView rightToLeft="1" workbookViewId="0">
      <selection activeCell="G13" sqref="G13"/>
    </sheetView>
  </sheetViews>
  <sheetFormatPr defaultRowHeight="12.75"/>
  <cols>
    <col min="1" max="3" width="9.140625" style="782"/>
    <col min="4" max="4" width="16.28515625" style="782" customWidth="1"/>
    <col min="5" max="5" width="14.28515625" style="782" customWidth="1"/>
    <col min="6" max="6" width="13.28515625" style="782" customWidth="1"/>
    <col min="7" max="7" width="14.28515625" style="782" customWidth="1"/>
    <col min="8" max="8" width="12.7109375" style="782" customWidth="1"/>
    <col min="9" max="9" width="13.28515625" style="782" customWidth="1"/>
    <col min="10" max="10" width="19.28515625" style="782" customWidth="1"/>
    <col min="11" max="11" width="15.42578125" style="782" customWidth="1"/>
    <col min="12" max="12" width="13" style="782" customWidth="1"/>
    <col min="13" max="13" width="9.140625" style="782"/>
    <col min="14" max="14" width="14.140625" style="782" customWidth="1"/>
    <col min="15" max="16" width="9.140625" style="782"/>
    <col min="17" max="17" width="15.7109375" style="782" customWidth="1"/>
    <col min="18" max="18" width="16.140625" style="782" customWidth="1"/>
    <col min="19" max="19" width="15.42578125" style="782" customWidth="1"/>
    <col min="20" max="20" width="14.85546875" style="782" customWidth="1"/>
    <col min="21" max="21" width="14.140625" style="782" customWidth="1"/>
    <col min="22" max="22" width="13.5703125" style="782" customWidth="1"/>
    <col min="23" max="23" width="9.140625" style="782"/>
    <col min="24" max="24" width="14.85546875" style="782" customWidth="1"/>
    <col min="25" max="16384" width="9.140625" style="782"/>
  </cols>
  <sheetData>
    <row r="1" spans="1:38">
      <c r="J1" s="787" t="s">
        <v>946</v>
      </c>
      <c r="K1" s="788">
        <f>'[1]נתוני יסוד'!B26</f>
        <v>0</v>
      </c>
    </row>
    <row r="2" spans="1:38" ht="25.5">
      <c r="E2" s="1073" t="s">
        <v>653</v>
      </c>
      <c r="F2" s="1073"/>
      <c r="G2" s="1073"/>
      <c r="H2" s="341">
        <f>'[1]פיצויים פטורים והוני'!H2</f>
        <v>0</v>
      </c>
      <c r="J2" s="787" t="s">
        <v>947</v>
      </c>
      <c r="K2" s="788">
        <f>'[1]חישובי מקורות א'!BH6+'[1]חישובי מקורות א'!BN6</f>
        <v>0</v>
      </c>
      <c r="L2" s="785"/>
    </row>
    <row r="3" spans="1:38" ht="38.25">
      <c r="B3" s="783"/>
      <c r="C3" s="783"/>
      <c r="D3" s="783"/>
      <c r="E3" s="783"/>
      <c r="F3" s="783"/>
      <c r="G3" s="783"/>
      <c r="H3" s="783"/>
      <c r="I3" s="783"/>
      <c r="J3" s="787" t="s">
        <v>465</v>
      </c>
      <c r="K3" s="789">
        <f>'[1]נתוני יסוד'!B36</f>
        <v>0</v>
      </c>
      <c r="L3" s="60"/>
      <c r="M3" s="783"/>
      <c r="N3" s="783"/>
      <c r="O3" s="783"/>
      <c r="P3" s="783"/>
      <c r="Q3" s="783"/>
      <c r="R3" s="783"/>
      <c r="S3" s="783"/>
      <c r="T3" s="783"/>
      <c r="U3" s="783"/>
      <c r="V3" s="783"/>
      <c r="W3" s="783"/>
      <c r="X3" s="783"/>
      <c r="Y3" s="783"/>
      <c r="Z3" s="783"/>
      <c r="AA3" s="783"/>
      <c r="AB3" s="783"/>
      <c r="AC3" s="783"/>
      <c r="AD3" s="783"/>
      <c r="AE3" s="783"/>
      <c r="AF3" s="783"/>
      <c r="AG3" s="783"/>
      <c r="AH3" s="783"/>
      <c r="AI3" s="783"/>
      <c r="AJ3" s="783"/>
      <c r="AK3" s="783"/>
      <c r="AL3" s="783"/>
    </row>
    <row r="4" spans="1:38" ht="25.5">
      <c r="B4" s="783"/>
      <c r="C4" s="783"/>
      <c r="D4" s="783"/>
      <c r="E4" s="783"/>
      <c r="F4" s="783"/>
      <c r="G4" s="783"/>
      <c r="H4" s="783"/>
      <c r="I4" s="783"/>
      <c r="J4" s="790" t="s">
        <v>453</v>
      </c>
      <c r="K4" s="788">
        <f>'[1]נתוני יסוד'!B28</f>
        <v>0</v>
      </c>
      <c r="O4" s="1074"/>
      <c r="P4" s="1075"/>
      <c r="Q4" s="783"/>
      <c r="R4" s="783"/>
      <c r="S4" s="783"/>
      <c r="T4" s="783"/>
      <c r="U4" s="783"/>
      <c r="V4" s="783"/>
      <c r="W4" s="783"/>
      <c r="X4" s="783"/>
      <c r="Y4" s="783"/>
      <c r="Z4" s="783"/>
      <c r="AA4" s="783"/>
      <c r="AB4" s="783"/>
      <c r="AC4" s="783"/>
      <c r="AD4" s="783"/>
      <c r="AE4" s="783"/>
      <c r="AF4" s="783"/>
      <c r="AG4" s="783"/>
      <c r="AH4" s="783"/>
      <c r="AI4" s="783"/>
      <c r="AJ4" s="783"/>
      <c r="AK4" s="783"/>
      <c r="AL4" s="783"/>
    </row>
    <row r="5" spans="1:38">
      <c r="B5" s="1076" t="s">
        <v>650</v>
      </c>
      <c r="C5" s="1030"/>
      <c r="D5" s="342">
        <f>'[1]נתוני יסוד'!B4</f>
        <v>0</v>
      </c>
      <c r="E5" s="783" t="s">
        <v>651</v>
      </c>
      <c r="F5" s="783"/>
      <c r="G5" s="783"/>
      <c r="H5" s="783"/>
      <c r="I5" s="783"/>
      <c r="J5" s="790" t="s">
        <v>455</v>
      </c>
      <c r="K5" s="788">
        <f>'[1]נתוני יסוד'!B29</f>
        <v>0</v>
      </c>
      <c r="L5" s="104"/>
      <c r="M5" s="783"/>
      <c r="N5" s="783"/>
      <c r="O5" s="783"/>
      <c r="P5" s="783"/>
      <c r="Q5" s="783"/>
      <c r="R5" s="783"/>
      <c r="S5" s="783"/>
      <c r="T5" s="783"/>
      <c r="U5" s="783"/>
      <c r="V5" s="783"/>
      <c r="W5" s="783"/>
      <c r="X5" s="783"/>
      <c r="Y5" s="783"/>
      <c r="Z5" s="783"/>
      <c r="AA5" s="783"/>
      <c r="AB5" s="783"/>
      <c r="AC5" s="783"/>
      <c r="AD5" s="783"/>
      <c r="AE5" s="783"/>
      <c r="AF5" s="783"/>
      <c r="AG5" s="783"/>
      <c r="AH5" s="783"/>
      <c r="AI5" s="783"/>
      <c r="AJ5" s="783"/>
      <c r="AK5" s="783"/>
      <c r="AL5" s="783"/>
    </row>
    <row r="6" spans="1:38" ht="25.5">
      <c r="B6" s="1076" t="s">
        <v>652</v>
      </c>
      <c r="C6" s="1030"/>
      <c r="D6" s="342">
        <f>'[1]נתוני יסוד'!B6</f>
        <v>45874.826249999998</v>
      </c>
      <c r="E6" s="783"/>
      <c r="F6" s="1076" t="s">
        <v>654</v>
      </c>
      <c r="G6" s="1030"/>
      <c r="H6" s="339">
        <f>(D6-D5)/365.25</f>
        <v>125.59842915811087</v>
      </c>
      <c r="I6" s="783"/>
      <c r="J6" s="790" t="s">
        <v>591</v>
      </c>
      <c r="K6" s="788">
        <f>'[1]נתוני יסוד'!B30</f>
        <v>0</v>
      </c>
      <c r="L6" s="783"/>
      <c r="M6" s="783"/>
      <c r="N6" s="783"/>
      <c r="O6" s="783"/>
      <c r="P6" s="783"/>
      <c r="Q6" s="783"/>
      <c r="R6" s="783"/>
      <c r="S6" s="783"/>
      <c r="T6" s="783"/>
      <c r="U6" s="783"/>
      <c r="V6" s="783"/>
      <c r="W6" s="783"/>
      <c r="X6" s="783"/>
      <c r="Y6" s="783"/>
      <c r="Z6" s="783"/>
      <c r="AA6" s="783"/>
      <c r="AB6" s="783"/>
      <c r="AC6" s="783"/>
      <c r="AD6" s="783"/>
      <c r="AE6" s="783"/>
      <c r="AF6" s="783"/>
      <c r="AG6" s="783"/>
      <c r="AH6" s="783"/>
      <c r="AI6" s="783"/>
      <c r="AJ6" s="783"/>
      <c r="AK6" s="783"/>
      <c r="AL6" s="783"/>
    </row>
    <row r="7" spans="1:38">
      <c r="B7" s="783"/>
      <c r="C7" s="783"/>
      <c r="D7" s="783"/>
      <c r="E7" s="783"/>
      <c r="F7" s="783"/>
      <c r="G7" s="783"/>
      <c r="H7" s="783"/>
      <c r="I7" s="783"/>
      <c r="L7" s="783"/>
      <c r="M7" s="783"/>
      <c r="N7" s="783"/>
      <c r="O7" s="783"/>
      <c r="P7" s="783"/>
      <c r="Q7" s="783"/>
      <c r="R7" s="783"/>
      <c r="S7" s="783"/>
      <c r="T7" s="783"/>
      <c r="U7" s="783"/>
      <c r="V7" s="783"/>
      <c r="W7" s="783"/>
      <c r="X7" s="783"/>
      <c r="Y7" s="783"/>
      <c r="Z7" s="783"/>
      <c r="AA7" s="783"/>
      <c r="AB7" s="783"/>
    </row>
    <row r="8" spans="1:38" ht="26.25">
      <c r="B8" s="1077" t="s">
        <v>948</v>
      </c>
      <c r="C8" s="1078"/>
      <c r="D8" s="1078"/>
      <c r="E8" s="1078"/>
      <c r="F8" s="1078"/>
      <c r="G8" s="1078"/>
      <c r="H8" s="1078"/>
      <c r="I8" s="1078"/>
      <c r="J8" s="1078"/>
      <c r="K8" s="1079"/>
      <c r="L8" s="783"/>
      <c r="M8" s="783"/>
      <c r="N8" s="783"/>
      <c r="O8" s="783"/>
      <c r="P8" s="783"/>
      <c r="Q8" s="1080"/>
      <c r="R8" s="1029"/>
      <c r="S8" s="1030"/>
      <c r="T8" s="783"/>
      <c r="U8" s="783"/>
      <c r="V8" s="783"/>
      <c r="W8" s="783"/>
      <c r="X8" s="783"/>
      <c r="Y8" s="783"/>
      <c r="Z8" s="783"/>
      <c r="AA8" s="783"/>
      <c r="AB8" s="783"/>
    </row>
    <row r="9" spans="1:38" ht="26.25">
      <c r="B9" s="783"/>
      <c r="C9" s="783"/>
      <c r="D9" s="783"/>
      <c r="E9" s="783"/>
      <c r="F9" s="783"/>
      <c r="G9" s="1081" t="s">
        <v>655</v>
      </c>
      <c r="H9" s="1082"/>
      <c r="I9" s="1082"/>
      <c r="J9" s="1082"/>
      <c r="K9" s="1083"/>
      <c r="L9" s="783"/>
      <c r="M9" s="783"/>
      <c r="N9" s="783"/>
      <c r="O9" s="783"/>
      <c r="P9" s="783"/>
      <c r="Q9" s="1084" t="s">
        <v>656</v>
      </c>
      <c r="R9" s="1085"/>
      <c r="S9" s="1085"/>
      <c r="T9" s="1085"/>
      <c r="U9" s="1086"/>
      <c r="V9" s="783"/>
      <c r="W9" s="783"/>
      <c r="X9" s="783"/>
      <c r="Y9" s="783"/>
      <c r="Z9" s="783"/>
      <c r="AA9" s="783"/>
      <c r="AB9" s="783"/>
    </row>
    <row r="10" spans="1:38" ht="25.5">
      <c r="A10" s="1072" t="s">
        <v>657</v>
      </c>
      <c r="B10" s="1040"/>
      <c r="C10" s="1040"/>
      <c r="D10" s="343">
        <f>K1+K2+K4+K6+K5</f>
        <v>0</v>
      </c>
      <c r="E10" s="783"/>
      <c r="F10" s="783"/>
      <c r="G10" s="783" t="s">
        <v>658</v>
      </c>
      <c r="H10" s="783" t="s">
        <v>644</v>
      </c>
      <c r="I10" s="336" t="s">
        <v>645</v>
      </c>
      <c r="J10" s="783" t="s">
        <v>646</v>
      </c>
      <c r="K10" s="783"/>
      <c r="L10" s="783"/>
      <c r="M10" s="783"/>
      <c r="N10" s="783"/>
      <c r="O10" s="783"/>
      <c r="P10" s="783"/>
      <c r="Q10" s="783" t="s">
        <v>659</v>
      </c>
      <c r="R10" s="783" t="s">
        <v>647</v>
      </c>
      <c r="S10" s="336" t="s">
        <v>648</v>
      </c>
      <c r="T10" s="783" t="s">
        <v>649</v>
      </c>
      <c r="U10" s="783"/>
      <c r="V10" s="783"/>
      <c r="W10" s="783"/>
      <c r="X10" s="783"/>
      <c r="Y10" s="783"/>
      <c r="Z10" s="783"/>
      <c r="AA10" s="783"/>
      <c r="AB10" s="783"/>
    </row>
    <row r="11" spans="1:38" ht="24" customHeight="1">
      <c r="A11" s="1072" t="s">
        <v>660</v>
      </c>
      <c r="B11" s="1040"/>
      <c r="C11" s="1040"/>
      <c r="D11" s="343">
        <f>K1+K2+K3+K4+K5+K6</f>
        <v>0</v>
      </c>
      <c r="E11" s="783"/>
      <c r="F11" s="783"/>
      <c r="G11" s="335" t="e">
        <f>Q11/12</f>
        <v>#DIV/0!</v>
      </c>
      <c r="H11" s="76">
        <f>D11</f>
        <v>0</v>
      </c>
      <c r="I11" s="76">
        <f>D20+K5</f>
        <v>0</v>
      </c>
      <c r="J11" s="344" t="e">
        <f>H11-I11+G11</f>
        <v>#DIV/0!</v>
      </c>
      <c r="K11" s="337"/>
      <c r="L11" s="337"/>
      <c r="M11" s="337"/>
      <c r="N11" s="783"/>
      <c r="O11" s="783"/>
      <c r="P11" s="783"/>
      <c r="Q11" s="345" t="e">
        <f>D22/D23</f>
        <v>#DIV/0!</v>
      </c>
      <c r="R11" s="345">
        <f>H11*12</f>
        <v>0</v>
      </c>
      <c r="S11" s="345">
        <f>I11*12</f>
        <v>0</v>
      </c>
      <c r="T11" s="345" t="e">
        <f>R11-S11+Q11</f>
        <v>#DIV/0!</v>
      </c>
      <c r="U11" s="337"/>
      <c r="V11" s="337"/>
      <c r="W11" s="337"/>
      <c r="X11" s="783"/>
      <c r="Y11" s="783"/>
      <c r="Z11" s="783"/>
      <c r="AA11" s="783"/>
      <c r="AB11" s="783"/>
    </row>
    <row r="12" spans="1:38" ht="24" customHeight="1">
      <c r="A12" s="1072" t="s">
        <v>661</v>
      </c>
      <c r="B12" s="1040"/>
      <c r="C12" s="1040"/>
      <c r="D12" s="64">
        <f>'[1]פיצויים פטורים והוני'!D12</f>
        <v>0</v>
      </c>
      <c r="E12" s="783"/>
      <c r="F12" s="783"/>
      <c r="G12" s="337" t="s">
        <v>639</v>
      </c>
      <c r="H12" s="337" t="s">
        <v>640</v>
      </c>
      <c r="I12" s="337" t="s">
        <v>550</v>
      </c>
      <c r="J12" s="337" t="s">
        <v>640</v>
      </c>
      <c r="K12" s="337" t="s">
        <v>641</v>
      </c>
      <c r="L12" s="337" t="s">
        <v>642</v>
      </c>
      <c r="M12" s="337"/>
      <c r="N12" s="783"/>
      <c r="O12" s="783"/>
      <c r="P12" s="783"/>
      <c r="Q12" s="337" t="s">
        <v>639</v>
      </c>
      <c r="R12" s="337" t="s">
        <v>640</v>
      </c>
      <c r="S12" s="337" t="s">
        <v>550</v>
      </c>
      <c r="T12" s="337" t="s">
        <v>640</v>
      </c>
      <c r="U12" s="337" t="s">
        <v>641</v>
      </c>
      <c r="V12" s="337" t="s">
        <v>642</v>
      </c>
      <c r="W12" s="337"/>
      <c r="X12" s="783"/>
      <c r="Y12" s="783"/>
      <c r="Z12" s="783"/>
      <c r="AA12" s="783"/>
      <c r="AB12" s="783"/>
    </row>
    <row r="13" spans="1:38" ht="24" customHeight="1">
      <c r="A13" s="1040" t="s">
        <v>949</v>
      </c>
      <c r="B13" s="1040"/>
      <c r="C13" s="1040"/>
      <c r="D13" s="346">
        <f>D12-D14</f>
        <v>0</v>
      </c>
      <c r="E13" s="783"/>
      <c r="F13" s="783"/>
      <c r="G13" s="347">
        <f>H13</f>
        <v>5270</v>
      </c>
      <c r="H13" s="347">
        <f>'[1]חישובי מיסוי פנסיה פתוחים'!B6</f>
        <v>5270</v>
      </c>
      <c r="I13" s="348">
        <f>'[1]חישובי מיסוי פנסיה פתוחים'!C6</f>
        <v>0.1</v>
      </c>
      <c r="J13" s="337" t="e">
        <f>IF(J11&gt;G13,H13,J11)</f>
        <v>#DIV/0!</v>
      </c>
      <c r="K13" s="337" t="e">
        <f t="shared" ref="K13:K18" si="0">J13*I13</f>
        <v>#DIV/0!</v>
      </c>
      <c r="L13" s="337" t="e">
        <f>K13</f>
        <v>#DIV/0!</v>
      </c>
      <c r="M13" s="337"/>
      <c r="N13" s="783"/>
      <c r="O13" s="783"/>
      <c r="P13" s="783"/>
      <c r="Q13" s="347">
        <f>R13</f>
        <v>63240</v>
      </c>
      <c r="R13" s="347">
        <f>H13*12</f>
        <v>63240</v>
      </c>
      <c r="S13" s="348">
        <f t="shared" ref="S13:S18" si="1">I13</f>
        <v>0.1</v>
      </c>
      <c r="T13" s="80" t="e">
        <f>IF(T11&gt;Q13,R13,T11)</f>
        <v>#DIV/0!</v>
      </c>
      <c r="U13" s="80" t="e">
        <f t="shared" ref="U13:U18" si="2">T13*S13</f>
        <v>#DIV/0!</v>
      </c>
      <c r="V13" s="80" t="e">
        <f>U13</f>
        <v>#DIV/0!</v>
      </c>
      <c r="W13" s="337"/>
      <c r="X13" s="783"/>
      <c r="Y13" s="783"/>
      <c r="Z13" s="783"/>
      <c r="AA13" s="783"/>
      <c r="AB13" s="783"/>
    </row>
    <row r="14" spans="1:38">
      <c r="A14" s="1089" t="s">
        <v>662</v>
      </c>
      <c r="B14" s="1063"/>
      <c r="C14" s="1063"/>
      <c r="D14" s="349">
        <f>'[1]פיצויים פטורים וקצבה'!D13</f>
        <v>0</v>
      </c>
      <c r="E14" s="343">
        <f>'[1]פיצויים פטורים וקצבה'!L4</f>
        <v>0</v>
      </c>
      <c r="G14" s="347">
        <f>G13+H14</f>
        <v>9000</v>
      </c>
      <c r="H14" s="347">
        <f>'[1]חישובי מיסוי פנסיה פתוחים'!B7</f>
        <v>3730</v>
      </c>
      <c r="I14" s="348">
        <f>'[1]חישובי מיסוי פנסיה פתוחים'!C7</f>
        <v>0.14000000000000001</v>
      </c>
      <c r="J14" s="337" t="e">
        <f>IF(J11&gt;G14,H14,IF(J11&lt;G13,0,J11-G13))</f>
        <v>#DIV/0!</v>
      </c>
      <c r="K14" s="337" t="e">
        <f t="shared" si="0"/>
        <v>#DIV/0!</v>
      </c>
      <c r="L14" s="337" t="e">
        <f>L13+K14</f>
        <v>#DIV/0!</v>
      </c>
      <c r="M14" s="337"/>
      <c r="N14" s="783"/>
      <c r="O14" s="783"/>
      <c r="P14" s="783"/>
      <c r="Q14" s="347">
        <f>Q13+R14</f>
        <v>108000</v>
      </c>
      <c r="R14" s="347">
        <f>H14*12</f>
        <v>44760</v>
      </c>
      <c r="S14" s="348">
        <f t="shared" si="1"/>
        <v>0.14000000000000001</v>
      </c>
      <c r="T14" s="80" t="e">
        <f>IF(T11&gt;Q14,R14,IF(T11&lt;Q13,0,T11-Q13))</f>
        <v>#DIV/0!</v>
      </c>
      <c r="U14" s="80" t="e">
        <f t="shared" si="2"/>
        <v>#DIV/0!</v>
      </c>
      <c r="V14" s="80" t="e">
        <f>V13+U14</f>
        <v>#DIV/0!</v>
      </c>
      <c r="W14" s="80"/>
      <c r="X14" s="80"/>
      <c r="Y14" s="783"/>
      <c r="Z14" s="783"/>
      <c r="AA14" s="783"/>
      <c r="AB14" s="783"/>
    </row>
    <row r="15" spans="1:38">
      <c r="B15" s="1076" t="s">
        <v>663</v>
      </c>
      <c r="C15" s="1030"/>
      <c r="D15" s="350">
        <f>H6</f>
        <v>125.59842915811087</v>
      </c>
      <c r="E15" s="783"/>
      <c r="F15" s="783"/>
      <c r="G15" s="347">
        <f>G14+H15</f>
        <v>13990</v>
      </c>
      <c r="H15" s="347">
        <f>'[1]חישובי מיסוי פנסיה פתוחים'!B8</f>
        <v>4990</v>
      </c>
      <c r="I15" s="348">
        <f>'[1]חישובי מיסוי פנסיה פתוחים'!C8</f>
        <v>0.21</v>
      </c>
      <c r="J15" s="337" t="e">
        <f>IF(J11&gt;G15,H15,IF(J11&lt;G14,0,J11-G14))</f>
        <v>#DIV/0!</v>
      </c>
      <c r="K15" s="337" t="e">
        <f t="shared" si="0"/>
        <v>#DIV/0!</v>
      </c>
      <c r="L15" s="337" t="e">
        <f>L14+K15</f>
        <v>#DIV/0!</v>
      </c>
      <c r="Q15" s="347">
        <f>Q14+R15</f>
        <v>167880</v>
      </c>
      <c r="R15" s="347">
        <f>H15*12</f>
        <v>59880</v>
      </c>
      <c r="S15" s="348">
        <f t="shared" si="1"/>
        <v>0.21</v>
      </c>
      <c r="T15" s="80" t="e">
        <f>IF(T11&gt;Q15,R15,IF(T11&lt;Q14,0,T11-Q14))</f>
        <v>#DIV/0!</v>
      </c>
      <c r="U15" s="80" t="e">
        <f t="shared" si="2"/>
        <v>#DIV/0!</v>
      </c>
      <c r="V15" s="80" t="e">
        <f>V14+U15</f>
        <v>#DIV/0!</v>
      </c>
      <c r="W15" s="80"/>
      <c r="X15" s="80"/>
      <c r="Y15" s="783"/>
      <c r="Z15" s="783"/>
      <c r="AA15" s="783"/>
      <c r="AB15" s="783"/>
    </row>
    <row r="16" spans="1:38">
      <c r="B16" s="1076" t="s">
        <v>664</v>
      </c>
      <c r="C16" s="1030"/>
      <c r="D16" s="351">
        <f>IF(D15&lt;=3,0,IF(D15&lt;=7,1,IF(D15&lt;=11,2,IF(D15&lt;=15,3,IF(D15&lt;=19,4,IF(D15&lt;=23,5,IF(D15&lt;=99,6,0)))))))</f>
        <v>0</v>
      </c>
      <c r="E16" s="783"/>
      <c r="F16" s="783"/>
      <c r="G16" s="347">
        <f>G15+H16</f>
        <v>19980</v>
      </c>
      <c r="H16" s="347">
        <f>'[1]חישובי מיסוי פנסיה פתוחים'!B9</f>
        <v>5990</v>
      </c>
      <c r="I16" s="348">
        <f>'[1]חישובי מיסוי פנסיה פתוחים'!C9</f>
        <v>0.31</v>
      </c>
      <c r="J16" s="337" t="e">
        <f>IF(J11&gt;G16,H16,IF(J11&lt;G15,0,J11-G15))</f>
        <v>#DIV/0!</v>
      </c>
      <c r="K16" s="337" t="e">
        <f t="shared" si="0"/>
        <v>#DIV/0!</v>
      </c>
      <c r="L16" s="337" t="e">
        <f>L15+K16</f>
        <v>#DIV/0!</v>
      </c>
      <c r="M16" s="337"/>
      <c r="N16" s="783"/>
      <c r="O16" s="783"/>
      <c r="P16" s="783"/>
      <c r="Q16" s="347">
        <f>Q15+R16</f>
        <v>239760</v>
      </c>
      <c r="R16" s="347">
        <f>H16*12</f>
        <v>71880</v>
      </c>
      <c r="S16" s="348">
        <f t="shared" si="1"/>
        <v>0.31</v>
      </c>
      <c r="T16" s="80" t="e">
        <f>IF(T11&gt;Q16,R16,IF(T11&lt;Q15,0,T11-Q15))</f>
        <v>#DIV/0!</v>
      </c>
      <c r="U16" s="80" t="e">
        <f t="shared" si="2"/>
        <v>#DIV/0!</v>
      </c>
      <c r="V16" s="80" t="e">
        <f>V15+U16</f>
        <v>#DIV/0!</v>
      </c>
      <c r="W16" s="80"/>
      <c r="X16" s="80"/>
      <c r="Y16" s="783"/>
      <c r="Z16" s="783"/>
      <c r="AA16" s="783"/>
      <c r="AB16" s="783"/>
    </row>
    <row r="17" spans="2:28">
      <c r="B17" s="783"/>
      <c r="C17" s="783"/>
      <c r="D17" s="783"/>
      <c r="E17" s="783"/>
      <c r="F17" s="783"/>
      <c r="G17" s="347">
        <f>G16+H17</f>
        <v>41790</v>
      </c>
      <c r="H17" s="347">
        <f>'[1]חישובי מיסוי פנסיה פתוחים'!B10</f>
        <v>21810</v>
      </c>
      <c r="I17" s="348">
        <f>'[1]חישובי מיסוי פנסיה פתוחים'!C10</f>
        <v>0.34</v>
      </c>
      <c r="J17" s="337" t="e">
        <f>IF(J11&gt;G17,H17,IF(J11&lt;G16,0,J11-G16))</f>
        <v>#DIV/0!</v>
      </c>
      <c r="K17" s="337" t="e">
        <f t="shared" si="0"/>
        <v>#DIV/0!</v>
      </c>
      <c r="L17" s="337" t="e">
        <f>L16+K17</f>
        <v>#DIV/0!</v>
      </c>
      <c r="M17" s="337"/>
      <c r="N17" s="783"/>
      <c r="O17" s="783"/>
      <c r="P17" s="783"/>
      <c r="Q17" s="347">
        <f>Q16+R17</f>
        <v>501480</v>
      </c>
      <c r="R17" s="347">
        <f>H17*12</f>
        <v>261720</v>
      </c>
      <c r="S17" s="348">
        <f t="shared" si="1"/>
        <v>0.34</v>
      </c>
      <c r="T17" s="80" t="e">
        <f>IF(T11&gt;Q17,R17,IF(T11&lt;Q16,0,T11-Q16))</f>
        <v>#DIV/0!</v>
      </c>
      <c r="U17" s="80" t="e">
        <f t="shared" si="2"/>
        <v>#DIV/0!</v>
      </c>
      <c r="V17" s="80" t="e">
        <f>V16+U17</f>
        <v>#DIV/0!</v>
      </c>
      <c r="W17" s="80"/>
      <c r="X17" s="80"/>
      <c r="Y17" s="783"/>
      <c r="Z17" s="783"/>
      <c r="AA17" s="783"/>
      <c r="AB17" s="783"/>
    </row>
    <row r="18" spans="2:28">
      <c r="B18" s="1076" t="s">
        <v>584</v>
      </c>
      <c r="C18" s="1030"/>
      <c r="D18" s="336">
        <v>0</v>
      </c>
      <c r="E18" s="783"/>
      <c r="F18" s="783"/>
      <c r="G18" s="347">
        <v>99999999</v>
      </c>
      <c r="H18" s="347" t="e">
        <f>IF(J11-G17&gt;=0,J11-G17,0)</f>
        <v>#DIV/0!</v>
      </c>
      <c r="I18" s="348">
        <f>'[1]חישובי מיסוי פנסיה פתוחים'!C11</f>
        <v>0.48</v>
      </c>
      <c r="J18" s="337" t="e">
        <f>IF(J11&gt;G18,H18,IF(J11&lt;G17,0,J11-G17))</f>
        <v>#DIV/0!</v>
      </c>
      <c r="K18" s="337" t="e">
        <f t="shared" si="0"/>
        <v>#DIV/0!</v>
      </c>
      <c r="L18" s="337" t="e">
        <f>L17+K18</f>
        <v>#DIV/0!</v>
      </c>
      <c r="M18" s="337"/>
      <c r="N18" s="783"/>
      <c r="O18" s="783"/>
      <c r="P18" s="783"/>
      <c r="Q18" s="347">
        <v>99999999</v>
      </c>
      <c r="R18" s="347" t="e">
        <f>IF(T11-Q17&gt;=0,T11-Q17,0)</f>
        <v>#DIV/0!</v>
      </c>
      <c r="S18" s="348">
        <f t="shared" si="1"/>
        <v>0.48</v>
      </c>
      <c r="T18" s="80" t="e">
        <f>IF(T11&gt;Q18,R18,IF(T11&lt;Q17,0,T11-Q17))</f>
        <v>#DIV/0!</v>
      </c>
      <c r="U18" s="80" t="e">
        <f t="shared" si="2"/>
        <v>#DIV/0!</v>
      </c>
      <c r="V18" s="80" t="e">
        <f>V17+U18</f>
        <v>#DIV/0!</v>
      </c>
      <c r="W18" s="80"/>
      <c r="X18" s="80"/>
      <c r="Y18" s="783"/>
      <c r="Z18" s="783"/>
      <c r="AA18" s="783"/>
      <c r="AB18" s="783"/>
    </row>
    <row r="19" spans="2:28" ht="25.5">
      <c r="B19" s="783" t="s">
        <v>373</v>
      </c>
      <c r="C19" s="783" t="s">
        <v>379</v>
      </c>
      <c r="D19" s="783" t="s">
        <v>950</v>
      </c>
      <c r="E19" s="352"/>
      <c r="F19" s="783"/>
      <c r="G19" s="337"/>
      <c r="H19" s="337"/>
      <c r="I19" s="337"/>
      <c r="J19" s="337"/>
      <c r="K19" s="337"/>
      <c r="L19" s="337"/>
      <c r="M19" s="337" t="s">
        <v>643</v>
      </c>
      <c r="N19" s="337" t="e">
        <f>IF(L18-'[1]נתוני יסוד'!L2&gt;=0,L18-'[1]נתוני יסוד'!L2,0)</f>
        <v>#DIV/0!</v>
      </c>
      <c r="O19" s="783"/>
      <c r="P19" s="783"/>
      <c r="Q19" s="337"/>
      <c r="R19" s="337"/>
      <c r="S19" s="337"/>
      <c r="T19" s="80"/>
      <c r="U19" s="80"/>
      <c r="V19" s="80"/>
      <c r="W19" s="80" t="s">
        <v>643</v>
      </c>
      <c r="X19" s="80" t="e">
        <f>IF(V18-'[1]נתוני יסוד'!L1&gt;=0,V18-'[1]נתוני יסוד'!L1,0)</f>
        <v>#DIV/0!</v>
      </c>
      <c r="Y19" s="783"/>
      <c r="Z19" s="783"/>
      <c r="AA19" s="783"/>
      <c r="AB19" s="783"/>
    </row>
    <row r="20" spans="2:28">
      <c r="B20" s="64">
        <f>'[1]פיצויים פטורים והוני'!B21</f>
        <v>7200</v>
      </c>
      <c r="C20" s="64">
        <f>'[1]פיצויים פטורים והוני'!C21</f>
        <v>7400</v>
      </c>
      <c r="D20" s="55">
        <f>'[1]חישובי מקורות א'!BU6+'[1]חישובי מקורות א'!CB6</f>
        <v>0</v>
      </c>
      <c r="E20" s="783"/>
      <c r="F20" s="783"/>
      <c r="G20" s="783"/>
      <c r="H20" s="783"/>
      <c r="I20" s="783"/>
      <c r="J20" s="783"/>
      <c r="K20" s="783"/>
      <c r="L20" s="783"/>
      <c r="M20" s="783" t="s">
        <v>594</v>
      </c>
      <c r="N20" s="337" t="e">
        <f>H11+G11-N19</f>
        <v>#DIV/0!</v>
      </c>
      <c r="O20" s="783"/>
      <c r="P20" s="783"/>
      <c r="Q20" s="783"/>
      <c r="R20" s="783"/>
      <c r="S20" s="783"/>
      <c r="T20" s="80"/>
      <c r="U20" s="80"/>
      <c r="V20" s="80"/>
      <c r="W20" s="80" t="s">
        <v>594</v>
      </c>
      <c r="X20" s="80" t="e">
        <f>R11+Q11-X19</f>
        <v>#DIV/0!</v>
      </c>
      <c r="Y20" s="783"/>
      <c r="Z20" s="783"/>
      <c r="AA20" s="783"/>
      <c r="AB20" s="783"/>
    </row>
    <row r="21" spans="2:28">
      <c r="B21" s="784"/>
      <c r="C21" s="781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  <c r="P21" s="783"/>
      <c r="Q21" s="783"/>
      <c r="R21" s="783"/>
      <c r="S21" s="783"/>
      <c r="T21" s="783"/>
      <c r="U21" s="783"/>
      <c r="V21" s="783"/>
      <c r="W21" s="783"/>
      <c r="X21" s="783"/>
      <c r="Y21" s="783"/>
      <c r="Z21" s="783"/>
      <c r="AA21" s="783"/>
      <c r="AB21" s="783"/>
    </row>
    <row r="22" spans="2:28" ht="33">
      <c r="B22" s="1076" t="s">
        <v>665</v>
      </c>
      <c r="C22" s="1030"/>
      <c r="D22" s="353">
        <f>IF(H2=1,((D13-D18)/6)*5,D13-D18)</f>
        <v>0</v>
      </c>
      <c r="E22" s="783"/>
      <c r="F22" s="783"/>
      <c r="G22" s="1090" t="s">
        <v>666</v>
      </c>
      <c r="H22" s="1091"/>
      <c r="I22" s="1091"/>
      <c r="J22" s="1092"/>
      <c r="K22" s="783"/>
      <c r="L22" s="783"/>
      <c r="M22" s="783"/>
      <c r="N22" s="783"/>
      <c r="O22" s="783"/>
      <c r="P22" s="783"/>
      <c r="Q22" s="1093" t="s">
        <v>666</v>
      </c>
      <c r="R22" s="1093"/>
      <c r="S22" s="783"/>
      <c r="T22" s="783"/>
      <c r="U22" s="783"/>
      <c r="V22" s="783"/>
      <c r="W22" s="783"/>
      <c r="X22" s="783"/>
      <c r="Y22" s="783"/>
      <c r="Z22" s="783"/>
      <c r="AA22" s="783"/>
      <c r="AB22" s="783"/>
    </row>
    <row r="23" spans="2:28">
      <c r="B23" s="1094" t="s">
        <v>667</v>
      </c>
      <c r="C23" s="1095"/>
      <c r="D23" s="354">
        <f>IF(H2=1,D16-1,D16)</f>
        <v>0</v>
      </c>
      <c r="E23" s="783"/>
      <c r="F23" s="783"/>
      <c r="G23" s="783"/>
      <c r="H23" s="783" t="s">
        <v>163</v>
      </c>
      <c r="I23" s="65">
        <v>67</v>
      </c>
      <c r="J23" s="1087" t="s">
        <v>436</v>
      </c>
      <c r="K23" s="1087"/>
      <c r="L23" s="65">
        <v>90</v>
      </c>
      <c r="M23" s="783" t="s">
        <v>234</v>
      </c>
      <c r="N23" s="82">
        <v>3</v>
      </c>
      <c r="O23" s="783"/>
      <c r="P23" s="783"/>
      <c r="Q23" s="783"/>
      <c r="R23" s="783" t="s">
        <v>163</v>
      </c>
      <c r="S23" s="65">
        <v>67</v>
      </c>
      <c r="T23" s="1087" t="s">
        <v>436</v>
      </c>
      <c r="U23" s="1087"/>
      <c r="V23" s="65">
        <v>90</v>
      </c>
      <c r="W23" s="783" t="s">
        <v>234</v>
      </c>
      <c r="X23" s="82">
        <v>3</v>
      </c>
      <c r="Y23" s="783"/>
      <c r="Z23" s="783"/>
      <c r="AA23" s="783"/>
      <c r="AB23" s="783"/>
    </row>
    <row r="24" spans="2:28">
      <c r="B24" s="104"/>
      <c r="C24" s="104"/>
      <c r="D24" s="104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3"/>
      <c r="P24" s="783"/>
      <c r="Q24" s="783"/>
      <c r="R24" s="783"/>
      <c r="S24" s="783"/>
      <c r="T24" s="783"/>
      <c r="U24" s="783"/>
      <c r="V24" s="783"/>
      <c r="W24" s="783"/>
      <c r="X24" s="783"/>
      <c r="Y24" s="783"/>
      <c r="Z24" s="783"/>
      <c r="AA24" s="783"/>
      <c r="AB24" s="783"/>
    </row>
    <row r="25" spans="2:28">
      <c r="B25" s="104"/>
      <c r="C25" s="104"/>
      <c r="D25" s="104"/>
      <c r="E25" s="783"/>
      <c r="F25" s="783"/>
      <c r="G25" s="783"/>
      <c r="H25" s="783" t="s">
        <v>248</v>
      </c>
      <c r="I25" s="1088" t="e">
        <f>PV(N23/100/12,(L23-I23)*12,N20,,1)*(-1)</f>
        <v>#DIV/0!</v>
      </c>
      <c r="J25" s="1088"/>
      <c r="K25" s="783"/>
      <c r="L25" s="783"/>
      <c r="M25" s="783"/>
      <c r="N25" s="783"/>
      <c r="O25" s="783"/>
      <c r="P25" s="783"/>
      <c r="Q25" s="783"/>
      <c r="R25" s="783" t="s">
        <v>248</v>
      </c>
      <c r="S25" s="1088" t="e">
        <f>PV(X23/100,(V23-S23),X20,,1)*(-1)</f>
        <v>#DIV/0!</v>
      </c>
      <c r="T25" s="1088"/>
      <c r="U25" s="783"/>
      <c r="V25" s="783"/>
      <c r="W25" s="783"/>
      <c r="X25" s="783"/>
      <c r="Y25" s="783"/>
      <c r="Z25" s="783"/>
      <c r="AA25" s="783"/>
      <c r="AB25" s="783"/>
    </row>
    <row r="26" spans="2:28">
      <c r="B26" s="104"/>
      <c r="C26" s="104"/>
      <c r="D26" s="104"/>
      <c r="E26" s="783"/>
      <c r="F26" s="783"/>
      <c r="G26" s="783"/>
      <c r="H26" s="783"/>
      <c r="I26" s="783"/>
      <c r="J26" s="783"/>
      <c r="K26" s="783"/>
      <c r="L26" s="783"/>
      <c r="M26" s="783"/>
      <c r="N26" s="783"/>
      <c r="O26" s="783"/>
      <c r="P26" s="783"/>
      <c r="Q26" s="783"/>
      <c r="R26" s="783"/>
      <c r="S26" s="783"/>
      <c r="T26" s="783"/>
      <c r="U26" s="783"/>
      <c r="V26" s="783"/>
      <c r="W26" s="783"/>
      <c r="X26" s="783"/>
      <c r="Y26" s="783"/>
      <c r="Z26" s="783"/>
      <c r="AA26" s="783"/>
      <c r="AB26" s="783"/>
    </row>
    <row r="27" spans="2:28">
      <c r="B27" s="104"/>
      <c r="C27" s="104"/>
      <c r="D27" s="104"/>
      <c r="E27" s="783"/>
      <c r="F27" s="783"/>
      <c r="G27" s="1087" t="s">
        <v>668</v>
      </c>
      <c r="H27" s="1087"/>
      <c r="I27" s="1088">
        <f>PV(N23/100/12,(L23-I23)*12,I11,,1)*(-1)</f>
        <v>0</v>
      </c>
      <c r="J27" s="1088"/>
      <c r="K27" s="783"/>
      <c r="L27" s="783"/>
      <c r="M27" s="783"/>
      <c r="N27" s="783"/>
      <c r="O27" s="783"/>
      <c r="P27" s="783"/>
      <c r="Q27" s="1087" t="s">
        <v>668</v>
      </c>
      <c r="R27" s="1087"/>
      <c r="S27" s="1088">
        <f>PV(X23/100,(V23-S23),S11,,1)*(-1)</f>
        <v>0</v>
      </c>
      <c r="T27" s="1088"/>
      <c r="U27" s="783"/>
      <c r="V27" s="783"/>
      <c r="W27" s="783"/>
      <c r="X27" s="783"/>
      <c r="Y27" s="783"/>
      <c r="Z27" s="783"/>
      <c r="AA27" s="783"/>
      <c r="AB27" s="783"/>
    </row>
    <row r="28" spans="2:28">
      <c r="B28" s="783"/>
      <c r="C28" s="783"/>
      <c r="D28" s="783"/>
      <c r="E28" s="783"/>
      <c r="F28" s="783"/>
      <c r="G28" s="783"/>
      <c r="H28" s="783"/>
      <c r="I28" s="783"/>
      <c r="J28" s="783"/>
      <c r="K28" s="783"/>
      <c r="L28" s="783"/>
      <c r="M28" s="783"/>
      <c r="N28" s="783"/>
      <c r="O28" s="783"/>
      <c r="P28" s="783"/>
      <c r="Q28" s="783"/>
      <c r="R28" s="783"/>
      <c r="S28" s="783"/>
      <c r="T28" s="783"/>
      <c r="U28" s="783"/>
      <c r="V28" s="783"/>
      <c r="W28" s="783"/>
      <c r="X28" s="783"/>
      <c r="Y28" s="783"/>
      <c r="Z28" s="783"/>
      <c r="AA28" s="783"/>
      <c r="AB28" s="783"/>
    </row>
    <row r="29" spans="2:28">
      <c r="B29" s="783"/>
      <c r="C29" s="783"/>
      <c r="D29" s="783"/>
      <c r="E29" s="783"/>
      <c r="F29" s="783"/>
      <c r="G29" s="783" t="s">
        <v>951</v>
      </c>
      <c r="H29" s="783" t="s">
        <v>952</v>
      </c>
      <c r="I29" s="783"/>
      <c r="J29" s="783"/>
      <c r="K29" s="783"/>
      <c r="L29" s="783"/>
      <c r="M29" s="783"/>
      <c r="N29" s="783"/>
      <c r="O29" s="783"/>
      <c r="P29" s="783"/>
      <c r="Q29" s="783"/>
      <c r="R29" s="783"/>
      <c r="S29" s="783"/>
      <c r="T29" s="783"/>
      <c r="U29" s="783"/>
      <c r="V29" s="783"/>
      <c r="W29" s="783"/>
      <c r="X29" s="783"/>
      <c r="Y29" s="783"/>
      <c r="Z29" s="783"/>
      <c r="AA29" s="783"/>
      <c r="AB29" s="783"/>
    </row>
    <row r="30" spans="2:28" ht="20.25" customHeight="1">
      <c r="B30" s="1076" t="s">
        <v>272</v>
      </c>
      <c r="C30" s="1030"/>
      <c r="D30" s="791">
        <f>D12</f>
        <v>0</v>
      </c>
      <c r="E30" s="80"/>
      <c r="F30" s="792" t="s">
        <v>953</v>
      </c>
      <c r="G30" s="793">
        <f>'[1]חישובי מקורות א'!BW6</f>
        <v>0</v>
      </c>
      <c r="H30" s="794">
        <f>'[1]חישובי מקורות א'!CD6</f>
        <v>0</v>
      </c>
      <c r="I30" s="795"/>
      <c r="J30" s="40"/>
      <c r="K30" s="40"/>
      <c r="L30" s="40"/>
      <c r="M30" s="40"/>
      <c r="N30" s="40"/>
      <c r="O30" s="783"/>
      <c r="P30" s="783"/>
      <c r="Q30" s="783"/>
      <c r="R30" s="783"/>
      <c r="S30" s="783"/>
      <c r="T30" s="783"/>
      <c r="U30" s="783"/>
      <c r="V30" s="783"/>
      <c r="W30" s="783"/>
      <c r="X30" s="783"/>
      <c r="Y30" s="783"/>
      <c r="Z30" s="783"/>
      <c r="AA30" s="783"/>
      <c r="AB30" s="783"/>
    </row>
    <row r="31" spans="2:28" ht="20.100000000000001" customHeight="1">
      <c r="B31" s="1076" t="s">
        <v>669</v>
      </c>
      <c r="C31" s="1030"/>
      <c r="D31" s="791">
        <f>D18</f>
        <v>0</v>
      </c>
      <c r="E31" s="80"/>
      <c r="F31" s="40" t="s">
        <v>954</v>
      </c>
      <c r="G31" s="796">
        <f>'[1]חישובי מקורות א'!BJ6</f>
        <v>0</v>
      </c>
      <c r="H31" s="797">
        <f>'[1]חישובי מקורות א'!BP6</f>
        <v>0</v>
      </c>
      <c r="I31" s="798"/>
      <c r="J31" s="40"/>
      <c r="K31" s="40"/>
      <c r="L31" s="40"/>
      <c r="M31" s="40"/>
      <c r="N31" s="40"/>
      <c r="O31" s="783"/>
      <c r="P31" s="783"/>
      <c r="Q31" s="783"/>
      <c r="R31" s="783"/>
      <c r="S31" s="783"/>
      <c r="T31" s="783"/>
      <c r="U31" s="783"/>
      <c r="V31" s="783"/>
      <c r="W31" s="783"/>
      <c r="X31" s="783"/>
      <c r="Y31" s="783"/>
      <c r="Z31" s="783"/>
      <c r="AA31" s="783"/>
      <c r="AB31" s="783"/>
    </row>
    <row r="32" spans="2:28" ht="20.100000000000001" customHeight="1" thickBot="1">
      <c r="B32" s="1076" t="s">
        <v>670</v>
      </c>
      <c r="C32" s="1030"/>
      <c r="D32" s="799">
        <f>D14</f>
        <v>0</v>
      </c>
      <c r="E32" s="80"/>
      <c r="F32" s="40"/>
      <c r="G32" s="796"/>
      <c r="H32" s="797"/>
      <c r="I32" s="798"/>
      <c r="J32" s="40"/>
      <c r="K32" s="40"/>
      <c r="L32" s="40"/>
      <c r="M32" s="40"/>
      <c r="N32" s="40"/>
      <c r="O32" s="783"/>
      <c r="P32" s="783"/>
      <c r="Q32" s="783"/>
      <c r="R32" s="783"/>
      <c r="S32" s="783"/>
      <c r="T32" s="783"/>
      <c r="U32" s="783"/>
      <c r="V32" s="783"/>
      <c r="W32" s="783"/>
      <c r="X32" s="783"/>
      <c r="Y32" s="783"/>
      <c r="Z32" s="783"/>
      <c r="AA32" s="783"/>
      <c r="AB32" s="783"/>
    </row>
    <row r="33" spans="2:38" ht="20.100000000000001" customHeight="1">
      <c r="B33" s="1076" t="s">
        <v>671</v>
      </c>
      <c r="C33" s="1030"/>
      <c r="D33" s="800">
        <f>D30-D31-D32</f>
        <v>0</v>
      </c>
      <c r="E33" s="80"/>
      <c r="F33" s="40"/>
      <c r="G33" s="40"/>
      <c r="H33" s="40"/>
      <c r="I33" s="40"/>
      <c r="J33" s="40"/>
      <c r="K33" s="40"/>
      <c r="L33" s="40"/>
      <c r="M33" s="40"/>
      <c r="N33" s="40"/>
      <c r="O33" s="783"/>
      <c r="P33" s="783"/>
      <c r="Q33" s="783"/>
      <c r="R33" s="783"/>
      <c r="S33" s="783"/>
      <c r="T33" s="783"/>
      <c r="U33" s="783"/>
      <c r="V33" s="783"/>
      <c r="W33" s="783"/>
      <c r="X33" s="783"/>
      <c r="Y33" s="783"/>
      <c r="Z33" s="783"/>
      <c r="AA33" s="783"/>
      <c r="AB33" s="783"/>
    </row>
    <row r="34" spans="2:38" ht="30.75" customHeight="1">
      <c r="B34" s="1076" t="s">
        <v>672</v>
      </c>
      <c r="C34" s="1030"/>
      <c r="D34" s="791" t="e">
        <f>IF(H2=1,((X19-X50)*D23)+(Q11*50/100),(X19-X50)*D23)</f>
        <v>#DIV/0!</v>
      </c>
      <c r="E34" s="80"/>
      <c r="F34" s="40"/>
      <c r="G34" s="40"/>
      <c r="H34" s="40"/>
      <c r="I34" s="40"/>
      <c r="J34" s="40"/>
      <c r="K34" s="40"/>
      <c r="L34" s="40"/>
      <c r="M34" s="40"/>
      <c r="N34" s="40"/>
      <c r="O34" s="783"/>
      <c r="P34" s="783"/>
      <c r="Q34" s="783"/>
      <c r="R34" s="783"/>
      <c r="S34" s="783"/>
      <c r="T34" s="783"/>
      <c r="U34" s="783"/>
      <c r="V34" s="783"/>
      <c r="W34" s="783"/>
      <c r="X34" s="783"/>
      <c r="Y34" s="783"/>
      <c r="Z34" s="783"/>
      <c r="AA34" s="783"/>
      <c r="AB34" s="783"/>
    </row>
    <row r="35" spans="2:38" ht="24.95" customHeight="1">
      <c r="B35" s="1076" t="s">
        <v>633</v>
      </c>
      <c r="C35" s="1030"/>
      <c r="D35" s="355" t="e">
        <f>D30-D32-D34</f>
        <v>#DIV/0!</v>
      </c>
      <c r="E35" s="80" t="e">
        <f>D31+D33-D34</f>
        <v>#DIV/0!</v>
      </c>
      <c r="F35" s="40"/>
      <c r="G35" s="40"/>
      <c r="H35" s="40"/>
      <c r="I35" s="40"/>
      <c r="J35" s="40"/>
      <c r="K35" s="40"/>
      <c r="L35" s="40"/>
      <c r="M35" s="40"/>
      <c r="N35" s="40"/>
      <c r="O35" s="783"/>
      <c r="P35" s="783"/>
      <c r="Q35" s="783"/>
      <c r="R35" s="783"/>
      <c r="S35" s="783"/>
      <c r="T35" s="783"/>
      <c r="U35" s="783"/>
      <c r="V35" s="783"/>
      <c r="W35" s="783"/>
      <c r="X35" s="783"/>
      <c r="Y35" s="783"/>
      <c r="Z35" s="783"/>
      <c r="AA35" s="783"/>
      <c r="AB35" s="783"/>
    </row>
    <row r="36" spans="2:38">
      <c r="B36" s="783"/>
      <c r="C36" s="783"/>
      <c r="D36" s="783"/>
      <c r="E36" s="783"/>
      <c r="F36" s="40"/>
      <c r="G36" s="40"/>
      <c r="H36" s="40"/>
      <c r="I36" s="40"/>
      <c r="J36" s="40"/>
      <c r="K36" s="40"/>
      <c r="L36" s="40"/>
      <c r="M36" s="40"/>
      <c r="N36" s="40"/>
      <c r="O36" s="783"/>
      <c r="P36" s="783"/>
      <c r="Q36" s="783"/>
      <c r="R36" s="783"/>
      <c r="S36" s="783"/>
      <c r="T36" s="783"/>
      <c r="U36" s="783"/>
      <c r="V36" s="783"/>
      <c r="W36" s="783"/>
      <c r="X36" s="783"/>
      <c r="Y36" s="783"/>
      <c r="Z36" s="783"/>
      <c r="AA36" s="783"/>
      <c r="AB36" s="783"/>
    </row>
    <row r="37" spans="2:38"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3"/>
      <c r="P37" s="783"/>
      <c r="Q37" s="783"/>
      <c r="R37" s="783"/>
      <c r="S37" s="783"/>
      <c r="T37" s="783"/>
      <c r="U37" s="783"/>
      <c r="V37" s="783"/>
      <c r="W37" s="783"/>
      <c r="X37" s="783"/>
      <c r="Y37" s="783"/>
      <c r="Z37" s="783"/>
      <c r="AA37" s="783"/>
      <c r="AB37" s="783"/>
      <c r="AC37" s="783"/>
      <c r="AD37" s="783"/>
      <c r="AE37" s="783"/>
      <c r="AF37" s="783"/>
      <c r="AG37" s="783"/>
      <c r="AH37" s="783"/>
      <c r="AI37" s="783"/>
      <c r="AJ37" s="783"/>
      <c r="AK37" s="783"/>
      <c r="AL37" s="783"/>
    </row>
    <row r="38" spans="2:38" ht="26.25" customHeight="1">
      <c r="B38" s="1096" t="s">
        <v>955</v>
      </c>
      <c r="C38" s="1097"/>
      <c r="D38" s="1097"/>
      <c r="E38" s="1097"/>
      <c r="F38" s="1097"/>
      <c r="G38" s="1097"/>
      <c r="H38" s="1097"/>
      <c r="I38" s="1097"/>
      <c r="J38" s="1097"/>
      <c r="K38" s="1098"/>
      <c r="L38" s="783"/>
      <c r="M38" s="783"/>
      <c r="N38" s="783"/>
      <c r="O38" s="783"/>
      <c r="P38" s="783"/>
      <c r="Q38" s="783"/>
      <c r="R38" s="783"/>
      <c r="S38" s="783"/>
      <c r="T38" s="783"/>
      <c r="U38" s="783"/>
      <c r="V38" s="783"/>
      <c r="W38" s="783"/>
      <c r="X38" s="783"/>
      <c r="Y38" s="783"/>
      <c r="Z38" s="783"/>
      <c r="AA38" s="783"/>
      <c r="AB38" s="783"/>
      <c r="AC38" s="783"/>
      <c r="AD38" s="783"/>
      <c r="AE38" s="783"/>
      <c r="AF38" s="783"/>
      <c r="AG38" s="783"/>
      <c r="AH38" s="783"/>
      <c r="AI38" s="783"/>
      <c r="AJ38" s="783"/>
      <c r="AK38" s="783"/>
      <c r="AL38" s="783"/>
    </row>
    <row r="39" spans="2:38" ht="26.25" customHeight="1">
      <c r="B39" s="783"/>
      <c r="C39" s="783"/>
      <c r="D39" s="783"/>
      <c r="E39" s="783"/>
      <c r="F39" s="783"/>
      <c r="G39" s="1081" t="s">
        <v>673</v>
      </c>
      <c r="H39" s="1082"/>
      <c r="I39" s="1082"/>
      <c r="J39" s="1082"/>
      <c r="K39" s="1083"/>
      <c r="L39" s="783"/>
      <c r="M39" s="783"/>
      <c r="N39" s="783"/>
      <c r="O39" s="783"/>
      <c r="P39" s="783"/>
      <c r="Q39" s="1099" t="s">
        <v>674</v>
      </c>
      <c r="R39" s="1100"/>
      <c r="S39" s="1100"/>
      <c r="T39" s="1100"/>
      <c r="U39" s="1101"/>
      <c r="V39" s="783"/>
      <c r="W39" s="783"/>
      <c r="X39" s="783"/>
      <c r="Y39" s="783"/>
      <c r="Z39" s="783"/>
      <c r="AA39" s="783"/>
      <c r="AB39" s="783"/>
      <c r="AC39" s="783"/>
      <c r="AD39" s="783"/>
      <c r="AE39" s="783"/>
      <c r="AF39" s="783"/>
      <c r="AG39" s="783"/>
      <c r="AH39" s="783"/>
      <c r="AI39" s="783"/>
      <c r="AJ39" s="783"/>
      <c r="AK39" s="783"/>
      <c r="AL39" s="783"/>
    </row>
    <row r="40" spans="2:38" ht="25.5">
      <c r="B40" s="783"/>
      <c r="C40" s="783"/>
      <c r="D40" s="783"/>
      <c r="E40" s="783"/>
      <c r="F40" s="783"/>
      <c r="G40" s="783" t="s">
        <v>658</v>
      </c>
      <c r="H40" s="783" t="s">
        <v>644</v>
      </c>
      <c r="I40" s="336" t="s">
        <v>645</v>
      </c>
      <c r="J40" s="783" t="s">
        <v>646</v>
      </c>
      <c r="K40" s="783"/>
      <c r="L40" s="783"/>
      <c r="M40" s="783"/>
      <c r="N40" s="783"/>
      <c r="O40" s="783"/>
      <c r="P40" s="783"/>
      <c r="Q40" s="783" t="s">
        <v>659</v>
      </c>
      <c r="R40" s="783" t="s">
        <v>647</v>
      </c>
      <c r="S40" s="336" t="s">
        <v>648</v>
      </c>
      <c r="T40" s="783" t="s">
        <v>649</v>
      </c>
      <c r="U40" s="783"/>
      <c r="V40" s="783"/>
      <c r="W40" s="783"/>
      <c r="X40" s="783"/>
      <c r="Y40" s="783"/>
      <c r="Z40" s="783"/>
      <c r="AA40" s="783"/>
      <c r="AB40" s="783"/>
      <c r="AC40" s="783"/>
      <c r="AD40" s="783"/>
      <c r="AE40" s="783"/>
      <c r="AF40" s="783"/>
      <c r="AG40" s="783"/>
      <c r="AH40" s="783"/>
      <c r="AI40" s="783"/>
      <c r="AJ40" s="783"/>
      <c r="AK40" s="783"/>
      <c r="AL40" s="783"/>
    </row>
    <row r="41" spans="2:38" ht="12.75" customHeight="1">
      <c r="B41" s="783"/>
      <c r="C41" s="783"/>
      <c r="D41" s="783"/>
      <c r="E41" s="783"/>
      <c r="F41" s="783"/>
      <c r="G41" s="356" t="s">
        <v>675</v>
      </c>
      <c r="H41" s="345">
        <f>H11</f>
        <v>0</v>
      </c>
      <c r="I41" s="345">
        <f>K5+D20</f>
        <v>0</v>
      </c>
      <c r="J41" s="357">
        <f>H41-I41</f>
        <v>0</v>
      </c>
      <c r="K41" s="337"/>
      <c r="L41" s="337"/>
      <c r="M41" s="337"/>
      <c r="N41" s="783"/>
      <c r="O41" s="783"/>
      <c r="P41" s="783"/>
      <c r="Q41" s="76" t="s">
        <v>675</v>
      </c>
      <c r="R41" s="345">
        <f>H41*12</f>
        <v>0</v>
      </c>
      <c r="S41" s="345">
        <f>I41*12</f>
        <v>0</v>
      </c>
      <c r="T41" s="345">
        <f>R41-S41</f>
        <v>0</v>
      </c>
      <c r="U41" s="337"/>
      <c r="V41" s="337"/>
      <c r="W41" s="337"/>
      <c r="X41" s="783"/>
      <c r="Y41" s="783"/>
      <c r="Z41" s="783"/>
      <c r="AA41" s="783"/>
      <c r="AB41" s="783"/>
      <c r="AC41" s="783"/>
      <c r="AD41" s="783"/>
      <c r="AE41" s="783"/>
      <c r="AF41" s="783"/>
      <c r="AG41" s="783"/>
      <c r="AH41" s="783"/>
      <c r="AI41" s="783"/>
      <c r="AJ41" s="783"/>
      <c r="AK41" s="783"/>
      <c r="AL41" s="783"/>
    </row>
    <row r="42" spans="2:38">
      <c r="B42" s="783"/>
      <c r="C42" s="783"/>
      <c r="D42" s="783"/>
      <c r="E42" s="783"/>
      <c r="F42" s="783"/>
      <c r="G42" s="337"/>
      <c r="H42" s="337"/>
      <c r="I42" s="337"/>
      <c r="J42" s="337"/>
      <c r="K42" s="337"/>
      <c r="L42" s="337"/>
      <c r="M42" s="337"/>
      <c r="N42" s="783"/>
      <c r="O42" s="783"/>
      <c r="P42" s="783"/>
      <c r="Q42" s="337"/>
      <c r="R42" s="337"/>
      <c r="S42" s="337"/>
      <c r="T42" s="337"/>
      <c r="U42" s="337"/>
      <c r="V42" s="337"/>
      <c r="W42" s="337"/>
      <c r="X42" s="783"/>
      <c r="Y42" s="783"/>
      <c r="Z42" s="783"/>
      <c r="AA42" s="783"/>
      <c r="AB42" s="783"/>
      <c r="AC42" s="783"/>
      <c r="AD42" s="783"/>
      <c r="AE42" s="783"/>
      <c r="AF42" s="783"/>
      <c r="AG42" s="783"/>
      <c r="AH42" s="783"/>
      <c r="AI42" s="783"/>
      <c r="AJ42" s="783"/>
      <c r="AK42" s="783"/>
      <c r="AL42" s="783"/>
    </row>
    <row r="43" spans="2:38" ht="12.75" customHeight="1">
      <c r="B43" s="783"/>
      <c r="C43" s="783"/>
      <c r="D43" s="783"/>
      <c r="E43" s="783"/>
      <c r="F43" s="783"/>
      <c r="G43" s="337" t="s">
        <v>639</v>
      </c>
      <c r="H43" s="337" t="s">
        <v>640</v>
      </c>
      <c r="I43" s="337" t="s">
        <v>550</v>
      </c>
      <c r="J43" s="337" t="s">
        <v>640</v>
      </c>
      <c r="K43" s="337" t="s">
        <v>641</v>
      </c>
      <c r="L43" s="337" t="s">
        <v>642</v>
      </c>
      <c r="M43" s="337"/>
      <c r="N43" s="783"/>
      <c r="O43" s="783"/>
      <c r="P43" s="783"/>
      <c r="Q43" s="337" t="s">
        <v>639</v>
      </c>
      <c r="R43" s="337" t="s">
        <v>640</v>
      </c>
      <c r="S43" s="337" t="s">
        <v>550</v>
      </c>
      <c r="T43" s="337" t="s">
        <v>640</v>
      </c>
      <c r="U43" s="337" t="s">
        <v>641</v>
      </c>
      <c r="V43" s="337" t="s">
        <v>642</v>
      </c>
      <c r="W43" s="337"/>
      <c r="X43" s="783"/>
      <c r="Y43" s="783"/>
      <c r="Z43" s="783"/>
      <c r="AA43" s="783"/>
      <c r="AB43" s="783"/>
      <c r="AC43" s="783"/>
      <c r="AD43" s="783"/>
      <c r="AE43" s="783"/>
      <c r="AF43" s="783"/>
      <c r="AG43" s="783"/>
      <c r="AH43" s="783"/>
      <c r="AI43" s="783"/>
      <c r="AJ43" s="783"/>
      <c r="AK43" s="783"/>
      <c r="AL43" s="783"/>
    </row>
    <row r="44" spans="2:38">
      <c r="F44" s="783"/>
      <c r="G44" s="347">
        <f>H44</f>
        <v>5270</v>
      </c>
      <c r="H44" s="347">
        <f t="shared" ref="H44:I48" si="3">H13</f>
        <v>5270</v>
      </c>
      <c r="I44" s="348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37"/>
      <c r="N44" s="783"/>
      <c r="O44" s="783"/>
      <c r="P44" s="783"/>
      <c r="Q44" s="347">
        <f>R44</f>
        <v>63240</v>
      </c>
      <c r="R44" s="347">
        <f>H44*12</f>
        <v>63240</v>
      </c>
      <c r="S44" s="348">
        <f t="shared" ref="S44:S49" si="5">I13</f>
        <v>0.1</v>
      </c>
      <c r="T44" s="80">
        <f>IF(T41&gt;Q44,R44,T41)</f>
        <v>0</v>
      </c>
      <c r="U44" s="80">
        <f t="shared" ref="U44:U49" si="6">T44*S44</f>
        <v>0</v>
      </c>
      <c r="V44" s="80">
        <f>U44</f>
        <v>0</v>
      </c>
      <c r="W44" s="80"/>
      <c r="X44" s="80"/>
    </row>
    <row r="45" spans="2:38">
      <c r="F45" s="783"/>
      <c r="G45" s="347">
        <f>G44+H45</f>
        <v>9000</v>
      </c>
      <c r="H45" s="347">
        <f t="shared" si="3"/>
        <v>3730</v>
      </c>
      <c r="I45" s="348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37"/>
      <c r="N45" s="783"/>
      <c r="O45" s="783"/>
      <c r="P45" s="783"/>
      <c r="Q45" s="347">
        <f>Q44+R45</f>
        <v>108000</v>
      </c>
      <c r="R45" s="347">
        <f>H45*12</f>
        <v>44760</v>
      </c>
      <c r="S45" s="348">
        <f t="shared" si="5"/>
        <v>0.14000000000000001</v>
      </c>
      <c r="T45" s="80">
        <f>IF(T41&gt;Q45,R45,IF(T41&lt;Q44,0,T41-Q44))</f>
        <v>0</v>
      </c>
      <c r="U45" s="80">
        <f t="shared" si="6"/>
        <v>0</v>
      </c>
      <c r="V45" s="80">
        <f>V44+U45</f>
        <v>0</v>
      </c>
      <c r="W45" s="80"/>
      <c r="X45" s="80"/>
    </row>
    <row r="46" spans="2:38">
      <c r="F46" s="783"/>
      <c r="G46" s="347">
        <f>G45+H46</f>
        <v>13990</v>
      </c>
      <c r="H46" s="347">
        <f t="shared" si="3"/>
        <v>4990</v>
      </c>
      <c r="I46" s="348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37"/>
      <c r="N46" s="783"/>
      <c r="O46" s="783"/>
      <c r="P46" s="783"/>
      <c r="Q46" s="347">
        <f>Q45+R46</f>
        <v>167880</v>
      </c>
      <c r="R46" s="347">
        <f>H46*12</f>
        <v>59880</v>
      </c>
      <c r="S46" s="348">
        <f t="shared" si="5"/>
        <v>0.21</v>
      </c>
      <c r="T46" s="80">
        <f>IF(T41&gt;Q46,R46,IF(T41&lt;Q45,0,T41-Q45))</f>
        <v>0</v>
      </c>
      <c r="U46" s="80">
        <f t="shared" si="6"/>
        <v>0</v>
      </c>
      <c r="V46" s="80">
        <f>V45+U46</f>
        <v>0</v>
      </c>
      <c r="W46" s="80"/>
      <c r="X46" s="80"/>
    </row>
    <row r="47" spans="2:38">
      <c r="F47" s="783"/>
      <c r="G47" s="347">
        <f>G46+H47</f>
        <v>19980</v>
      </c>
      <c r="H47" s="347">
        <f t="shared" si="3"/>
        <v>5990</v>
      </c>
      <c r="I47" s="348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37"/>
      <c r="N47" s="783"/>
      <c r="O47" s="783"/>
      <c r="P47" s="783"/>
      <c r="Q47" s="347">
        <f>Q46+R47</f>
        <v>239760</v>
      </c>
      <c r="R47" s="347">
        <f>H47*12</f>
        <v>71880</v>
      </c>
      <c r="S47" s="348">
        <f t="shared" si="5"/>
        <v>0.31</v>
      </c>
      <c r="T47" s="80">
        <f>IF(T41&gt;Q47,R47,IF(T41&lt;Q46,0,T41-Q46))</f>
        <v>0</v>
      </c>
      <c r="U47" s="80">
        <f t="shared" si="6"/>
        <v>0</v>
      </c>
      <c r="V47" s="80">
        <f>V46+U47</f>
        <v>0</v>
      </c>
      <c r="W47" s="80"/>
      <c r="X47" s="80"/>
    </row>
    <row r="48" spans="2:38">
      <c r="F48" s="783"/>
      <c r="G48" s="347">
        <f>G47+H48</f>
        <v>41790</v>
      </c>
      <c r="H48" s="347">
        <f t="shared" si="3"/>
        <v>21810</v>
      </c>
      <c r="I48" s="348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37"/>
      <c r="N48" s="783"/>
      <c r="O48" s="783"/>
      <c r="P48" s="783"/>
      <c r="Q48" s="347">
        <f>Q47+R48</f>
        <v>501480</v>
      </c>
      <c r="R48" s="347">
        <f>H48*12</f>
        <v>261720</v>
      </c>
      <c r="S48" s="348">
        <f t="shared" si="5"/>
        <v>0.34</v>
      </c>
      <c r="T48" s="80">
        <f>IF(T41&gt;Q48,R48,IF(T41&lt;Q47,0,T41-Q47))</f>
        <v>0</v>
      </c>
      <c r="U48" s="80">
        <f t="shared" si="6"/>
        <v>0</v>
      </c>
      <c r="V48" s="80">
        <f>V47+U48</f>
        <v>0</v>
      </c>
      <c r="W48" s="80"/>
      <c r="X48" s="80"/>
    </row>
    <row r="49" spans="4:24">
      <c r="F49" s="783"/>
      <c r="G49" s="347">
        <v>99999999</v>
      </c>
      <c r="H49" s="347">
        <f>IF(J41-G48&gt;=0,J41-G48,0)</f>
        <v>0</v>
      </c>
      <c r="I49" s="348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37"/>
      <c r="N49" s="783"/>
      <c r="O49" s="783"/>
      <c r="P49" s="783"/>
      <c r="Q49" s="347">
        <v>99999999</v>
      </c>
      <c r="R49" s="347">
        <f>IF(T41-Q48&gt;=0,T41-Q48,0)</f>
        <v>0</v>
      </c>
      <c r="S49" s="348">
        <f t="shared" si="5"/>
        <v>0.48</v>
      </c>
      <c r="T49" s="80">
        <f>IF(T41&gt;Q49,R49,IF(T41&lt;Q48,0,T41-Q48))</f>
        <v>0</v>
      </c>
      <c r="U49" s="80">
        <f t="shared" si="6"/>
        <v>0</v>
      </c>
      <c r="V49" s="80">
        <f>V48+U49</f>
        <v>0</v>
      </c>
      <c r="W49" s="80"/>
      <c r="X49" s="80"/>
    </row>
    <row r="50" spans="4:24" ht="25.5">
      <c r="D50" s="358"/>
      <c r="E50" s="358"/>
      <c r="F50" s="80"/>
      <c r="G50" s="80"/>
      <c r="H50" s="80"/>
      <c r="I50" s="80"/>
      <c r="J50" s="80"/>
      <c r="K50" s="80"/>
      <c r="L50" s="80"/>
      <c r="M50" s="80" t="s">
        <v>643</v>
      </c>
      <c r="N50" s="80">
        <f>IF(L49-'[1]נתוני יסוד'!L2&gt;=0,L49-'[1]נתוני יסוד'!L2,0)</f>
        <v>0</v>
      </c>
      <c r="O50" s="783"/>
      <c r="P50" s="783"/>
      <c r="Q50" s="337"/>
      <c r="R50" s="337"/>
      <c r="S50" s="337"/>
      <c r="T50" s="80"/>
      <c r="U50" s="80"/>
      <c r="V50" s="80"/>
      <c r="W50" s="80" t="s">
        <v>643</v>
      </c>
      <c r="X50" s="80">
        <f>IF(V49-'[1]נתוני יסוד'!L1&gt;=0,V49-'[1]נתוני יסוד'!L1,0)</f>
        <v>0</v>
      </c>
    </row>
    <row r="51" spans="4:24" ht="27" customHeight="1">
      <c r="D51" s="801" t="s">
        <v>646</v>
      </c>
      <c r="E51" s="801">
        <f>J41</f>
        <v>0</v>
      </c>
      <c r="F51" s="359" t="s">
        <v>956</v>
      </c>
      <c r="G51" s="359">
        <f>N50</f>
        <v>0</v>
      </c>
      <c r="H51" s="86" t="s">
        <v>957</v>
      </c>
      <c r="I51" s="802">
        <f>E51-G51</f>
        <v>0</v>
      </c>
      <c r="J51" s="803" t="s">
        <v>958</v>
      </c>
      <c r="K51" s="804">
        <f>I41</f>
        <v>0</v>
      </c>
      <c r="L51" s="805" t="s">
        <v>959</v>
      </c>
      <c r="M51" s="805" t="s">
        <v>594</v>
      </c>
      <c r="N51" s="355">
        <f>H41-N50</f>
        <v>0</v>
      </c>
      <c r="O51" s="783"/>
      <c r="P51" s="783"/>
      <c r="Q51" s="783"/>
      <c r="R51" s="783"/>
      <c r="S51" s="783"/>
      <c r="T51" s="80"/>
      <c r="U51" s="80"/>
      <c r="V51" s="80"/>
      <c r="W51" s="80" t="s">
        <v>594</v>
      </c>
      <c r="X51" s="80">
        <f>R41-X50</f>
        <v>0</v>
      </c>
    </row>
    <row r="52" spans="4:24">
      <c r="F52" s="783"/>
      <c r="G52" s="783"/>
      <c r="H52" s="783"/>
      <c r="I52" s="783"/>
      <c r="J52" s="783"/>
      <c r="K52" s="783"/>
      <c r="L52" s="783"/>
      <c r="M52" s="783"/>
      <c r="N52" s="783"/>
      <c r="O52" s="783"/>
      <c r="P52" s="783"/>
      <c r="Q52" s="783"/>
      <c r="R52" s="783"/>
      <c r="S52" s="783"/>
      <c r="T52" s="783"/>
      <c r="U52" s="783"/>
      <c r="V52" s="783"/>
      <c r="W52" s="783"/>
      <c r="X52" s="783"/>
    </row>
    <row r="53" spans="4:24" ht="33">
      <c r="F53" s="783"/>
      <c r="G53" s="1090" t="s">
        <v>666</v>
      </c>
      <c r="H53" s="1091"/>
      <c r="I53" s="1091"/>
      <c r="J53" s="1092"/>
      <c r="K53" s="783"/>
      <c r="L53" s="783"/>
      <c r="M53" s="783"/>
      <c r="N53" s="783"/>
      <c r="O53" s="783"/>
      <c r="P53" s="783"/>
      <c r="Q53" s="1093" t="s">
        <v>666</v>
      </c>
      <c r="R53" s="1093"/>
      <c r="S53" s="783"/>
      <c r="T53" s="783"/>
      <c r="U53" s="783"/>
      <c r="V53" s="783"/>
      <c r="W53" s="783"/>
      <c r="X53" s="783"/>
    </row>
    <row r="54" spans="4:24">
      <c r="F54" s="783"/>
      <c r="G54" s="783"/>
      <c r="H54" s="783" t="s">
        <v>163</v>
      </c>
      <c r="I54" s="65">
        <v>67</v>
      </c>
      <c r="J54" s="1087" t="s">
        <v>436</v>
      </c>
      <c r="K54" s="1087"/>
      <c r="L54" s="65">
        <v>90</v>
      </c>
      <c r="M54" s="783" t="s">
        <v>234</v>
      </c>
      <c r="N54" s="82">
        <v>3</v>
      </c>
      <c r="O54" s="783"/>
      <c r="P54" s="783"/>
      <c r="Q54" s="783"/>
      <c r="R54" s="783" t="s">
        <v>163</v>
      </c>
      <c r="S54" s="65">
        <v>67</v>
      </c>
      <c r="T54" s="1087" t="s">
        <v>436</v>
      </c>
      <c r="U54" s="1087"/>
      <c r="V54" s="65">
        <v>90</v>
      </c>
      <c r="W54" s="783" t="s">
        <v>234</v>
      </c>
      <c r="X54" s="82">
        <v>3</v>
      </c>
    </row>
    <row r="55" spans="4:24">
      <c r="F55" s="783"/>
      <c r="G55" s="783"/>
      <c r="H55" s="783"/>
      <c r="I55" s="783"/>
      <c r="J55" s="783"/>
      <c r="K55" s="783"/>
      <c r="L55" s="783"/>
      <c r="M55" s="783"/>
      <c r="N55" s="783"/>
      <c r="O55" s="783"/>
      <c r="P55" s="783"/>
      <c r="Q55" s="783"/>
      <c r="R55" s="783"/>
      <c r="S55" s="783"/>
      <c r="T55" s="783"/>
      <c r="U55" s="783"/>
      <c r="V55" s="783"/>
      <c r="W55" s="783"/>
      <c r="X55" s="783"/>
    </row>
    <row r="56" spans="4:24">
      <c r="F56" s="783"/>
      <c r="G56" s="783"/>
      <c r="H56" s="783" t="s">
        <v>248</v>
      </c>
      <c r="I56" s="1088">
        <f>PV(N54/100/12,(L54-I54)*12,N51,,1)*(-1)</f>
        <v>0</v>
      </c>
      <c r="J56" s="1088"/>
      <c r="K56" s="783"/>
      <c r="L56" s="783"/>
      <c r="M56" s="783"/>
      <c r="N56" s="783"/>
      <c r="O56" s="783"/>
      <c r="P56" s="783"/>
      <c r="Q56" s="783"/>
      <c r="R56" s="783" t="s">
        <v>248</v>
      </c>
      <c r="S56" s="1088">
        <f>PV(X54/100,(V54-S54),X51,,1)*(-1)</f>
        <v>0</v>
      </c>
      <c r="T56" s="1088"/>
      <c r="U56" s="783"/>
      <c r="V56" s="783"/>
      <c r="W56" s="783"/>
      <c r="X56" s="783"/>
    </row>
    <row r="57" spans="4:24">
      <c r="F57" s="783"/>
      <c r="G57" s="783"/>
      <c r="H57" s="783"/>
      <c r="I57" s="783"/>
      <c r="J57" s="783"/>
      <c r="K57" s="783"/>
      <c r="L57" s="783"/>
      <c r="M57" s="783"/>
      <c r="N57" s="783"/>
      <c r="O57" s="783"/>
      <c r="P57" s="783"/>
      <c r="Q57" s="783"/>
      <c r="R57" s="783"/>
      <c r="S57" s="783"/>
      <c r="T57" s="783"/>
      <c r="U57" s="783"/>
      <c r="V57" s="783"/>
      <c r="W57" s="783"/>
      <c r="X57" s="783"/>
    </row>
    <row r="58" spans="4:24">
      <c r="F58" s="783"/>
      <c r="G58" s="1087" t="s">
        <v>668</v>
      </c>
      <c r="H58" s="1087"/>
      <c r="I58" s="1088">
        <f>PV(N54/100/12,(L54-I54)*12,I41,,1)*(-1)</f>
        <v>0</v>
      </c>
      <c r="J58" s="1088"/>
      <c r="K58" s="783"/>
      <c r="L58" s="783"/>
      <c r="M58" s="783"/>
      <c r="N58" s="783"/>
      <c r="O58" s="783"/>
      <c r="P58" s="783"/>
      <c r="Q58" s="1087" t="s">
        <v>668</v>
      </c>
      <c r="R58" s="1087"/>
      <c r="S58" s="1088">
        <f>PV(X54/100,(V54-S54),S41,,1)*(-1)</f>
        <v>0</v>
      </c>
      <c r="T58" s="1088"/>
      <c r="U58" s="783"/>
      <c r="V58" s="783"/>
      <c r="W58" s="783"/>
      <c r="X58" s="783"/>
    </row>
    <row r="59" spans="4:24">
      <c r="F59" s="783"/>
      <c r="G59" s="783"/>
      <c r="H59" s="783"/>
      <c r="I59" s="783"/>
      <c r="J59" s="783"/>
      <c r="K59" s="783"/>
      <c r="L59" s="783"/>
      <c r="M59" s="783"/>
      <c r="N59" s="783"/>
      <c r="O59" s="783"/>
      <c r="P59" s="783"/>
      <c r="Q59" s="783"/>
      <c r="R59" s="783"/>
      <c r="S59" s="783"/>
      <c r="T59" s="783"/>
      <c r="U59" s="783"/>
      <c r="V59" s="783"/>
      <c r="W59" s="783"/>
      <c r="X59" s="783"/>
    </row>
    <row r="60" spans="4:24">
      <c r="F60" s="783"/>
      <c r="G60" s="783"/>
      <c r="H60" s="783"/>
      <c r="I60" s="783"/>
      <c r="J60" s="783"/>
      <c r="K60" s="783"/>
      <c r="L60" s="783"/>
      <c r="M60" s="783"/>
      <c r="N60" s="783"/>
      <c r="O60" s="783"/>
      <c r="P60" s="783"/>
      <c r="Q60" s="783"/>
      <c r="R60" s="783"/>
      <c r="S60" s="783"/>
      <c r="T60" s="783"/>
      <c r="U60" s="783"/>
      <c r="V60" s="783"/>
      <c r="W60" s="783"/>
      <c r="X60" s="783"/>
    </row>
  </sheetData>
  <sheetProtection password="83F6" sheet="1" objects="1" scenarios="1"/>
  <mergeCells count="48">
    <mergeCell ref="B38:K38"/>
    <mergeCell ref="G58:H58"/>
    <mergeCell ref="I58:J58"/>
    <mergeCell ref="Q58:R58"/>
    <mergeCell ref="S58:T58"/>
    <mergeCell ref="Q39:U39"/>
    <mergeCell ref="G53:J53"/>
    <mergeCell ref="Q53:R53"/>
    <mergeCell ref="J54:K54"/>
    <mergeCell ref="T54:U54"/>
    <mergeCell ref="I56:J56"/>
    <mergeCell ref="S56:T56"/>
    <mergeCell ref="G39:K39"/>
    <mergeCell ref="B32:C32"/>
    <mergeCell ref="B33:C33"/>
    <mergeCell ref="B34:C34"/>
    <mergeCell ref="B31:C31"/>
    <mergeCell ref="B35:C35"/>
    <mergeCell ref="G27:H27"/>
    <mergeCell ref="I27:J27"/>
    <mergeCell ref="Q27:R27"/>
    <mergeCell ref="S27:T27"/>
    <mergeCell ref="B30:C30"/>
    <mergeCell ref="T23:U23"/>
    <mergeCell ref="I25:J25"/>
    <mergeCell ref="S25:T25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Q8:S8"/>
    <mergeCell ref="G9:K9"/>
    <mergeCell ref="Q9:U9"/>
    <mergeCell ref="A10:C10"/>
    <mergeCell ref="A11:C11"/>
    <mergeCell ref="A12:C12"/>
    <mergeCell ref="E2:G2"/>
    <mergeCell ref="O4:P4"/>
    <mergeCell ref="B5:C5"/>
    <mergeCell ref="B6:C6"/>
    <mergeCell ref="F6:G6"/>
    <mergeCell ref="B8:K8"/>
  </mergeCell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Worksheet______82">
    <tabColor indexed="45"/>
  </sheetPr>
  <dimension ref="A1:X59"/>
  <sheetViews>
    <sheetView rightToLeft="1" workbookViewId="0">
      <selection activeCell="B8" sqref="B8"/>
    </sheetView>
  </sheetViews>
  <sheetFormatPr defaultRowHeight="15"/>
  <cols>
    <col min="1" max="1" width="45.28515625" style="807" customWidth="1"/>
    <col min="2" max="2" width="22.85546875" style="807" customWidth="1"/>
    <col min="3" max="3" width="16.85546875" style="807" customWidth="1"/>
    <col min="4" max="4" width="17.85546875" style="807" customWidth="1"/>
    <col min="5" max="5" width="13.28515625" style="807" customWidth="1"/>
    <col min="6" max="6" width="13.85546875" style="807" customWidth="1"/>
    <col min="7" max="7" width="19.85546875" style="807" customWidth="1"/>
    <col min="8" max="8" width="13.7109375" style="807" customWidth="1"/>
    <col min="9" max="9" width="25.28515625" style="807" customWidth="1"/>
    <col min="10" max="10" width="22.28515625" style="807" customWidth="1"/>
    <col min="11" max="11" width="9.140625" style="807"/>
    <col min="12" max="12" width="16.5703125" style="807" customWidth="1"/>
    <col min="13" max="20" width="17.28515625" style="807" customWidth="1"/>
    <col min="21" max="16384" width="9.140625" style="807"/>
  </cols>
  <sheetData>
    <row r="1" spans="1:11" ht="45.75" customHeight="1">
      <c r="C1" s="1102" t="s">
        <v>960</v>
      </c>
      <c r="D1" s="1103"/>
      <c r="E1" s="1103"/>
      <c r="F1" s="1103"/>
      <c r="G1" s="1103"/>
      <c r="H1" s="1103"/>
    </row>
    <row r="2" spans="1:11" ht="14.1" customHeight="1" thickBot="1">
      <c r="A2" s="808" t="s">
        <v>946</v>
      </c>
      <c r="B2" s="809">
        <f>'[1]נתוני יסוד'!B26</f>
        <v>0</v>
      </c>
    </row>
    <row r="3" spans="1:11" ht="16.5" thickTop="1" thickBot="1">
      <c r="A3" s="808" t="s">
        <v>450</v>
      </c>
      <c r="B3" s="809">
        <f>'[1]נתוני יסוד'!B27</f>
        <v>0</v>
      </c>
      <c r="I3" s="810" t="s">
        <v>633</v>
      </c>
      <c r="J3" s="811" t="e">
        <f>B31</f>
        <v>#DIV/0!</v>
      </c>
    </row>
    <row r="4" spans="1:11" ht="15.75" thickBot="1">
      <c r="A4" s="812" t="s">
        <v>590</v>
      </c>
      <c r="B4" s="813">
        <f>'[1]חישובי מקורות א'!BW3</f>
        <v>0</v>
      </c>
      <c r="D4" s="814" t="s">
        <v>961</v>
      </c>
      <c r="E4" s="815">
        <f>SUM(B2:B6)</f>
        <v>0</v>
      </c>
      <c r="I4" s="816" t="s">
        <v>962</v>
      </c>
      <c r="J4" s="817">
        <f>B28</f>
        <v>0</v>
      </c>
    </row>
    <row r="5" spans="1:11" ht="24.75" customHeight="1">
      <c r="A5" s="818" t="s">
        <v>453</v>
      </c>
      <c r="B5" s="809">
        <f>'[1]נתוני יסוד'!B28</f>
        <v>0</v>
      </c>
      <c r="I5" s="816" t="s">
        <v>963</v>
      </c>
      <c r="J5" s="819"/>
    </row>
    <row r="6" spans="1:11" ht="24" customHeight="1">
      <c r="A6" s="808" t="s">
        <v>465</v>
      </c>
      <c r="B6" s="820">
        <f>'[1]נתוני יסוד'!B36</f>
        <v>0</v>
      </c>
      <c r="I6" s="816" t="s">
        <v>964</v>
      </c>
      <c r="J6" s="817" t="e">
        <f>SUM(J3:J5)</f>
        <v>#DIV/0!</v>
      </c>
    </row>
    <row r="7" spans="1:11">
      <c r="A7" s="818" t="s">
        <v>455</v>
      </c>
      <c r="B7" s="809">
        <f>'[1]נתוני יסוד'!B29</f>
        <v>0</v>
      </c>
      <c r="C7" s="821"/>
      <c r="D7" s="821"/>
      <c r="I7" s="816"/>
      <c r="J7" s="822"/>
      <c r="K7" s="823"/>
    </row>
    <row r="8" spans="1:11">
      <c r="A8" s="818" t="s">
        <v>591</v>
      </c>
      <c r="B8" s="809">
        <f>'[1]נתוני יסוד'!B30</f>
        <v>0</v>
      </c>
      <c r="C8" s="824"/>
      <c r="D8" s="821"/>
      <c r="I8" s="816" t="s">
        <v>676</v>
      </c>
      <c r="J8" s="825">
        <f>J26</f>
        <v>0</v>
      </c>
    </row>
    <row r="9" spans="1:11">
      <c r="C9" s="821"/>
      <c r="D9" s="821"/>
      <c r="I9" s="816"/>
      <c r="J9" s="822"/>
    </row>
    <row r="10" spans="1:11">
      <c r="I10" s="816" t="s">
        <v>965</v>
      </c>
      <c r="J10" s="822"/>
    </row>
    <row r="11" spans="1:11">
      <c r="A11" s="808" t="s">
        <v>462</v>
      </c>
      <c r="B11" s="820">
        <f>'[1]נתוני יסוד'!B33</f>
        <v>0</v>
      </c>
      <c r="I11" s="816"/>
      <c r="J11" s="822"/>
    </row>
    <row r="12" spans="1:11" ht="15.75" thickBot="1">
      <c r="A12" s="808" t="s">
        <v>270</v>
      </c>
      <c r="B12" s="820">
        <f>'[1]נתוני יסוד'!B35</f>
        <v>0</v>
      </c>
      <c r="I12" s="826"/>
      <c r="J12" s="827"/>
    </row>
    <row r="13" spans="1:11" ht="15.75" thickTop="1">
      <c r="A13" s="812" t="s">
        <v>966</v>
      </c>
      <c r="B13" s="813">
        <f>B11-B12</f>
        <v>0</v>
      </c>
    </row>
    <row r="14" spans="1:11" ht="18.95" customHeight="1"/>
    <row r="15" spans="1:11" ht="33" customHeight="1">
      <c r="C15" s="828" t="s">
        <v>967</v>
      </c>
      <c r="D15" s="807" t="s">
        <v>385</v>
      </c>
      <c r="E15" s="829" t="s">
        <v>645</v>
      </c>
      <c r="F15" s="828" t="s">
        <v>646</v>
      </c>
      <c r="G15" s="828"/>
      <c r="H15" s="828"/>
      <c r="I15" s="828"/>
      <c r="J15" s="828"/>
    </row>
    <row r="16" spans="1:11" ht="18.95" customHeight="1">
      <c r="C16" s="830">
        <f>SUM(B2:B8)</f>
        <v>0</v>
      </c>
      <c r="D16" s="831">
        <f>MINA(E4*35%,'[1]נתוני יסוד'!I4)</f>
        <v>0</v>
      </c>
      <c r="E16" s="830">
        <f>B7</f>
        <v>0</v>
      </c>
      <c r="F16" s="832">
        <f>IF(C16-D16-E16&lt;=0,0,C16-D16-E16)</f>
        <v>0</v>
      </c>
      <c r="G16" s="833"/>
      <c r="H16" s="833"/>
      <c r="I16" s="833"/>
      <c r="J16" s="828"/>
    </row>
    <row r="17" spans="1:10" ht="18.95" customHeight="1">
      <c r="C17" s="833"/>
      <c r="D17" s="833"/>
      <c r="E17" s="833"/>
      <c r="F17" s="833"/>
      <c r="G17" s="833"/>
      <c r="H17" s="833"/>
      <c r="I17" s="833"/>
      <c r="J17" s="828"/>
    </row>
    <row r="18" spans="1:10" ht="29.25" customHeight="1">
      <c r="C18" s="833" t="s">
        <v>639</v>
      </c>
      <c r="D18" s="833" t="s">
        <v>640</v>
      </c>
      <c r="E18" s="833" t="s">
        <v>550</v>
      </c>
      <c r="F18" s="833" t="s">
        <v>640</v>
      </c>
      <c r="G18" s="833" t="s">
        <v>641</v>
      </c>
      <c r="H18" s="833" t="s">
        <v>642</v>
      </c>
      <c r="I18" s="833"/>
      <c r="J18" s="828"/>
    </row>
    <row r="19" spans="1:10" ht="18.95" customHeight="1">
      <c r="C19" s="834">
        <f>D19</f>
        <v>5270</v>
      </c>
      <c r="D19" s="834">
        <f>'[1]חישובי מיסוי פנסיה פתוחים'!B6</f>
        <v>5270</v>
      </c>
      <c r="E19" s="835">
        <f>'[1]חישובי מיסוי פנסיה פתוחים'!C6</f>
        <v>0.1</v>
      </c>
      <c r="F19" s="833">
        <f>IF(F16&gt;C19,D19,F16)</f>
        <v>0</v>
      </c>
      <c r="G19" s="833">
        <f t="shared" ref="G19:G24" si="0">F19*E19</f>
        <v>0</v>
      </c>
      <c r="H19" s="833">
        <f>G19</f>
        <v>0</v>
      </c>
      <c r="I19" s="833"/>
      <c r="J19" s="828"/>
    </row>
    <row r="20" spans="1:10" ht="18.95" customHeight="1">
      <c r="C20" s="834">
        <f>C19+D20</f>
        <v>9000</v>
      </c>
      <c r="D20" s="834">
        <f>'[1]חישובי מיסוי פנסיה פתוחים'!B7</f>
        <v>3730</v>
      </c>
      <c r="E20" s="835">
        <f>'[1]חישובי מיסוי פנסיה פתוחים'!C7</f>
        <v>0.14000000000000001</v>
      </c>
      <c r="F20" s="833">
        <f>IF(F16&gt;C20,D20,IF(F16&lt;C19,0,F16-C19))</f>
        <v>0</v>
      </c>
      <c r="G20" s="833">
        <f t="shared" si="0"/>
        <v>0</v>
      </c>
      <c r="H20" s="833">
        <f>H19+G20</f>
        <v>0</v>
      </c>
      <c r="I20" s="833"/>
      <c r="J20" s="828"/>
    </row>
    <row r="21" spans="1:10" ht="18.95" customHeight="1">
      <c r="C21" s="834">
        <f>C20+D21</f>
        <v>13990</v>
      </c>
      <c r="D21" s="834">
        <f>'[1]חישובי מיסוי פנסיה פתוחים'!B8</f>
        <v>4990</v>
      </c>
      <c r="E21" s="835">
        <f>'[1]חישובי מיסוי פנסיה פתוחים'!C8</f>
        <v>0.21</v>
      </c>
      <c r="F21" s="833">
        <f>IF(F16&gt;C21,D21,IF(F16&lt;C20,0,F16-C20))</f>
        <v>0</v>
      </c>
      <c r="G21" s="833">
        <f t="shared" si="0"/>
        <v>0</v>
      </c>
      <c r="H21" s="833">
        <f>H20+G21</f>
        <v>0</v>
      </c>
      <c r="I21" s="833"/>
      <c r="J21" s="828"/>
    </row>
    <row r="22" spans="1:10" ht="18.95" customHeight="1">
      <c r="C22" s="834">
        <f>C21+D22</f>
        <v>19980</v>
      </c>
      <c r="D22" s="834">
        <f>'[1]חישובי מיסוי פנסיה פתוחים'!B9</f>
        <v>5990</v>
      </c>
      <c r="E22" s="835">
        <f>'[1]חישובי מיסוי פנסיה פתוחים'!C9</f>
        <v>0.31</v>
      </c>
      <c r="F22" s="833">
        <f>IF(F17&gt;C22,D22,IF(F17&lt;C21,0,F17-C21))</f>
        <v>0</v>
      </c>
      <c r="G22" s="833">
        <f t="shared" si="0"/>
        <v>0</v>
      </c>
      <c r="H22" s="833">
        <f>H21+G22</f>
        <v>0</v>
      </c>
      <c r="I22" s="833"/>
      <c r="J22" s="828"/>
    </row>
    <row r="23" spans="1:10" ht="18.95" customHeight="1">
      <c r="C23" s="834">
        <f>C22+D23</f>
        <v>41790</v>
      </c>
      <c r="D23" s="834">
        <f>'[1]חישובי מיסוי פנסיה פתוחים'!B10</f>
        <v>21810</v>
      </c>
      <c r="E23" s="835">
        <f>'[1]חישובי מיסוי פנסיה פתוחים'!C10</f>
        <v>0.34</v>
      </c>
      <c r="F23" s="833">
        <f>IF(F16&gt;C23,D23,IF(F16&lt;C21,0,F16-C21))</f>
        <v>0</v>
      </c>
      <c r="G23" s="833">
        <f t="shared" si="0"/>
        <v>0</v>
      </c>
      <c r="H23" s="833">
        <f>H21+G23</f>
        <v>0</v>
      </c>
      <c r="I23" s="833"/>
      <c r="J23" s="828"/>
    </row>
    <row r="24" spans="1:10" ht="18.95" customHeight="1">
      <c r="C24" s="834">
        <v>99999999</v>
      </c>
      <c r="D24" s="834">
        <f>IF(F16-C23&gt;=0,F16-C23,0)</f>
        <v>0</v>
      </c>
      <c r="E24" s="835">
        <f>'[1]חישובי מיסוי פנסיה פתוחים'!C11</f>
        <v>0.48</v>
      </c>
      <c r="F24" s="833">
        <f>IF(F16&gt;C24,D24,IF(F16&lt;C23,0,F16-C23))</f>
        <v>0</v>
      </c>
      <c r="G24" s="833">
        <f t="shared" si="0"/>
        <v>0</v>
      </c>
      <c r="H24" s="833">
        <f>H23+G24</f>
        <v>0</v>
      </c>
      <c r="I24" s="833"/>
      <c r="J24" s="828"/>
    </row>
    <row r="25" spans="1:10">
      <c r="C25" s="833"/>
      <c r="D25" s="833"/>
      <c r="E25" s="833"/>
      <c r="F25" s="833"/>
      <c r="G25" s="833"/>
      <c r="H25" s="833"/>
      <c r="I25" s="833" t="s">
        <v>643</v>
      </c>
      <c r="J25" s="833">
        <f>IF(H24-'[1]נתוני יסוד'!L2&gt;=0,H24-'[1]נתוני יסוד'!L2,0)</f>
        <v>0</v>
      </c>
    </row>
    <row r="26" spans="1:10">
      <c r="C26" s="828"/>
      <c r="D26" s="828"/>
      <c r="E26" s="828"/>
      <c r="F26" s="828"/>
      <c r="G26" s="828"/>
      <c r="H26" s="828"/>
      <c r="I26" s="828" t="s">
        <v>968</v>
      </c>
      <c r="J26" s="360">
        <f>C16-J25</f>
        <v>0</v>
      </c>
    </row>
    <row r="27" spans="1:10">
      <c r="A27" s="807" t="s">
        <v>969</v>
      </c>
    </row>
    <row r="28" spans="1:10">
      <c r="A28" s="807" t="s">
        <v>970</v>
      </c>
      <c r="B28" s="836">
        <f>'[1]חישובי מקורות א'!BZ1</f>
        <v>0</v>
      </c>
    </row>
    <row r="29" spans="1:10">
      <c r="A29" s="807" t="s">
        <v>971</v>
      </c>
      <c r="B29" s="836">
        <f>B13</f>
        <v>0</v>
      </c>
    </row>
    <row r="30" spans="1:10">
      <c r="A30" s="807" t="s">
        <v>972</v>
      </c>
      <c r="B30" s="837" t="e">
        <f>B55*K37</f>
        <v>#DIV/0!</v>
      </c>
    </row>
    <row r="31" spans="1:10">
      <c r="A31" s="807" t="s">
        <v>973</v>
      </c>
      <c r="B31" s="836" t="e">
        <f>B29-B30</f>
        <v>#DIV/0!</v>
      </c>
    </row>
    <row r="37" spans="2:20">
      <c r="I37" s="1104" t="s">
        <v>974</v>
      </c>
      <c r="J37" s="1104"/>
      <c r="K37" s="807">
        <f>'[1]פיצויים פטורים והוני'!D16</f>
        <v>0</v>
      </c>
    </row>
    <row r="38" spans="2:20" ht="42" customHeight="1">
      <c r="C38" s="1081" t="s">
        <v>975</v>
      </c>
      <c r="D38" s="1082"/>
      <c r="E38" s="1082"/>
      <c r="F38" s="1082"/>
      <c r="G38" s="1082"/>
      <c r="H38" s="1082"/>
      <c r="I38" s="1082"/>
      <c r="J38" s="1083"/>
      <c r="K38" s="786"/>
      <c r="L38" s="786"/>
      <c r="M38" s="1099" t="s">
        <v>976</v>
      </c>
      <c r="N38" s="1100"/>
      <c r="O38" s="1100"/>
      <c r="P38" s="1100"/>
      <c r="Q38" s="1100"/>
      <c r="R38" s="1100"/>
      <c r="S38" s="1100"/>
      <c r="T38" s="1101"/>
    </row>
    <row r="39" spans="2:20" ht="30">
      <c r="B39" s="838" t="s">
        <v>658</v>
      </c>
      <c r="C39" s="838" t="s">
        <v>644</v>
      </c>
      <c r="D39" s="807" t="s">
        <v>385</v>
      </c>
      <c r="E39" s="839" t="s">
        <v>645</v>
      </c>
      <c r="F39" s="838" t="s">
        <v>646</v>
      </c>
      <c r="G39" s="838"/>
      <c r="H39" s="838"/>
      <c r="I39" s="838"/>
      <c r="J39" s="838"/>
      <c r="K39" s="838"/>
      <c r="L39" s="838" t="s">
        <v>659</v>
      </c>
      <c r="M39" s="838" t="s">
        <v>647</v>
      </c>
      <c r="N39" s="807" t="s">
        <v>385</v>
      </c>
      <c r="O39" s="839" t="s">
        <v>648</v>
      </c>
      <c r="P39" s="838" t="s">
        <v>977</v>
      </c>
      <c r="Q39" s="838"/>
      <c r="R39" s="838"/>
      <c r="S39" s="838"/>
      <c r="T39" s="838"/>
    </row>
    <row r="40" spans="2:20">
      <c r="B40" s="840" t="e">
        <f>L40/12</f>
        <v>#DIV/0!</v>
      </c>
      <c r="C40" s="841">
        <f>C16</f>
        <v>0</v>
      </c>
      <c r="D40" s="831">
        <f>D16</f>
        <v>0</v>
      </c>
      <c r="E40" s="841">
        <f>E16</f>
        <v>0</v>
      </c>
      <c r="F40" s="842" t="e">
        <f>B40+C40-D40-E40</f>
        <v>#DIV/0!</v>
      </c>
      <c r="G40" s="843"/>
      <c r="H40" s="843"/>
      <c r="I40" s="843"/>
      <c r="J40" s="838"/>
      <c r="K40" s="838"/>
      <c r="L40" s="841" t="e">
        <f>B29/K37</f>
        <v>#DIV/0!</v>
      </c>
      <c r="M40" s="841">
        <f>C40*12</f>
        <v>0</v>
      </c>
      <c r="N40" s="831">
        <f>D40*12</f>
        <v>0</v>
      </c>
      <c r="O40" s="841">
        <f>E40*12</f>
        <v>0</v>
      </c>
      <c r="P40" s="844" t="e">
        <f>L40+M40-N40-O40</f>
        <v>#DIV/0!</v>
      </c>
      <c r="Q40" s="843"/>
      <c r="R40" s="843"/>
      <c r="S40" s="843"/>
      <c r="T40" s="838"/>
    </row>
    <row r="41" spans="2:20">
      <c r="C41" s="843"/>
      <c r="D41" s="843"/>
      <c r="E41" s="843"/>
      <c r="F41" s="843"/>
      <c r="G41" s="843"/>
      <c r="H41" s="843"/>
      <c r="I41" s="843"/>
      <c r="J41" s="838"/>
      <c r="K41" s="838"/>
      <c r="L41" s="838"/>
      <c r="M41" s="843"/>
      <c r="N41" s="843"/>
      <c r="O41" s="843"/>
      <c r="P41" s="843"/>
      <c r="Q41" s="843"/>
      <c r="R41" s="843"/>
      <c r="S41" s="843"/>
      <c r="T41" s="838"/>
    </row>
    <row r="42" spans="2:20">
      <c r="C42" s="843" t="s">
        <v>639</v>
      </c>
      <c r="D42" s="843" t="s">
        <v>640</v>
      </c>
      <c r="E42" s="843" t="s">
        <v>550</v>
      </c>
      <c r="F42" s="843" t="s">
        <v>640</v>
      </c>
      <c r="G42" s="843" t="s">
        <v>641</v>
      </c>
      <c r="H42" s="843" t="s">
        <v>642</v>
      </c>
      <c r="I42" s="843"/>
      <c r="J42" s="838"/>
      <c r="K42" s="838"/>
      <c r="L42" s="838"/>
      <c r="M42" s="843" t="s">
        <v>639</v>
      </c>
      <c r="N42" s="843" t="s">
        <v>640</v>
      </c>
      <c r="O42" s="843" t="s">
        <v>550</v>
      </c>
      <c r="P42" s="843" t="s">
        <v>640</v>
      </c>
      <c r="Q42" s="843" t="s">
        <v>641</v>
      </c>
      <c r="R42" s="843" t="s">
        <v>642</v>
      </c>
      <c r="S42" s="843"/>
      <c r="T42" s="838"/>
    </row>
    <row r="43" spans="2:20">
      <c r="C43" s="845">
        <f>D43</f>
        <v>5270</v>
      </c>
      <c r="D43" s="845">
        <f>'[1]חישובי מיסוי פנסיה פתוחים'!B6</f>
        <v>5270</v>
      </c>
      <c r="E43" s="846">
        <f>'[1]חישובי מיסוי פנסיה פתוחים'!C6</f>
        <v>0.1</v>
      </c>
      <c r="F43" s="843" t="e">
        <f>IF(F40&gt;C43,D43,F40)</f>
        <v>#DIV/0!</v>
      </c>
      <c r="G43" s="843" t="e">
        <f t="shared" ref="G43:G48" si="1">F43*E43</f>
        <v>#DIV/0!</v>
      </c>
      <c r="H43" s="843" t="e">
        <f>G43</f>
        <v>#DIV/0!</v>
      </c>
      <c r="I43" s="843"/>
      <c r="J43" s="838"/>
      <c r="K43" s="838"/>
      <c r="L43" s="838"/>
      <c r="M43" s="845">
        <f>N43</f>
        <v>63240</v>
      </c>
      <c r="N43" s="845">
        <f t="shared" ref="N43:N48" si="2">D43*12</f>
        <v>63240</v>
      </c>
      <c r="O43" s="846">
        <f>'[1]חישובי מיסוי פנסיה פתוחים'!C6</f>
        <v>0.1</v>
      </c>
      <c r="P43" s="843" t="e">
        <f>IF(P40&gt;M43,N43,P40)</f>
        <v>#DIV/0!</v>
      </c>
      <c r="Q43" s="843" t="e">
        <f t="shared" ref="Q43:Q48" si="3">P43*O43</f>
        <v>#DIV/0!</v>
      </c>
      <c r="R43" s="843" t="e">
        <f>Q43</f>
        <v>#DIV/0!</v>
      </c>
      <c r="S43" s="843"/>
      <c r="T43" s="838"/>
    </row>
    <row r="44" spans="2:20">
      <c r="C44" s="845">
        <f>C43+D44</f>
        <v>9000</v>
      </c>
      <c r="D44" s="845">
        <f>'[1]חישובי מיסוי פנסיה פתוחים'!B7</f>
        <v>3730</v>
      </c>
      <c r="E44" s="846">
        <f>'[1]חישובי מיסוי פנסיה פתוחים'!C7</f>
        <v>0.14000000000000001</v>
      </c>
      <c r="F44" s="843" t="e">
        <f>IF(F40&gt;C44,D44,IF(F40&lt;C43,0,F40-C43))</f>
        <v>#DIV/0!</v>
      </c>
      <c r="G44" s="843" t="e">
        <f t="shared" si="1"/>
        <v>#DIV/0!</v>
      </c>
      <c r="H44" s="843" t="e">
        <f>H43+G44</f>
        <v>#DIV/0!</v>
      </c>
      <c r="I44" s="843"/>
      <c r="J44" s="838"/>
      <c r="K44" s="838"/>
      <c r="L44" s="838"/>
      <c r="M44" s="845">
        <f>M43+N44</f>
        <v>108000</v>
      </c>
      <c r="N44" s="845">
        <f t="shared" si="2"/>
        <v>44760</v>
      </c>
      <c r="O44" s="846">
        <f>'[1]חישובי מיסוי פנסיה פתוחים'!C7</f>
        <v>0.14000000000000001</v>
      </c>
      <c r="P44" s="843" t="e">
        <f>IF(P40&gt;M44,N44,IF(P40&lt;M43,0,P40-M43))</f>
        <v>#DIV/0!</v>
      </c>
      <c r="Q44" s="843" t="e">
        <f t="shared" si="3"/>
        <v>#DIV/0!</v>
      </c>
      <c r="R44" s="843" t="e">
        <f>R43+Q44</f>
        <v>#DIV/0!</v>
      </c>
      <c r="S44" s="843"/>
      <c r="T44" s="838"/>
    </row>
    <row r="45" spans="2:20">
      <c r="C45" s="845">
        <f>C44+D45</f>
        <v>13990</v>
      </c>
      <c r="D45" s="845">
        <f>'[1]חישובי מיסוי פנסיה פתוחים'!B8</f>
        <v>4990</v>
      </c>
      <c r="E45" s="846">
        <f>'[1]חישובי מיסוי פנסיה פתוחים'!C8</f>
        <v>0.21</v>
      </c>
      <c r="F45" s="843" t="e">
        <f>IF(F40&gt;C45,D45,IF(F40&lt;C44,0,F40-C44))</f>
        <v>#DIV/0!</v>
      </c>
      <c r="G45" s="843" t="e">
        <f t="shared" si="1"/>
        <v>#DIV/0!</v>
      </c>
      <c r="H45" s="843" t="e">
        <f>H44+G45</f>
        <v>#DIV/0!</v>
      </c>
      <c r="I45" s="843"/>
      <c r="J45" s="838"/>
      <c r="K45" s="838"/>
      <c r="L45" s="838"/>
      <c r="M45" s="845">
        <f>M44+N45</f>
        <v>167880</v>
      </c>
      <c r="N45" s="845">
        <f t="shared" si="2"/>
        <v>59880</v>
      </c>
      <c r="O45" s="846">
        <f>'[1]חישובי מיסוי פנסיה פתוחים'!C8</f>
        <v>0.21</v>
      </c>
      <c r="P45" s="843" t="e">
        <f>IF(P40&gt;M45,N45,IF(P40&lt;M44,0,P40-M44))</f>
        <v>#DIV/0!</v>
      </c>
      <c r="Q45" s="843" t="e">
        <f t="shared" si="3"/>
        <v>#DIV/0!</v>
      </c>
      <c r="R45" s="843" t="e">
        <f>R44+Q45</f>
        <v>#DIV/0!</v>
      </c>
      <c r="S45" s="843"/>
      <c r="T45" s="838"/>
    </row>
    <row r="46" spans="2:20">
      <c r="C46" s="845">
        <f>C45+D46</f>
        <v>19980</v>
      </c>
      <c r="D46" s="845">
        <f>'[1]חישובי מיסוי פנסיה פתוחים'!B9</f>
        <v>5990</v>
      </c>
      <c r="E46" s="846">
        <f>'[1]חישובי מיסוי פנסיה פתוחים'!C9</f>
        <v>0.31</v>
      </c>
      <c r="F46" s="843" t="e">
        <f>IF(F40&gt;C46,D46,IF(F40&lt;C45,0,F40-C45))</f>
        <v>#DIV/0!</v>
      </c>
      <c r="G46" s="843" t="e">
        <f t="shared" si="1"/>
        <v>#DIV/0!</v>
      </c>
      <c r="H46" s="843" t="e">
        <f>H45+G46</f>
        <v>#DIV/0!</v>
      </c>
      <c r="I46" s="843"/>
      <c r="J46" s="838"/>
      <c r="K46" s="838"/>
      <c r="L46" s="838"/>
      <c r="M46" s="845">
        <f>M45+N46</f>
        <v>239760</v>
      </c>
      <c r="N46" s="845">
        <f t="shared" si="2"/>
        <v>71880</v>
      </c>
      <c r="O46" s="846">
        <f>'[1]חישובי מיסוי פנסיה פתוחים'!C9</f>
        <v>0.31</v>
      </c>
      <c r="P46" s="843" t="e">
        <f>IF(P40&gt;M46,N46,IF(P40&lt;M45,0,P40-M45))</f>
        <v>#DIV/0!</v>
      </c>
      <c r="Q46" s="843" t="e">
        <f t="shared" si="3"/>
        <v>#DIV/0!</v>
      </c>
      <c r="R46" s="843" t="e">
        <f>R45+Q46</f>
        <v>#DIV/0!</v>
      </c>
      <c r="S46" s="843"/>
      <c r="T46" s="838"/>
    </row>
    <row r="47" spans="2:20" ht="26.25" customHeight="1">
      <c r="C47" s="845">
        <f>C46+D47</f>
        <v>41790</v>
      </c>
      <c r="D47" s="845">
        <f>'[1]חישובי מיסוי פנסיה פתוחים'!B10</f>
        <v>21810</v>
      </c>
      <c r="E47" s="846">
        <f>'[1]חישובי מיסוי פנסיה פתוחים'!C10</f>
        <v>0.34</v>
      </c>
      <c r="F47" s="843" t="e">
        <f>IF(F40&gt;C47,D47,IF(F40&lt;C45,0,F40-C45))</f>
        <v>#DIV/0!</v>
      </c>
      <c r="G47" s="843" t="e">
        <f t="shared" si="1"/>
        <v>#DIV/0!</v>
      </c>
      <c r="H47" s="843" t="e">
        <f>H45+G47</f>
        <v>#DIV/0!</v>
      </c>
      <c r="I47" s="843"/>
      <c r="J47" s="838"/>
      <c r="K47" s="838"/>
      <c r="L47" s="838"/>
      <c r="M47" s="845">
        <f>M46+N47</f>
        <v>501480</v>
      </c>
      <c r="N47" s="845">
        <f t="shared" si="2"/>
        <v>261720</v>
      </c>
      <c r="O47" s="846">
        <f>'[1]חישובי מיסוי פנסיה פתוחים'!C10</f>
        <v>0.34</v>
      </c>
      <c r="P47" s="843" t="e">
        <f>IF(P40&gt;M47,N47,IF(P40&lt;M46,0,P40-M46))</f>
        <v>#DIV/0!</v>
      </c>
      <c r="Q47" s="843" t="e">
        <f t="shared" si="3"/>
        <v>#DIV/0!</v>
      </c>
      <c r="R47" s="843" t="e">
        <f>R46+Q47</f>
        <v>#DIV/0!</v>
      </c>
      <c r="S47" s="843"/>
      <c r="T47" s="838"/>
    </row>
    <row r="48" spans="2:20" ht="30.75" customHeight="1">
      <c r="C48" s="845">
        <v>99999999</v>
      </c>
      <c r="D48" s="845" t="e">
        <f>IF(F40-C47&gt;=0,F40-C47,0)</f>
        <v>#DIV/0!</v>
      </c>
      <c r="E48" s="846">
        <f>'[1]חישובי מיסוי פנסיה פתוחים'!C11</f>
        <v>0.48</v>
      </c>
      <c r="F48" s="843" t="e">
        <f>IF(F40&gt;C48,D48,IF(F40&lt;C47,0,F40-C47))</f>
        <v>#DIV/0!</v>
      </c>
      <c r="G48" s="843" t="e">
        <f t="shared" si="1"/>
        <v>#DIV/0!</v>
      </c>
      <c r="H48" s="843" t="e">
        <f>H47+G48</f>
        <v>#DIV/0!</v>
      </c>
      <c r="I48" s="843"/>
      <c r="J48" s="838"/>
      <c r="K48" s="838"/>
      <c r="L48" s="838"/>
      <c r="M48" s="845">
        <v>99999999</v>
      </c>
      <c r="N48" s="845" t="e">
        <f t="shared" si="2"/>
        <v>#DIV/0!</v>
      </c>
      <c r="O48" s="846">
        <f>'[1]חישובי מיסוי פנסיה פתוחים'!C11</f>
        <v>0.48</v>
      </c>
      <c r="P48" s="843" t="e">
        <f>IF(P40&gt;M48,N48,IF(P40&lt;M47,0,P40-M47))</f>
        <v>#DIV/0!</v>
      </c>
      <c r="Q48" s="843" t="e">
        <f t="shared" si="3"/>
        <v>#DIV/0!</v>
      </c>
      <c r="R48" s="843" t="e">
        <f>R47+Q48</f>
        <v>#DIV/0!</v>
      </c>
      <c r="S48" s="843"/>
      <c r="T48" s="838"/>
    </row>
    <row r="49" spans="1:24">
      <c r="C49" s="843"/>
      <c r="D49" s="843"/>
      <c r="E49" s="843"/>
      <c r="F49" s="843"/>
      <c r="G49" s="843"/>
      <c r="H49" s="843"/>
      <c r="I49" s="843" t="s">
        <v>643</v>
      </c>
      <c r="J49" s="843" t="e">
        <f>IF(H48-'[1]נתוני יסוד'!L2&gt;=0,H48-'[1]נתוני יסוד'!L2,0)</f>
        <v>#DIV/0!</v>
      </c>
      <c r="K49" s="838"/>
      <c r="L49" s="838"/>
      <c r="M49" s="843"/>
      <c r="N49" s="843"/>
      <c r="O49" s="843"/>
      <c r="P49" s="843"/>
      <c r="Q49" s="843"/>
      <c r="R49" s="843"/>
      <c r="S49" s="843" t="s">
        <v>643</v>
      </c>
      <c r="T49" s="843" t="e">
        <f>IF(R48-'[1]נתוני יסוד'!L1&gt;=0,R48-'[1]נתוני יסוד'!L1,0)</f>
        <v>#DIV/0!</v>
      </c>
    </row>
    <row r="50" spans="1:24">
      <c r="C50" s="838"/>
      <c r="D50" s="838"/>
      <c r="E50" s="838"/>
      <c r="F50" s="838"/>
      <c r="G50" s="838"/>
      <c r="H50" s="838"/>
      <c r="I50" s="838" t="s">
        <v>594</v>
      </c>
      <c r="J50" s="361" t="e">
        <f>B40+C40-J49</f>
        <v>#DIV/0!</v>
      </c>
      <c r="K50" s="838"/>
      <c r="L50" s="838"/>
      <c r="M50" s="838"/>
      <c r="N50" s="838"/>
      <c r="O50" s="838"/>
      <c r="P50" s="838"/>
      <c r="Q50" s="838"/>
      <c r="R50" s="838"/>
      <c r="S50" s="838" t="s">
        <v>594</v>
      </c>
      <c r="T50" s="843" t="e">
        <f>L40+M40-T49</f>
        <v>#DIV/0!</v>
      </c>
    </row>
    <row r="51" spans="1:24">
      <c r="C51" s="847"/>
      <c r="D51" s="847"/>
      <c r="E51" s="847"/>
      <c r="F51" s="847"/>
      <c r="G51" s="847"/>
      <c r="H51" s="847"/>
      <c r="I51" s="847"/>
      <c r="J51" s="847"/>
      <c r="K51" s="847"/>
      <c r="L51" s="847"/>
      <c r="M51" s="847"/>
      <c r="N51" s="847"/>
      <c r="O51" s="847"/>
      <c r="P51" s="847"/>
      <c r="Q51" s="847"/>
      <c r="R51" s="847"/>
      <c r="S51" s="847"/>
      <c r="T51" s="847"/>
    </row>
    <row r="52" spans="1:24">
      <c r="C52" s="847"/>
      <c r="D52" s="847"/>
      <c r="E52" s="847"/>
      <c r="F52" s="847"/>
      <c r="G52" s="847"/>
      <c r="H52" s="847"/>
      <c r="I52" s="847"/>
      <c r="J52" s="847"/>
      <c r="K52" s="847"/>
      <c r="L52" s="847"/>
      <c r="M52" s="847"/>
      <c r="N52" s="847"/>
      <c r="O52" s="847"/>
      <c r="P52" s="847"/>
      <c r="Q52" s="847"/>
      <c r="R52" s="847"/>
      <c r="S52" s="847"/>
      <c r="T52" s="847"/>
    </row>
    <row r="53" spans="1:24">
      <c r="A53" s="807" t="s">
        <v>978</v>
      </c>
      <c r="B53" s="836">
        <f>J25*12</f>
        <v>0</v>
      </c>
    </row>
    <row r="54" spans="1:24">
      <c r="A54" s="807" t="s">
        <v>979</v>
      </c>
      <c r="B54" s="837" t="e">
        <f>T49</f>
        <v>#DIV/0!</v>
      </c>
      <c r="C54" s="836" t="e">
        <f>J49*12</f>
        <v>#DIV/0!</v>
      </c>
    </row>
    <row r="55" spans="1:24">
      <c r="A55" s="807" t="s">
        <v>980</v>
      </c>
      <c r="B55" s="837" t="e">
        <f>B54-B53</f>
        <v>#DIV/0!</v>
      </c>
    </row>
    <row r="59" spans="1:24">
      <c r="G59" s="786"/>
      <c r="H59" s="786"/>
      <c r="I59" s="786"/>
      <c r="J59" s="786"/>
      <c r="K59" s="786"/>
      <c r="L59" s="786"/>
      <c r="M59" s="786"/>
      <c r="N59" s="786"/>
      <c r="O59" s="786"/>
      <c r="P59" s="786"/>
      <c r="Q59" s="786"/>
      <c r="R59" s="786"/>
      <c r="S59" s="786"/>
      <c r="T59" s="786"/>
      <c r="U59" s="786"/>
      <c r="V59" s="786"/>
      <c r="W59" s="786"/>
      <c r="X59" s="786"/>
    </row>
  </sheetData>
  <mergeCells count="4">
    <mergeCell ref="C1:H1"/>
    <mergeCell ref="I37:J37"/>
    <mergeCell ref="C38:J38"/>
    <mergeCell ref="M38:T38"/>
  </mergeCells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Worksheet______92">
    <tabColor indexed="45"/>
  </sheetPr>
  <dimension ref="A1:X64"/>
  <sheetViews>
    <sheetView rightToLeft="1" workbookViewId="0"/>
  </sheetViews>
  <sheetFormatPr defaultRowHeight="15"/>
  <cols>
    <col min="1" max="1" width="36.140625" style="807" customWidth="1"/>
    <col min="2" max="2" width="22.85546875" style="807" customWidth="1"/>
    <col min="3" max="3" width="16.85546875" style="807" customWidth="1"/>
    <col min="4" max="5" width="13.28515625" style="807" customWidth="1"/>
    <col min="6" max="6" width="16.85546875" style="807" customWidth="1"/>
    <col min="7" max="7" width="19.85546875" style="807" customWidth="1"/>
    <col min="8" max="8" width="13.7109375" style="807" customWidth="1"/>
    <col min="9" max="9" width="25.28515625" style="807" customWidth="1"/>
    <col min="10" max="10" width="22.28515625" style="807" customWidth="1"/>
    <col min="11" max="11" width="9.140625" style="807"/>
    <col min="12" max="12" width="16.5703125" style="807" customWidth="1"/>
    <col min="13" max="20" width="17.28515625" style="807" customWidth="1"/>
    <col min="21" max="16384" width="9.140625" style="807"/>
  </cols>
  <sheetData>
    <row r="1" spans="1:16" ht="45.75" customHeight="1">
      <c r="C1" s="1102" t="s">
        <v>981</v>
      </c>
      <c r="D1" s="1103"/>
      <c r="E1" s="1103"/>
      <c r="F1" s="1103"/>
      <c r="G1" s="1103"/>
      <c r="H1" s="1103"/>
    </row>
    <row r="2" spans="1:16" ht="14.1" customHeight="1" thickBot="1">
      <c r="A2" s="808" t="s">
        <v>946</v>
      </c>
      <c r="B2" s="809">
        <f>'[1]נתוני יסוד'!B26</f>
        <v>0</v>
      </c>
    </row>
    <row r="3" spans="1:16" ht="16.5" thickTop="1" thickBot="1">
      <c r="A3" s="818" t="s">
        <v>453</v>
      </c>
      <c r="B3" s="809">
        <f>'[1]נתוני יסוד'!B28</f>
        <v>0</v>
      </c>
      <c r="I3" s="854" t="s">
        <v>633</v>
      </c>
      <c r="J3" s="855" t="e">
        <f>B31+B8</f>
        <v>#DIV/0!</v>
      </c>
    </row>
    <row r="4" spans="1:16" ht="15.75" thickBot="1">
      <c r="A4" s="818" t="s">
        <v>455</v>
      </c>
      <c r="B4" s="809">
        <f>'[1]נתוני יסוד'!B29</f>
        <v>0</v>
      </c>
      <c r="D4" s="814" t="s">
        <v>982</v>
      </c>
      <c r="E4" s="815">
        <f>SUM(B2:B5)</f>
        <v>0</v>
      </c>
      <c r="I4" s="856" t="s">
        <v>962</v>
      </c>
      <c r="J4" s="857">
        <f>B28</f>
        <v>0</v>
      </c>
    </row>
    <row r="5" spans="1:16" ht="34.5" customHeight="1">
      <c r="A5" s="818" t="s">
        <v>591</v>
      </c>
      <c r="B5" s="809">
        <f>'[1]נתוני יסוד'!B30</f>
        <v>0</v>
      </c>
      <c r="I5" s="856" t="s">
        <v>963</v>
      </c>
      <c r="J5" s="858"/>
    </row>
    <row r="6" spans="1:16" ht="24" customHeight="1" thickBot="1">
      <c r="I6" s="856" t="s">
        <v>983</v>
      </c>
      <c r="J6" s="857">
        <f>F64</f>
        <v>0</v>
      </c>
    </row>
    <row r="7" spans="1:16" ht="15.75" thickBot="1">
      <c r="A7" s="808" t="s">
        <v>462</v>
      </c>
      <c r="B7" s="820">
        <f>'[1]נתוני יסוד'!B33</f>
        <v>0</v>
      </c>
      <c r="C7" s="821"/>
      <c r="D7" s="859"/>
      <c r="E7" s="1108" t="s">
        <v>984</v>
      </c>
      <c r="F7" s="1109"/>
      <c r="G7" s="860">
        <v>0</v>
      </c>
      <c r="I7" s="856" t="s">
        <v>964</v>
      </c>
      <c r="J7" s="857" t="e">
        <f>SUM(J3:J6)</f>
        <v>#DIV/0!</v>
      </c>
      <c r="K7" s="823"/>
    </row>
    <row r="8" spans="1:16">
      <c r="A8" s="808" t="s">
        <v>985</v>
      </c>
      <c r="B8" s="820">
        <f>IF(B7&gt;'[1]נתוני יסוד'!M6,'[1]נתוני יסוד'!M6,B7)</f>
        <v>0</v>
      </c>
      <c r="C8" s="824"/>
      <c r="D8" s="821"/>
      <c r="I8" s="856"/>
      <c r="J8" s="861"/>
    </row>
    <row r="9" spans="1:16">
      <c r="A9" s="812" t="s">
        <v>986</v>
      </c>
      <c r="B9" s="813">
        <f>B7-B8+G7</f>
        <v>0</v>
      </c>
      <c r="C9" s="821"/>
      <c r="D9" s="821"/>
      <c r="I9" s="856"/>
      <c r="J9" s="861"/>
    </row>
    <row r="10" spans="1:16">
      <c r="I10" s="856" t="s">
        <v>676</v>
      </c>
      <c r="J10" s="862">
        <f>J26</f>
        <v>0</v>
      </c>
    </row>
    <row r="11" spans="1:16">
      <c r="A11" s="807" t="s">
        <v>987</v>
      </c>
      <c r="B11" s="807" t="str">
        <f>IF(B9&gt;72000,IF(D23-F23&lt;500,"לא כדאי","כדאי"),"לא כדאי")</f>
        <v>לא כדאי</v>
      </c>
      <c r="I11" s="856" t="s">
        <v>965</v>
      </c>
      <c r="J11" s="861"/>
    </row>
    <row r="12" spans="1:16" ht="15.75" thickBot="1">
      <c r="I12" s="863"/>
      <c r="J12" s="864"/>
    </row>
    <row r="13" spans="1:16" ht="15.75" thickTop="1"/>
    <row r="14" spans="1:16" ht="18.95" customHeight="1">
      <c r="M14" s="807" t="s">
        <v>988</v>
      </c>
    </row>
    <row r="15" spans="1:16" ht="33" customHeight="1">
      <c r="C15" s="828" t="s">
        <v>644</v>
      </c>
      <c r="D15" s="807" t="s">
        <v>385</v>
      </c>
      <c r="E15" s="829" t="s">
        <v>645</v>
      </c>
      <c r="F15" s="828" t="s">
        <v>646</v>
      </c>
      <c r="G15" s="828"/>
      <c r="H15" s="828"/>
      <c r="I15" s="828"/>
      <c r="J15" s="828"/>
      <c r="M15" s="828" t="s">
        <v>644</v>
      </c>
      <c r="N15" s="807" t="s">
        <v>385</v>
      </c>
      <c r="O15" s="829" t="s">
        <v>645</v>
      </c>
      <c r="P15" s="828" t="s">
        <v>646</v>
      </c>
    </row>
    <row r="16" spans="1:16" ht="18.95" customHeight="1">
      <c r="C16" s="830">
        <f>E4</f>
        <v>0</v>
      </c>
      <c r="D16" s="831">
        <v>0</v>
      </c>
      <c r="E16" s="830">
        <f>B4</f>
        <v>0</v>
      </c>
      <c r="F16" s="832">
        <f>C16-D16-E16</f>
        <v>0</v>
      </c>
      <c r="G16" s="833"/>
      <c r="H16" s="833"/>
      <c r="I16" s="833"/>
      <c r="J16" s="828"/>
      <c r="M16" s="836">
        <f>C16*12</f>
        <v>0</v>
      </c>
      <c r="N16" s="836">
        <v>0</v>
      </c>
      <c r="O16" s="836">
        <f>E16*12</f>
        <v>0</v>
      </c>
      <c r="P16" s="836">
        <f>F16*12</f>
        <v>0</v>
      </c>
    </row>
    <row r="17" spans="1:20" ht="18.95" customHeight="1">
      <c r="C17" s="833"/>
      <c r="D17" s="833"/>
      <c r="E17" s="833"/>
      <c r="F17" s="833"/>
      <c r="G17" s="833"/>
      <c r="H17" s="833"/>
      <c r="I17" s="833"/>
      <c r="J17" s="828"/>
    </row>
    <row r="18" spans="1:20" ht="29.25" customHeight="1">
      <c r="C18" s="833" t="s">
        <v>639</v>
      </c>
      <c r="D18" s="833" t="s">
        <v>640</v>
      </c>
      <c r="E18" s="833" t="s">
        <v>550</v>
      </c>
      <c r="F18" s="833" t="s">
        <v>640</v>
      </c>
      <c r="G18" s="833" t="s">
        <v>641</v>
      </c>
      <c r="H18" s="833" t="s">
        <v>642</v>
      </c>
      <c r="I18" s="833"/>
      <c r="J18" s="828"/>
      <c r="M18" s="833" t="s">
        <v>639</v>
      </c>
      <c r="N18" s="833" t="s">
        <v>640</v>
      </c>
      <c r="O18" s="833" t="s">
        <v>550</v>
      </c>
      <c r="P18" s="833" t="s">
        <v>640</v>
      </c>
      <c r="Q18" s="833" t="s">
        <v>641</v>
      </c>
      <c r="R18" s="833" t="s">
        <v>642</v>
      </c>
    </row>
    <row r="19" spans="1:20" ht="18.95" customHeight="1">
      <c r="C19" s="834">
        <f>D19</f>
        <v>5270</v>
      </c>
      <c r="D19" s="834">
        <f>'[1]חישובי מיסוי פנסיה פתוחים'!B6</f>
        <v>5270</v>
      </c>
      <c r="E19" s="835">
        <f>'[1]חישובי מיסוי פנסיה פתוחים'!C6</f>
        <v>0.1</v>
      </c>
      <c r="F19" s="833">
        <f>IF(F16&gt;C19,D19,F16)</f>
        <v>0</v>
      </c>
      <c r="G19" s="833">
        <f t="shared" ref="G19:G24" si="0">F19*E19</f>
        <v>0</v>
      </c>
      <c r="H19" s="833">
        <f>G19</f>
        <v>0</v>
      </c>
      <c r="I19" s="833"/>
      <c r="J19" s="828"/>
      <c r="M19" s="834">
        <f>N19</f>
        <v>63240</v>
      </c>
      <c r="N19" s="834">
        <f>D19*12</f>
        <v>63240</v>
      </c>
      <c r="O19" s="835">
        <f t="shared" ref="O19:O24" si="1">E19</f>
        <v>0.1</v>
      </c>
      <c r="P19" s="833">
        <f>IF(P16&gt;M19,N19,P16)</f>
        <v>0</v>
      </c>
      <c r="Q19" s="833">
        <f t="shared" ref="Q19:Q24" si="2">P19*O19</f>
        <v>0</v>
      </c>
      <c r="R19" s="833">
        <f>Q19</f>
        <v>0</v>
      </c>
      <c r="S19" s="833"/>
      <c r="T19" s="828"/>
    </row>
    <row r="20" spans="1:20" ht="18.95" customHeight="1">
      <c r="C20" s="834">
        <f>C19+D20</f>
        <v>9000</v>
      </c>
      <c r="D20" s="834">
        <f>'[1]חישובי מיסוי פנסיה פתוחים'!B7</f>
        <v>3730</v>
      </c>
      <c r="E20" s="835">
        <f>'[1]חישובי מיסוי פנסיה פתוחים'!C7</f>
        <v>0.14000000000000001</v>
      </c>
      <c r="F20" s="833">
        <f>IF(F16&gt;C20,D20,IF(F16&lt;C19,0,F16-C19))</f>
        <v>0</v>
      </c>
      <c r="G20" s="833">
        <f t="shared" si="0"/>
        <v>0</v>
      </c>
      <c r="H20" s="833">
        <f>H19+G20</f>
        <v>0</v>
      </c>
      <c r="I20" s="833"/>
      <c r="J20" s="828"/>
      <c r="M20" s="834">
        <f>M19+N20</f>
        <v>108000</v>
      </c>
      <c r="N20" s="834">
        <f>D20*12</f>
        <v>44760</v>
      </c>
      <c r="O20" s="835">
        <f t="shared" si="1"/>
        <v>0.14000000000000001</v>
      </c>
      <c r="P20" s="833">
        <f>IF(P$16&gt;M20,N20,IF(P$16&lt;M19,0,P$16-M19))</f>
        <v>0</v>
      </c>
      <c r="Q20" s="833">
        <f t="shared" si="2"/>
        <v>0</v>
      </c>
      <c r="R20" s="833">
        <f>R19+Q20</f>
        <v>0</v>
      </c>
      <c r="S20" s="833"/>
      <c r="T20" s="828"/>
    </row>
    <row r="21" spans="1:20" ht="18.95" customHeight="1">
      <c r="C21" s="834">
        <f>C20+D21</f>
        <v>13990</v>
      </c>
      <c r="D21" s="834">
        <f>'[1]חישובי מיסוי פנסיה פתוחים'!B8</f>
        <v>4990</v>
      </c>
      <c r="E21" s="835">
        <f>'[1]חישובי מיסוי פנסיה פתוחים'!C8</f>
        <v>0.21</v>
      </c>
      <c r="F21" s="833">
        <f>IF(F16&gt;C21,D21,IF(F16&lt;C20,0,F16-C20))</f>
        <v>0</v>
      </c>
      <c r="G21" s="833">
        <f t="shared" si="0"/>
        <v>0</v>
      </c>
      <c r="H21" s="833">
        <f>H20+G21</f>
        <v>0</v>
      </c>
      <c r="I21" s="833"/>
      <c r="J21" s="828"/>
      <c r="M21" s="834">
        <f>M20+N21</f>
        <v>167880</v>
      </c>
      <c r="N21" s="834">
        <f>D21*12</f>
        <v>59880</v>
      </c>
      <c r="O21" s="835">
        <f t="shared" si="1"/>
        <v>0.21</v>
      </c>
      <c r="P21" s="833">
        <f>IF(P$16&gt;M21,N21,IF(P$16&lt;M20,0,P$16-M20))</f>
        <v>0</v>
      </c>
      <c r="Q21" s="833">
        <f t="shared" si="2"/>
        <v>0</v>
      </c>
      <c r="R21" s="833">
        <f>R20+Q21</f>
        <v>0</v>
      </c>
      <c r="S21" s="833"/>
      <c r="T21" s="828"/>
    </row>
    <row r="22" spans="1:20" ht="18.95" customHeight="1">
      <c r="C22" s="834">
        <f>C21+D22</f>
        <v>19980</v>
      </c>
      <c r="D22" s="834">
        <f>'[1]חישובי מיסוי פנסיה פתוחים'!B9</f>
        <v>5990</v>
      </c>
      <c r="E22" s="835">
        <f>'[1]חישובי מיסוי פנסיה פתוחים'!C9</f>
        <v>0.31</v>
      </c>
      <c r="F22" s="833">
        <f>IF(F16&gt;C22,D22,IF(F16&lt;C21,0,F16-C21))</f>
        <v>0</v>
      </c>
      <c r="G22" s="833">
        <f t="shared" si="0"/>
        <v>0</v>
      </c>
      <c r="H22" s="833">
        <f>H21+G22</f>
        <v>0</v>
      </c>
      <c r="I22" s="833"/>
      <c r="J22" s="828"/>
      <c r="M22" s="834">
        <f>M21+N22</f>
        <v>239760</v>
      </c>
      <c r="N22" s="834">
        <f>D22*12</f>
        <v>71880</v>
      </c>
      <c r="O22" s="835">
        <f t="shared" si="1"/>
        <v>0.31</v>
      </c>
      <c r="P22" s="833">
        <f>IF(P$16&gt;M22,N22,IF(P$16&lt;M21,0,P$16-M21))</f>
        <v>0</v>
      </c>
      <c r="Q22" s="833">
        <f t="shared" si="2"/>
        <v>0</v>
      </c>
      <c r="R22" s="833">
        <f>R21+Q22</f>
        <v>0</v>
      </c>
      <c r="S22" s="833"/>
      <c r="T22" s="828"/>
    </row>
    <row r="23" spans="1:20" ht="18.95" customHeight="1">
      <c r="C23" s="834">
        <f>C22+D23</f>
        <v>41790</v>
      </c>
      <c r="D23" s="834">
        <f>'[1]חישובי מיסוי פנסיה פתוחים'!B10</f>
        <v>21810</v>
      </c>
      <c r="E23" s="835">
        <f>'[1]חישובי מיסוי פנסיה פתוחים'!C10</f>
        <v>0.34</v>
      </c>
      <c r="F23" s="833">
        <f>IF(F16&gt;C23,D23,IF(F16&lt;C22,0,F16-C22))</f>
        <v>0</v>
      </c>
      <c r="G23" s="833">
        <f t="shared" si="0"/>
        <v>0</v>
      </c>
      <c r="H23" s="833">
        <f>H22+G23</f>
        <v>0</v>
      </c>
      <c r="I23" s="833"/>
      <c r="J23" s="828"/>
      <c r="M23" s="834">
        <f>M22+N23</f>
        <v>501480</v>
      </c>
      <c r="N23" s="834">
        <f>D23*12</f>
        <v>261720</v>
      </c>
      <c r="O23" s="835">
        <f t="shared" si="1"/>
        <v>0.34</v>
      </c>
      <c r="P23" s="833">
        <f>IF(P16&gt;M23,N23,IF(P16&lt;M22,0,P16-M22))</f>
        <v>0</v>
      </c>
      <c r="Q23" s="833">
        <f t="shared" si="2"/>
        <v>0</v>
      </c>
      <c r="R23" s="833">
        <f>R22+Q23</f>
        <v>0</v>
      </c>
      <c r="S23" s="833"/>
      <c r="T23" s="828"/>
    </row>
    <row r="24" spans="1:20" ht="18.95" customHeight="1">
      <c r="C24" s="834">
        <v>99999999</v>
      </c>
      <c r="D24" s="834">
        <f>IF(F16-C23&gt;=0,F16-C23,0)</f>
        <v>0</v>
      </c>
      <c r="E24" s="835">
        <f>'[1]חישובי מיסוי פנסיה פתוחים'!C11</f>
        <v>0.48</v>
      </c>
      <c r="F24" s="833">
        <f>IF(F16&gt;C24,D24,IF(F16&lt;C23,0,F16-C23))</f>
        <v>0</v>
      </c>
      <c r="G24" s="833">
        <f t="shared" si="0"/>
        <v>0</v>
      </c>
      <c r="H24" s="833">
        <f>H23+G24</f>
        <v>0</v>
      </c>
      <c r="I24" s="833"/>
      <c r="J24" s="828"/>
      <c r="M24" s="834">
        <v>99999999</v>
      </c>
      <c r="N24" s="834">
        <f>IF(P16-M23&gt;=0,P16-M23,0)</f>
        <v>0</v>
      </c>
      <c r="O24" s="835">
        <f t="shared" si="1"/>
        <v>0.48</v>
      </c>
      <c r="P24" s="833">
        <f>IF(P16&gt;M24,N24,IF(P16&lt;M23,0,P16-M23))</f>
        <v>0</v>
      </c>
      <c r="Q24" s="833">
        <f t="shared" si="2"/>
        <v>0</v>
      </c>
      <c r="R24" s="833">
        <f>R23+Q24</f>
        <v>0</v>
      </c>
      <c r="S24" s="833"/>
      <c r="T24" s="828"/>
    </row>
    <row r="25" spans="1:20">
      <c r="C25" s="833"/>
      <c r="D25" s="833"/>
      <c r="E25" s="833"/>
      <c r="F25" s="833"/>
      <c r="G25" s="833"/>
      <c r="H25" s="833"/>
      <c r="I25" s="833" t="s">
        <v>643</v>
      </c>
      <c r="J25" s="833">
        <f>IF(H24-'[1]נתוני יסוד'!L2&gt;=0,H24-'[1]נתוני יסוד'!L2,0)</f>
        <v>0</v>
      </c>
      <c r="M25" s="833"/>
      <c r="N25" s="833"/>
      <c r="O25" s="833"/>
      <c r="P25" s="833"/>
      <c r="Q25" s="833"/>
      <c r="R25" s="833"/>
      <c r="S25" s="833" t="s">
        <v>643</v>
      </c>
      <c r="T25" s="833">
        <f>IF(R24-'[1]נתוני יסוד'!L2*12&gt;=0,R24-'[1]נתוני יסוד'!L2*12,0)</f>
        <v>0</v>
      </c>
    </row>
    <row r="26" spans="1:20">
      <c r="C26" s="828"/>
      <c r="D26" s="828"/>
      <c r="E26" s="828"/>
      <c r="F26" s="828"/>
      <c r="G26" s="828"/>
      <c r="H26" s="828"/>
      <c r="I26" s="828" t="s">
        <v>594</v>
      </c>
      <c r="J26" s="360">
        <f>C16-J25</f>
        <v>0</v>
      </c>
      <c r="M26" s="828"/>
      <c r="N26" s="828"/>
      <c r="O26" s="828"/>
      <c r="P26" s="828"/>
      <c r="Q26" s="828"/>
      <c r="R26" s="828"/>
      <c r="S26" s="828" t="s">
        <v>594</v>
      </c>
      <c r="T26" s="360">
        <f>M16-T25</f>
        <v>0</v>
      </c>
    </row>
    <row r="27" spans="1:20">
      <c r="A27" s="807" t="s">
        <v>969</v>
      </c>
    </row>
    <row r="28" spans="1:20">
      <c r="A28" s="807" t="s">
        <v>970</v>
      </c>
      <c r="B28" s="836">
        <f>'[1]חישובי מקורות א'!BZ1</f>
        <v>0</v>
      </c>
    </row>
    <row r="29" spans="1:20">
      <c r="A29" s="865" t="s">
        <v>989</v>
      </c>
      <c r="B29" s="866">
        <f>B9</f>
        <v>0</v>
      </c>
    </row>
    <row r="30" spans="1:20">
      <c r="A30" s="867" t="s">
        <v>972</v>
      </c>
      <c r="B30" s="868" t="e">
        <f>B55*K37</f>
        <v>#DIV/0!</v>
      </c>
    </row>
    <row r="31" spans="1:20">
      <c r="A31" s="869" t="s">
        <v>973</v>
      </c>
      <c r="B31" s="870" t="e">
        <f>B29-B30</f>
        <v>#DIV/0!</v>
      </c>
    </row>
    <row r="37" spans="2:20">
      <c r="I37" s="1104" t="s">
        <v>974</v>
      </c>
      <c r="J37" s="1104"/>
      <c r="K37" s="807">
        <f>'[1]פיצויים פטורים והוני'!D16</f>
        <v>0</v>
      </c>
    </row>
    <row r="38" spans="2:20" ht="42" customHeight="1">
      <c r="C38" s="1081" t="s">
        <v>975</v>
      </c>
      <c r="D38" s="1082"/>
      <c r="E38" s="1082"/>
      <c r="F38" s="1082"/>
      <c r="G38" s="1082"/>
      <c r="H38" s="1082"/>
      <c r="I38" s="1082"/>
      <c r="J38" s="1083"/>
      <c r="K38" s="806"/>
      <c r="L38" s="806"/>
      <c r="M38" s="1099" t="s">
        <v>976</v>
      </c>
      <c r="N38" s="1100"/>
      <c r="O38" s="1100"/>
      <c r="P38" s="1100"/>
      <c r="Q38" s="1100"/>
      <c r="R38" s="1100"/>
      <c r="S38" s="1100"/>
      <c r="T38" s="1101"/>
    </row>
    <row r="39" spans="2:20" ht="30">
      <c r="B39" s="838" t="s">
        <v>658</v>
      </c>
      <c r="C39" s="838" t="s">
        <v>644</v>
      </c>
      <c r="D39" s="807" t="s">
        <v>385</v>
      </c>
      <c r="E39" s="839" t="s">
        <v>645</v>
      </c>
      <c r="F39" s="838" t="s">
        <v>646</v>
      </c>
      <c r="G39" s="838"/>
      <c r="H39" s="838"/>
      <c r="I39" s="838"/>
      <c r="J39" s="838"/>
      <c r="K39" s="838"/>
      <c r="L39" s="838" t="s">
        <v>659</v>
      </c>
      <c r="M39" s="838" t="s">
        <v>647</v>
      </c>
      <c r="N39" s="807" t="s">
        <v>385</v>
      </c>
      <c r="O39" s="839" t="s">
        <v>648</v>
      </c>
      <c r="P39" s="838" t="s">
        <v>977</v>
      </c>
      <c r="Q39" s="838"/>
      <c r="R39" s="838"/>
      <c r="S39" s="838"/>
      <c r="T39" s="838"/>
    </row>
    <row r="40" spans="2:20">
      <c r="B40" s="840" t="e">
        <f>L40/12</f>
        <v>#DIV/0!</v>
      </c>
      <c r="C40" s="841">
        <f>C16</f>
        <v>0</v>
      </c>
      <c r="D40" s="831">
        <f>D16</f>
        <v>0</v>
      </c>
      <c r="E40" s="841">
        <f>E16</f>
        <v>0</v>
      </c>
      <c r="F40" s="842" t="e">
        <f>B40+C40-D40-E40</f>
        <v>#DIV/0!</v>
      </c>
      <c r="G40" s="843"/>
      <c r="H40" s="843"/>
      <c r="I40" s="843"/>
      <c r="J40" s="838"/>
      <c r="K40" s="838"/>
      <c r="L40" s="871" t="e">
        <f>B29/K37</f>
        <v>#DIV/0!</v>
      </c>
      <c r="M40" s="871">
        <f>C40*12</f>
        <v>0</v>
      </c>
      <c r="N40" s="831">
        <f>D40*12</f>
        <v>0</v>
      </c>
      <c r="O40" s="871">
        <f>E40*12</f>
        <v>0</v>
      </c>
      <c r="P40" s="872" t="e">
        <f>L40+M40-N40-O40</f>
        <v>#DIV/0!</v>
      </c>
      <c r="Q40" s="843"/>
      <c r="R40" s="843"/>
      <c r="S40" s="843"/>
      <c r="T40" s="838"/>
    </row>
    <row r="41" spans="2:20">
      <c r="C41" s="843"/>
      <c r="D41" s="843"/>
      <c r="E41" s="843"/>
      <c r="F41" s="843"/>
      <c r="G41" s="843"/>
      <c r="H41" s="843"/>
      <c r="I41" s="843"/>
      <c r="J41" s="838"/>
      <c r="K41" s="838"/>
      <c r="L41" s="838"/>
      <c r="M41" s="843"/>
      <c r="N41" s="843"/>
      <c r="O41" s="843"/>
      <c r="P41" s="843"/>
      <c r="Q41" s="843"/>
      <c r="R41" s="843"/>
      <c r="S41" s="843"/>
      <c r="T41" s="838"/>
    </row>
    <row r="42" spans="2:20">
      <c r="C42" s="843" t="s">
        <v>639</v>
      </c>
      <c r="D42" s="843" t="s">
        <v>640</v>
      </c>
      <c r="E42" s="843" t="s">
        <v>550</v>
      </c>
      <c r="F42" s="843" t="s">
        <v>640</v>
      </c>
      <c r="G42" s="843" t="s">
        <v>641</v>
      </c>
      <c r="H42" s="843" t="s">
        <v>642</v>
      </c>
      <c r="I42" s="843"/>
      <c r="J42" s="838"/>
      <c r="K42" s="838"/>
      <c r="L42" s="838"/>
      <c r="M42" s="843" t="s">
        <v>639</v>
      </c>
      <c r="N42" s="843" t="s">
        <v>640</v>
      </c>
      <c r="O42" s="843" t="s">
        <v>550</v>
      </c>
      <c r="P42" s="843" t="s">
        <v>640</v>
      </c>
      <c r="Q42" s="843" t="s">
        <v>641</v>
      </c>
      <c r="R42" s="843" t="s">
        <v>642</v>
      </c>
      <c r="S42" s="843"/>
      <c r="T42" s="838"/>
    </row>
    <row r="43" spans="2:20">
      <c r="C43" s="845">
        <f>D43</f>
        <v>5270</v>
      </c>
      <c r="D43" s="845">
        <f t="shared" ref="D43:E47" si="3">D19</f>
        <v>5270</v>
      </c>
      <c r="E43" s="846">
        <f t="shared" si="3"/>
        <v>0.1</v>
      </c>
      <c r="F43" s="843" t="e">
        <f>IF(F40&gt;C43,D43,F40)</f>
        <v>#DIV/0!</v>
      </c>
      <c r="G43" s="843" t="e">
        <f t="shared" ref="G43:G48" si="4">F43*E43</f>
        <v>#DIV/0!</v>
      </c>
      <c r="H43" s="843" t="e">
        <f>G43</f>
        <v>#DIV/0!</v>
      </c>
      <c r="I43" s="843"/>
      <c r="J43" s="838"/>
      <c r="K43" s="838"/>
      <c r="L43" s="838"/>
      <c r="M43" s="845">
        <f>N43</f>
        <v>63240</v>
      </c>
      <c r="N43" s="845">
        <f>D43*12</f>
        <v>63240</v>
      </c>
      <c r="O43" s="846">
        <f t="shared" ref="O43:O48" si="5">E19</f>
        <v>0.1</v>
      </c>
      <c r="P43" s="843" t="e">
        <f>IF(P40&gt;M43,N43,P40)</f>
        <v>#DIV/0!</v>
      </c>
      <c r="Q43" s="843" t="e">
        <f t="shared" ref="Q43:Q48" si="6">P43*O43</f>
        <v>#DIV/0!</v>
      </c>
      <c r="R43" s="843" t="e">
        <f>Q43</f>
        <v>#DIV/0!</v>
      </c>
      <c r="S43" s="843"/>
      <c r="T43" s="838"/>
    </row>
    <row r="44" spans="2:20">
      <c r="C44" s="845">
        <f>C43+D44</f>
        <v>9000</v>
      </c>
      <c r="D44" s="845">
        <f t="shared" si="3"/>
        <v>3730</v>
      </c>
      <c r="E44" s="846">
        <f t="shared" si="3"/>
        <v>0.14000000000000001</v>
      </c>
      <c r="F44" s="843" t="e">
        <f>IF(F40&gt;C44,D44,IF(F40&lt;C43,0,F40-C43))</f>
        <v>#DIV/0!</v>
      </c>
      <c r="G44" s="843" t="e">
        <f t="shared" si="4"/>
        <v>#DIV/0!</v>
      </c>
      <c r="H44" s="843" t="e">
        <f>H43+G44</f>
        <v>#DIV/0!</v>
      </c>
      <c r="I44" s="843"/>
      <c r="J44" s="838"/>
      <c r="K44" s="838"/>
      <c r="L44" s="838"/>
      <c r="M44" s="845">
        <f>M43+N44</f>
        <v>108000</v>
      </c>
      <c r="N44" s="845">
        <f>D44*12</f>
        <v>44760</v>
      </c>
      <c r="O44" s="846">
        <f t="shared" si="5"/>
        <v>0.14000000000000001</v>
      </c>
      <c r="P44" s="843" t="e">
        <f>IF(P40&gt;M44,N44,IF(P40&lt;M43,0,P40-M43))</f>
        <v>#DIV/0!</v>
      </c>
      <c r="Q44" s="843" t="e">
        <f t="shared" si="6"/>
        <v>#DIV/0!</v>
      </c>
      <c r="R44" s="843" t="e">
        <f>R43+Q44</f>
        <v>#DIV/0!</v>
      </c>
      <c r="S44" s="843"/>
      <c r="T44" s="838"/>
    </row>
    <row r="45" spans="2:20">
      <c r="C45" s="845">
        <f>C44+D45</f>
        <v>13990</v>
      </c>
      <c r="D45" s="845">
        <f t="shared" si="3"/>
        <v>4990</v>
      </c>
      <c r="E45" s="846">
        <f t="shared" si="3"/>
        <v>0.21</v>
      </c>
      <c r="F45" s="843" t="e">
        <f>IF(F40&gt;C45,D45,IF(F40&lt;C44,0,F40-C44))</f>
        <v>#DIV/0!</v>
      </c>
      <c r="G45" s="843" t="e">
        <f t="shared" si="4"/>
        <v>#DIV/0!</v>
      </c>
      <c r="H45" s="843" t="e">
        <f>H44+G45</f>
        <v>#DIV/0!</v>
      </c>
      <c r="I45" s="843"/>
      <c r="J45" s="838"/>
      <c r="K45" s="838"/>
      <c r="L45" s="838"/>
      <c r="M45" s="845">
        <f>M44+N45</f>
        <v>167880</v>
      </c>
      <c r="N45" s="845">
        <f>D45*12</f>
        <v>59880</v>
      </c>
      <c r="O45" s="846">
        <f t="shared" si="5"/>
        <v>0.21</v>
      </c>
      <c r="P45" s="843" t="e">
        <f>IF(P40&gt;M45,N45,IF(P40&lt;M44,0,P40-M44))</f>
        <v>#DIV/0!</v>
      </c>
      <c r="Q45" s="843" t="e">
        <f t="shared" si="6"/>
        <v>#DIV/0!</v>
      </c>
      <c r="R45" s="843" t="e">
        <f>R44+Q45</f>
        <v>#DIV/0!</v>
      </c>
      <c r="S45" s="843"/>
      <c r="T45" s="838"/>
    </row>
    <row r="46" spans="2:20">
      <c r="C46" s="845">
        <f>C45+D46</f>
        <v>19980</v>
      </c>
      <c r="D46" s="845">
        <f t="shared" si="3"/>
        <v>5990</v>
      </c>
      <c r="E46" s="846">
        <f t="shared" si="3"/>
        <v>0.31</v>
      </c>
      <c r="F46" s="843" t="e">
        <f>IF(F40&gt;C46,D46,IF(F40&lt;C45,0,F40-C45))</f>
        <v>#DIV/0!</v>
      </c>
      <c r="G46" s="843" t="e">
        <f t="shared" si="4"/>
        <v>#DIV/0!</v>
      </c>
      <c r="H46" s="843" t="e">
        <f>H45+G46</f>
        <v>#DIV/0!</v>
      </c>
      <c r="I46" s="843"/>
      <c r="J46" s="838"/>
      <c r="K46" s="838"/>
      <c r="L46" s="838"/>
      <c r="M46" s="845">
        <f>M45+N46</f>
        <v>239760</v>
      </c>
      <c r="N46" s="845">
        <f>D46*12</f>
        <v>71880</v>
      </c>
      <c r="O46" s="846">
        <f t="shared" si="5"/>
        <v>0.31</v>
      </c>
      <c r="P46" s="843" t="e">
        <f>IF(P40&gt;M46,N46,IF(P40&lt;M45,0,P40-M45))</f>
        <v>#DIV/0!</v>
      </c>
      <c r="Q46" s="843" t="e">
        <f t="shared" si="6"/>
        <v>#DIV/0!</v>
      </c>
      <c r="R46" s="843" t="e">
        <f>R45+Q46</f>
        <v>#DIV/0!</v>
      </c>
      <c r="S46" s="843"/>
      <c r="T46" s="838"/>
    </row>
    <row r="47" spans="2:20" ht="26.25" customHeight="1">
      <c r="C47" s="845">
        <f>C46+D47</f>
        <v>41790</v>
      </c>
      <c r="D47" s="845">
        <f t="shared" si="3"/>
        <v>21810</v>
      </c>
      <c r="E47" s="846">
        <f t="shared" si="3"/>
        <v>0.34</v>
      </c>
      <c r="F47" s="843" t="e">
        <f>IF(F40&gt;C47,D47,IF(F40&lt;C46,0,F40-C46))</f>
        <v>#DIV/0!</v>
      </c>
      <c r="G47" s="843" t="e">
        <f t="shared" si="4"/>
        <v>#DIV/0!</v>
      </c>
      <c r="H47" s="843" t="e">
        <f>H46+G47</f>
        <v>#DIV/0!</v>
      </c>
      <c r="I47" s="843"/>
      <c r="J47" s="838"/>
      <c r="K47" s="838"/>
      <c r="L47" s="838"/>
      <c r="M47" s="845">
        <f>M46+N47</f>
        <v>501480</v>
      </c>
      <c r="N47" s="845">
        <f>D47*12</f>
        <v>261720</v>
      </c>
      <c r="O47" s="846">
        <f t="shared" si="5"/>
        <v>0.34</v>
      </c>
      <c r="P47" s="843" t="e">
        <f>IF(P40&gt;M47,N47,IF(P40&lt;M46,0,P40-M46))</f>
        <v>#DIV/0!</v>
      </c>
      <c r="Q47" s="843" t="e">
        <f t="shared" si="6"/>
        <v>#DIV/0!</v>
      </c>
      <c r="R47" s="843" t="e">
        <f>R46+Q47</f>
        <v>#DIV/0!</v>
      </c>
      <c r="S47" s="843"/>
      <c r="T47" s="838"/>
    </row>
    <row r="48" spans="2:20" ht="30.75" customHeight="1">
      <c r="C48" s="845">
        <v>99999999</v>
      </c>
      <c r="D48" s="845" t="e">
        <f>IF(F40-C47&gt;=0,F40-C47,0)</f>
        <v>#DIV/0!</v>
      </c>
      <c r="E48" s="846">
        <f>E24</f>
        <v>0.48</v>
      </c>
      <c r="F48" s="843" t="e">
        <f>IF(F40&gt;C48,D48,IF(F40&lt;C47,0,F40-C47))</f>
        <v>#DIV/0!</v>
      </c>
      <c r="G48" s="843" t="e">
        <f t="shared" si="4"/>
        <v>#DIV/0!</v>
      </c>
      <c r="H48" s="843" t="e">
        <f>H47+G48</f>
        <v>#DIV/0!</v>
      </c>
      <c r="I48" s="843"/>
      <c r="J48" s="838"/>
      <c r="K48" s="838"/>
      <c r="L48" s="838"/>
      <c r="M48" s="845">
        <v>99999999</v>
      </c>
      <c r="N48" s="845" t="e">
        <f>IF(P40-M47&gt;=0,P40-M47,0)</f>
        <v>#DIV/0!</v>
      </c>
      <c r="O48" s="846">
        <f t="shared" si="5"/>
        <v>0.48</v>
      </c>
      <c r="P48" s="843" t="e">
        <f>IF(P40&gt;M48,N48,IF(P40&lt;M47,0,P40-M47))</f>
        <v>#DIV/0!</v>
      </c>
      <c r="Q48" s="843" t="e">
        <f t="shared" si="6"/>
        <v>#DIV/0!</v>
      </c>
      <c r="R48" s="843" t="e">
        <f>R47+Q48</f>
        <v>#DIV/0!</v>
      </c>
      <c r="S48" s="843"/>
      <c r="T48" s="838"/>
    </row>
    <row r="49" spans="1:24">
      <c r="C49" s="843"/>
      <c r="D49" s="843"/>
      <c r="E49" s="843"/>
      <c r="F49" s="843"/>
      <c r="G49" s="843"/>
      <c r="H49" s="843"/>
      <c r="I49" s="843" t="s">
        <v>643</v>
      </c>
      <c r="J49" s="843" t="e">
        <f>IF(H48-'[1]נתוני יסוד'!L2&gt;=0,H48-'[1]נתוני יסוד'!L2,0)</f>
        <v>#DIV/0!</v>
      </c>
      <c r="K49" s="838"/>
      <c r="L49" s="838"/>
      <c r="M49" s="843"/>
      <c r="N49" s="843"/>
      <c r="O49" s="843"/>
      <c r="P49" s="843"/>
      <c r="Q49" s="843"/>
      <c r="R49" s="843"/>
      <c r="S49" s="843" t="s">
        <v>643</v>
      </c>
      <c r="T49" s="843" t="e">
        <f>IF(R48-'[1]נתוני יסוד'!L1&gt;=0,R48-'[1]נתוני יסוד'!L1,0)</f>
        <v>#DIV/0!</v>
      </c>
    </row>
    <row r="50" spans="1:24">
      <c r="C50" s="838"/>
      <c r="D50" s="838"/>
      <c r="E50" s="838"/>
      <c r="F50" s="838"/>
      <c r="G50" s="838"/>
      <c r="H50" s="838"/>
      <c r="I50" s="838" t="s">
        <v>594</v>
      </c>
      <c r="J50" s="361" t="e">
        <f>B40+C40-J49</f>
        <v>#DIV/0!</v>
      </c>
      <c r="K50" s="838"/>
      <c r="L50" s="838"/>
      <c r="M50" s="838"/>
      <c r="N50" s="838"/>
      <c r="O50" s="838"/>
      <c r="P50" s="838"/>
      <c r="Q50" s="838"/>
      <c r="R50" s="838"/>
      <c r="S50" s="838" t="s">
        <v>594</v>
      </c>
      <c r="T50" s="843" t="e">
        <f>L40+M40-T49</f>
        <v>#DIV/0!</v>
      </c>
    </row>
    <row r="51" spans="1:24">
      <c r="C51" s="847"/>
      <c r="D51" s="847"/>
      <c r="E51" s="847"/>
      <c r="F51" s="847"/>
      <c r="G51" s="847"/>
      <c r="H51" s="847"/>
      <c r="I51" s="847"/>
      <c r="J51" s="847"/>
      <c r="K51" s="847"/>
      <c r="L51" s="847"/>
      <c r="M51" s="847"/>
      <c r="N51" s="847"/>
      <c r="O51" s="847"/>
      <c r="P51" s="847"/>
      <c r="Q51" s="847"/>
      <c r="R51" s="847"/>
      <c r="S51" s="847"/>
      <c r="T51" s="847"/>
    </row>
    <row r="52" spans="1:24">
      <c r="C52" s="847"/>
      <c r="D52" s="847"/>
      <c r="E52" s="847"/>
      <c r="F52" s="847"/>
      <c r="G52" s="847"/>
      <c r="H52" s="847"/>
      <c r="I52" s="847"/>
      <c r="J52" s="847"/>
      <c r="K52" s="847"/>
      <c r="L52" s="847"/>
      <c r="M52" s="847"/>
      <c r="N52" s="847"/>
      <c r="O52" s="847"/>
      <c r="P52" s="847"/>
      <c r="Q52" s="847"/>
      <c r="R52" s="847"/>
      <c r="S52" s="847"/>
      <c r="T52" s="847"/>
    </row>
    <row r="53" spans="1:24">
      <c r="A53" s="807" t="s">
        <v>978</v>
      </c>
      <c r="B53" s="836">
        <f>J25*12</f>
        <v>0</v>
      </c>
    </row>
    <row r="54" spans="1:24">
      <c r="A54" s="807" t="s">
        <v>979</v>
      </c>
      <c r="B54" s="837" t="e">
        <f>T49</f>
        <v>#DIV/0!</v>
      </c>
      <c r="C54" s="836" t="e">
        <f>J49*12</f>
        <v>#DIV/0!</v>
      </c>
    </row>
    <row r="55" spans="1:24">
      <c r="A55" s="807" t="s">
        <v>980</v>
      </c>
      <c r="B55" s="837" t="e">
        <f>B54-B53</f>
        <v>#DIV/0!</v>
      </c>
    </row>
    <row r="59" spans="1:24" ht="26.25" thickBot="1">
      <c r="B59" s="1105" t="s">
        <v>990</v>
      </c>
      <c r="C59" s="1106"/>
      <c r="D59" s="1106"/>
      <c r="G59" s="806"/>
      <c r="H59" s="873" t="s">
        <v>484</v>
      </c>
      <c r="I59" s="806"/>
      <c r="J59" s="806"/>
      <c r="K59" s="806"/>
      <c r="L59" s="806"/>
      <c r="M59" s="806"/>
      <c r="N59" s="806"/>
      <c r="O59" s="806"/>
      <c r="P59" s="806"/>
      <c r="Q59" s="806"/>
      <c r="R59" s="806"/>
      <c r="S59" s="806"/>
      <c r="T59" s="806"/>
      <c r="U59" s="806"/>
      <c r="V59" s="806"/>
      <c r="W59" s="806"/>
      <c r="X59" s="806"/>
    </row>
    <row r="60" spans="1:24" ht="15.75" thickTop="1">
      <c r="H60" s="874">
        <v>35</v>
      </c>
    </row>
    <row r="61" spans="1:24">
      <c r="B61" s="807" t="s">
        <v>991</v>
      </c>
      <c r="C61" s="807" t="s">
        <v>992</v>
      </c>
      <c r="D61" s="807" t="s">
        <v>238</v>
      </c>
      <c r="E61" s="807" t="s">
        <v>993</v>
      </c>
      <c r="F61" s="807" t="s">
        <v>994</v>
      </c>
      <c r="H61" s="875">
        <v>45</v>
      </c>
    </row>
    <row r="62" spans="1:24" ht="15.75" thickBot="1">
      <c r="A62" s="807" t="s">
        <v>995</v>
      </c>
      <c r="B62" s="836">
        <f>'[1]חישובי מקורות א'!BI6</f>
        <v>0</v>
      </c>
      <c r="C62" s="836">
        <f>'[1]חישובי מקורות א'!BV6</f>
        <v>0</v>
      </c>
      <c r="D62" s="836">
        <f>SUM(B62:C62)</f>
        <v>0</v>
      </c>
      <c r="E62" s="836">
        <v>0</v>
      </c>
      <c r="F62" s="836">
        <f>D62</f>
        <v>0</v>
      </c>
      <c r="H62" s="876">
        <v>50</v>
      </c>
    </row>
    <row r="63" spans="1:24" ht="15.75" thickTop="1">
      <c r="A63" s="807" t="s">
        <v>996</v>
      </c>
      <c r="B63" s="836">
        <f>'[1]חישובי מקורות א'!BO6</f>
        <v>0</v>
      </c>
      <c r="C63" s="836">
        <f>'[1]חישובי מקורות א'!CC6</f>
        <v>0</v>
      </c>
      <c r="D63" s="836">
        <f>SUM(B63:C63)</f>
        <v>0</v>
      </c>
      <c r="E63" s="836">
        <v>35</v>
      </c>
      <c r="F63" s="836">
        <f>D63*((100-E63)/100)</f>
        <v>0</v>
      </c>
    </row>
    <row r="64" spans="1:24" ht="29.25" customHeight="1">
      <c r="B64" s="836"/>
      <c r="C64" s="836"/>
      <c r="D64" s="1107" t="s">
        <v>997</v>
      </c>
      <c r="E64" s="1107"/>
      <c r="F64" s="877">
        <f>SUM(F62:F63)</f>
        <v>0</v>
      </c>
    </row>
  </sheetData>
  <mergeCells count="7">
    <mergeCell ref="M38:T38"/>
    <mergeCell ref="B59:D59"/>
    <mergeCell ref="D64:E64"/>
    <mergeCell ref="C1:H1"/>
    <mergeCell ref="E7:F7"/>
    <mergeCell ref="I37:J37"/>
    <mergeCell ref="C38:J38"/>
  </mergeCells>
  <dataValidations count="1">
    <dataValidation type="list" allowBlank="1" showInputMessage="1" showErrorMessage="1" sqref="E63">
      <formula1>$H$60:$H$62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Worksheet______101">
    <tabColor indexed="45"/>
  </sheetPr>
  <dimension ref="A1:AL50"/>
  <sheetViews>
    <sheetView rightToLeft="1" workbookViewId="0"/>
  </sheetViews>
  <sheetFormatPr defaultRowHeight="12.75"/>
  <cols>
    <col min="1" max="2" width="9.140625" style="850"/>
    <col min="3" max="3" width="13.5703125" style="850" customWidth="1"/>
    <col min="4" max="4" width="16.28515625" style="850" customWidth="1"/>
    <col min="5" max="5" width="14.28515625" style="850" customWidth="1"/>
    <col min="6" max="6" width="13.28515625" style="850" bestFit="1" customWidth="1"/>
    <col min="7" max="7" width="17.140625" style="850" customWidth="1"/>
    <col min="8" max="8" width="15.42578125" style="850" customWidth="1"/>
    <col min="9" max="9" width="13.28515625" style="850" customWidth="1"/>
    <col min="10" max="10" width="16" style="850" customWidth="1"/>
    <col min="11" max="11" width="14.42578125" style="850" customWidth="1"/>
    <col min="12" max="12" width="13" style="850" customWidth="1"/>
    <col min="13" max="13" width="12.5703125" style="850" customWidth="1"/>
    <col min="14" max="14" width="16.5703125" style="850" customWidth="1"/>
    <col min="15" max="15" width="19.28515625" style="850" customWidth="1"/>
    <col min="16" max="16" width="3.42578125" style="850" customWidth="1"/>
    <col min="17" max="17" width="15.7109375" style="850" customWidth="1"/>
    <col min="18" max="18" width="16.140625" style="850" customWidth="1"/>
    <col min="19" max="19" width="11.42578125" style="850" customWidth="1"/>
    <col min="20" max="20" width="14.85546875" style="850" customWidth="1"/>
    <col min="21" max="21" width="14.140625" style="850" customWidth="1"/>
    <col min="22" max="22" width="13.5703125" style="850" customWidth="1"/>
    <col min="23" max="23" width="9.140625" style="850"/>
    <col min="24" max="24" width="18.28515625" style="850" customWidth="1"/>
    <col min="25" max="16384" width="9.140625" style="850"/>
  </cols>
  <sheetData>
    <row r="1" spans="1:38">
      <c r="I1" s="885" t="s">
        <v>677</v>
      </c>
      <c r="J1" s="368" t="s">
        <v>635</v>
      </c>
      <c r="K1" s="369">
        <f>'[1]נתוני יסוד'!B26</f>
        <v>0</v>
      </c>
      <c r="L1" s="1130" t="s">
        <v>484</v>
      </c>
      <c r="M1" s="1130"/>
      <c r="N1" s="886" t="e">
        <f>((X20-X43)*D24)+(D23/D24/2)</f>
        <v>#DIV/0!</v>
      </c>
    </row>
    <row r="2" spans="1:38">
      <c r="E2" s="1073" t="s">
        <v>653</v>
      </c>
      <c r="F2" s="1073"/>
      <c r="G2" s="1073"/>
      <c r="H2" s="370">
        <v>0</v>
      </c>
      <c r="I2" s="887"/>
      <c r="J2" s="331" t="s">
        <v>678</v>
      </c>
      <c r="K2" s="371">
        <f>'[1]נתוני יסוד'!B27</f>
        <v>0</v>
      </c>
      <c r="L2" s="1131"/>
      <c r="M2" s="1131"/>
      <c r="N2" s="888" t="e">
        <f>((X20-X43)*D24)</f>
        <v>#DIV/0!</v>
      </c>
    </row>
    <row r="3" spans="1:38">
      <c r="B3" s="853"/>
      <c r="C3" s="853"/>
      <c r="D3" s="853"/>
      <c r="E3" s="853"/>
      <c r="F3" s="853"/>
      <c r="G3" s="853"/>
      <c r="H3" s="852"/>
      <c r="I3" s="372"/>
      <c r="J3" s="373" t="s">
        <v>679</v>
      </c>
      <c r="K3" s="374">
        <f>'[1]נתוני יסוד'!B28</f>
        <v>0</v>
      </c>
      <c r="L3" s="1131"/>
      <c r="M3" s="1131"/>
      <c r="N3" s="375"/>
      <c r="O3" s="848"/>
      <c r="P3" s="853"/>
      <c r="Q3" s="853"/>
      <c r="R3" s="853"/>
      <c r="S3" s="853"/>
      <c r="T3" s="853"/>
      <c r="U3" s="853"/>
      <c r="V3" s="853"/>
      <c r="W3" s="853"/>
      <c r="X3" s="853"/>
      <c r="Y3" s="853"/>
      <c r="Z3" s="853"/>
      <c r="AA3" s="853"/>
      <c r="AB3" s="853"/>
      <c r="AC3" s="853"/>
      <c r="AD3" s="853"/>
      <c r="AE3" s="853"/>
      <c r="AF3" s="853"/>
      <c r="AG3" s="853"/>
      <c r="AH3" s="853"/>
      <c r="AI3" s="853"/>
      <c r="AJ3" s="853"/>
      <c r="AK3" s="853"/>
      <c r="AL3" s="853"/>
    </row>
    <row r="4" spans="1:38">
      <c r="B4" s="853"/>
      <c r="C4" s="853"/>
      <c r="D4" s="853"/>
      <c r="E4" s="853"/>
      <c r="F4" s="853"/>
      <c r="G4" s="853"/>
      <c r="H4" s="852"/>
      <c r="I4" s="372"/>
      <c r="J4" s="373" t="s">
        <v>385</v>
      </c>
      <c r="K4" s="374">
        <f>'[1]נתוני יסוד'!B29</f>
        <v>0</v>
      </c>
      <c r="L4" s="1131"/>
      <c r="M4" s="1131"/>
      <c r="N4" s="375"/>
      <c r="O4" s="848"/>
      <c r="P4" s="853"/>
      <c r="Q4" s="853"/>
      <c r="R4" s="853"/>
      <c r="S4" s="853"/>
      <c r="T4" s="853"/>
      <c r="U4" s="853"/>
      <c r="V4" s="853"/>
      <c r="W4" s="853"/>
      <c r="X4" s="853"/>
      <c r="Y4" s="853"/>
      <c r="Z4" s="853"/>
      <c r="AA4" s="853"/>
      <c r="AB4" s="853"/>
      <c r="AC4" s="853"/>
      <c r="AD4" s="853"/>
      <c r="AE4" s="853"/>
      <c r="AF4" s="853"/>
      <c r="AG4" s="853"/>
      <c r="AH4" s="853"/>
      <c r="AI4" s="853"/>
      <c r="AJ4" s="853"/>
      <c r="AK4" s="853"/>
      <c r="AL4" s="853"/>
    </row>
    <row r="5" spans="1:38" ht="13.5" thickBot="1">
      <c r="B5" s="1076" t="s">
        <v>650</v>
      </c>
      <c r="C5" s="1030"/>
      <c r="D5" s="376">
        <f>'[1]נתוני יסוד'!B4</f>
        <v>0</v>
      </c>
      <c r="E5" s="853" t="s">
        <v>651</v>
      </c>
      <c r="F5" s="853"/>
      <c r="G5" s="853"/>
      <c r="H5" s="852"/>
      <c r="I5" s="377"/>
      <c r="J5" s="378" t="s">
        <v>680</v>
      </c>
      <c r="K5" s="379">
        <f>'[1]נתוני יסוד'!B30</f>
        <v>0</v>
      </c>
      <c r="L5" s="1132"/>
      <c r="M5" s="1132"/>
      <c r="N5" s="380"/>
      <c r="O5" s="848"/>
      <c r="P5" s="853"/>
      <c r="Q5" s="853"/>
      <c r="R5" s="853"/>
      <c r="S5" s="853"/>
      <c r="T5" s="853"/>
      <c r="U5" s="853"/>
      <c r="V5" s="853"/>
      <c r="W5" s="853"/>
      <c r="X5" s="853"/>
      <c r="Y5" s="853"/>
      <c r="Z5" s="853"/>
      <c r="AA5" s="853"/>
      <c r="AB5" s="853"/>
      <c r="AC5" s="853"/>
      <c r="AD5" s="853"/>
      <c r="AE5" s="853"/>
      <c r="AF5" s="853"/>
      <c r="AG5" s="853"/>
      <c r="AH5" s="853"/>
      <c r="AI5" s="853"/>
      <c r="AJ5" s="853"/>
      <c r="AK5" s="853"/>
      <c r="AL5" s="853"/>
    </row>
    <row r="6" spans="1:38">
      <c r="B6" s="1076" t="s">
        <v>652</v>
      </c>
      <c r="C6" s="1030"/>
      <c r="D6" s="376">
        <f>'[1]נתוני יסוד'!B6</f>
        <v>45874.826249999998</v>
      </c>
      <c r="E6" s="853"/>
      <c r="F6" s="1076" t="s">
        <v>654</v>
      </c>
      <c r="G6" s="1030"/>
      <c r="H6" s="339">
        <f>(D6-D5)/365.25</f>
        <v>125.59842915811087</v>
      </c>
      <c r="I6" s="60"/>
      <c r="J6" s="60"/>
      <c r="K6" s="60" t="s">
        <v>998</v>
      </c>
      <c r="L6" s="1133" t="s">
        <v>999</v>
      </c>
      <c r="M6" s="1134"/>
      <c r="N6" s="889">
        <f>'[1]נתוני יסוד'!E23+'[1]נתוני יסוד'!E24+'[1]נתוני יסוד'!E27+'[1]חישובי מקורות א'!BC6</f>
        <v>0</v>
      </c>
      <c r="O6" s="853"/>
      <c r="P6" s="853"/>
      <c r="Q6" s="853"/>
      <c r="R6" s="853"/>
      <c r="S6" s="853"/>
      <c r="T6" s="853"/>
      <c r="U6" s="853"/>
      <c r="V6" s="853"/>
      <c r="W6" s="853"/>
      <c r="X6" s="853"/>
      <c r="Y6" s="853"/>
      <c r="Z6" s="853"/>
      <c r="AA6" s="853"/>
      <c r="AB6" s="853"/>
      <c r="AC6" s="853"/>
      <c r="AD6" s="853"/>
      <c r="AE6" s="853"/>
      <c r="AF6" s="853"/>
      <c r="AG6" s="853"/>
      <c r="AH6" s="853"/>
      <c r="AI6" s="853"/>
      <c r="AJ6" s="853"/>
      <c r="AK6" s="853"/>
      <c r="AL6" s="853"/>
    </row>
    <row r="7" spans="1:38">
      <c r="B7" s="853"/>
      <c r="C7" s="853"/>
      <c r="D7" s="853"/>
      <c r="E7" s="853"/>
      <c r="F7" s="853"/>
      <c r="G7" s="853"/>
      <c r="H7" s="853"/>
      <c r="I7" s="853"/>
      <c r="J7" s="853"/>
      <c r="K7" s="853"/>
      <c r="L7" s="853"/>
      <c r="M7" s="853"/>
      <c r="N7" s="853"/>
      <c r="O7" s="853"/>
      <c r="P7" s="853"/>
      <c r="Q7" s="853"/>
      <c r="R7" s="853"/>
      <c r="S7" s="853"/>
      <c r="T7" s="853"/>
      <c r="U7" s="853"/>
      <c r="V7" s="853"/>
      <c r="W7" s="853"/>
      <c r="X7" s="853"/>
      <c r="Y7" s="853"/>
      <c r="Z7" s="853"/>
      <c r="AA7" s="853"/>
      <c r="AB7" s="853"/>
    </row>
    <row r="8" spans="1:38" ht="26.25">
      <c r="B8" s="1077" t="s">
        <v>1000</v>
      </c>
      <c r="C8" s="1078"/>
      <c r="D8" s="1078"/>
      <c r="E8" s="1078"/>
      <c r="F8" s="1078"/>
      <c r="G8" s="1078"/>
      <c r="H8" s="1078"/>
      <c r="I8" s="1078"/>
      <c r="J8" s="1078"/>
      <c r="K8" s="1079"/>
      <c r="L8" s="853"/>
      <c r="M8" s="853"/>
      <c r="N8" s="853"/>
      <c r="O8" s="853"/>
      <c r="P8" s="853"/>
      <c r="Q8" s="1080"/>
      <c r="R8" s="1029"/>
      <c r="S8" s="1030"/>
      <c r="T8" s="853"/>
      <c r="U8" s="853"/>
      <c r="V8" s="853"/>
      <c r="W8" s="853"/>
      <c r="X8" s="853"/>
      <c r="Y8" s="853"/>
      <c r="Z8" s="853"/>
      <c r="AA8" s="853"/>
      <c r="AB8" s="853"/>
    </row>
    <row r="9" spans="1:38" ht="26.25">
      <c r="B9" s="853"/>
      <c r="C9" s="853"/>
      <c r="D9" s="853"/>
      <c r="E9" s="853"/>
      <c r="F9" s="853"/>
      <c r="G9" s="1122" t="s">
        <v>1001</v>
      </c>
      <c r="H9" s="1123"/>
      <c r="I9" s="1123"/>
      <c r="J9" s="1123"/>
      <c r="K9" s="1124"/>
      <c r="L9" s="853"/>
      <c r="M9" s="853"/>
      <c r="N9" s="853"/>
      <c r="O9" s="853"/>
      <c r="P9" s="853"/>
      <c r="Q9" s="1125" t="s">
        <v>1002</v>
      </c>
      <c r="R9" s="1126"/>
      <c r="S9" s="1126"/>
      <c r="T9" s="1126"/>
      <c r="U9" s="1127"/>
      <c r="V9" s="853"/>
      <c r="W9" s="853"/>
      <c r="X9" s="853"/>
      <c r="Y9" s="853"/>
      <c r="Z9" s="853"/>
      <c r="AA9" s="853"/>
      <c r="AB9" s="853"/>
    </row>
    <row r="10" spans="1:38" ht="25.5">
      <c r="B10" s="1076" t="s">
        <v>644</v>
      </c>
      <c r="C10" s="1030"/>
      <c r="D10" s="76">
        <f>SUM(D45:D49)</f>
        <v>0</v>
      </c>
      <c r="E10" s="853"/>
      <c r="F10" s="80"/>
      <c r="G10" s="80" t="s">
        <v>658</v>
      </c>
      <c r="H10" s="80" t="s">
        <v>644</v>
      </c>
      <c r="I10" s="338" t="s">
        <v>645</v>
      </c>
      <c r="J10" s="80" t="s">
        <v>646</v>
      </c>
      <c r="K10" s="80"/>
      <c r="L10" s="80"/>
      <c r="M10" s="80"/>
      <c r="N10" s="80"/>
      <c r="O10" s="853"/>
      <c r="P10" s="853"/>
      <c r="Q10" s="853" t="s">
        <v>659</v>
      </c>
      <c r="R10" s="853" t="s">
        <v>647</v>
      </c>
      <c r="S10" s="336" t="s">
        <v>648</v>
      </c>
      <c r="T10" s="853" t="s">
        <v>649</v>
      </c>
      <c r="U10" s="853"/>
      <c r="V10" s="853"/>
      <c r="W10" s="853"/>
      <c r="X10" s="853"/>
      <c r="Y10" s="853"/>
      <c r="Z10" s="853"/>
      <c r="AA10" s="853"/>
      <c r="AB10" s="853"/>
    </row>
    <row r="11" spans="1:38" ht="14.1" customHeight="1">
      <c r="B11" s="1076" t="s">
        <v>681</v>
      </c>
      <c r="C11" s="1030"/>
      <c r="D11" s="76">
        <f>SUM(K1:K5)</f>
        <v>0</v>
      </c>
      <c r="E11" s="853"/>
      <c r="F11" s="80"/>
      <c r="G11" s="86" t="e">
        <f>Q11/12</f>
        <v>#DIV/0!</v>
      </c>
      <c r="H11" s="345">
        <f>D11</f>
        <v>0</v>
      </c>
      <c r="I11" s="345">
        <f>K4</f>
        <v>0</v>
      </c>
      <c r="J11" s="357" t="e">
        <f>H11-I11+G11</f>
        <v>#DIV/0!</v>
      </c>
      <c r="K11" s="80"/>
      <c r="L11" s="80"/>
      <c r="M11" s="80"/>
      <c r="N11" s="80"/>
      <c r="O11" s="853"/>
      <c r="P11" s="853"/>
      <c r="Q11" s="76" t="e">
        <f>(D23)/D24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7"/>
      <c r="V11" s="337"/>
      <c r="W11" s="337"/>
      <c r="X11" s="853"/>
      <c r="Y11" s="853"/>
      <c r="Z11" s="853"/>
      <c r="AA11" s="853"/>
      <c r="AB11" s="853"/>
    </row>
    <row r="12" spans="1:38" ht="14.1" customHeight="1">
      <c r="B12" s="1076" t="s">
        <v>682</v>
      </c>
      <c r="C12" s="1030"/>
      <c r="D12" s="64">
        <f>'[1]נתוני יסוד'!B33</f>
        <v>0</v>
      </c>
      <c r="E12" s="853"/>
      <c r="F12" s="80"/>
      <c r="G12" s="80"/>
      <c r="H12" s="80"/>
      <c r="I12" s="80"/>
      <c r="J12" s="80"/>
      <c r="K12" s="80"/>
      <c r="L12" s="80"/>
      <c r="M12" s="80"/>
      <c r="N12" s="80"/>
      <c r="O12" s="853"/>
      <c r="P12" s="853"/>
      <c r="Q12" s="337"/>
      <c r="R12" s="337"/>
      <c r="S12" s="337"/>
      <c r="T12" s="337"/>
      <c r="U12" s="337"/>
      <c r="V12" s="337"/>
      <c r="W12" s="337"/>
      <c r="X12" s="853"/>
      <c r="Y12" s="853"/>
      <c r="Z12" s="853"/>
      <c r="AA12" s="853"/>
      <c r="AB12" s="853"/>
    </row>
    <row r="13" spans="1:38" ht="14.1" customHeight="1">
      <c r="B13" s="1128" t="s">
        <v>1003</v>
      </c>
      <c r="C13" s="1129"/>
      <c r="D13" s="890">
        <f>D12-D19</f>
        <v>0</v>
      </c>
      <c r="E13" s="853"/>
      <c r="F13" s="80"/>
      <c r="G13" s="80" t="s">
        <v>639</v>
      </c>
      <c r="H13" s="80" t="s">
        <v>640</v>
      </c>
      <c r="I13" s="80" t="s">
        <v>550</v>
      </c>
      <c r="J13" s="80" t="s">
        <v>640</v>
      </c>
      <c r="K13" s="80" t="s">
        <v>641</v>
      </c>
      <c r="L13" s="80" t="s">
        <v>642</v>
      </c>
      <c r="M13" s="80"/>
      <c r="N13" s="80"/>
      <c r="O13" s="853"/>
      <c r="P13" s="853"/>
      <c r="Q13" s="337" t="s">
        <v>639</v>
      </c>
      <c r="R13" s="337" t="s">
        <v>640</v>
      </c>
      <c r="S13" s="337" t="s">
        <v>550</v>
      </c>
      <c r="T13" s="337" t="s">
        <v>640</v>
      </c>
      <c r="U13" s="337" t="s">
        <v>641</v>
      </c>
      <c r="V13" s="337" t="s">
        <v>642</v>
      </c>
      <c r="W13" s="337"/>
      <c r="X13" s="853"/>
      <c r="Y13" s="853"/>
      <c r="Z13" s="853"/>
      <c r="AA13" s="853"/>
      <c r="AB13" s="853"/>
    </row>
    <row r="14" spans="1:38" ht="14.1" customHeight="1">
      <c r="A14" s="851"/>
      <c r="B14" s="849"/>
      <c r="C14" s="849"/>
      <c r="D14" s="853"/>
      <c r="E14" s="853"/>
      <c r="F14" s="80"/>
      <c r="G14" s="891">
        <f>H14</f>
        <v>5270</v>
      </c>
      <c r="H14" s="891">
        <f>'[1]חישובי מיסוי פנסיה פתוחים'!B6</f>
        <v>5270</v>
      </c>
      <c r="I14" s="348">
        <f>'[1]חישובי מיסוי פנסיה פתוחים'!C6</f>
        <v>0.1</v>
      </c>
      <c r="J14" s="80" t="e">
        <f>IF(J11&gt;G14,H14,J11)</f>
        <v>#DIV/0!</v>
      </c>
      <c r="K14" s="80" t="e">
        <f t="shared" ref="K14:K19" si="0">J14*I14</f>
        <v>#DIV/0!</v>
      </c>
      <c r="L14" s="80" t="e">
        <f>K14</f>
        <v>#DIV/0!</v>
      </c>
      <c r="M14" s="80"/>
      <c r="N14" s="80"/>
      <c r="O14" s="853"/>
      <c r="P14" s="853"/>
      <c r="Q14" s="347">
        <f>R14</f>
        <v>63240</v>
      </c>
      <c r="R14" s="347">
        <f>H14*12</f>
        <v>63240</v>
      </c>
      <c r="S14" s="348">
        <f t="shared" ref="S14:S19" si="1">I14</f>
        <v>0.1</v>
      </c>
      <c r="T14" s="337" t="e">
        <f>IF(T11&gt;Q14,R14,T11)</f>
        <v>#DIV/0!</v>
      </c>
      <c r="U14" s="337" t="e">
        <f t="shared" ref="U14:U19" si="2">T14*S14</f>
        <v>#DIV/0!</v>
      </c>
      <c r="V14" s="337" t="e">
        <f>U14</f>
        <v>#DIV/0!</v>
      </c>
      <c r="W14" s="337"/>
      <c r="X14" s="853"/>
      <c r="Y14" s="853"/>
      <c r="Z14" s="853"/>
      <c r="AA14" s="853"/>
      <c r="AB14" s="853"/>
    </row>
    <row r="15" spans="1:38" ht="14.1" customHeight="1">
      <c r="B15" s="1076" t="s">
        <v>663</v>
      </c>
      <c r="C15" s="1030"/>
      <c r="D15" s="350">
        <f>H6</f>
        <v>125.59842915811087</v>
      </c>
      <c r="E15" s="853"/>
      <c r="F15" s="80"/>
      <c r="G15" s="891">
        <f>G14+H15</f>
        <v>9000</v>
      </c>
      <c r="H15" s="891">
        <f>'[1]חישובי מיסוי פנסיה פתוחים'!B7</f>
        <v>3730</v>
      </c>
      <c r="I15" s="348">
        <f>'[1]חישובי מיסוי פנסיה פתוחים'!C7</f>
        <v>0.14000000000000001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M15" s="80"/>
      <c r="N15" s="80"/>
      <c r="O15" s="853"/>
      <c r="P15" s="853"/>
      <c r="Q15" s="347">
        <f>Q14+R15</f>
        <v>108000</v>
      </c>
      <c r="R15" s="347">
        <f>H15*12</f>
        <v>44760</v>
      </c>
      <c r="S15" s="348">
        <f t="shared" si="1"/>
        <v>0.14000000000000001</v>
      </c>
      <c r="T15" s="337" t="e">
        <f>IF(T11&gt;Q15,R15,IF(T11&lt;Q14,0,T11-Q14))</f>
        <v>#DIV/0!</v>
      </c>
      <c r="U15" s="337" t="e">
        <f t="shared" si="2"/>
        <v>#DIV/0!</v>
      </c>
      <c r="V15" s="337" t="e">
        <f>V14+U15</f>
        <v>#DIV/0!</v>
      </c>
      <c r="W15" s="337"/>
      <c r="X15" s="853"/>
      <c r="Y15" s="853"/>
      <c r="Z15" s="853"/>
      <c r="AA15" s="853"/>
      <c r="AB15" s="853"/>
    </row>
    <row r="16" spans="1:38" ht="14.1" customHeight="1">
      <c r="B16" s="1076" t="s">
        <v>664</v>
      </c>
      <c r="C16" s="1030"/>
      <c r="D16" s="334">
        <f>IF(D15&lt;=3,0,IF(D15&lt;=7,1,IF(D15&lt;=11,2,IF(D15&lt;=15,3,IF(D15&lt;=19,4,IF(D15&lt;=23,5,IF(D15&lt;=99,6,0)))))))</f>
        <v>0</v>
      </c>
      <c r="E16" s="853"/>
      <c r="F16" s="80"/>
      <c r="G16" s="891">
        <f>G15+H16</f>
        <v>13990</v>
      </c>
      <c r="H16" s="891">
        <f>'[1]חישובי מיסוי פנסיה פתוחים'!B8</f>
        <v>4990</v>
      </c>
      <c r="I16" s="348">
        <f>'[1]חישובי מיסוי פנסיה פתוחים'!C8</f>
        <v>0.21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80"/>
      <c r="N16" s="80"/>
      <c r="O16" s="853"/>
      <c r="P16" s="853"/>
      <c r="Q16" s="347">
        <f>Q15+R16</f>
        <v>167880</v>
      </c>
      <c r="R16" s="347">
        <f>H16*12</f>
        <v>59880</v>
      </c>
      <c r="S16" s="348">
        <f t="shared" si="1"/>
        <v>0.21</v>
      </c>
      <c r="T16" s="337" t="e">
        <f>IF(T11&gt;Q16,R16,IF(T11&lt;Q15,0,T11-Q15))</f>
        <v>#DIV/0!</v>
      </c>
      <c r="U16" s="337" t="e">
        <f t="shared" si="2"/>
        <v>#DIV/0!</v>
      </c>
      <c r="V16" s="337" t="e">
        <f>V15+U16</f>
        <v>#DIV/0!</v>
      </c>
      <c r="W16" s="337"/>
      <c r="X16" s="853"/>
      <c r="Y16" s="853"/>
      <c r="Z16" s="853"/>
      <c r="AA16" s="853"/>
      <c r="AB16" s="853"/>
    </row>
    <row r="17" spans="2:28" ht="14.1" customHeight="1">
      <c r="B17" s="852"/>
      <c r="C17" s="848"/>
      <c r="D17" s="334"/>
      <c r="E17" s="853"/>
      <c r="F17" s="80"/>
      <c r="G17" s="891">
        <f>G16+H17</f>
        <v>19980</v>
      </c>
      <c r="H17" s="891">
        <f>'[1]חישובי מיסוי פנסיה פתוחים'!B9</f>
        <v>5990</v>
      </c>
      <c r="I17" s="348">
        <f>'[1]חישובי מיסוי פנסיה פתוחים'!C9</f>
        <v>0.31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80"/>
      <c r="N17" s="80"/>
      <c r="O17" s="853"/>
      <c r="P17" s="853"/>
      <c r="Q17" s="347">
        <f>Q16+R17</f>
        <v>239760</v>
      </c>
      <c r="R17" s="347">
        <f>H17*12</f>
        <v>71880</v>
      </c>
      <c r="S17" s="348">
        <f t="shared" si="1"/>
        <v>0.31</v>
      </c>
      <c r="T17" s="337" t="e">
        <f>IF(T11&gt;Q17,R17,IF(T11&lt;Q16,0,T11-Q16))</f>
        <v>#DIV/0!</v>
      </c>
      <c r="U17" s="337" t="e">
        <f t="shared" si="2"/>
        <v>#DIV/0!</v>
      </c>
      <c r="V17" s="337" t="e">
        <f>V16+U17</f>
        <v>#DIV/0!</v>
      </c>
      <c r="W17" s="337"/>
      <c r="X17" s="853"/>
      <c r="Y17" s="853"/>
      <c r="Z17" s="853"/>
      <c r="AA17" s="853"/>
      <c r="AB17" s="853"/>
    </row>
    <row r="18" spans="2:28">
      <c r="B18" s="853"/>
      <c r="C18" s="853"/>
      <c r="D18" s="853"/>
      <c r="E18" s="853"/>
      <c r="F18" s="80"/>
      <c r="G18" s="891">
        <f>G17+H18</f>
        <v>41790</v>
      </c>
      <c r="H18" s="891">
        <f>'[1]חישובי מיסוי פנסיה פתוחים'!B10</f>
        <v>21810</v>
      </c>
      <c r="I18" s="348">
        <f>'[1]חישובי מיסוי פנסיה פתוחים'!C10</f>
        <v>0.34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80"/>
      <c r="N18" s="80"/>
      <c r="O18" s="853"/>
      <c r="P18" s="853"/>
      <c r="Q18" s="347">
        <f>Q17+R18</f>
        <v>501480</v>
      </c>
      <c r="R18" s="347">
        <f>H18*12</f>
        <v>261720</v>
      </c>
      <c r="S18" s="348">
        <f t="shared" si="1"/>
        <v>0.34</v>
      </c>
      <c r="T18" s="337" t="e">
        <f>IF(T11&gt;Q18,R18,IF(T11&lt;Q17,0,T11-Q17))</f>
        <v>#DIV/0!</v>
      </c>
      <c r="U18" s="337" t="e">
        <f t="shared" si="2"/>
        <v>#DIV/0!</v>
      </c>
      <c r="V18" s="337" t="e">
        <f>V17+U18</f>
        <v>#DIV/0!</v>
      </c>
      <c r="W18" s="337"/>
      <c r="X18" s="853"/>
      <c r="Y18" s="853"/>
      <c r="Z18" s="853"/>
      <c r="AA18" s="853"/>
      <c r="AB18" s="853"/>
    </row>
    <row r="19" spans="2:28">
      <c r="B19" s="1076" t="s">
        <v>584</v>
      </c>
      <c r="C19" s="1030"/>
      <c r="D19" s="99">
        <f>IF(D12&gt;'[1]נתוני יסוד'!M6,'[1]נתוני יסוד'!M6,D12)</f>
        <v>0</v>
      </c>
      <c r="E19" s="853"/>
      <c r="F19" s="80"/>
      <c r="G19" s="891">
        <v>99999999</v>
      </c>
      <c r="H19" s="891" t="e">
        <f>IF(J11-G18&gt;=0,J11-G18,0)</f>
        <v>#DIV/0!</v>
      </c>
      <c r="I19" s="348">
        <f>'[1]חישובי מיסוי פנסיה פתוחים'!C11</f>
        <v>0.48</v>
      </c>
      <c r="J19" s="80" t="e">
        <f>IF(J11&gt;G19,H19,IF(J11&lt;G18,0,J11-G18))</f>
        <v>#DIV/0!</v>
      </c>
      <c r="K19" s="80" t="e">
        <f t="shared" si="0"/>
        <v>#DIV/0!</v>
      </c>
      <c r="L19" s="80" t="e">
        <f>L18+K19</f>
        <v>#DIV/0!</v>
      </c>
      <c r="M19" s="80"/>
      <c r="N19" s="80"/>
      <c r="O19" s="853"/>
      <c r="P19" s="853"/>
      <c r="Q19" s="347">
        <v>99999999</v>
      </c>
      <c r="R19" s="347" t="e">
        <f>IF(T11-Q18&gt;=0,T11-Q18,0)</f>
        <v>#DIV/0!</v>
      </c>
      <c r="S19" s="348">
        <f t="shared" si="1"/>
        <v>0.48</v>
      </c>
      <c r="T19" s="337" t="e">
        <f>IF(T11&gt;Q19,R19,IF(T11&lt;Q18,0,T11-Q18))</f>
        <v>#DIV/0!</v>
      </c>
      <c r="U19" s="337" t="e">
        <f t="shared" si="2"/>
        <v>#DIV/0!</v>
      </c>
      <c r="V19" s="337" t="e">
        <f>V18+U19</f>
        <v>#DIV/0!</v>
      </c>
      <c r="W19" s="337"/>
      <c r="X19" s="853"/>
      <c r="Y19" s="853"/>
      <c r="Z19" s="853"/>
      <c r="AA19" s="853"/>
      <c r="AB19" s="853"/>
    </row>
    <row r="20" spans="2:28" ht="25.5">
      <c r="B20" s="853" t="s">
        <v>373</v>
      </c>
      <c r="C20" s="853" t="s">
        <v>379</v>
      </c>
      <c r="D20" s="853"/>
      <c r="E20" s="352"/>
      <c r="F20" s="80"/>
      <c r="G20" s="80"/>
      <c r="H20" s="80"/>
      <c r="I20" s="80"/>
      <c r="J20" s="80"/>
      <c r="K20" s="80"/>
      <c r="L20" s="80"/>
      <c r="M20" s="80" t="s">
        <v>643</v>
      </c>
      <c r="N20" s="80" t="e">
        <f>IF(L19-'[1]נתוני יסוד'!L2&gt;=0,L19-'[1]נתוני יסוד'!L2,0)</f>
        <v>#DIV/0!</v>
      </c>
      <c r="O20" s="853"/>
      <c r="P20" s="853"/>
      <c r="Q20" s="337"/>
      <c r="R20" s="337"/>
      <c r="S20" s="337"/>
      <c r="T20" s="337"/>
      <c r="U20" s="337"/>
      <c r="V20" s="337"/>
      <c r="W20" s="337" t="s">
        <v>643</v>
      </c>
      <c r="X20" s="337" t="e">
        <f>IF(V19-'[1]נתוני יסוד'!L1&gt;=0,V19-'[1]נתוני יסוד'!L1,0)</f>
        <v>#DIV/0!</v>
      </c>
      <c r="Y20" s="853"/>
      <c r="Z20" s="853"/>
      <c r="AA20" s="853"/>
      <c r="AB20" s="853"/>
    </row>
    <row r="21" spans="2:28">
      <c r="B21" s="64">
        <f>'[1]נתוני יסוד'!E9</f>
        <v>7200</v>
      </c>
      <c r="C21" s="64">
        <f>'[1]נתוני יסוד'!E10</f>
        <v>7400</v>
      </c>
      <c r="D21" s="853"/>
      <c r="E21" s="853"/>
      <c r="F21" s="80"/>
      <c r="G21" s="80"/>
      <c r="H21" s="80"/>
      <c r="I21" s="80"/>
      <c r="J21" s="80"/>
      <c r="K21" s="80"/>
      <c r="L21" s="80"/>
      <c r="M21" s="80" t="s">
        <v>594</v>
      </c>
      <c r="N21" s="80" t="e">
        <f>H11+G11-N20</f>
        <v>#DIV/0!</v>
      </c>
      <c r="O21" s="853"/>
      <c r="P21" s="853"/>
      <c r="Q21" s="853"/>
      <c r="R21" s="853"/>
      <c r="S21" s="853"/>
      <c r="T21" s="853"/>
      <c r="U21" s="853"/>
      <c r="V21" s="853"/>
      <c r="W21" s="853" t="s">
        <v>594</v>
      </c>
      <c r="X21" s="337" t="e">
        <f>R11+Q11-X20</f>
        <v>#DIV/0!</v>
      </c>
      <c r="Y21" s="853"/>
      <c r="Z21" s="853"/>
      <c r="AA21" s="853"/>
      <c r="AB21" s="853"/>
    </row>
    <row r="22" spans="2:28">
      <c r="B22" s="853"/>
      <c r="C22" s="853"/>
      <c r="D22" s="853"/>
      <c r="E22" s="853"/>
      <c r="F22" s="80"/>
      <c r="G22" s="80"/>
      <c r="H22" s="80"/>
      <c r="I22" s="80"/>
      <c r="J22" s="80"/>
      <c r="K22" s="80"/>
      <c r="L22" s="80"/>
      <c r="M22" s="80"/>
      <c r="N22" s="80"/>
      <c r="O22" s="853"/>
      <c r="P22" s="853"/>
      <c r="Q22" s="853"/>
      <c r="R22" s="853"/>
      <c r="S22" s="853"/>
      <c r="T22" s="853"/>
      <c r="U22" s="853"/>
      <c r="V22" s="853"/>
      <c r="W22" s="853"/>
      <c r="X22" s="853"/>
      <c r="Y22" s="853"/>
      <c r="Z22" s="853"/>
      <c r="AA22" s="853"/>
      <c r="AB22" s="853"/>
    </row>
    <row r="23" spans="2:28" ht="33">
      <c r="B23" s="1076" t="s">
        <v>665</v>
      </c>
      <c r="C23" s="1030"/>
      <c r="D23" s="353">
        <f>IF(H2=1,(D13/6)*5,D13)</f>
        <v>0</v>
      </c>
      <c r="E23" s="853"/>
      <c r="F23" s="853"/>
      <c r="G23" s="1090" t="s">
        <v>666</v>
      </c>
      <c r="H23" s="1091"/>
      <c r="I23" s="1091"/>
      <c r="J23" s="1092"/>
      <c r="K23" s="853"/>
      <c r="L23" s="853"/>
      <c r="M23" s="853"/>
      <c r="N23" s="853"/>
      <c r="O23" s="853"/>
      <c r="P23" s="853"/>
      <c r="Q23" s="1093" t="s">
        <v>666</v>
      </c>
      <c r="R23" s="1093"/>
      <c r="S23" s="853"/>
      <c r="T23" s="853"/>
      <c r="U23" s="853"/>
      <c r="V23" s="853"/>
      <c r="W23" s="853"/>
      <c r="X23" s="853"/>
      <c r="Y23" s="853"/>
      <c r="Z23" s="853"/>
      <c r="AA23" s="853"/>
      <c r="AB23" s="853"/>
    </row>
    <row r="24" spans="2:28">
      <c r="B24" s="1094" t="s">
        <v>637</v>
      </c>
      <c r="C24" s="1095"/>
      <c r="D24" s="336">
        <f>IF(H2=1,D16-1,D16)</f>
        <v>0</v>
      </c>
      <c r="E24" s="853"/>
      <c r="F24" s="853"/>
      <c r="G24" s="853"/>
      <c r="H24" s="853" t="s">
        <v>163</v>
      </c>
      <c r="I24" s="65">
        <v>67</v>
      </c>
      <c r="J24" s="1087" t="s">
        <v>436</v>
      </c>
      <c r="K24" s="1087"/>
      <c r="L24" s="65">
        <v>90</v>
      </c>
      <c r="M24" s="853" t="s">
        <v>234</v>
      </c>
      <c r="N24" s="82">
        <v>3</v>
      </c>
      <c r="O24" s="853"/>
      <c r="P24" s="853"/>
      <c r="Q24" s="853"/>
      <c r="R24" s="853" t="s">
        <v>163</v>
      </c>
      <c r="S24" s="65">
        <v>67</v>
      </c>
      <c r="T24" s="1087" t="s">
        <v>436</v>
      </c>
      <c r="U24" s="1087"/>
      <c r="V24" s="65">
        <v>90</v>
      </c>
      <c r="W24" s="853" t="s">
        <v>234</v>
      </c>
      <c r="X24" s="82">
        <v>3</v>
      </c>
      <c r="Y24" s="853"/>
      <c r="Z24" s="853"/>
      <c r="AA24" s="853"/>
      <c r="AB24" s="853"/>
    </row>
    <row r="25" spans="2:28">
      <c r="B25" s="104"/>
      <c r="C25" s="104"/>
      <c r="D25" s="104"/>
      <c r="E25" s="853"/>
      <c r="F25" s="853"/>
      <c r="G25" s="853"/>
      <c r="H25" s="853"/>
      <c r="I25" s="853"/>
      <c r="J25" s="853"/>
      <c r="K25" s="853"/>
      <c r="L25" s="853"/>
      <c r="M25" s="853"/>
      <c r="N25" s="853"/>
      <c r="O25" s="853"/>
      <c r="P25" s="853"/>
      <c r="Q25" s="853"/>
      <c r="R25" s="853"/>
      <c r="S25" s="853"/>
      <c r="T25" s="853"/>
      <c r="U25" s="853"/>
      <c r="V25" s="853"/>
      <c r="W25" s="853"/>
      <c r="X25" s="853"/>
      <c r="Y25" s="853"/>
      <c r="Z25" s="853"/>
      <c r="AA25" s="853"/>
      <c r="AB25" s="853"/>
    </row>
    <row r="26" spans="2:28">
      <c r="B26" s="104"/>
      <c r="C26" s="104"/>
      <c r="D26" s="104"/>
      <c r="E26" s="853"/>
      <c r="F26" s="853"/>
      <c r="G26" s="853"/>
      <c r="H26" s="853" t="s">
        <v>248</v>
      </c>
      <c r="I26" s="1088" t="e">
        <f>PV(N24/100/12,(L24-I24)*12,N21,,1)*(-1)</f>
        <v>#DIV/0!</v>
      </c>
      <c r="J26" s="1088"/>
      <c r="K26" s="853"/>
      <c r="L26" s="853"/>
      <c r="M26" s="853"/>
      <c r="N26" s="853"/>
      <c r="O26" s="853"/>
      <c r="P26" s="853"/>
      <c r="Q26" s="853"/>
      <c r="R26" s="853" t="s">
        <v>248</v>
      </c>
      <c r="S26" s="1088" t="e">
        <f>PV(X24/100,(V24-S24),X21,,1)*(-1)</f>
        <v>#DIV/0!</v>
      </c>
      <c r="T26" s="1088"/>
      <c r="U26" s="853"/>
      <c r="V26" s="853"/>
      <c r="W26" s="853"/>
      <c r="X26" s="853"/>
      <c r="Y26" s="853"/>
      <c r="Z26" s="853"/>
      <c r="AA26" s="853"/>
      <c r="AB26" s="853"/>
    </row>
    <row r="27" spans="2:28">
      <c r="B27" s="104"/>
      <c r="C27" s="104"/>
      <c r="D27" s="104"/>
      <c r="E27" s="853"/>
      <c r="F27" s="853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853"/>
      <c r="U27" s="853"/>
      <c r="V27" s="853"/>
      <c r="W27" s="853"/>
      <c r="X27" s="853"/>
      <c r="Y27" s="853"/>
      <c r="Z27" s="853"/>
      <c r="AA27" s="853"/>
      <c r="AB27" s="853"/>
    </row>
    <row r="28" spans="2:28">
      <c r="B28" s="104"/>
      <c r="C28" s="104"/>
      <c r="D28" s="104"/>
      <c r="E28" s="853"/>
      <c r="F28" s="853"/>
      <c r="G28" s="1087" t="s">
        <v>668</v>
      </c>
      <c r="H28" s="1087"/>
      <c r="I28" s="1088">
        <f>PV(N24/100/12,(L24-I24)*12,I11,,1)*(-1)</f>
        <v>0</v>
      </c>
      <c r="J28" s="1088"/>
      <c r="K28" s="853"/>
      <c r="L28" s="853"/>
      <c r="M28" s="853"/>
      <c r="N28" s="853"/>
      <c r="O28" s="853"/>
      <c r="P28" s="853"/>
      <c r="Q28" s="1087" t="s">
        <v>668</v>
      </c>
      <c r="R28" s="1087"/>
      <c r="S28" s="1088">
        <f>PV(X24/100,(V24-S24),S11,,1)*(-1)</f>
        <v>0</v>
      </c>
      <c r="T28" s="1088"/>
      <c r="U28" s="853"/>
      <c r="V28" s="853"/>
      <c r="W28" s="853"/>
      <c r="X28" s="853"/>
      <c r="Y28" s="853"/>
      <c r="Z28" s="853"/>
      <c r="AA28" s="853"/>
      <c r="AB28" s="853"/>
    </row>
    <row r="29" spans="2:28">
      <c r="B29" s="853"/>
      <c r="C29" s="853"/>
      <c r="D29" s="853"/>
      <c r="E29" s="853"/>
      <c r="F29" s="853"/>
      <c r="G29" s="853"/>
      <c r="H29" s="853"/>
      <c r="I29" s="853"/>
      <c r="J29" s="853"/>
      <c r="K29" s="853"/>
      <c r="L29" s="853"/>
      <c r="M29" s="853"/>
      <c r="N29" s="853"/>
      <c r="O29" s="853"/>
      <c r="P29" s="853"/>
      <c r="Q29" s="853"/>
      <c r="R29" s="853"/>
      <c r="S29" s="853"/>
      <c r="T29" s="853"/>
      <c r="U29" s="853"/>
      <c r="V29" s="853"/>
      <c r="W29" s="853"/>
      <c r="X29" s="853"/>
      <c r="Y29" s="853"/>
      <c r="Z29" s="853"/>
      <c r="AA29" s="853"/>
      <c r="AB29" s="853"/>
    </row>
    <row r="30" spans="2:28">
      <c r="B30" s="853"/>
      <c r="C30" s="853"/>
      <c r="D30" s="853"/>
      <c r="E30" s="853"/>
      <c r="F30" s="853"/>
      <c r="G30" s="853"/>
      <c r="H30" s="853"/>
      <c r="I30" s="853"/>
      <c r="J30" s="853"/>
      <c r="K30" s="853"/>
      <c r="L30" s="853"/>
      <c r="M30" s="853"/>
      <c r="N30" s="853"/>
      <c r="O30" s="853"/>
      <c r="P30" s="853"/>
      <c r="Q30" s="853"/>
      <c r="R30" s="853"/>
      <c r="S30" s="853"/>
      <c r="T30" s="853"/>
      <c r="U30" s="853"/>
      <c r="V30" s="853"/>
      <c r="W30" s="853"/>
      <c r="X30" s="853"/>
      <c r="Y30" s="853"/>
      <c r="Z30" s="853"/>
      <c r="AA30" s="853"/>
      <c r="AB30" s="853"/>
    </row>
    <row r="31" spans="2:28" ht="24" customHeight="1">
      <c r="B31" s="1114" t="s">
        <v>272</v>
      </c>
      <c r="C31" s="1115"/>
      <c r="D31" s="381">
        <f>D12</f>
        <v>0</v>
      </c>
      <c r="E31" s="838"/>
      <c r="F31" s="337"/>
      <c r="G31" s="853"/>
      <c r="H31" s="853"/>
      <c r="I31" s="853"/>
      <c r="J31" s="853"/>
      <c r="K31" s="853"/>
      <c r="L31" s="853"/>
      <c r="M31" s="853"/>
      <c r="N31" s="853"/>
      <c r="O31" s="853"/>
      <c r="P31" s="853"/>
      <c r="Q31" s="853"/>
      <c r="R31" s="853"/>
      <c r="S31" s="853"/>
      <c r="T31" s="853"/>
      <c r="U31" s="853"/>
      <c r="V31" s="853"/>
      <c r="W31" s="853"/>
      <c r="X31" s="853"/>
      <c r="Y31" s="853"/>
      <c r="Z31" s="853"/>
      <c r="AA31" s="853"/>
      <c r="AB31" s="853"/>
    </row>
    <row r="32" spans="2:28" ht="24" customHeight="1">
      <c r="B32" s="1114" t="s">
        <v>669</v>
      </c>
      <c r="C32" s="1115"/>
      <c r="D32" s="892">
        <f>D19</f>
        <v>0</v>
      </c>
      <c r="E32" s="838"/>
      <c r="F32" s="853" t="s">
        <v>683</v>
      </c>
      <c r="G32" s="853"/>
      <c r="H32" s="1119" t="s">
        <v>1004</v>
      </c>
      <c r="I32" s="1120"/>
      <c r="J32" s="1120"/>
      <c r="K32" s="1120"/>
      <c r="L32" s="1120"/>
      <c r="M32" s="1120"/>
      <c r="N32" s="1120"/>
      <c r="O32" s="1121"/>
      <c r="P32" s="853"/>
      <c r="Q32" s="853"/>
      <c r="R32" s="853"/>
      <c r="S32" s="853"/>
      <c r="T32" s="853"/>
      <c r="U32" s="853"/>
      <c r="V32" s="853"/>
      <c r="W32" s="853"/>
      <c r="X32" s="853"/>
      <c r="Y32" s="853"/>
      <c r="Z32" s="853"/>
      <c r="AA32" s="853"/>
      <c r="AB32" s="853"/>
    </row>
    <row r="33" spans="1:38" ht="24" customHeight="1">
      <c r="B33" s="1114" t="s">
        <v>671</v>
      </c>
      <c r="C33" s="1115"/>
      <c r="D33" s="893">
        <f>D31-D32</f>
        <v>0</v>
      </c>
      <c r="E33" s="894" t="e">
        <f>D34</f>
        <v>#DIV/0!</v>
      </c>
      <c r="F33" s="895" t="e">
        <f>D33-E33</f>
        <v>#DIV/0!</v>
      </c>
      <c r="G33" s="848"/>
      <c r="H33" s="853"/>
      <c r="I33" s="853" t="s">
        <v>644</v>
      </c>
      <c r="J33" s="336" t="s">
        <v>645</v>
      </c>
      <c r="K33" s="853" t="s">
        <v>646</v>
      </c>
      <c r="L33" s="853"/>
      <c r="M33" s="853"/>
      <c r="N33" s="853"/>
      <c r="O33" s="853"/>
      <c r="Q33" s="853"/>
      <c r="R33" s="853" t="s">
        <v>644</v>
      </c>
      <c r="S33" s="336" t="s">
        <v>645</v>
      </c>
      <c r="T33" s="853" t="s">
        <v>646</v>
      </c>
      <c r="U33" s="853"/>
      <c r="V33" s="853"/>
      <c r="W33" s="853"/>
      <c r="X33" s="853"/>
      <c r="Y33" s="853"/>
      <c r="Z33" s="853"/>
      <c r="AA33" s="853"/>
      <c r="AB33" s="853"/>
    </row>
    <row r="34" spans="1:38" ht="29.25" customHeight="1">
      <c r="B34" s="1114" t="s">
        <v>672</v>
      </c>
      <c r="C34" s="1115"/>
      <c r="D34" s="892" t="e">
        <f>IF(H2=1,N1,N2)</f>
        <v>#DIV/0!</v>
      </c>
      <c r="E34" s="838"/>
      <c r="F34" s="853"/>
      <c r="G34" s="853"/>
      <c r="H34" s="337"/>
      <c r="I34" s="345">
        <f>D11</f>
        <v>0</v>
      </c>
      <c r="J34" s="345">
        <f>K4</f>
        <v>0</v>
      </c>
      <c r="K34" s="357">
        <f>I34-J34</f>
        <v>0</v>
      </c>
      <c r="L34" s="337"/>
      <c r="M34" s="337"/>
      <c r="N34" s="337"/>
      <c r="O34" s="853"/>
      <c r="Q34" s="337"/>
      <c r="R34" s="345">
        <f>D11*12</f>
        <v>0</v>
      </c>
      <c r="S34" s="345">
        <f>K4*12</f>
        <v>0</v>
      </c>
      <c r="T34" s="357">
        <f>R34-S34</f>
        <v>0</v>
      </c>
      <c r="U34" s="337"/>
      <c r="V34" s="337"/>
      <c r="W34" s="337"/>
      <c r="X34" s="853"/>
      <c r="Y34" s="853"/>
      <c r="Z34" s="853"/>
      <c r="AA34" s="853"/>
      <c r="AB34" s="853"/>
    </row>
    <row r="35" spans="1:38" ht="24" customHeight="1">
      <c r="B35" s="1114" t="s">
        <v>633</v>
      </c>
      <c r="C35" s="1115"/>
      <c r="D35" s="896" t="e">
        <f>D32+D33-D34</f>
        <v>#DIV/0!</v>
      </c>
      <c r="E35" s="381" t="e">
        <f>D31-D34</f>
        <v>#DIV/0!</v>
      </c>
      <c r="F35" s="853"/>
      <c r="G35" s="853"/>
      <c r="H35" s="337"/>
      <c r="I35" s="337"/>
      <c r="J35" s="337"/>
      <c r="K35" s="337"/>
      <c r="L35" s="337"/>
      <c r="M35" s="337"/>
      <c r="N35" s="337"/>
      <c r="O35" s="853"/>
      <c r="Q35" s="337"/>
      <c r="R35" s="337"/>
      <c r="S35" s="337"/>
      <c r="T35" s="337"/>
      <c r="U35" s="337"/>
      <c r="V35" s="337"/>
      <c r="W35" s="337"/>
      <c r="X35" s="853"/>
      <c r="Y35" s="853"/>
      <c r="Z35" s="853"/>
      <c r="AA35" s="853"/>
      <c r="AB35" s="853"/>
    </row>
    <row r="36" spans="1:38">
      <c r="B36" s="853"/>
      <c r="C36" s="853"/>
      <c r="D36" s="853"/>
      <c r="E36" s="853"/>
      <c r="F36" s="853"/>
      <c r="G36" s="853"/>
      <c r="H36" s="337" t="s">
        <v>639</v>
      </c>
      <c r="I36" s="337" t="s">
        <v>640</v>
      </c>
      <c r="J36" s="337" t="s">
        <v>550</v>
      </c>
      <c r="K36" s="337" t="s">
        <v>640</v>
      </c>
      <c r="L36" s="337" t="s">
        <v>641</v>
      </c>
      <c r="M36" s="337" t="s">
        <v>642</v>
      </c>
      <c r="N36" s="337"/>
      <c r="O36" s="853"/>
      <c r="Q36" s="337" t="s">
        <v>639</v>
      </c>
      <c r="R36" s="337" t="s">
        <v>640</v>
      </c>
      <c r="S36" s="337" t="s">
        <v>550</v>
      </c>
      <c r="T36" s="337" t="s">
        <v>640</v>
      </c>
      <c r="U36" s="337" t="s">
        <v>641</v>
      </c>
      <c r="V36" s="337" t="s">
        <v>642</v>
      </c>
      <c r="W36" s="337"/>
      <c r="X36" s="853"/>
      <c r="Y36" s="853"/>
      <c r="Z36" s="853"/>
      <c r="AA36" s="853"/>
      <c r="AB36" s="853"/>
    </row>
    <row r="37" spans="1:38">
      <c r="B37" s="853"/>
      <c r="C37" s="853"/>
      <c r="D37" s="853"/>
      <c r="E37" s="853"/>
      <c r="F37" s="853"/>
      <c r="G37" s="853"/>
      <c r="H37" s="347">
        <f>I37</f>
        <v>5270</v>
      </c>
      <c r="I37" s="347">
        <f t="shared" ref="I37:J41" si="3">H14</f>
        <v>5270</v>
      </c>
      <c r="J37" s="348">
        <f t="shared" si="3"/>
        <v>0.1</v>
      </c>
      <c r="K37" s="337">
        <f>IF(K34&gt;H37,I37,K34)</f>
        <v>0</v>
      </c>
      <c r="L37" s="337">
        <f t="shared" ref="L37:L42" si="4">K37*J37</f>
        <v>0</v>
      </c>
      <c r="M37" s="337">
        <f>L37</f>
        <v>0</v>
      </c>
      <c r="N37" s="337"/>
      <c r="O37" s="853"/>
      <c r="Q37" s="347">
        <f>R37</f>
        <v>63240</v>
      </c>
      <c r="R37" s="347">
        <f>H14*12</f>
        <v>63240</v>
      </c>
      <c r="S37" s="348">
        <f t="shared" ref="S37:S42" si="5">I14</f>
        <v>0.1</v>
      </c>
      <c r="T37" s="337">
        <f>IF(T34&gt;Q37,R37,T34)</f>
        <v>0</v>
      </c>
      <c r="U37" s="337">
        <f t="shared" ref="U37:U42" si="6">T37*S37</f>
        <v>0</v>
      </c>
      <c r="V37" s="337">
        <f>U37</f>
        <v>0</v>
      </c>
      <c r="W37" s="337"/>
      <c r="X37" s="853"/>
      <c r="Y37" s="853"/>
      <c r="Z37" s="853"/>
      <c r="AA37" s="853"/>
      <c r="AB37" s="853"/>
    </row>
    <row r="38" spans="1:38">
      <c r="B38" s="853"/>
      <c r="C38" s="853"/>
      <c r="D38" s="853"/>
      <c r="E38" s="853"/>
      <c r="F38" s="853"/>
      <c r="G38" s="853"/>
      <c r="H38" s="347">
        <f>H37+I38</f>
        <v>9000</v>
      </c>
      <c r="I38" s="347">
        <f t="shared" si="3"/>
        <v>3730</v>
      </c>
      <c r="J38" s="348">
        <f t="shared" si="3"/>
        <v>0.14000000000000001</v>
      </c>
      <c r="K38" s="337">
        <f>IF(K34&gt;H38,I38,IF(K34&lt;H37,0,K34-H37))</f>
        <v>0</v>
      </c>
      <c r="L38" s="337">
        <f t="shared" si="4"/>
        <v>0</v>
      </c>
      <c r="M38" s="337">
        <f>M37+L38</f>
        <v>0</v>
      </c>
      <c r="N38" s="337"/>
      <c r="O38" s="853"/>
      <c r="Q38" s="347">
        <f>Q37+R38</f>
        <v>108000</v>
      </c>
      <c r="R38" s="347">
        <f>H15*12</f>
        <v>44760</v>
      </c>
      <c r="S38" s="348">
        <f t="shared" si="5"/>
        <v>0.14000000000000001</v>
      </c>
      <c r="T38" s="337">
        <f>IF(T34&gt;Q38,R38,IF(T34&lt;Q37,0,T34-Q37))</f>
        <v>0</v>
      </c>
      <c r="U38" s="337">
        <f t="shared" si="6"/>
        <v>0</v>
      </c>
      <c r="V38" s="337">
        <f>V37+U38</f>
        <v>0</v>
      </c>
      <c r="W38" s="337"/>
      <c r="X38" s="853"/>
      <c r="Y38" s="853"/>
      <c r="Z38" s="853"/>
      <c r="AA38" s="853"/>
      <c r="AB38" s="853"/>
    </row>
    <row r="39" spans="1:38">
      <c r="A39" s="1116" t="s">
        <v>1005</v>
      </c>
      <c r="B39" s="1117"/>
      <c r="C39" s="1118"/>
      <c r="D39" s="352" t="e">
        <f>D35+D34</f>
        <v>#DIV/0!</v>
      </c>
      <c r="E39" s="853"/>
      <c r="F39" s="853"/>
      <c r="G39" s="853"/>
      <c r="H39" s="347">
        <f>H38+I39</f>
        <v>13990</v>
      </c>
      <c r="I39" s="347">
        <f t="shared" si="3"/>
        <v>4990</v>
      </c>
      <c r="J39" s="348">
        <f t="shared" si="3"/>
        <v>0.21</v>
      </c>
      <c r="K39" s="337">
        <f>IF(K34&gt;H39,I39,IF(K34&lt;H38,0,K34-H38))</f>
        <v>0</v>
      </c>
      <c r="L39" s="337">
        <f t="shared" si="4"/>
        <v>0</v>
      </c>
      <c r="M39" s="337">
        <f>M38+L39</f>
        <v>0</v>
      </c>
      <c r="N39" s="337"/>
      <c r="O39" s="853"/>
      <c r="Q39" s="347">
        <f>Q38+R39</f>
        <v>167880</v>
      </c>
      <c r="R39" s="347">
        <f>H16*12</f>
        <v>59880</v>
      </c>
      <c r="S39" s="348">
        <f t="shared" si="5"/>
        <v>0.21</v>
      </c>
      <c r="T39" s="337">
        <f>IF(T34&gt;Q39,R39,IF(T34&lt;Q38,0,T34-Q38))</f>
        <v>0</v>
      </c>
      <c r="U39" s="337">
        <f t="shared" si="6"/>
        <v>0</v>
      </c>
      <c r="V39" s="337">
        <f>V38+U39</f>
        <v>0</v>
      </c>
      <c r="W39" s="337"/>
      <c r="X39" s="853"/>
      <c r="Y39" s="853"/>
      <c r="Z39" s="853"/>
      <c r="AA39" s="853"/>
      <c r="AB39" s="853"/>
    </row>
    <row r="40" spans="1:38">
      <c r="A40" s="897"/>
      <c r="B40" s="897"/>
      <c r="C40" s="898"/>
      <c r="D40" s="352"/>
      <c r="E40" s="853"/>
      <c r="F40" s="853"/>
      <c r="G40" s="853"/>
      <c r="H40" s="347">
        <f>H39+I40</f>
        <v>19980</v>
      </c>
      <c r="I40" s="347">
        <f t="shared" si="3"/>
        <v>5990</v>
      </c>
      <c r="J40" s="348">
        <f t="shared" si="3"/>
        <v>0.31</v>
      </c>
      <c r="K40" s="337">
        <f>IF(K34&gt;H40,I40,IF(K34&lt;H39,0,K34-H39))</f>
        <v>0</v>
      </c>
      <c r="L40" s="337">
        <f t="shared" si="4"/>
        <v>0</v>
      </c>
      <c r="M40" s="337">
        <f>M39+L40</f>
        <v>0</v>
      </c>
      <c r="N40" s="337"/>
      <c r="O40" s="853"/>
      <c r="Q40" s="347">
        <f>Q39+R40</f>
        <v>239760</v>
      </c>
      <c r="R40" s="347">
        <f>H17*12</f>
        <v>71880</v>
      </c>
      <c r="S40" s="348">
        <f t="shared" si="5"/>
        <v>0.31</v>
      </c>
      <c r="T40" s="337">
        <f>IF(T34&gt;Q40,R40,IF(T34&lt;Q39,0,T34-Q39))</f>
        <v>0</v>
      </c>
      <c r="U40" s="337">
        <f t="shared" si="6"/>
        <v>0</v>
      </c>
      <c r="V40" s="337">
        <f>V39+U40</f>
        <v>0</v>
      </c>
      <c r="W40" s="337"/>
      <c r="X40" s="853"/>
      <c r="Y40" s="853"/>
      <c r="Z40" s="853"/>
      <c r="AA40" s="853"/>
      <c r="AB40" s="853"/>
    </row>
    <row r="41" spans="1:38">
      <c r="B41" s="853"/>
      <c r="C41" s="853"/>
      <c r="D41" s="853"/>
      <c r="E41" s="853"/>
      <c r="F41" s="853"/>
      <c r="G41" s="853"/>
      <c r="H41" s="347">
        <f>H40+I41</f>
        <v>41790</v>
      </c>
      <c r="I41" s="347">
        <f t="shared" si="3"/>
        <v>21810</v>
      </c>
      <c r="J41" s="348">
        <f t="shared" si="3"/>
        <v>0.34</v>
      </c>
      <c r="K41" s="337">
        <f>IF(K34&gt;H41,I41,IF(K34&lt;H40,0,K34-H40))</f>
        <v>0</v>
      </c>
      <c r="L41" s="337">
        <f t="shared" si="4"/>
        <v>0</v>
      </c>
      <c r="M41" s="337">
        <f>M40+L41</f>
        <v>0</v>
      </c>
      <c r="N41" s="337"/>
      <c r="O41" s="853"/>
      <c r="Q41" s="347">
        <f>Q40+R41</f>
        <v>501480</v>
      </c>
      <c r="R41" s="347">
        <f>H18*12</f>
        <v>261720</v>
      </c>
      <c r="S41" s="348">
        <f t="shared" si="5"/>
        <v>0.34</v>
      </c>
      <c r="T41" s="337">
        <f>IF(T34&gt;Q41,R41,IF(T34&lt;Q40,0,T34-Q40))</f>
        <v>0</v>
      </c>
      <c r="U41" s="337">
        <f t="shared" si="6"/>
        <v>0</v>
      </c>
      <c r="V41" s="337">
        <f>V40+U41</f>
        <v>0</v>
      </c>
      <c r="W41" s="337"/>
      <c r="X41" s="853"/>
      <c r="Y41" s="853"/>
      <c r="Z41" s="853"/>
      <c r="AA41" s="853"/>
      <c r="AB41" s="853"/>
    </row>
    <row r="42" spans="1:38">
      <c r="B42" s="853"/>
      <c r="C42" s="853"/>
      <c r="D42" s="853"/>
      <c r="E42" s="853"/>
      <c r="F42" s="853"/>
      <c r="G42" s="853"/>
      <c r="H42" s="347">
        <v>99999999</v>
      </c>
      <c r="I42" s="347">
        <f>IF(K34-H41&gt;=0,K34-H41,0)</f>
        <v>0</v>
      </c>
      <c r="J42" s="348">
        <f>I19</f>
        <v>0.48</v>
      </c>
      <c r="K42" s="337">
        <f>IF(K34&gt;H42,I42,IF(K34&lt;H41,0,K34-H41))</f>
        <v>0</v>
      </c>
      <c r="L42" s="337">
        <f t="shared" si="4"/>
        <v>0</v>
      </c>
      <c r="M42" s="337">
        <f>M41+L42</f>
        <v>0</v>
      </c>
      <c r="N42" s="337"/>
      <c r="O42" s="853"/>
      <c r="Q42" s="347">
        <v>99999999</v>
      </c>
      <c r="R42" s="347">
        <f>IF(T34-Q41&gt;=0,T34-Q41,0)</f>
        <v>0</v>
      </c>
      <c r="S42" s="348">
        <f t="shared" si="5"/>
        <v>0.48</v>
      </c>
      <c r="T42" s="337">
        <f>IF(T34&gt;Q42,R42,IF(T34&lt;Q41,0,T34-Q41))</f>
        <v>0</v>
      </c>
      <c r="U42" s="337">
        <f t="shared" si="6"/>
        <v>0</v>
      </c>
      <c r="V42" s="337">
        <f>V41+U42</f>
        <v>0</v>
      </c>
      <c r="W42" s="337"/>
      <c r="X42" s="853"/>
      <c r="Y42" s="853"/>
      <c r="Z42" s="853"/>
      <c r="AA42" s="853"/>
      <c r="AB42" s="853"/>
      <c r="AC42" s="853"/>
      <c r="AD42" s="853"/>
      <c r="AE42" s="853"/>
      <c r="AF42" s="853"/>
      <c r="AG42" s="853"/>
      <c r="AH42" s="853"/>
      <c r="AI42" s="853"/>
      <c r="AJ42" s="853"/>
      <c r="AK42" s="853"/>
      <c r="AL42" s="853"/>
    </row>
    <row r="43" spans="1:38" ht="25.5">
      <c r="B43" s="853"/>
      <c r="C43" s="853"/>
      <c r="D43" s="853"/>
      <c r="E43" s="853"/>
      <c r="F43" s="853"/>
      <c r="G43" s="853"/>
      <c r="H43" s="337"/>
      <c r="I43" s="337"/>
      <c r="J43" s="337"/>
      <c r="K43" s="337"/>
      <c r="L43" s="337"/>
      <c r="M43" s="337"/>
      <c r="N43" s="337" t="s">
        <v>643</v>
      </c>
      <c r="O43" s="337">
        <f>IF(M42-'[1]נתוני יסוד'!L2&gt;=0,M42-'[1]נתוני יסוד'!L2,0)</f>
        <v>0</v>
      </c>
      <c r="Q43" s="337"/>
      <c r="R43" s="337"/>
      <c r="S43" s="337"/>
      <c r="T43" s="337"/>
      <c r="U43" s="337"/>
      <c r="V43" s="337"/>
      <c r="W43" s="337" t="s">
        <v>643</v>
      </c>
      <c r="X43" s="80">
        <f>IF(V42-'[1]נתוני יסוד'!L1&gt;=0,V42-'[1]נתוני יסוד'!L1,0)</f>
        <v>0</v>
      </c>
      <c r="Y43" s="853"/>
      <c r="Z43" s="853"/>
      <c r="AA43" s="853"/>
      <c r="AB43" s="853"/>
      <c r="AC43" s="853"/>
      <c r="AD43" s="853"/>
      <c r="AE43" s="853"/>
      <c r="AF43" s="853"/>
      <c r="AG43" s="853"/>
      <c r="AH43" s="853"/>
      <c r="AI43" s="853"/>
      <c r="AJ43" s="853"/>
      <c r="AK43" s="853"/>
      <c r="AL43" s="853"/>
    </row>
    <row r="44" spans="1:38" ht="34.5" customHeight="1">
      <c r="B44" s="853"/>
      <c r="C44" s="853"/>
      <c r="D44" s="853"/>
      <c r="E44" s="853"/>
      <c r="F44" s="853"/>
      <c r="G44" s="853"/>
      <c r="H44" s="853"/>
      <c r="I44" s="853"/>
      <c r="J44" s="853"/>
      <c r="K44" s="853"/>
      <c r="L44" s="853"/>
      <c r="M44" s="853"/>
      <c r="N44" s="853" t="s">
        <v>594</v>
      </c>
      <c r="O44" s="899">
        <f>I34-O43</f>
        <v>0</v>
      </c>
      <c r="Q44" s="853"/>
      <c r="R44" s="853"/>
      <c r="S44" s="853"/>
      <c r="T44" s="853"/>
      <c r="U44" s="853"/>
      <c r="V44" s="853"/>
      <c r="W44" s="853" t="s">
        <v>594</v>
      </c>
      <c r="X44" s="900">
        <f>R34-X43</f>
        <v>0</v>
      </c>
      <c r="Y44" s="853"/>
      <c r="Z44" s="853"/>
      <c r="AA44" s="853"/>
      <c r="AB44" s="853"/>
      <c r="AC44" s="853"/>
      <c r="AD44" s="853"/>
      <c r="AE44" s="853"/>
      <c r="AF44" s="853"/>
      <c r="AG44" s="853"/>
      <c r="AH44" s="853"/>
      <c r="AI44" s="853"/>
      <c r="AJ44" s="853"/>
      <c r="AK44" s="853"/>
      <c r="AL44" s="853"/>
    </row>
    <row r="45" spans="1:38" ht="26.85" customHeight="1">
      <c r="B45" s="1112" t="s">
        <v>946</v>
      </c>
      <c r="C45" s="1113"/>
      <c r="D45" s="788">
        <f>'[1]נתוני יסוד'!B26</f>
        <v>0</v>
      </c>
      <c r="E45" s="853"/>
      <c r="F45" s="853"/>
      <c r="G45" s="853"/>
      <c r="H45" s="853"/>
      <c r="I45" s="853"/>
      <c r="J45" s="853"/>
      <c r="K45" s="853"/>
      <c r="L45" s="853"/>
      <c r="M45" s="853"/>
      <c r="N45" s="853"/>
      <c r="O45" s="853"/>
      <c r="P45" s="853"/>
      <c r="Q45" s="853"/>
      <c r="R45" s="853"/>
      <c r="S45" s="853"/>
      <c r="T45" s="853"/>
      <c r="U45" s="853"/>
      <c r="V45" s="853"/>
      <c r="W45" s="853"/>
      <c r="X45" s="853"/>
      <c r="Y45" s="853"/>
      <c r="Z45" s="853"/>
      <c r="AA45" s="853"/>
      <c r="AB45" s="853"/>
      <c r="AC45" s="853"/>
      <c r="AD45" s="853"/>
      <c r="AE45" s="853"/>
      <c r="AF45" s="853"/>
      <c r="AG45" s="853"/>
      <c r="AH45" s="853"/>
      <c r="AI45" s="853"/>
      <c r="AJ45" s="853"/>
      <c r="AK45" s="853"/>
      <c r="AL45" s="853"/>
    </row>
    <row r="46" spans="1:38" ht="26.85" customHeight="1">
      <c r="B46" s="1110" t="s">
        <v>453</v>
      </c>
      <c r="C46" s="1111"/>
      <c r="D46" s="788">
        <f>'[1]נתוני יסוד'!B28</f>
        <v>0</v>
      </c>
      <c r="E46" s="853"/>
      <c r="F46" s="853"/>
      <c r="G46" s="853"/>
      <c r="H46" s="853"/>
      <c r="I46" s="853"/>
      <c r="J46" s="853"/>
      <c r="K46" s="853"/>
      <c r="L46" s="853"/>
      <c r="M46" s="853"/>
      <c r="N46" s="853"/>
      <c r="O46" s="853"/>
      <c r="P46" s="853"/>
      <c r="Q46" s="853"/>
      <c r="R46" s="853"/>
      <c r="S46" s="853"/>
      <c r="T46" s="853"/>
      <c r="U46" s="853"/>
      <c r="V46" s="853"/>
      <c r="W46" s="853"/>
      <c r="X46" s="853"/>
      <c r="Y46" s="853"/>
      <c r="Z46" s="853"/>
      <c r="AA46" s="853"/>
      <c r="AB46" s="853"/>
      <c r="AC46" s="853"/>
      <c r="AD46" s="853"/>
      <c r="AE46" s="853"/>
      <c r="AF46" s="853"/>
      <c r="AG46" s="853"/>
      <c r="AH46" s="853"/>
      <c r="AI46" s="853"/>
      <c r="AJ46" s="853"/>
      <c r="AK46" s="853"/>
      <c r="AL46" s="853"/>
    </row>
    <row r="47" spans="1:38" ht="26.85" customHeight="1">
      <c r="B47" s="1110" t="s">
        <v>455</v>
      </c>
      <c r="C47" s="1111"/>
      <c r="D47" s="788">
        <f>'[1]נתוני יסוד'!B29</f>
        <v>0</v>
      </c>
      <c r="E47" s="853"/>
      <c r="F47" s="853"/>
      <c r="G47" s="853"/>
      <c r="H47" s="853"/>
      <c r="I47" s="853"/>
      <c r="J47" s="853"/>
      <c r="K47" s="853"/>
      <c r="L47" s="853"/>
      <c r="M47" s="853"/>
      <c r="N47" s="853"/>
      <c r="O47" s="853"/>
      <c r="P47" s="853"/>
      <c r="Q47" s="853"/>
      <c r="R47" s="853"/>
      <c r="S47" s="853"/>
      <c r="T47" s="853"/>
      <c r="U47" s="853"/>
      <c r="V47" s="853"/>
      <c r="W47" s="853"/>
      <c r="X47" s="853"/>
      <c r="Y47" s="853"/>
      <c r="Z47" s="853"/>
      <c r="AA47" s="853"/>
      <c r="AB47" s="853"/>
      <c r="AC47" s="853"/>
      <c r="AD47" s="853"/>
      <c r="AE47" s="853"/>
      <c r="AF47" s="853"/>
      <c r="AG47" s="853"/>
      <c r="AH47" s="853"/>
      <c r="AI47" s="853"/>
      <c r="AJ47" s="853"/>
      <c r="AK47" s="853"/>
      <c r="AL47" s="853"/>
    </row>
    <row r="48" spans="1:38" ht="26.85" customHeight="1">
      <c r="B48" s="1110" t="s">
        <v>591</v>
      </c>
      <c r="C48" s="1111"/>
      <c r="D48" s="788">
        <f>'[1]נתוני יסוד'!B30</f>
        <v>0</v>
      </c>
      <c r="E48" s="853"/>
      <c r="F48" s="853"/>
      <c r="G48" s="853"/>
      <c r="H48" s="853"/>
      <c r="I48" s="853"/>
      <c r="J48" s="853"/>
      <c r="K48" s="853"/>
      <c r="L48" s="853"/>
      <c r="M48" s="853"/>
      <c r="N48" s="853"/>
      <c r="O48" s="853"/>
      <c r="P48" s="853"/>
      <c r="Q48" s="853"/>
      <c r="R48" s="853"/>
      <c r="S48" s="853"/>
      <c r="T48" s="853"/>
      <c r="U48" s="853"/>
      <c r="V48" s="853"/>
      <c r="W48" s="853"/>
      <c r="X48" s="853"/>
      <c r="Y48" s="853"/>
      <c r="Z48" s="853"/>
      <c r="AA48" s="853"/>
      <c r="AB48" s="853"/>
      <c r="AC48" s="853"/>
      <c r="AD48" s="853"/>
      <c r="AE48" s="853"/>
      <c r="AF48" s="853"/>
      <c r="AG48" s="853"/>
      <c r="AH48" s="853"/>
      <c r="AI48" s="853"/>
      <c r="AJ48" s="853"/>
      <c r="AK48" s="853"/>
      <c r="AL48" s="853"/>
    </row>
    <row r="49" spans="2:38" ht="26.85" customHeight="1">
      <c r="B49" s="1112" t="s">
        <v>450</v>
      </c>
      <c r="C49" s="1113"/>
      <c r="D49" s="901">
        <f>'[1]נתוני יסוד'!B27</f>
        <v>0</v>
      </c>
      <c r="E49" s="853"/>
      <c r="F49" s="853"/>
      <c r="G49" s="853"/>
      <c r="H49" s="853"/>
      <c r="I49" s="853"/>
      <c r="J49" s="853"/>
      <c r="K49" s="853"/>
      <c r="L49" s="853"/>
      <c r="M49" s="853"/>
      <c r="N49" s="853"/>
      <c r="O49" s="853"/>
      <c r="P49" s="853"/>
      <c r="Q49" s="853"/>
      <c r="R49" s="853"/>
      <c r="S49" s="853"/>
      <c r="T49" s="853"/>
      <c r="U49" s="853"/>
      <c r="V49" s="853"/>
      <c r="W49" s="853"/>
      <c r="X49" s="853"/>
      <c r="Y49" s="853"/>
      <c r="Z49" s="853"/>
      <c r="AA49" s="853"/>
      <c r="AB49" s="853"/>
      <c r="AC49" s="853"/>
      <c r="AD49" s="853"/>
      <c r="AE49" s="853"/>
      <c r="AF49" s="853"/>
      <c r="AG49" s="853"/>
      <c r="AH49" s="853"/>
      <c r="AI49" s="853"/>
      <c r="AJ49" s="853"/>
      <c r="AK49" s="853"/>
      <c r="AL49" s="853"/>
    </row>
    <row r="50" spans="2:38" ht="12.75" customHeight="1">
      <c r="B50" s="853"/>
      <c r="C50" s="853"/>
      <c r="D50" s="853"/>
      <c r="E50" s="853"/>
      <c r="F50" s="853"/>
      <c r="G50" s="853"/>
      <c r="H50" s="853"/>
      <c r="I50" s="853"/>
      <c r="J50" s="853"/>
      <c r="K50" s="853"/>
      <c r="L50" s="853"/>
      <c r="M50" s="853"/>
      <c r="N50" s="853"/>
      <c r="O50" s="853"/>
      <c r="P50" s="853"/>
      <c r="Q50" s="853"/>
      <c r="R50" s="853"/>
      <c r="S50" s="853"/>
      <c r="T50" s="853"/>
      <c r="U50" s="853"/>
      <c r="V50" s="853"/>
      <c r="W50" s="853"/>
      <c r="X50" s="853"/>
      <c r="Y50" s="853"/>
      <c r="Z50" s="853"/>
      <c r="AA50" s="853"/>
      <c r="AB50" s="853"/>
      <c r="AC50" s="853"/>
      <c r="AD50" s="853"/>
      <c r="AE50" s="853"/>
      <c r="AF50" s="853"/>
      <c r="AG50" s="853"/>
      <c r="AH50" s="853"/>
      <c r="AI50" s="853"/>
      <c r="AJ50" s="853"/>
      <c r="AK50" s="853"/>
      <c r="AL50" s="853"/>
    </row>
  </sheetData>
  <sheetProtection password="83F6" sheet="1" objects="1" scenarios="1" selectLockedCells="1" selectUnlockedCells="1"/>
  <mergeCells count="41">
    <mergeCell ref="L1:M5"/>
    <mergeCell ref="E2:G2"/>
    <mergeCell ref="B5:C5"/>
    <mergeCell ref="B6:C6"/>
    <mergeCell ref="F6:G6"/>
    <mergeCell ref="L6:M6"/>
    <mergeCell ref="Q8:S8"/>
    <mergeCell ref="G9:K9"/>
    <mergeCell ref="Q9:U9"/>
    <mergeCell ref="B10:C10"/>
    <mergeCell ref="T24:U24"/>
    <mergeCell ref="B11:C11"/>
    <mergeCell ref="B8:K8"/>
    <mergeCell ref="B23:C23"/>
    <mergeCell ref="G23:J23"/>
    <mergeCell ref="Q23:R23"/>
    <mergeCell ref="B24:C24"/>
    <mergeCell ref="J24:K24"/>
    <mergeCell ref="B12:C12"/>
    <mergeCell ref="B13:C13"/>
    <mergeCell ref="B15:C15"/>
    <mergeCell ref="B16:C16"/>
    <mergeCell ref="B19:C19"/>
    <mergeCell ref="G28:H28"/>
    <mergeCell ref="I28:J28"/>
    <mergeCell ref="Q28:R28"/>
    <mergeCell ref="I26:J26"/>
    <mergeCell ref="S28:T28"/>
    <mergeCell ref="S26:T26"/>
    <mergeCell ref="H32:O32"/>
    <mergeCell ref="B31:C31"/>
    <mergeCell ref="B47:C47"/>
    <mergeCell ref="B32:C32"/>
    <mergeCell ref="B48:C48"/>
    <mergeCell ref="B49:C49"/>
    <mergeCell ref="B33:C33"/>
    <mergeCell ref="B34:C34"/>
    <mergeCell ref="B35:C35"/>
    <mergeCell ref="A39:C39"/>
    <mergeCell ref="B45:C45"/>
    <mergeCell ref="B46:C46"/>
  </mergeCells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Worksheet______111">
    <tabColor indexed="45"/>
  </sheetPr>
  <dimension ref="A1:AL60"/>
  <sheetViews>
    <sheetView rightToLeft="1" workbookViewId="0"/>
  </sheetViews>
  <sheetFormatPr defaultRowHeight="12.75"/>
  <cols>
    <col min="1" max="3" width="9.140625" style="879"/>
    <col min="4" max="4" width="16.28515625" style="879" customWidth="1"/>
    <col min="5" max="5" width="14.28515625" style="879" customWidth="1"/>
    <col min="6" max="6" width="13.28515625" style="879" customWidth="1"/>
    <col min="7" max="7" width="14.28515625" style="879" customWidth="1"/>
    <col min="8" max="8" width="12.7109375" style="879" customWidth="1"/>
    <col min="9" max="9" width="13.28515625" style="879" customWidth="1"/>
    <col min="10" max="10" width="13" style="879" customWidth="1"/>
    <col min="11" max="11" width="14.42578125" style="879" customWidth="1"/>
    <col min="12" max="12" width="13" style="879" customWidth="1"/>
    <col min="13" max="13" width="9.140625" style="879"/>
    <col min="14" max="14" width="14.140625" style="879" customWidth="1"/>
    <col min="15" max="16" width="9.140625" style="879"/>
    <col min="17" max="17" width="15.7109375" style="879" customWidth="1"/>
    <col min="18" max="18" width="16.140625" style="879" customWidth="1"/>
    <col min="19" max="19" width="11.42578125" style="879" customWidth="1"/>
    <col min="20" max="20" width="14.85546875" style="879" customWidth="1"/>
    <col min="21" max="21" width="14.140625" style="879" customWidth="1"/>
    <col min="22" max="22" width="13.5703125" style="879" customWidth="1"/>
    <col min="23" max="23" width="9.140625" style="879"/>
    <col min="24" max="24" width="14.85546875" style="879" customWidth="1"/>
    <col min="25" max="16384" width="9.140625" style="879"/>
  </cols>
  <sheetData>
    <row r="1" spans="1:38">
      <c r="I1" s="1138" t="s">
        <v>684</v>
      </c>
      <c r="J1" s="1139"/>
      <c r="K1" s="1140"/>
      <c r="L1" s="382">
        <f>'[1]נתוני יסוד'!B28</f>
        <v>0</v>
      </c>
    </row>
    <row r="2" spans="1:38">
      <c r="E2" s="1073" t="s">
        <v>653</v>
      </c>
      <c r="F2" s="1073"/>
      <c r="G2" s="1073"/>
      <c r="H2" s="341">
        <f>'[1]פיצויים פטורים והוני'!H2</f>
        <v>0</v>
      </c>
      <c r="I2" s="1138" t="s">
        <v>685</v>
      </c>
      <c r="J2" s="1139"/>
      <c r="K2" s="1140"/>
      <c r="L2" s="382">
        <f>'[1]נתוני יסוד'!B27</f>
        <v>0</v>
      </c>
    </row>
    <row r="3" spans="1:38">
      <c r="B3" s="880"/>
      <c r="C3" s="880"/>
      <c r="D3" s="880"/>
      <c r="E3" s="880"/>
      <c r="F3" s="880"/>
      <c r="G3" s="880"/>
      <c r="H3" s="881"/>
      <c r="I3" s="1135" t="s">
        <v>686</v>
      </c>
      <c r="J3" s="1136"/>
      <c r="K3" s="1137"/>
      <c r="L3" s="67">
        <f>'[1]נתוני יסוד'!B26</f>
        <v>0</v>
      </c>
      <c r="M3" s="878"/>
      <c r="N3" s="880"/>
      <c r="O3" s="880"/>
      <c r="P3" s="880"/>
      <c r="Q3" s="880"/>
      <c r="R3" s="880"/>
      <c r="S3" s="880"/>
      <c r="T3" s="880"/>
      <c r="U3" s="880"/>
      <c r="V3" s="880"/>
      <c r="W3" s="880"/>
      <c r="X3" s="880"/>
      <c r="Y3" s="880"/>
      <c r="Z3" s="880"/>
      <c r="AA3" s="880"/>
      <c r="AB3" s="880"/>
      <c r="AC3" s="880"/>
      <c r="AD3" s="880"/>
      <c r="AE3" s="880"/>
      <c r="AF3" s="880"/>
      <c r="AG3" s="880"/>
      <c r="AH3" s="880"/>
      <c r="AI3" s="880"/>
      <c r="AJ3" s="880"/>
      <c r="AK3" s="880"/>
      <c r="AL3" s="880"/>
    </row>
    <row r="4" spans="1:38" ht="12.75" customHeight="1">
      <c r="B4" s="880"/>
      <c r="C4" s="880"/>
      <c r="D4" s="880"/>
      <c r="E4" s="880"/>
      <c r="F4" s="880"/>
      <c r="G4" s="880"/>
      <c r="H4" s="881"/>
      <c r="I4" s="1135" t="s">
        <v>1006</v>
      </c>
      <c r="J4" s="1136"/>
      <c r="K4" s="1137"/>
      <c r="L4" s="67">
        <f>'[1]נתוני יסוד'!B36</f>
        <v>0</v>
      </c>
      <c r="M4" s="882"/>
      <c r="Q4" s="880"/>
      <c r="R4" s="880"/>
      <c r="S4" s="880"/>
      <c r="T4" s="880"/>
      <c r="U4" s="880"/>
      <c r="V4" s="880"/>
      <c r="W4" s="880"/>
      <c r="X4" s="880"/>
      <c r="Y4" s="880"/>
      <c r="Z4" s="880"/>
      <c r="AA4" s="880"/>
      <c r="AB4" s="880"/>
      <c r="AC4" s="880"/>
      <c r="AD4" s="880"/>
      <c r="AE4" s="880"/>
      <c r="AF4" s="880"/>
      <c r="AG4" s="880"/>
      <c r="AH4" s="880"/>
      <c r="AI4" s="880"/>
      <c r="AJ4" s="880"/>
      <c r="AK4" s="880"/>
      <c r="AL4" s="880"/>
    </row>
    <row r="5" spans="1:38" ht="12.75" customHeight="1">
      <c r="B5" s="1076" t="s">
        <v>650</v>
      </c>
      <c r="C5" s="1030"/>
      <c r="D5" s="342">
        <f>'[1]נתוני יסוד'!B4</f>
        <v>0</v>
      </c>
      <c r="E5" s="880" t="s">
        <v>651</v>
      </c>
      <c r="F5" s="880"/>
      <c r="G5" s="880"/>
      <c r="H5" s="881"/>
      <c r="I5" s="1135" t="s">
        <v>687</v>
      </c>
      <c r="J5" s="1136"/>
      <c r="K5" s="1137"/>
      <c r="L5" s="67">
        <f>'[1]נתוני יסוד'!B29</f>
        <v>0</v>
      </c>
      <c r="M5" s="878"/>
      <c r="N5" s="880"/>
      <c r="O5" s="880"/>
      <c r="P5" s="880"/>
      <c r="Q5" s="880"/>
      <c r="R5" s="880"/>
      <c r="S5" s="880"/>
      <c r="T5" s="880"/>
      <c r="U5" s="880"/>
      <c r="V5" s="880"/>
      <c r="W5" s="880"/>
      <c r="X5" s="880"/>
      <c r="Y5" s="880"/>
      <c r="Z5" s="880"/>
      <c r="AA5" s="880"/>
      <c r="AB5" s="880"/>
      <c r="AC5" s="880"/>
      <c r="AD5" s="880"/>
      <c r="AE5" s="880"/>
      <c r="AF5" s="880"/>
      <c r="AG5" s="880"/>
      <c r="AH5" s="880"/>
      <c r="AI5" s="880"/>
      <c r="AJ5" s="880"/>
      <c r="AK5" s="880"/>
      <c r="AL5" s="880"/>
    </row>
    <row r="6" spans="1:38">
      <c r="B6" s="1076" t="s">
        <v>652</v>
      </c>
      <c r="C6" s="1030"/>
      <c r="D6" s="342">
        <f>'[1]נתוני יסוד'!B6</f>
        <v>45874.826249999998</v>
      </c>
      <c r="E6" s="880"/>
      <c r="F6" s="1076" t="s">
        <v>654</v>
      </c>
      <c r="G6" s="1030"/>
      <c r="H6" s="384">
        <f>(D6-D5)/365.25</f>
        <v>125.59842915811087</v>
      </c>
      <c r="I6" s="1135" t="s">
        <v>688</v>
      </c>
      <c r="J6" s="1136"/>
      <c r="K6" s="1137"/>
      <c r="L6" s="67">
        <f>'[1]נתוני יסוד'!B30</f>
        <v>0</v>
      </c>
      <c r="M6" s="878"/>
      <c r="N6" s="880"/>
      <c r="O6" s="880"/>
      <c r="P6" s="880"/>
      <c r="Q6" s="880"/>
      <c r="R6" s="880"/>
      <c r="S6" s="880"/>
      <c r="T6" s="880"/>
      <c r="U6" s="880"/>
      <c r="V6" s="880"/>
      <c r="W6" s="880"/>
      <c r="X6" s="880"/>
      <c r="Y6" s="880"/>
      <c r="Z6" s="880"/>
      <c r="AA6" s="880"/>
      <c r="AB6" s="880"/>
      <c r="AC6" s="880"/>
      <c r="AD6" s="880"/>
      <c r="AE6" s="880"/>
      <c r="AF6" s="880"/>
      <c r="AG6" s="880"/>
      <c r="AH6" s="880"/>
      <c r="AI6" s="880"/>
      <c r="AJ6" s="880"/>
      <c r="AK6" s="880"/>
      <c r="AL6" s="880"/>
    </row>
    <row r="7" spans="1:38">
      <c r="B7" s="880"/>
      <c r="C7" s="880"/>
      <c r="D7" s="880"/>
      <c r="E7" s="880"/>
      <c r="F7" s="880"/>
      <c r="G7" s="880"/>
      <c r="H7" s="880"/>
      <c r="I7" s="880"/>
      <c r="J7" s="880"/>
      <c r="K7" s="880"/>
      <c r="L7" s="880"/>
      <c r="M7" s="880"/>
      <c r="N7" s="880"/>
      <c r="O7" s="880"/>
      <c r="P7" s="880"/>
      <c r="Q7" s="880"/>
      <c r="R7" s="880"/>
      <c r="S7" s="880"/>
      <c r="T7" s="880"/>
      <c r="U7" s="880"/>
      <c r="V7" s="880"/>
      <c r="W7" s="880"/>
      <c r="X7" s="880"/>
      <c r="Y7" s="880"/>
      <c r="Z7" s="880"/>
      <c r="AA7" s="880"/>
      <c r="AB7" s="880"/>
    </row>
    <row r="8" spans="1:38" ht="26.25">
      <c r="B8" s="1077" t="s">
        <v>1007</v>
      </c>
      <c r="C8" s="1078"/>
      <c r="D8" s="1078"/>
      <c r="E8" s="1078"/>
      <c r="F8" s="1078"/>
      <c r="G8" s="1078"/>
      <c r="H8" s="1078"/>
      <c r="I8" s="1078"/>
      <c r="J8" s="1078"/>
      <c r="K8" s="1079"/>
      <c r="L8" s="880"/>
      <c r="M8" s="880"/>
      <c r="N8" s="880"/>
      <c r="O8" s="880"/>
      <c r="P8" s="880"/>
      <c r="Q8" s="1080"/>
      <c r="R8" s="1029"/>
      <c r="S8" s="1030"/>
      <c r="T8" s="880"/>
      <c r="U8" s="880"/>
      <c r="V8" s="880"/>
      <c r="W8" s="880"/>
      <c r="X8" s="880"/>
      <c r="Y8" s="880"/>
      <c r="Z8" s="880"/>
      <c r="AA8" s="880"/>
      <c r="AB8" s="880"/>
    </row>
    <row r="9" spans="1:38" ht="26.25">
      <c r="B9" s="880"/>
      <c r="C9" s="880"/>
      <c r="D9" s="880"/>
      <c r="E9" s="880"/>
      <c r="F9" s="880"/>
      <c r="G9" s="1081" t="s">
        <v>655</v>
      </c>
      <c r="H9" s="1082"/>
      <c r="I9" s="1082"/>
      <c r="J9" s="1082"/>
      <c r="K9" s="1083"/>
      <c r="L9" s="880"/>
      <c r="M9" s="880"/>
      <c r="N9" s="880"/>
      <c r="O9" s="880"/>
      <c r="P9" s="880"/>
      <c r="Q9" s="1084" t="s">
        <v>656</v>
      </c>
      <c r="R9" s="1085"/>
      <c r="S9" s="1085"/>
      <c r="T9" s="1085"/>
      <c r="U9" s="1086"/>
      <c r="V9" s="880"/>
      <c r="W9" s="880"/>
      <c r="X9" s="880"/>
      <c r="Y9" s="880"/>
      <c r="Z9" s="880"/>
      <c r="AA9" s="880"/>
      <c r="AB9" s="880"/>
    </row>
    <row r="10" spans="1:38" ht="25.5">
      <c r="A10" s="1072" t="s">
        <v>657</v>
      </c>
      <c r="B10" s="1040"/>
      <c r="C10" s="1040"/>
      <c r="D10" s="343">
        <f>L1+L2+L3+L5+L6</f>
        <v>0</v>
      </c>
      <c r="E10" s="880"/>
      <c r="F10" s="880"/>
      <c r="G10" s="880" t="s">
        <v>658</v>
      </c>
      <c r="H10" s="880" t="s">
        <v>644</v>
      </c>
      <c r="I10" s="336" t="s">
        <v>645</v>
      </c>
      <c r="J10" s="880" t="s">
        <v>646</v>
      </c>
      <c r="K10" s="880"/>
      <c r="L10" s="880"/>
      <c r="M10" s="880"/>
      <c r="N10" s="880"/>
      <c r="O10" s="880"/>
      <c r="P10" s="880"/>
      <c r="Q10" s="880" t="s">
        <v>659</v>
      </c>
      <c r="R10" s="880" t="s">
        <v>647</v>
      </c>
      <c r="S10" s="336" t="s">
        <v>648</v>
      </c>
      <c r="T10" s="880" t="s">
        <v>649</v>
      </c>
      <c r="U10" s="880"/>
      <c r="V10" s="880"/>
      <c r="W10" s="880"/>
      <c r="X10" s="880"/>
      <c r="Y10" s="880"/>
      <c r="Z10" s="880"/>
      <c r="AA10" s="880"/>
      <c r="AB10" s="880"/>
    </row>
    <row r="11" spans="1:38" ht="24" customHeight="1">
      <c r="A11" s="1072" t="s">
        <v>660</v>
      </c>
      <c r="B11" s="1040"/>
      <c r="C11" s="1040"/>
      <c r="D11" s="343">
        <f>SUM(L1:L6)</f>
        <v>0</v>
      </c>
      <c r="E11" s="880"/>
      <c r="F11" s="880"/>
      <c r="G11" s="335" t="e">
        <f>Q11/12</f>
        <v>#DIV/0!</v>
      </c>
      <c r="H11" s="76">
        <f>D11</f>
        <v>0</v>
      </c>
      <c r="I11" s="76">
        <f>L5</f>
        <v>0</v>
      </c>
      <c r="J11" s="344" t="e">
        <f>H11-I11+G11</f>
        <v>#DIV/0!</v>
      </c>
      <c r="K11" s="337"/>
      <c r="L11" s="337"/>
      <c r="M11" s="337"/>
      <c r="N11" s="880"/>
      <c r="O11" s="880"/>
      <c r="P11" s="880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7"/>
      <c r="V11" s="337"/>
      <c r="W11" s="337"/>
      <c r="X11" s="880"/>
      <c r="Y11" s="880"/>
      <c r="Z11" s="880"/>
      <c r="AA11" s="880"/>
      <c r="AB11" s="880"/>
    </row>
    <row r="12" spans="1:38" ht="24" customHeight="1">
      <c r="A12" s="1072" t="s">
        <v>661</v>
      </c>
      <c r="B12" s="1040"/>
      <c r="C12" s="1040"/>
      <c r="D12" s="64">
        <f>'[1]נתוני יסוד'!B33</f>
        <v>0</v>
      </c>
      <c r="E12" s="880"/>
      <c r="F12" s="880"/>
      <c r="G12" s="337" t="s">
        <v>639</v>
      </c>
      <c r="H12" s="337" t="s">
        <v>640</v>
      </c>
      <c r="I12" s="337" t="s">
        <v>550</v>
      </c>
      <c r="J12" s="337" t="s">
        <v>640</v>
      </c>
      <c r="K12" s="337" t="s">
        <v>641</v>
      </c>
      <c r="L12" s="337" t="s">
        <v>642</v>
      </c>
      <c r="M12" s="337"/>
      <c r="N12" s="880"/>
      <c r="O12" s="880"/>
      <c r="P12" s="880"/>
      <c r="Q12" s="337" t="s">
        <v>639</v>
      </c>
      <c r="R12" s="337" t="s">
        <v>640</v>
      </c>
      <c r="S12" s="337" t="s">
        <v>550</v>
      </c>
      <c r="T12" s="337" t="s">
        <v>640</v>
      </c>
      <c r="U12" s="337" t="s">
        <v>641</v>
      </c>
      <c r="V12" s="337" t="s">
        <v>642</v>
      </c>
      <c r="W12" s="337"/>
      <c r="X12" s="880"/>
      <c r="Y12" s="880"/>
      <c r="Z12" s="880"/>
      <c r="AA12" s="880"/>
      <c r="AB12" s="880"/>
    </row>
    <row r="13" spans="1:38" ht="24" customHeight="1">
      <c r="A13" s="1089" t="s">
        <v>270</v>
      </c>
      <c r="B13" s="1063"/>
      <c r="C13" s="1063"/>
      <c r="D13" s="902">
        <f>'[1]נתוני יסוד'!B35</f>
        <v>0</v>
      </c>
      <c r="E13" s="880"/>
      <c r="F13" s="880"/>
      <c r="G13" s="347">
        <f>H13</f>
        <v>5270</v>
      </c>
      <c r="H13" s="347">
        <f>'[1]חישובי מיסוי פנסיה פתוחים'!B6</f>
        <v>5270</v>
      </c>
      <c r="I13" s="348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37"/>
      <c r="N13" s="880"/>
      <c r="O13" s="880"/>
      <c r="P13" s="880"/>
      <c r="Q13" s="347">
        <f>R13</f>
        <v>63240</v>
      </c>
      <c r="R13" s="347">
        <f>H13*12</f>
        <v>63240</v>
      </c>
      <c r="S13" s="348">
        <f t="shared" ref="S13:S18" si="1">I13</f>
        <v>0.1</v>
      </c>
      <c r="T13" s="337" t="e">
        <f>IF(T11&gt;Q13,R13,T11)</f>
        <v>#DIV/0!</v>
      </c>
      <c r="U13" s="337" t="e">
        <f t="shared" ref="U13:U18" si="2">T13*S13</f>
        <v>#DIV/0!</v>
      </c>
      <c r="V13" s="337" t="e">
        <f>U13</f>
        <v>#DIV/0!</v>
      </c>
      <c r="W13" s="337"/>
      <c r="X13" s="880"/>
      <c r="Y13" s="880"/>
      <c r="Z13" s="880"/>
      <c r="AA13" s="880"/>
      <c r="AB13" s="880"/>
    </row>
    <row r="14" spans="1:38" ht="24.75" customHeight="1">
      <c r="A14" s="1087" t="s">
        <v>949</v>
      </c>
      <c r="B14" s="1087"/>
      <c r="C14" s="1087"/>
      <c r="D14" s="903">
        <f>D12-D13</f>
        <v>0</v>
      </c>
      <c r="E14" s="880"/>
      <c r="F14" s="880"/>
      <c r="G14" s="347">
        <f>G13+H14</f>
        <v>9000</v>
      </c>
      <c r="H14" s="347">
        <f>'[1]חישובי מיסוי פנסיה פתוחים'!B7</f>
        <v>3730</v>
      </c>
      <c r="I14" s="348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37"/>
      <c r="N14" s="880"/>
      <c r="O14" s="880"/>
      <c r="P14" s="880"/>
      <c r="Q14" s="347">
        <f>Q13+R14</f>
        <v>108000</v>
      </c>
      <c r="R14" s="347">
        <f>H14*12</f>
        <v>44760</v>
      </c>
      <c r="S14" s="348">
        <f t="shared" si="1"/>
        <v>0.14000000000000001</v>
      </c>
      <c r="T14" s="337" t="e">
        <f>IF(T11&gt;Q14,R14,IF(T11&lt;Q13,0,T11-Q13))</f>
        <v>#DIV/0!</v>
      </c>
      <c r="U14" s="337" t="e">
        <f t="shared" si="2"/>
        <v>#DIV/0!</v>
      </c>
      <c r="V14" s="337" t="e">
        <f>V13+U14</f>
        <v>#DIV/0!</v>
      </c>
      <c r="W14" s="337"/>
      <c r="X14" s="880"/>
      <c r="Y14" s="880"/>
      <c r="Z14" s="880"/>
      <c r="AA14" s="880"/>
      <c r="AB14" s="880"/>
    </row>
    <row r="15" spans="1:38" ht="24.75" customHeight="1">
      <c r="A15" s="1141" t="s">
        <v>1008</v>
      </c>
      <c r="B15" s="1141"/>
      <c r="C15" s="1141"/>
      <c r="D15" s="647">
        <f>'[1]נתוני יסוד'!B34</f>
        <v>0</v>
      </c>
      <c r="E15" s="880"/>
      <c r="F15" s="880"/>
      <c r="G15" s="347">
        <f>G14+H15</f>
        <v>13990</v>
      </c>
      <c r="H15" s="347">
        <f>'[1]חישובי מיסוי פנסיה פתוחים'!B8</f>
        <v>4990</v>
      </c>
      <c r="I15" s="348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47">
        <f>Q14+R15</f>
        <v>167880</v>
      </c>
      <c r="R15" s="347">
        <f>H15*12</f>
        <v>59880</v>
      </c>
      <c r="S15" s="348">
        <f t="shared" si="1"/>
        <v>0.21</v>
      </c>
      <c r="T15" s="337" t="e">
        <f>IF(T11&gt;Q15,R15,IF(T11&lt;Q14,0,T11-Q14))</f>
        <v>#DIV/0!</v>
      </c>
      <c r="U15" s="337" t="e">
        <f t="shared" si="2"/>
        <v>#DIV/0!</v>
      </c>
      <c r="V15" s="337" t="e">
        <f>V14+U15</f>
        <v>#DIV/0!</v>
      </c>
      <c r="W15" s="337"/>
      <c r="X15" s="880"/>
      <c r="Y15" s="880"/>
      <c r="Z15" s="880"/>
      <c r="AA15" s="880"/>
      <c r="AB15" s="880"/>
    </row>
    <row r="16" spans="1:38">
      <c r="B16" s="1142" t="s">
        <v>663</v>
      </c>
      <c r="C16" s="1143"/>
      <c r="D16" s="385">
        <f>H6</f>
        <v>125.59842915811087</v>
      </c>
      <c r="E16" s="880"/>
      <c r="F16" s="880"/>
      <c r="G16" s="347">
        <f>G15+H16</f>
        <v>19980</v>
      </c>
      <c r="H16" s="347">
        <f>'[1]חישובי מיסוי פנסיה פתוחים'!B9</f>
        <v>5990</v>
      </c>
      <c r="I16" s="348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37"/>
      <c r="N16" s="880"/>
      <c r="O16" s="880"/>
      <c r="P16" s="880"/>
      <c r="Q16" s="347">
        <f>Q15+R16</f>
        <v>239760</v>
      </c>
      <c r="R16" s="347">
        <f>H16*12</f>
        <v>71880</v>
      </c>
      <c r="S16" s="348">
        <f t="shared" si="1"/>
        <v>0.31</v>
      </c>
      <c r="T16" s="337" t="e">
        <f>IF(T11&gt;Q16,R16,IF(T11&lt;Q15,0,T11-Q15))</f>
        <v>#DIV/0!</v>
      </c>
      <c r="U16" s="337" t="e">
        <f t="shared" si="2"/>
        <v>#DIV/0!</v>
      </c>
      <c r="V16" s="337" t="e">
        <f>V15+U16</f>
        <v>#DIV/0!</v>
      </c>
      <c r="W16" s="337"/>
      <c r="X16" s="880"/>
      <c r="Y16" s="880"/>
      <c r="Z16" s="880"/>
      <c r="AA16" s="880"/>
      <c r="AB16" s="880"/>
    </row>
    <row r="17" spans="2:28">
      <c r="B17" s="1076" t="s">
        <v>664</v>
      </c>
      <c r="C17" s="1030"/>
      <c r="D17" s="351">
        <f>IF(D16&lt;=3,0,IF(D16&lt;=7,1,IF(D16&lt;=11,2,IF(D16&lt;=15,3,IF(D16&lt;=19,4,IF(D16&lt;=23,5,IF(D16&lt;=99,6,0)))))))</f>
        <v>0</v>
      </c>
      <c r="E17" s="880"/>
      <c r="F17" s="880"/>
      <c r="G17" s="347">
        <f>G16+H17</f>
        <v>41790</v>
      </c>
      <c r="H17" s="347">
        <f>'[1]חישובי מיסוי פנסיה פתוחים'!B10</f>
        <v>21810</v>
      </c>
      <c r="I17" s="348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37"/>
      <c r="N17" s="880"/>
      <c r="O17" s="880"/>
      <c r="P17" s="880"/>
      <c r="Q17" s="347">
        <f>Q16+R17</f>
        <v>501480</v>
      </c>
      <c r="R17" s="347">
        <f>H17*12</f>
        <v>261720</v>
      </c>
      <c r="S17" s="348">
        <f t="shared" si="1"/>
        <v>0.34</v>
      </c>
      <c r="T17" s="337" t="e">
        <f>IF(T11&gt;Q17,R17,IF(T11&lt;Q16,0,T11-Q16))</f>
        <v>#DIV/0!</v>
      </c>
      <c r="U17" s="337" t="e">
        <f t="shared" si="2"/>
        <v>#DIV/0!</v>
      </c>
      <c r="V17" s="337" t="e">
        <f>V16+U17</f>
        <v>#DIV/0!</v>
      </c>
      <c r="W17" s="337"/>
      <c r="X17" s="880"/>
      <c r="Y17" s="880"/>
      <c r="Z17" s="880"/>
      <c r="AA17" s="880"/>
      <c r="AB17" s="880"/>
    </row>
    <row r="18" spans="2:28">
      <c r="B18" s="1076" t="s">
        <v>584</v>
      </c>
      <c r="C18" s="1030"/>
      <c r="D18" s="99">
        <f>IF(D14&gt;'[1]נתוני יסוד'!M6,'[1]נתוני יסוד'!M6,D14)</f>
        <v>0</v>
      </c>
      <c r="E18" s="880"/>
      <c r="F18" s="880"/>
      <c r="G18" s="347">
        <v>99999999</v>
      </c>
      <c r="H18" s="347" t="e">
        <f>IF(J11-G17&gt;=0,J11-G17,0)</f>
        <v>#DIV/0!</v>
      </c>
      <c r="I18" s="348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37"/>
      <c r="N18" s="880"/>
      <c r="O18" s="880"/>
      <c r="P18" s="880"/>
      <c r="Q18" s="347">
        <v>99999999</v>
      </c>
      <c r="R18" s="347" t="e">
        <f>IF(T11-Q17&gt;=0,T11-Q17,0)</f>
        <v>#DIV/0!</v>
      </c>
      <c r="S18" s="348">
        <f t="shared" si="1"/>
        <v>0.48</v>
      </c>
      <c r="T18" s="337" t="e">
        <f>IF(T11&gt;Q18,R18,IF(T11&lt;Q17,0,T11-Q17))</f>
        <v>#DIV/0!</v>
      </c>
      <c r="U18" s="337" t="e">
        <f t="shared" si="2"/>
        <v>#DIV/0!</v>
      </c>
      <c r="V18" s="337" t="e">
        <f>V17+U18</f>
        <v>#DIV/0!</v>
      </c>
      <c r="W18" s="337"/>
      <c r="X18" s="880"/>
      <c r="Y18" s="880"/>
      <c r="Z18" s="880"/>
      <c r="AA18" s="880"/>
      <c r="AB18" s="880"/>
    </row>
    <row r="19" spans="2:28" ht="25.5">
      <c r="B19" s="880" t="s">
        <v>373</v>
      </c>
      <c r="C19" s="880" t="s">
        <v>379</v>
      </c>
      <c r="D19" s="880"/>
      <c r="E19" s="352"/>
      <c r="F19" s="880"/>
      <c r="G19" s="337"/>
      <c r="H19" s="337"/>
      <c r="I19" s="337"/>
      <c r="J19" s="337"/>
      <c r="K19" s="337"/>
      <c r="L19" s="337"/>
      <c r="M19" s="337" t="s">
        <v>643</v>
      </c>
      <c r="N19" s="337" t="e">
        <f>IF(L18-'[1]נתוני יסוד'!L2&gt;=0,L18-'[1]נתוני יסוד'!L2,0)</f>
        <v>#DIV/0!</v>
      </c>
      <c r="O19" s="880"/>
      <c r="P19" s="880"/>
      <c r="Q19" s="337"/>
      <c r="R19" s="337"/>
      <c r="S19" s="337"/>
      <c r="T19" s="337"/>
      <c r="U19" s="337"/>
      <c r="V19" s="337"/>
      <c r="W19" s="337" t="s">
        <v>643</v>
      </c>
      <c r="X19" s="337" t="e">
        <f>IF(V18-'[1]נתוני יסוד'!L1&gt;=0,V18-'[1]נתוני יסוד'!L1,0)</f>
        <v>#DIV/0!</v>
      </c>
      <c r="Y19" s="880"/>
      <c r="Z19" s="880"/>
      <c r="AA19" s="880"/>
      <c r="AB19" s="880"/>
    </row>
    <row r="20" spans="2:28">
      <c r="B20" s="64">
        <f>'[1]פיצויים פטורים והוני'!B21</f>
        <v>7200</v>
      </c>
      <c r="C20" s="64">
        <f>'[1]פיצויים פטורים והוני'!C21</f>
        <v>7400</v>
      </c>
      <c r="D20" s="880"/>
      <c r="E20" s="880"/>
      <c r="F20" s="880"/>
      <c r="G20" s="880"/>
      <c r="H20" s="880"/>
      <c r="I20" s="880"/>
      <c r="J20" s="880"/>
      <c r="K20" s="880"/>
      <c r="L20" s="880"/>
      <c r="M20" s="880" t="s">
        <v>594</v>
      </c>
      <c r="N20" s="337" t="e">
        <f>H11+G11-N19</f>
        <v>#DIV/0!</v>
      </c>
      <c r="O20" s="880"/>
      <c r="P20" s="880"/>
      <c r="Q20" s="880"/>
      <c r="R20" s="880"/>
      <c r="S20" s="880"/>
      <c r="T20" s="880"/>
      <c r="U20" s="880"/>
      <c r="V20" s="880"/>
      <c r="W20" s="880" t="s">
        <v>594</v>
      </c>
      <c r="X20" s="337" t="e">
        <f>R11+Q11-X19</f>
        <v>#DIV/0!</v>
      </c>
      <c r="Y20" s="880"/>
      <c r="Z20" s="880"/>
      <c r="AA20" s="880"/>
      <c r="AB20" s="880"/>
    </row>
    <row r="21" spans="2:28">
      <c r="B21" s="881"/>
      <c r="C21" s="878"/>
      <c r="D21" s="880"/>
      <c r="E21" s="880"/>
      <c r="F21" s="880"/>
      <c r="G21" s="880"/>
      <c r="H21" s="880"/>
      <c r="I21" s="880"/>
      <c r="J21" s="880"/>
      <c r="K21" s="880"/>
      <c r="L21" s="880"/>
      <c r="M21" s="880"/>
      <c r="N21" s="880"/>
      <c r="O21" s="880"/>
      <c r="P21" s="880"/>
      <c r="Q21" s="880"/>
      <c r="R21" s="880"/>
      <c r="S21" s="880"/>
      <c r="T21" s="880"/>
      <c r="U21" s="880"/>
      <c r="V21" s="880"/>
      <c r="W21" s="880"/>
      <c r="X21" s="880"/>
      <c r="Y21" s="880"/>
      <c r="Z21" s="880"/>
      <c r="AA21" s="880"/>
      <c r="AB21" s="880"/>
    </row>
    <row r="22" spans="2:28" ht="33">
      <c r="B22" s="1076" t="s">
        <v>665</v>
      </c>
      <c r="C22" s="1030"/>
      <c r="D22" s="353">
        <f>IF(H2=1,((D14-D18)/6)*5,D14-D18)</f>
        <v>0</v>
      </c>
      <c r="E22" s="880"/>
      <c r="F22" s="880"/>
      <c r="G22" s="1090" t="s">
        <v>666</v>
      </c>
      <c r="H22" s="1091"/>
      <c r="I22" s="1091"/>
      <c r="J22" s="1092"/>
      <c r="K22" s="880"/>
      <c r="L22" s="880"/>
      <c r="M22" s="880"/>
      <c r="N22" s="880"/>
      <c r="O22" s="880"/>
      <c r="P22" s="880"/>
      <c r="Q22" s="1093" t="s">
        <v>666</v>
      </c>
      <c r="R22" s="1093"/>
      <c r="S22" s="880"/>
      <c r="T22" s="880"/>
      <c r="U22" s="880"/>
      <c r="V22" s="880"/>
      <c r="W22" s="880"/>
      <c r="X22" s="880"/>
      <c r="Y22" s="880"/>
      <c r="Z22" s="880"/>
      <c r="AA22" s="880"/>
      <c r="AB22" s="880"/>
    </row>
    <row r="23" spans="2:28">
      <c r="B23" s="1094" t="s">
        <v>667</v>
      </c>
      <c r="C23" s="1095"/>
      <c r="D23" s="354">
        <f>IF(H2=1,D17-1,D17)</f>
        <v>0</v>
      </c>
      <c r="E23" s="880"/>
      <c r="F23" s="880"/>
      <c r="G23" s="880"/>
      <c r="H23" s="880" t="s">
        <v>163</v>
      </c>
      <c r="I23" s="65">
        <v>67</v>
      </c>
      <c r="J23" s="1087" t="s">
        <v>436</v>
      </c>
      <c r="K23" s="1087"/>
      <c r="L23" s="65">
        <v>90</v>
      </c>
      <c r="M23" s="880" t="s">
        <v>234</v>
      </c>
      <c r="N23" s="82">
        <v>3</v>
      </c>
      <c r="O23" s="880"/>
      <c r="P23" s="880"/>
      <c r="Q23" s="880"/>
      <c r="R23" s="880" t="s">
        <v>163</v>
      </c>
      <c r="S23" s="65">
        <v>67</v>
      </c>
      <c r="T23" s="1087" t="s">
        <v>436</v>
      </c>
      <c r="U23" s="1087"/>
      <c r="V23" s="65">
        <v>90</v>
      </c>
      <c r="W23" s="880" t="s">
        <v>234</v>
      </c>
      <c r="X23" s="82">
        <v>3</v>
      </c>
      <c r="Y23" s="880"/>
      <c r="Z23" s="880"/>
      <c r="AA23" s="880"/>
      <c r="AB23" s="880"/>
    </row>
    <row r="24" spans="2:28">
      <c r="B24" s="104"/>
      <c r="C24" s="104"/>
      <c r="D24" s="104"/>
      <c r="E24" s="880"/>
      <c r="F24" s="880"/>
      <c r="G24" s="880"/>
      <c r="H24" s="880"/>
      <c r="I24" s="880"/>
      <c r="J24" s="880"/>
      <c r="K24" s="880"/>
      <c r="L24" s="880"/>
      <c r="M24" s="880"/>
      <c r="N24" s="880"/>
      <c r="O24" s="880"/>
      <c r="P24" s="880"/>
      <c r="Q24" s="880"/>
      <c r="R24" s="880"/>
      <c r="S24" s="880"/>
      <c r="T24" s="880"/>
      <c r="U24" s="880"/>
      <c r="V24" s="880"/>
      <c r="W24" s="880"/>
      <c r="X24" s="880"/>
      <c r="Y24" s="880"/>
      <c r="Z24" s="880"/>
      <c r="AA24" s="880"/>
      <c r="AB24" s="880"/>
    </row>
    <row r="25" spans="2:28">
      <c r="B25" s="104"/>
      <c r="C25" s="104"/>
      <c r="D25" s="104"/>
      <c r="E25" s="880"/>
      <c r="F25" s="880"/>
      <c r="G25" s="880"/>
      <c r="H25" s="880" t="s">
        <v>248</v>
      </c>
      <c r="I25" s="1088" t="e">
        <f>PV(N23/100/12,(L23-I23)*12,N20,,1)*(-1)</f>
        <v>#DIV/0!</v>
      </c>
      <c r="J25" s="1088"/>
      <c r="K25" s="880"/>
      <c r="L25" s="880"/>
      <c r="M25" s="880"/>
      <c r="N25" s="880"/>
      <c r="O25" s="880"/>
      <c r="P25" s="880"/>
      <c r="Q25" s="880"/>
      <c r="R25" s="880" t="s">
        <v>248</v>
      </c>
      <c r="S25" s="1088" t="e">
        <f>PV(X23/100,(V23-S23),X20,,1)*(-1)</f>
        <v>#DIV/0!</v>
      </c>
      <c r="T25" s="1088"/>
      <c r="U25" s="880"/>
      <c r="V25" s="880"/>
      <c r="W25" s="880"/>
      <c r="X25" s="880"/>
      <c r="Y25" s="880"/>
      <c r="Z25" s="880"/>
      <c r="AA25" s="880"/>
      <c r="AB25" s="880"/>
    </row>
    <row r="26" spans="2:28">
      <c r="B26" s="104"/>
      <c r="C26" s="104"/>
      <c r="D26" s="104"/>
      <c r="E26" s="880"/>
      <c r="F26" s="880"/>
      <c r="G26" s="880"/>
      <c r="H26" s="880"/>
      <c r="I26" s="880"/>
      <c r="J26" s="880"/>
      <c r="K26" s="880"/>
      <c r="L26" s="880"/>
      <c r="M26" s="880"/>
      <c r="N26" s="880"/>
      <c r="O26" s="880"/>
      <c r="P26" s="880"/>
      <c r="Q26" s="880"/>
      <c r="R26" s="880"/>
      <c r="S26" s="880"/>
      <c r="T26" s="880"/>
      <c r="U26" s="880"/>
      <c r="V26" s="880"/>
      <c r="W26" s="880"/>
      <c r="X26" s="880"/>
      <c r="Y26" s="880"/>
      <c r="Z26" s="880"/>
      <c r="AA26" s="880"/>
      <c r="AB26" s="880"/>
    </row>
    <row r="27" spans="2:28">
      <c r="B27" s="104"/>
      <c r="C27" s="104"/>
      <c r="D27" s="104"/>
      <c r="E27" s="880"/>
      <c r="F27" s="880"/>
      <c r="G27" s="1087" t="s">
        <v>668</v>
      </c>
      <c r="H27" s="1087"/>
      <c r="I27" s="1088">
        <f>PV(N23/100/12,(L23-I23)*12,I11,,1)*(-1)</f>
        <v>0</v>
      </c>
      <c r="J27" s="1088"/>
      <c r="K27" s="880"/>
      <c r="L27" s="880"/>
      <c r="M27" s="880"/>
      <c r="N27" s="880"/>
      <c r="O27" s="880"/>
      <c r="P27" s="880"/>
      <c r="Q27" s="1087" t="s">
        <v>668</v>
      </c>
      <c r="R27" s="1087"/>
      <c r="S27" s="1088">
        <f>PV(X23/100,(V23-S23),S11,,1)*(-1)</f>
        <v>0</v>
      </c>
      <c r="T27" s="1088"/>
      <c r="U27" s="880"/>
      <c r="V27" s="880"/>
      <c r="W27" s="880"/>
      <c r="X27" s="880"/>
      <c r="Y27" s="880"/>
      <c r="Z27" s="880"/>
      <c r="AA27" s="880"/>
      <c r="AB27" s="880"/>
    </row>
    <row r="28" spans="2:28">
      <c r="B28" s="880"/>
      <c r="C28" s="880"/>
      <c r="D28" s="880"/>
      <c r="E28" s="880"/>
      <c r="F28" s="880"/>
      <c r="G28" s="880"/>
      <c r="H28" s="880"/>
      <c r="I28" s="880"/>
      <c r="J28" s="880"/>
      <c r="K28" s="880"/>
      <c r="L28" s="880"/>
      <c r="M28" s="880"/>
      <c r="N28" s="880"/>
      <c r="O28" s="880"/>
      <c r="P28" s="880"/>
      <c r="Q28" s="880"/>
      <c r="R28" s="880"/>
      <c r="S28" s="880"/>
      <c r="T28" s="880"/>
      <c r="U28" s="880"/>
      <c r="V28" s="880"/>
      <c r="W28" s="880"/>
      <c r="X28" s="880"/>
      <c r="Y28" s="880"/>
      <c r="Z28" s="880"/>
      <c r="AA28" s="880"/>
      <c r="AB28" s="880"/>
    </row>
    <row r="29" spans="2:28">
      <c r="B29" s="880"/>
      <c r="C29" s="880"/>
      <c r="D29" s="880"/>
      <c r="E29" s="880"/>
      <c r="F29" s="880"/>
      <c r="G29" s="880"/>
      <c r="H29" s="880"/>
      <c r="I29" s="880"/>
      <c r="J29" s="880"/>
      <c r="K29" s="880"/>
      <c r="L29" s="880"/>
      <c r="M29" s="880"/>
      <c r="N29" s="880"/>
      <c r="O29" s="880"/>
      <c r="P29" s="880"/>
      <c r="Q29" s="880"/>
      <c r="R29" s="880"/>
      <c r="S29" s="880"/>
      <c r="T29" s="880"/>
      <c r="U29" s="880"/>
      <c r="V29" s="880"/>
      <c r="W29" s="880"/>
      <c r="X29" s="880"/>
      <c r="Y29" s="880"/>
      <c r="Z29" s="880"/>
      <c r="AA29" s="880"/>
      <c r="AB29" s="880"/>
    </row>
    <row r="30" spans="2:28" ht="20.25" customHeight="1">
      <c r="B30" s="1076" t="s">
        <v>272</v>
      </c>
      <c r="C30" s="1030"/>
      <c r="D30" s="386">
        <f>D12</f>
        <v>0</v>
      </c>
      <c r="E30" s="880"/>
      <c r="F30" s="337"/>
      <c r="G30" s="362"/>
      <c r="H30" s="363"/>
      <c r="I30" s="364"/>
      <c r="J30" s="880"/>
      <c r="K30" s="880"/>
      <c r="L30" s="880"/>
      <c r="M30" s="880"/>
      <c r="N30" s="880"/>
      <c r="O30" s="880"/>
      <c r="P30" s="880"/>
      <c r="Q30" s="880"/>
      <c r="R30" s="880"/>
      <c r="S30" s="880"/>
      <c r="T30" s="880"/>
      <c r="U30" s="880"/>
      <c r="V30" s="880"/>
      <c r="W30" s="880"/>
      <c r="X30" s="880"/>
      <c r="Y30" s="880"/>
      <c r="Z30" s="880"/>
      <c r="AA30" s="880"/>
      <c r="AB30" s="880"/>
    </row>
    <row r="31" spans="2:28" ht="20.100000000000001" customHeight="1">
      <c r="B31" s="1076" t="s">
        <v>669</v>
      </c>
      <c r="C31" s="1030"/>
      <c r="D31" s="386">
        <f>D18</f>
        <v>0</v>
      </c>
      <c r="E31" s="880"/>
      <c r="F31" s="880"/>
      <c r="G31" s="883"/>
      <c r="H31" s="366"/>
      <c r="I31" s="884"/>
      <c r="J31" s="880"/>
      <c r="K31" s="880"/>
      <c r="L31" s="880"/>
      <c r="M31" s="880"/>
      <c r="N31" s="880"/>
      <c r="O31" s="880"/>
      <c r="P31" s="880"/>
      <c r="Q31" s="880"/>
      <c r="R31" s="880"/>
      <c r="S31" s="880"/>
      <c r="T31" s="880"/>
      <c r="U31" s="880"/>
      <c r="V31" s="880"/>
      <c r="W31" s="880"/>
      <c r="X31" s="880"/>
      <c r="Y31" s="880"/>
      <c r="Z31" s="880"/>
      <c r="AA31" s="880"/>
      <c r="AB31" s="880"/>
    </row>
    <row r="32" spans="2:28" ht="20.100000000000001" customHeight="1" thickBot="1">
      <c r="B32" s="1076" t="s">
        <v>670</v>
      </c>
      <c r="C32" s="1030"/>
      <c r="D32" s="387">
        <f>D13</f>
        <v>0</v>
      </c>
      <c r="E32" s="880"/>
      <c r="F32" s="880" t="s">
        <v>689</v>
      </c>
      <c r="G32" s="883"/>
      <c r="H32" s="366"/>
      <c r="I32" s="884"/>
      <c r="J32" s="880"/>
      <c r="K32" s="880"/>
      <c r="L32" s="880"/>
      <c r="M32" s="880"/>
      <c r="N32" s="880"/>
      <c r="O32" s="880"/>
      <c r="P32" s="880"/>
      <c r="Q32" s="880"/>
      <c r="R32" s="880"/>
      <c r="S32" s="880"/>
      <c r="T32" s="880"/>
      <c r="U32" s="880"/>
      <c r="V32" s="880"/>
      <c r="W32" s="880"/>
      <c r="X32" s="880"/>
      <c r="Y32" s="880"/>
      <c r="Z32" s="880"/>
      <c r="AA32" s="880"/>
      <c r="AB32" s="880"/>
    </row>
    <row r="33" spans="2:38" ht="20.100000000000001" customHeight="1">
      <c r="B33" s="1076" t="s">
        <v>671</v>
      </c>
      <c r="C33" s="1030"/>
      <c r="D33" s="388">
        <f>D30-D31-D32</f>
        <v>0</v>
      </c>
      <c r="E33" s="352" t="e">
        <f>D34</f>
        <v>#DIV/0!</v>
      </c>
      <c r="F33" s="64" t="e">
        <f>D33-E33</f>
        <v>#DIV/0!</v>
      </c>
      <c r="G33" s="880"/>
      <c r="H33" s="880"/>
      <c r="I33" s="880"/>
      <c r="J33" s="880"/>
      <c r="K33" s="880"/>
      <c r="L33" s="880"/>
      <c r="M33" s="880"/>
      <c r="N33" s="880"/>
      <c r="O33" s="880"/>
      <c r="P33" s="880"/>
      <c r="Q33" s="880"/>
      <c r="R33" s="880"/>
      <c r="S33" s="880"/>
      <c r="T33" s="880"/>
      <c r="U33" s="880"/>
      <c r="V33" s="880"/>
      <c r="W33" s="880"/>
      <c r="X33" s="880"/>
      <c r="Y33" s="880"/>
      <c r="Z33" s="880"/>
      <c r="AA33" s="880"/>
      <c r="AB33" s="880"/>
    </row>
    <row r="34" spans="2:38" ht="30.75" customHeight="1">
      <c r="B34" s="1076" t="s">
        <v>672</v>
      </c>
      <c r="C34" s="1030"/>
      <c r="D34" s="386" t="e">
        <f>IF(H2=1,((X19-X50)*D23)+(Q11*50/100),(X19-X50)*D23)</f>
        <v>#DIV/0!</v>
      </c>
      <c r="E34" s="880"/>
      <c r="F34" s="880"/>
      <c r="G34" s="880"/>
      <c r="H34" s="880"/>
      <c r="I34" s="880"/>
      <c r="J34" s="880"/>
      <c r="K34" s="880"/>
      <c r="L34" s="880"/>
      <c r="M34" s="880"/>
      <c r="N34" s="880"/>
      <c r="O34" s="880"/>
      <c r="P34" s="880"/>
      <c r="Q34" s="880"/>
      <c r="R34" s="880"/>
      <c r="S34" s="880"/>
      <c r="T34" s="880"/>
      <c r="U34" s="880"/>
      <c r="V34" s="880"/>
      <c r="W34" s="880"/>
      <c r="X34" s="880"/>
      <c r="Y34" s="880"/>
      <c r="Z34" s="880"/>
      <c r="AA34" s="880"/>
      <c r="AB34" s="880"/>
    </row>
    <row r="35" spans="2:38" ht="24.95" customHeight="1">
      <c r="B35" s="1076" t="s">
        <v>633</v>
      </c>
      <c r="C35" s="1030"/>
      <c r="D35" s="381" t="e">
        <f>D30-D32-D34</f>
        <v>#DIV/0!</v>
      </c>
      <c r="E35" s="352" t="e">
        <f>D31+D33-D34</f>
        <v>#DIV/0!</v>
      </c>
      <c r="F35" s="880"/>
      <c r="G35" s="880"/>
      <c r="H35" s="880"/>
      <c r="I35" s="880"/>
      <c r="J35" s="880"/>
      <c r="K35" s="880"/>
      <c r="L35" s="880"/>
      <c r="M35" s="880"/>
      <c r="N35" s="880"/>
      <c r="O35" s="880"/>
      <c r="P35" s="880"/>
      <c r="Q35" s="880"/>
      <c r="R35" s="880"/>
      <c r="S35" s="880"/>
      <c r="T35" s="880"/>
      <c r="U35" s="880"/>
      <c r="V35" s="880"/>
      <c r="W35" s="880"/>
      <c r="X35" s="880"/>
      <c r="Y35" s="880"/>
      <c r="Z35" s="880"/>
      <c r="AA35" s="880"/>
      <c r="AB35" s="880"/>
    </row>
    <row r="36" spans="2:38">
      <c r="B36" s="880"/>
      <c r="C36" s="880"/>
      <c r="D36" s="880"/>
      <c r="E36" s="880"/>
      <c r="F36" s="880"/>
      <c r="G36" s="880"/>
      <c r="H36" s="880"/>
      <c r="I36" s="880"/>
      <c r="J36" s="880"/>
      <c r="K36" s="880"/>
      <c r="L36" s="880"/>
      <c r="M36" s="880"/>
      <c r="N36" s="880"/>
      <c r="O36" s="880"/>
      <c r="P36" s="880"/>
      <c r="Q36" s="880"/>
      <c r="R36" s="880"/>
      <c r="S36" s="880"/>
      <c r="T36" s="880"/>
      <c r="U36" s="880"/>
      <c r="V36" s="880"/>
      <c r="W36" s="880"/>
      <c r="X36" s="880"/>
      <c r="Y36" s="880"/>
      <c r="Z36" s="880"/>
      <c r="AA36" s="880"/>
      <c r="AB36" s="880"/>
    </row>
    <row r="37" spans="2:38">
      <c r="B37" s="880"/>
      <c r="C37" s="880"/>
      <c r="D37" s="880"/>
      <c r="E37" s="880"/>
      <c r="F37" s="880"/>
      <c r="G37" s="880"/>
      <c r="H37" s="880"/>
      <c r="I37" s="880"/>
      <c r="J37" s="880"/>
      <c r="K37" s="880"/>
      <c r="L37" s="880"/>
      <c r="M37" s="880"/>
      <c r="N37" s="880"/>
      <c r="O37" s="880"/>
      <c r="P37" s="880"/>
      <c r="Q37" s="880"/>
      <c r="R37" s="880"/>
      <c r="S37" s="880"/>
      <c r="T37" s="880"/>
      <c r="U37" s="880"/>
      <c r="V37" s="880"/>
      <c r="W37" s="880"/>
      <c r="X37" s="880"/>
      <c r="Y37" s="880"/>
      <c r="Z37" s="880"/>
      <c r="AA37" s="880"/>
      <c r="AB37" s="880"/>
    </row>
    <row r="38" spans="2:38" ht="26.25" customHeight="1">
      <c r="B38" s="1144" t="s">
        <v>690</v>
      </c>
      <c r="C38" s="1097"/>
      <c r="D38" s="1097"/>
      <c r="E38" s="1097"/>
      <c r="F38" s="1097"/>
      <c r="G38" s="1097"/>
      <c r="H38" s="1097"/>
      <c r="I38" s="1097"/>
      <c r="J38" s="1097"/>
      <c r="K38" s="1098"/>
      <c r="L38" s="880"/>
      <c r="M38" s="880"/>
      <c r="N38" s="880"/>
      <c r="O38" s="880"/>
      <c r="P38" s="880"/>
      <c r="Q38" s="880"/>
      <c r="R38" s="880"/>
      <c r="S38" s="880"/>
      <c r="T38" s="880"/>
      <c r="U38" s="880"/>
      <c r="V38" s="880"/>
      <c r="W38" s="880"/>
      <c r="X38" s="880"/>
      <c r="Y38" s="880"/>
      <c r="Z38" s="880"/>
      <c r="AA38" s="880"/>
      <c r="AB38" s="880"/>
      <c r="AC38" s="880"/>
      <c r="AD38" s="880"/>
      <c r="AE38" s="880"/>
      <c r="AF38" s="880"/>
      <c r="AG38" s="880"/>
      <c r="AH38" s="880"/>
      <c r="AI38" s="880"/>
      <c r="AJ38" s="880"/>
      <c r="AK38" s="880"/>
      <c r="AL38" s="880"/>
    </row>
    <row r="39" spans="2:38" ht="26.25" customHeight="1">
      <c r="B39" s="880"/>
      <c r="C39" s="880"/>
      <c r="D39" s="880"/>
      <c r="E39" s="880"/>
      <c r="F39" s="880"/>
      <c r="G39" s="1081" t="s">
        <v>673</v>
      </c>
      <c r="H39" s="1082"/>
      <c r="I39" s="1082"/>
      <c r="J39" s="1082"/>
      <c r="K39" s="1083"/>
      <c r="L39" s="880"/>
      <c r="M39" s="880"/>
      <c r="N39" s="880"/>
      <c r="O39" s="880"/>
      <c r="P39" s="880"/>
      <c r="Q39" s="1099" t="s">
        <v>674</v>
      </c>
      <c r="R39" s="1100"/>
      <c r="S39" s="1100"/>
      <c r="T39" s="1100"/>
      <c r="U39" s="1101"/>
      <c r="V39" s="880"/>
      <c r="W39" s="880"/>
      <c r="X39" s="880"/>
      <c r="Y39" s="880"/>
      <c r="Z39" s="880"/>
      <c r="AA39" s="880"/>
      <c r="AB39" s="880"/>
      <c r="AC39" s="880"/>
      <c r="AD39" s="880"/>
      <c r="AE39" s="880"/>
      <c r="AF39" s="880"/>
      <c r="AG39" s="880"/>
      <c r="AH39" s="880"/>
      <c r="AI39" s="880"/>
      <c r="AJ39" s="880"/>
      <c r="AK39" s="880"/>
      <c r="AL39" s="880"/>
    </row>
    <row r="40" spans="2:38" ht="25.5">
      <c r="B40" s="880"/>
      <c r="C40" s="880"/>
      <c r="D40" s="880"/>
      <c r="E40" s="880"/>
      <c r="F40" s="880"/>
      <c r="G40" s="880" t="s">
        <v>658</v>
      </c>
      <c r="H40" s="880" t="s">
        <v>644</v>
      </c>
      <c r="I40" s="336" t="s">
        <v>645</v>
      </c>
      <c r="J40" s="880" t="s">
        <v>646</v>
      </c>
      <c r="K40" s="880"/>
      <c r="L40" s="880"/>
      <c r="M40" s="880"/>
      <c r="N40" s="880"/>
      <c r="O40" s="880"/>
      <c r="P40" s="880"/>
      <c r="Q40" s="880" t="s">
        <v>659</v>
      </c>
      <c r="R40" s="880" t="s">
        <v>647</v>
      </c>
      <c r="S40" s="336" t="s">
        <v>648</v>
      </c>
      <c r="T40" s="880" t="s">
        <v>649</v>
      </c>
      <c r="U40" s="880"/>
      <c r="V40" s="880"/>
      <c r="W40" s="880"/>
      <c r="X40" s="880"/>
      <c r="Y40" s="880"/>
      <c r="Z40" s="880"/>
      <c r="AA40" s="880"/>
      <c r="AB40" s="880"/>
      <c r="AC40" s="880"/>
      <c r="AD40" s="880"/>
      <c r="AE40" s="880"/>
      <c r="AF40" s="880"/>
      <c r="AG40" s="880"/>
      <c r="AH40" s="880"/>
      <c r="AI40" s="880"/>
      <c r="AJ40" s="880"/>
      <c r="AK40" s="880"/>
      <c r="AL40" s="880"/>
    </row>
    <row r="41" spans="2:38" ht="12.75" customHeight="1">
      <c r="B41" s="880"/>
      <c r="C41" s="880"/>
      <c r="D41" s="880"/>
      <c r="E41" s="880"/>
      <c r="F41" s="880"/>
      <c r="G41" s="356" t="s">
        <v>675</v>
      </c>
      <c r="H41" s="345">
        <f>H11</f>
        <v>0</v>
      </c>
      <c r="I41" s="345">
        <f>L5</f>
        <v>0</v>
      </c>
      <c r="J41" s="357">
        <f>H41-I41</f>
        <v>0</v>
      </c>
      <c r="K41" s="337"/>
      <c r="L41" s="337"/>
      <c r="M41" s="337"/>
      <c r="N41" s="880"/>
      <c r="O41" s="880"/>
      <c r="P41" s="880"/>
      <c r="Q41" s="76" t="s">
        <v>675</v>
      </c>
      <c r="R41" s="76">
        <f>H41*12</f>
        <v>0</v>
      </c>
      <c r="S41" s="76">
        <f>I41*12</f>
        <v>0</v>
      </c>
      <c r="T41" s="76">
        <f>R41-S41</f>
        <v>0</v>
      </c>
      <c r="U41" s="337"/>
      <c r="V41" s="337"/>
      <c r="W41" s="337"/>
      <c r="X41" s="880"/>
      <c r="Y41" s="880"/>
      <c r="Z41" s="880"/>
      <c r="AA41" s="880"/>
      <c r="AB41" s="880"/>
      <c r="AC41" s="880"/>
      <c r="AD41" s="880"/>
      <c r="AE41" s="880"/>
      <c r="AF41" s="880"/>
      <c r="AG41" s="880"/>
      <c r="AH41" s="880"/>
      <c r="AI41" s="880"/>
      <c r="AJ41" s="880"/>
      <c r="AK41" s="880"/>
      <c r="AL41" s="880"/>
    </row>
    <row r="42" spans="2:38">
      <c r="B42" s="880"/>
      <c r="C42" s="880"/>
      <c r="D42" s="880"/>
      <c r="E42" s="880"/>
      <c r="F42" s="880"/>
      <c r="G42" s="337"/>
      <c r="H42" s="337"/>
      <c r="I42" s="337"/>
      <c r="J42" s="337"/>
      <c r="K42" s="337"/>
      <c r="L42" s="337"/>
      <c r="M42" s="337"/>
      <c r="N42" s="880"/>
      <c r="O42" s="880"/>
      <c r="P42" s="880"/>
      <c r="Q42" s="337"/>
      <c r="R42" s="337"/>
      <c r="S42" s="337"/>
      <c r="T42" s="337"/>
      <c r="U42" s="337"/>
      <c r="V42" s="337"/>
      <c r="W42" s="337"/>
      <c r="X42" s="880"/>
      <c r="Y42" s="880"/>
      <c r="Z42" s="880"/>
      <c r="AA42" s="880"/>
      <c r="AB42" s="880"/>
      <c r="AC42" s="880"/>
      <c r="AD42" s="880"/>
      <c r="AE42" s="880"/>
      <c r="AF42" s="880"/>
      <c r="AG42" s="880"/>
      <c r="AH42" s="880"/>
      <c r="AI42" s="880"/>
      <c r="AJ42" s="880"/>
      <c r="AK42" s="880"/>
      <c r="AL42" s="880"/>
    </row>
    <row r="43" spans="2:38" ht="12.75" customHeight="1">
      <c r="B43" s="880"/>
      <c r="C43" s="880"/>
      <c r="D43" s="880"/>
      <c r="E43" s="880"/>
      <c r="F43" s="880"/>
      <c r="G43" s="337" t="s">
        <v>639</v>
      </c>
      <c r="H43" s="337" t="s">
        <v>640</v>
      </c>
      <c r="I43" s="337" t="s">
        <v>550</v>
      </c>
      <c r="J43" s="337" t="s">
        <v>640</v>
      </c>
      <c r="K43" s="337" t="s">
        <v>641</v>
      </c>
      <c r="L43" s="337" t="s">
        <v>642</v>
      </c>
      <c r="M43" s="337"/>
      <c r="N43" s="880"/>
      <c r="O43" s="880"/>
      <c r="P43" s="880"/>
      <c r="Q43" s="337" t="s">
        <v>639</v>
      </c>
      <c r="R43" s="337" t="s">
        <v>640</v>
      </c>
      <c r="S43" s="337" t="s">
        <v>550</v>
      </c>
      <c r="T43" s="337" t="s">
        <v>640</v>
      </c>
      <c r="U43" s="337" t="s">
        <v>641</v>
      </c>
      <c r="V43" s="337" t="s">
        <v>642</v>
      </c>
      <c r="W43" s="337"/>
      <c r="X43" s="880"/>
      <c r="Y43" s="880"/>
      <c r="Z43" s="880"/>
      <c r="AA43" s="880"/>
      <c r="AB43" s="880"/>
      <c r="AC43" s="880"/>
      <c r="AD43" s="880"/>
      <c r="AE43" s="880"/>
      <c r="AF43" s="880"/>
      <c r="AG43" s="880"/>
      <c r="AH43" s="880"/>
      <c r="AI43" s="880"/>
      <c r="AJ43" s="880"/>
      <c r="AK43" s="880"/>
      <c r="AL43" s="880"/>
    </row>
    <row r="44" spans="2:38">
      <c r="F44" s="880"/>
      <c r="G44" s="347">
        <f>H44</f>
        <v>5270</v>
      </c>
      <c r="H44" s="347">
        <f t="shared" ref="H44:I48" si="3">H13</f>
        <v>5270</v>
      </c>
      <c r="I44" s="348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37"/>
      <c r="N44" s="880"/>
      <c r="O44" s="880"/>
      <c r="P44" s="880"/>
      <c r="Q44" s="347">
        <f>R44</f>
        <v>63240</v>
      </c>
      <c r="R44" s="347">
        <f>H44*12</f>
        <v>63240</v>
      </c>
      <c r="S44" s="348">
        <f t="shared" ref="S44:S49" si="5">I13</f>
        <v>0.1</v>
      </c>
      <c r="T44" s="337">
        <f>IF(T41&gt;Q44,R44,T41)</f>
        <v>0</v>
      </c>
      <c r="U44" s="337">
        <f t="shared" ref="U44:U49" si="6">T44*S44</f>
        <v>0</v>
      </c>
      <c r="V44" s="337">
        <f>U44</f>
        <v>0</v>
      </c>
      <c r="W44" s="337"/>
      <c r="X44" s="880"/>
    </row>
    <row r="45" spans="2:38">
      <c r="F45" s="880"/>
      <c r="G45" s="347">
        <f>G44+H45</f>
        <v>9000</v>
      </c>
      <c r="H45" s="347">
        <f t="shared" si="3"/>
        <v>3730</v>
      </c>
      <c r="I45" s="348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37"/>
      <c r="N45" s="880"/>
      <c r="O45" s="880"/>
      <c r="P45" s="880"/>
      <c r="Q45" s="347">
        <f>Q44+R45</f>
        <v>108000</v>
      </c>
      <c r="R45" s="347">
        <f>H45*12</f>
        <v>44760</v>
      </c>
      <c r="S45" s="348">
        <f t="shared" si="5"/>
        <v>0.14000000000000001</v>
      </c>
      <c r="T45" s="337">
        <f>IF(T41&gt;Q45,R45,IF(T41&lt;Q44,0,T41-Q44))</f>
        <v>0</v>
      </c>
      <c r="U45" s="337">
        <f t="shared" si="6"/>
        <v>0</v>
      </c>
      <c r="V45" s="337">
        <f>V44+U45</f>
        <v>0</v>
      </c>
      <c r="W45" s="337"/>
      <c r="X45" s="880"/>
    </row>
    <row r="46" spans="2:38">
      <c r="F46" s="880"/>
      <c r="G46" s="347">
        <f>G45+H46</f>
        <v>13990</v>
      </c>
      <c r="H46" s="347">
        <f t="shared" si="3"/>
        <v>4990</v>
      </c>
      <c r="I46" s="348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37"/>
      <c r="N46" s="880"/>
      <c r="O46" s="880"/>
      <c r="P46" s="880"/>
      <c r="Q46" s="347">
        <f>Q45+R46</f>
        <v>167880</v>
      </c>
      <c r="R46" s="347">
        <f>H46*12</f>
        <v>59880</v>
      </c>
      <c r="S46" s="348">
        <f t="shared" si="5"/>
        <v>0.21</v>
      </c>
      <c r="T46" s="337">
        <f>IF(T41&gt;Q46,R46,IF(T41&lt;Q45,0,T41-Q45))</f>
        <v>0</v>
      </c>
      <c r="U46" s="337">
        <f t="shared" si="6"/>
        <v>0</v>
      </c>
      <c r="V46" s="337">
        <f>V45+U46</f>
        <v>0</v>
      </c>
      <c r="W46" s="337"/>
      <c r="X46" s="880"/>
    </row>
    <row r="47" spans="2:38">
      <c r="F47" s="880"/>
      <c r="G47" s="347">
        <f>G46+H47</f>
        <v>19980</v>
      </c>
      <c r="H47" s="347">
        <f t="shared" si="3"/>
        <v>5990</v>
      </c>
      <c r="I47" s="348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37"/>
      <c r="N47" s="880"/>
      <c r="O47" s="880"/>
      <c r="P47" s="880"/>
      <c r="Q47" s="347">
        <f>Q46+R47</f>
        <v>239760</v>
      </c>
      <c r="R47" s="347">
        <f>H47*12</f>
        <v>71880</v>
      </c>
      <c r="S47" s="348">
        <f t="shared" si="5"/>
        <v>0.31</v>
      </c>
      <c r="T47" s="337">
        <f>IF(T41&gt;Q47,R47,IF(T41&lt;Q46,0,T41-Q46))</f>
        <v>0</v>
      </c>
      <c r="U47" s="337">
        <f t="shared" si="6"/>
        <v>0</v>
      </c>
      <c r="V47" s="337">
        <f>V46+U47</f>
        <v>0</v>
      </c>
      <c r="W47" s="337"/>
      <c r="X47" s="880"/>
    </row>
    <row r="48" spans="2:38">
      <c r="F48" s="880"/>
      <c r="G48" s="347">
        <f>G47+H48</f>
        <v>41790</v>
      </c>
      <c r="H48" s="347">
        <f t="shared" si="3"/>
        <v>21810</v>
      </c>
      <c r="I48" s="348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37"/>
      <c r="N48" s="880"/>
      <c r="O48" s="880"/>
      <c r="P48" s="880"/>
      <c r="Q48" s="347">
        <f>Q47+R48</f>
        <v>501480</v>
      </c>
      <c r="R48" s="347">
        <f>H48*12</f>
        <v>261720</v>
      </c>
      <c r="S48" s="348">
        <f t="shared" si="5"/>
        <v>0.34</v>
      </c>
      <c r="T48" s="337">
        <f>IF(T41&gt;Q48,R48,IF(T41&lt;Q47,0,T41-Q47))</f>
        <v>0</v>
      </c>
      <c r="U48" s="337">
        <f t="shared" si="6"/>
        <v>0</v>
      </c>
      <c r="V48" s="337">
        <f>V47+U48</f>
        <v>0</v>
      </c>
      <c r="W48" s="337"/>
      <c r="X48" s="880"/>
    </row>
    <row r="49" spans="6:24">
      <c r="F49" s="880"/>
      <c r="G49" s="347">
        <v>99999999</v>
      </c>
      <c r="H49" s="347">
        <f>IF(J41-G48&gt;=0,J41-G48,0)</f>
        <v>0</v>
      </c>
      <c r="I49" s="348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37"/>
      <c r="N49" s="880"/>
      <c r="O49" s="880"/>
      <c r="P49" s="880"/>
      <c r="Q49" s="347">
        <v>99999999</v>
      </c>
      <c r="R49" s="347">
        <f>IF(T41-Q48&gt;=0,T41-Q48,0)</f>
        <v>0</v>
      </c>
      <c r="S49" s="348">
        <f t="shared" si="5"/>
        <v>0.48</v>
      </c>
      <c r="T49" s="337">
        <f>IF(T41&gt;Q49,R49,IF(T41&lt;Q48,0,T41-Q48))</f>
        <v>0</v>
      </c>
      <c r="U49" s="337">
        <f t="shared" si="6"/>
        <v>0</v>
      </c>
      <c r="V49" s="337">
        <f>V48+U49</f>
        <v>0</v>
      </c>
      <c r="W49" s="337"/>
      <c r="X49" s="880"/>
    </row>
    <row r="50" spans="6:24" ht="25.5">
      <c r="F50" s="880"/>
      <c r="G50" s="337"/>
      <c r="H50" s="337"/>
      <c r="I50" s="337"/>
      <c r="J50" s="337"/>
      <c r="K50" s="337"/>
      <c r="L50" s="337"/>
      <c r="M50" s="337" t="s">
        <v>643</v>
      </c>
      <c r="N50" s="337">
        <f>IF(L49-'[1]נתוני יסוד'!L2&gt;=0,L49-'[1]נתוני יסוד'!L2,0)</f>
        <v>0</v>
      </c>
      <c r="O50" s="880"/>
      <c r="P50" s="880"/>
      <c r="Q50" s="337"/>
      <c r="R50" s="337"/>
      <c r="S50" s="337"/>
      <c r="T50" s="337"/>
      <c r="U50" s="337"/>
      <c r="V50" s="337"/>
      <c r="W50" s="337" t="s">
        <v>643</v>
      </c>
      <c r="X50" s="337">
        <f>IF(V49-'[1]נתוני יסוד'!L1&gt;=0,V49-'[1]נתוני יסוד'!L1,0)</f>
        <v>0</v>
      </c>
    </row>
    <row r="51" spans="6:24" ht="27" customHeight="1">
      <c r="F51" s="880"/>
      <c r="G51" s="880"/>
      <c r="H51" s="880"/>
      <c r="I51" s="880"/>
      <c r="J51" s="880"/>
      <c r="K51" s="880"/>
      <c r="L51" s="880"/>
      <c r="M51" s="880" t="s">
        <v>594</v>
      </c>
      <c r="N51" s="361">
        <f>H41-N50</f>
        <v>0</v>
      </c>
      <c r="O51" s="880"/>
      <c r="P51" s="880"/>
      <c r="Q51" s="880"/>
      <c r="R51" s="880"/>
      <c r="S51" s="880"/>
      <c r="T51" s="880"/>
      <c r="U51" s="880"/>
      <c r="V51" s="880"/>
      <c r="W51" s="880" t="s">
        <v>594</v>
      </c>
      <c r="X51" s="337">
        <f>R41-X50</f>
        <v>0</v>
      </c>
    </row>
    <row r="52" spans="6:24">
      <c r="F52" s="880"/>
      <c r="G52" s="880"/>
      <c r="H52" s="880"/>
      <c r="I52" s="880"/>
      <c r="J52" s="880"/>
      <c r="K52" s="880"/>
      <c r="L52" s="880"/>
      <c r="M52" s="880"/>
      <c r="N52" s="880"/>
      <c r="O52" s="880"/>
      <c r="P52" s="880"/>
      <c r="Q52" s="880"/>
      <c r="R52" s="880"/>
      <c r="S52" s="880"/>
      <c r="T52" s="880"/>
      <c r="U52" s="880"/>
      <c r="V52" s="880"/>
      <c r="W52" s="880"/>
      <c r="X52" s="880"/>
    </row>
    <row r="53" spans="6:24" ht="33">
      <c r="F53" s="880"/>
      <c r="G53" s="1090" t="s">
        <v>666</v>
      </c>
      <c r="H53" s="1091"/>
      <c r="I53" s="1091"/>
      <c r="J53" s="1092"/>
      <c r="K53" s="880"/>
      <c r="L53" s="880"/>
      <c r="M53" s="880"/>
      <c r="N53" s="880"/>
      <c r="O53" s="880"/>
      <c r="P53" s="880"/>
      <c r="Q53" s="1093" t="s">
        <v>666</v>
      </c>
      <c r="R53" s="1093"/>
      <c r="S53" s="880"/>
      <c r="T53" s="880"/>
      <c r="U53" s="880"/>
      <c r="V53" s="880"/>
      <c r="W53" s="880"/>
      <c r="X53" s="880"/>
    </row>
    <row r="54" spans="6:24">
      <c r="F54" s="880"/>
      <c r="G54" s="880"/>
      <c r="H54" s="880" t="s">
        <v>163</v>
      </c>
      <c r="I54" s="65">
        <v>68</v>
      </c>
      <c r="J54" s="1087" t="s">
        <v>436</v>
      </c>
      <c r="K54" s="1087"/>
      <c r="L54" s="65">
        <v>120</v>
      </c>
      <c r="M54" s="880" t="s">
        <v>234</v>
      </c>
      <c r="N54" s="82">
        <v>3.5</v>
      </c>
      <c r="O54" s="880"/>
      <c r="P54" s="880"/>
      <c r="Q54" s="880"/>
      <c r="R54" s="880" t="s">
        <v>163</v>
      </c>
      <c r="S54" s="65">
        <v>68</v>
      </c>
      <c r="T54" s="1087" t="s">
        <v>436</v>
      </c>
      <c r="U54" s="1087"/>
      <c r="V54" s="65">
        <v>120</v>
      </c>
      <c r="W54" s="880" t="s">
        <v>234</v>
      </c>
      <c r="X54" s="82">
        <v>3.5</v>
      </c>
    </row>
    <row r="55" spans="6:24">
      <c r="F55" s="880"/>
      <c r="G55" s="880"/>
      <c r="H55" s="880"/>
      <c r="I55" s="880"/>
      <c r="J55" s="880"/>
      <c r="K55" s="880"/>
      <c r="L55" s="880"/>
      <c r="M55" s="880"/>
      <c r="N55" s="880"/>
      <c r="O55" s="880"/>
      <c r="P55" s="880"/>
      <c r="Q55" s="880"/>
      <c r="R55" s="880"/>
      <c r="S55" s="880"/>
      <c r="T55" s="880"/>
      <c r="U55" s="880"/>
      <c r="V55" s="880"/>
      <c r="W55" s="880"/>
      <c r="X55" s="880"/>
    </row>
    <row r="56" spans="6:24">
      <c r="F56" s="880"/>
      <c r="G56" s="880"/>
      <c r="H56" s="880" t="s">
        <v>248</v>
      </c>
      <c r="I56" s="1088">
        <f>PV(N54/100/12,(L54-I54)*12,N51,,1)*(-1)</f>
        <v>0</v>
      </c>
      <c r="J56" s="1088"/>
      <c r="K56" s="880"/>
      <c r="L56" s="880"/>
      <c r="M56" s="880"/>
      <c r="N56" s="880"/>
      <c r="O56" s="880"/>
      <c r="P56" s="880"/>
      <c r="Q56" s="880"/>
      <c r="R56" s="880" t="s">
        <v>248</v>
      </c>
      <c r="S56" s="1088">
        <f>PV(X54/100,(V54-S54),X51,,1)*(-1)</f>
        <v>0</v>
      </c>
      <c r="T56" s="1088"/>
      <c r="U56" s="880"/>
      <c r="V56" s="880"/>
      <c r="W56" s="880"/>
      <c r="X56" s="880"/>
    </row>
    <row r="57" spans="6:24">
      <c r="F57" s="880"/>
      <c r="G57" s="880"/>
      <c r="H57" s="880"/>
      <c r="I57" s="880"/>
      <c r="J57" s="880"/>
      <c r="K57" s="880"/>
      <c r="L57" s="880"/>
      <c r="M57" s="880"/>
      <c r="N57" s="880"/>
      <c r="O57" s="880"/>
      <c r="P57" s="880"/>
      <c r="Q57" s="880"/>
      <c r="R57" s="880"/>
      <c r="S57" s="880"/>
      <c r="T57" s="880"/>
      <c r="U57" s="880"/>
      <c r="V57" s="880"/>
      <c r="W57" s="880"/>
      <c r="X57" s="880"/>
    </row>
    <row r="58" spans="6:24">
      <c r="F58" s="880"/>
      <c r="G58" s="1087" t="s">
        <v>668</v>
      </c>
      <c r="H58" s="1087"/>
      <c r="I58" s="1088">
        <f>PV(N54/100/12,(L54-I54)*12,I41,,1)*(-1)</f>
        <v>0</v>
      </c>
      <c r="J58" s="1088"/>
      <c r="K58" s="880"/>
      <c r="L58" s="880"/>
      <c r="M58" s="880"/>
      <c r="N58" s="880"/>
      <c r="O58" s="880"/>
      <c r="P58" s="880"/>
      <c r="Q58" s="1087" t="s">
        <v>668</v>
      </c>
      <c r="R58" s="1087"/>
      <c r="S58" s="1088">
        <f>PV(X54/100,(V54-S54),S41,,1)*(-1)</f>
        <v>0</v>
      </c>
      <c r="T58" s="1088"/>
      <c r="U58" s="880"/>
      <c r="V58" s="880"/>
      <c r="W58" s="880"/>
      <c r="X58" s="880"/>
    </row>
    <row r="59" spans="6:24">
      <c r="F59" s="880"/>
      <c r="G59" s="880"/>
      <c r="H59" s="880"/>
      <c r="I59" s="880"/>
      <c r="J59" s="880"/>
      <c r="K59" s="880"/>
      <c r="L59" s="880"/>
      <c r="M59" s="880"/>
      <c r="N59" s="880"/>
      <c r="O59" s="880"/>
      <c r="P59" s="880"/>
      <c r="Q59" s="880"/>
      <c r="R59" s="880"/>
      <c r="S59" s="880"/>
      <c r="T59" s="880"/>
      <c r="U59" s="880"/>
      <c r="V59" s="880"/>
      <c r="W59" s="880"/>
      <c r="X59" s="880"/>
    </row>
    <row r="60" spans="6:24">
      <c r="F60" s="880"/>
      <c r="G60" s="880"/>
      <c r="H60" s="880"/>
      <c r="I60" s="880"/>
      <c r="J60" s="880"/>
      <c r="K60" s="880"/>
      <c r="L60" s="880"/>
      <c r="M60" s="880"/>
      <c r="N60" s="880"/>
      <c r="O60" s="880"/>
      <c r="P60" s="880"/>
      <c r="Q60" s="880"/>
      <c r="R60" s="880"/>
      <c r="S60" s="880"/>
      <c r="T60" s="880"/>
      <c r="U60" s="880"/>
      <c r="V60" s="880"/>
      <c r="W60" s="880"/>
      <c r="X60" s="880"/>
    </row>
  </sheetData>
  <sheetProtection password="83F6" sheet="1" objects="1" scenarios="1" selectLockedCells="1" selectUnlockedCells="1"/>
  <mergeCells count="54">
    <mergeCell ref="I56:J56"/>
    <mergeCell ref="S56:T56"/>
    <mergeCell ref="G58:H58"/>
    <mergeCell ref="I58:J58"/>
    <mergeCell ref="Q58:R58"/>
    <mergeCell ref="S58:T58"/>
    <mergeCell ref="J54:K54"/>
    <mergeCell ref="T54:U54"/>
    <mergeCell ref="B30:C30"/>
    <mergeCell ref="B31:C31"/>
    <mergeCell ref="B32:C32"/>
    <mergeCell ref="B33:C33"/>
    <mergeCell ref="B34:C34"/>
    <mergeCell ref="B35:C35"/>
    <mergeCell ref="B38:K38"/>
    <mergeCell ref="G39:K39"/>
    <mergeCell ref="Q39:U39"/>
    <mergeCell ref="G53:J53"/>
    <mergeCell ref="Q53:R53"/>
    <mergeCell ref="G27:H27"/>
    <mergeCell ref="I27:J27"/>
    <mergeCell ref="Q27:R27"/>
    <mergeCell ref="S27:T27"/>
    <mergeCell ref="B16:C16"/>
    <mergeCell ref="B17:C17"/>
    <mergeCell ref="B18:C18"/>
    <mergeCell ref="B22:C22"/>
    <mergeCell ref="G22:J22"/>
    <mergeCell ref="Q22:R22"/>
    <mergeCell ref="B23:C23"/>
    <mergeCell ref="J23:K23"/>
    <mergeCell ref="T23:U23"/>
    <mergeCell ref="I25:J25"/>
    <mergeCell ref="S25:T25"/>
    <mergeCell ref="A15:C15"/>
    <mergeCell ref="B6:C6"/>
    <mergeCell ref="F6:G6"/>
    <mergeCell ref="I6:K6"/>
    <mergeCell ref="B8:K8"/>
    <mergeCell ref="A10:C10"/>
    <mergeCell ref="A11:C11"/>
    <mergeCell ref="A12:C12"/>
    <mergeCell ref="A13:C13"/>
    <mergeCell ref="A14:C14"/>
    <mergeCell ref="I1:K1"/>
    <mergeCell ref="E2:G2"/>
    <mergeCell ref="I2:K2"/>
    <mergeCell ref="I3:K3"/>
    <mergeCell ref="I4:K4"/>
    <mergeCell ref="B5:C5"/>
    <mergeCell ref="I5:K5"/>
    <mergeCell ref="Q8:S8"/>
    <mergeCell ref="G9:K9"/>
    <mergeCell ref="Q9:U9"/>
  </mergeCell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Worksheet______17">
    <tabColor indexed="45"/>
  </sheetPr>
  <dimension ref="A1:AL62"/>
  <sheetViews>
    <sheetView rightToLeft="1" workbookViewId="0"/>
  </sheetViews>
  <sheetFormatPr defaultRowHeight="12.75"/>
  <cols>
    <col min="1" max="1" width="15.140625" style="329" customWidth="1"/>
    <col min="2" max="3" width="9.140625" style="329"/>
    <col min="4" max="4" width="16.28515625" style="329" customWidth="1"/>
    <col min="5" max="5" width="15.85546875" style="329" customWidth="1"/>
    <col min="6" max="6" width="13.28515625" style="329" customWidth="1"/>
    <col min="7" max="7" width="14.28515625" style="329" customWidth="1"/>
    <col min="8" max="8" width="15" style="329" customWidth="1"/>
    <col min="9" max="9" width="13.28515625" style="329" customWidth="1"/>
    <col min="10" max="10" width="16" style="329" customWidth="1"/>
    <col min="11" max="11" width="14.42578125" style="329" customWidth="1"/>
    <col min="12" max="12" width="13" style="329" customWidth="1"/>
    <col min="13" max="13" width="12.5703125" style="329" customWidth="1"/>
    <col min="14" max="14" width="14.140625" style="329" customWidth="1"/>
    <col min="15" max="15" width="12.42578125" style="329" customWidth="1"/>
    <col min="16" max="16" width="9.140625" style="329"/>
    <col min="17" max="17" width="15.7109375" style="329" customWidth="1"/>
    <col min="18" max="18" width="16.140625" style="329" customWidth="1"/>
    <col min="19" max="19" width="11.42578125" style="329" customWidth="1"/>
    <col min="20" max="20" width="14.85546875" style="329" customWidth="1"/>
    <col min="21" max="21" width="14.140625" style="329" customWidth="1"/>
    <col min="22" max="22" width="13.5703125" style="329" customWidth="1"/>
    <col min="23" max="23" width="9.140625" style="329"/>
    <col min="24" max="24" width="14.85546875" style="329" customWidth="1"/>
    <col min="25" max="16384" width="9.140625" style="329"/>
  </cols>
  <sheetData>
    <row r="1" spans="2:38">
      <c r="I1" s="389" t="s">
        <v>677</v>
      </c>
      <c r="J1" s="368" t="s">
        <v>635</v>
      </c>
      <c r="K1" s="369">
        <f>'[1]נתוני יסוד'!B26</f>
        <v>0</v>
      </c>
      <c r="L1" s="1130" t="s">
        <v>484</v>
      </c>
      <c r="M1" s="1130"/>
      <c r="N1" s="390" t="e">
        <f>((X19-Q41*12)*D23)+(D22/D23/2)</f>
        <v>#DIV/0!</v>
      </c>
    </row>
    <row r="2" spans="2:38">
      <c r="E2" s="1073" t="s">
        <v>653</v>
      </c>
      <c r="F2" s="1073"/>
      <c r="G2" s="1073"/>
      <c r="H2" s="370">
        <f>'[1]נתוני יסוד'!E6</f>
        <v>0</v>
      </c>
      <c r="I2" s="391"/>
      <c r="J2" s="331" t="s">
        <v>678</v>
      </c>
      <c r="K2" s="371">
        <f>'[1]נתוני יסוד'!B27</f>
        <v>0</v>
      </c>
      <c r="L2" s="1131"/>
      <c r="M2" s="1131"/>
      <c r="N2" s="392" t="e">
        <f>((X19-Q41*12)*D23)</f>
        <v>#DIV/0!</v>
      </c>
    </row>
    <row r="3" spans="2:38">
      <c r="B3" s="34"/>
      <c r="C3" s="34"/>
      <c r="D3" s="34"/>
      <c r="E3" s="34"/>
      <c r="F3" s="34"/>
      <c r="G3" s="34"/>
      <c r="H3" s="34"/>
      <c r="I3" s="372"/>
      <c r="J3" s="373" t="s">
        <v>679</v>
      </c>
      <c r="K3" s="374">
        <f>'[1]נתוני יסוד'!B28</f>
        <v>0</v>
      </c>
      <c r="L3" s="1131"/>
      <c r="M3" s="1131"/>
      <c r="N3" s="375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2:38">
      <c r="B4" s="34"/>
      <c r="C4" s="34"/>
      <c r="D4" s="34"/>
      <c r="E4" s="34"/>
      <c r="F4" s="34"/>
      <c r="G4" s="34"/>
      <c r="H4" s="34"/>
      <c r="I4" s="372"/>
      <c r="J4" s="373" t="s">
        <v>385</v>
      </c>
      <c r="K4" s="374">
        <f>'[1]נתוני יסוד'!B29</f>
        <v>0</v>
      </c>
      <c r="L4" s="1131"/>
      <c r="M4" s="1131"/>
      <c r="N4" s="375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2:38" ht="13.5" thickBot="1">
      <c r="B5" s="1076" t="s">
        <v>650</v>
      </c>
      <c r="C5" s="1030"/>
      <c r="D5" s="376">
        <f>'[1]נתוני יסוד'!B4</f>
        <v>0</v>
      </c>
      <c r="E5" s="34" t="s">
        <v>651</v>
      </c>
      <c r="F5" s="34"/>
      <c r="G5" s="34"/>
      <c r="H5" s="34"/>
      <c r="I5" s="377"/>
      <c r="J5" s="378" t="s">
        <v>680</v>
      </c>
      <c r="K5" s="379">
        <f>'[1]נתוני יסוד'!B30</f>
        <v>0</v>
      </c>
      <c r="L5" s="1132"/>
      <c r="M5" s="1132"/>
      <c r="N5" s="380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2:38">
      <c r="B6" s="1076" t="s">
        <v>652</v>
      </c>
      <c r="C6" s="1030"/>
      <c r="D6" s="376">
        <f>'[1]נתוני יסוד'!B6</f>
        <v>45874.826249999998</v>
      </c>
      <c r="E6" s="34"/>
      <c r="F6" s="1076" t="s">
        <v>654</v>
      </c>
      <c r="G6" s="1030"/>
      <c r="H6" s="339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2:38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2:38" ht="26.25">
      <c r="B8" s="1145" t="s">
        <v>691</v>
      </c>
      <c r="C8" s="1146"/>
      <c r="D8" s="1146"/>
      <c r="E8" s="1146"/>
      <c r="F8" s="1146"/>
      <c r="G8" s="1146"/>
      <c r="H8" s="1146"/>
      <c r="I8" s="1146"/>
      <c r="J8" s="1146"/>
      <c r="K8" s="1147"/>
      <c r="L8" s="34"/>
      <c r="M8" s="34"/>
      <c r="N8" s="34"/>
      <c r="O8" s="34"/>
      <c r="P8" s="34"/>
      <c r="Q8" s="1080"/>
      <c r="R8" s="1029"/>
      <c r="S8" s="1030"/>
      <c r="T8" s="34"/>
      <c r="U8" s="34"/>
      <c r="V8" s="34"/>
      <c r="W8" s="34"/>
      <c r="X8" s="34"/>
      <c r="Y8" s="34"/>
      <c r="Z8" s="34"/>
      <c r="AA8" s="34"/>
      <c r="AB8" s="34"/>
    </row>
    <row r="9" spans="2:38" ht="26.25">
      <c r="B9" s="34"/>
      <c r="C9" s="34"/>
      <c r="D9" s="34"/>
      <c r="E9" s="34"/>
      <c r="F9" s="34"/>
      <c r="G9" s="1081" t="s">
        <v>267</v>
      </c>
      <c r="H9" s="1082"/>
      <c r="I9" s="1082"/>
      <c r="J9" s="1082"/>
      <c r="K9" s="1083"/>
      <c r="L9" s="34"/>
      <c r="M9" s="34"/>
      <c r="N9" s="34"/>
      <c r="O9" s="34"/>
      <c r="P9" s="34"/>
      <c r="Q9" s="1084" t="s">
        <v>638</v>
      </c>
      <c r="R9" s="1085"/>
      <c r="S9" s="1085"/>
      <c r="T9" s="1085"/>
      <c r="U9" s="1086"/>
      <c r="V9" s="34"/>
      <c r="W9" s="34"/>
      <c r="X9" s="34"/>
      <c r="Y9" s="34"/>
      <c r="Z9" s="34"/>
      <c r="AA9" s="34"/>
      <c r="AB9" s="34"/>
    </row>
    <row r="10" spans="2:38" ht="25.5">
      <c r="B10" s="1076" t="s">
        <v>644</v>
      </c>
      <c r="C10" s="1030"/>
      <c r="D10" s="345">
        <f>'[1]פיצויים פטורים והוני'!D10</f>
        <v>0</v>
      </c>
      <c r="E10" s="80"/>
      <c r="F10" s="80"/>
      <c r="G10" s="34" t="s">
        <v>658</v>
      </c>
      <c r="H10" s="34" t="s">
        <v>644</v>
      </c>
      <c r="I10" s="336" t="s">
        <v>645</v>
      </c>
      <c r="J10" s="34" t="s">
        <v>646</v>
      </c>
      <c r="K10" s="34"/>
      <c r="L10" s="34"/>
      <c r="M10" s="34"/>
      <c r="N10" s="34"/>
      <c r="O10" s="34"/>
      <c r="P10" s="34"/>
      <c r="Q10" s="34" t="s">
        <v>659</v>
      </c>
      <c r="R10" s="34" t="s">
        <v>647</v>
      </c>
      <c r="S10" s="336" t="s">
        <v>648</v>
      </c>
      <c r="T10" s="34" t="s">
        <v>649</v>
      </c>
      <c r="U10" s="34"/>
      <c r="V10" s="34"/>
      <c r="W10" s="34"/>
      <c r="X10" s="34"/>
      <c r="Y10" s="34"/>
      <c r="Z10" s="34"/>
      <c r="AA10" s="34"/>
      <c r="AB10" s="34"/>
    </row>
    <row r="11" spans="2:38">
      <c r="B11" s="1076" t="s">
        <v>681</v>
      </c>
      <c r="C11" s="1030"/>
      <c r="D11" s="345">
        <f>K1+K3+K4+K5</f>
        <v>0</v>
      </c>
      <c r="E11" s="80"/>
      <c r="F11" s="80"/>
      <c r="G11" s="335" t="e">
        <f>Q11/12</f>
        <v>#DIV/0!</v>
      </c>
      <c r="H11" s="76">
        <f>D11</f>
        <v>0</v>
      </c>
      <c r="I11" s="76">
        <f>K4</f>
        <v>0</v>
      </c>
      <c r="J11" s="344" t="e">
        <f>H11-I11+G11</f>
        <v>#DIV/0!</v>
      </c>
      <c r="K11" s="337"/>
      <c r="L11" s="337"/>
      <c r="M11" s="337"/>
      <c r="N11" s="34"/>
      <c r="O11" s="34"/>
      <c r="P11" s="34"/>
      <c r="Q11" s="76" t="e">
        <f>(D22)/D23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7"/>
      <c r="V11" s="337"/>
      <c r="W11" s="337"/>
      <c r="X11" s="34"/>
      <c r="Y11" s="34"/>
      <c r="Z11" s="34"/>
      <c r="AA11" s="34"/>
      <c r="AB11" s="34"/>
    </row>
    <row r="12" spans="2:38">
      <c r="B12" s="1076" t="s">
        <v>682</v>
      </c>
      <c r="C12" s="1030"/>
      <c r="D12" s="67">
        <f>'[1]נתוני יסוד'!B33</f>
        <v>0</v>
      </c>
      <c r="E12" s="80"/>
      <c r="F12" s="80"/>
      <c r="G12" s="337" t="s">
        <v>639</v>
      </c>
      <c r="H12" s="337" t="s">
        <v>640</v>
      </c>
      <c r="I12" s="337" t="s">
        <v>550</v>
      </c>
      <c r="J12" s="337" t="s">
        <v>640</v>
      </c>
      <c r="K12" s="337" t="s">
        <v>641</v>
      </c>
      <c r="L12" s="337" t="s">
        <v>642</v>
      </c>
      <c r="M12" s="337"/>
      <c r="N12" s="34"/>
      <c r="O12" s="34"/>
      <c r="P12" s="34"/>
      <c r="Q12" s="337" t="s">
        <v>639</v>
      </c>
      <c r="R12" s="337" t="s">
        <v>640</v>
      </c>
      <c r="S12" s="337" t="s">
        <v>550</v>
      </c>
      <c r="T12" s="337" t="s">
        <v>640</v>
      </c>
      <c r="U12" s="337" t="s">
        <v>641</v>
      </c>
      <c r="V12" s="337" t="s">
        <v>642</v>
      </c>
      <c r="W12" s="337"/>
      <c r="X12" s="34"/>
      <c r="Y12" s="34"/>
      <c r="Z12" s="34"/>
      <c r="AA12" s="34"/>
      <c r="AB12" s="34"/>
    </row>
    <row r="13" spans="2:38">
      <c r="B13" s="1128" t="s">
        <v>692</v>
      </c>
      <c r="C13" s="1129"/>
      <c r="D13" s="357">
        <f>D12-D18</f>
        <v>0</v>
      </c>
      <c r="E13" s="80"/>
      <c r="F13" s="80"/>
      <c r="G13" s="347">
        <f>H13</f>
        <v>5270</v>
      </c>
      <c r="H13" s="347">
        <f>'[1]חישובי מיסוי פנסיה פתוחים'!B6</f>
        <v>5270</v>
      </c>
      <c r="I13" s="348">
        <f>'[1]חישובי מיסוי פנסיה פתוחים'!C6</f>
        <v>0.1</v>
      </c>
      <c r="J13" s="337" t="e">
        <f>IF(J11&gt;G13,H13,J11)</f>
        <v>#DIV/0!</v>
      </c>
      <c r="K13" s="337" t="e">
        <f t="shared" ref="K13:K18" si="0">J13*I13</f>
        <v>#DIV/0!</v>
      </c>
      <c r="L13" s="337" t="e">
        <f>K13</f>
        <v>#DIV/0!</v>
      </c>
      <c r="M13" s="337"/>
      <c r="N13" s="34"/>
      <c r="O13" s="34"/>
      <c r="P13" s="34"/>
      <c r="Q13" s="347">
        <f>R13</f>
        <v>63240</v>
      </c>
      <c r="R13" s="347">
        <f>H13*12</f>
        <v>63240</v>
      </c>
      <c r="S13" s="348">
        <f t="shared" ref="S13:S18" si="1">I13</f>
        <v>0.1</v>
      </c>
      <c r="T13" s="337" t="e">
        <f>IF(T11&gt;Q13,R13,T11)</f>
        <v>#DIV/0!</v>
      </c>
      <c r="U13" s="337" t="e">
        <f t="shared" ref="U13:U18" si="2">T13*S13</f>
        <v>#DIV/0!</v>
      </c>
      <c r="V13" s="337" t="e">
        <f>U13</f>
        <v>#DIV/0!</v>
      </c>
      <c r="W13" s="337"/>
      <c r="X13" s="34"/>
      <c r="Y13" s="34"/>
      <c r="Z13" s="34"/>
      <c r="AA13" s="34"/>
      <c r="AB13" s="34"/>
    </row>
    <row r="14" spans="2:38">
      <c r="B14" s="34"/>
      <c r="C14" s="34"/>
      <c r="D14" s="80"/>
      <c r="E14" s="80"/>
      <c r="F14" s="80"/>
      <c r="G14" s="347">
        <f>G13+H14</f>
        <v>9000</v>
      </c>
      <c r="H14" s="347">
        <f>'[1]חישובי מיסוי פנסיה פתוחים'!B7</f>
        <v>3730</v>
      </c>
      <c r="I14" s="348">
        <f>'[1]חישובי מיסוי פנסיה פתוחים'!C7</f>
        <v>0.14000000000000001</v>
      </c>
      <c r="J14" s="337" t="e">
        <f>IF(J11&gt;G14,H14,IF(J11&lt;G13,0,J11-G13))</f>
        <v>#DIV/0!</v>
      </c>
      <c r="K14" s="337" t="e">
        <f t="shared" si="0"/>
        <v>#DIV/0!</v>
      </c>
      <c r="L14" s="337" t="e">
        <f>L13+K14</f>
        <v>#DIV/0!</v>
      </c>
      <c r="M14" s="337"/>
      <c r="N14" s="34"/>
      <c r="O14" s="34"/>
      <c r="P14" s="34"/>
      <c r="Q14" s="347">
        <f>Q13+R14</f>
        <v>108000</v>
      </c>
      <c r="R14" s="347">
        <f>H14*12</f>
        <v>44760</v>
      </c>
      <c r="S14" s="348">
        <f t="shared" si="1"/>
        <v>0.14000000000000001</v>
      </c>
      <c r="T14" s="337" t="e">
        <f>IF(T11&gt;Q14,R14,IF(T11&lt;Q13,0,T11-Q13))</f>
        <v>#DIV/0!</v>
      </c>
      <c r="U14" s="337" t="e">
        <f t="shared" si="2"/>
        <v>#DIV/0!</v>
      </c>
      <c r="V14" s="337" t="e">
        <f>V13+U14</f>
        <v>#DIV/0!</v>
      </c>
      <c r="W14" s="337"/>
      <c r="X14" s="34"/>
      <c r="Y14" s="34"/>
      <c r="Z14" s="34"/>
      <c r="AA14" s="34"/>
      <c r="AB14" s="34"/>
    </row>
    <row r="15" spans="2:38">
      <c r="B15" s="1076" t="s">
        <v>663</v>
      </c>
      <c r="C15" s="1030"/>
      <c r="D15" s="345">
        <f>H6</f>
        <v>125.59842915811087</v>
      </c>
      <c r="E15" s="80"/>
      <c r="F15" s="80"/>
      <c r="G15" s="347">
        <f>G14+H15</f>
        <v>13990</v>
      </c>
      <c r="H15" s="347">
        <f>'[1]חישובי מיסוי פנסיה פתוחים'!B8</f>
        <v>4990</v>
      </c>
      <c r="I15" s="348">
        <f>'[1]חישובי מיסוי פנסיה פתוחים'!C8</f>
        <v>0.21</v>
      </c>
      <c r="J15" s="337" t="e">
        <f>IF(J11&gt;G15,H15,IF(J11&lt;G14,0,J11-G14))</f>
        <v>#DIV/0!</v>
      </c>
      <c r="K15" s="337" t="e">
        <f t="shared" si="0"/>
        <v>#DIV/0!</v>
      </c>
      <c r="L15" s="337" t="e">
        <f>L14+K15</f>
        <v>#DIV/0!</v>
      </c>
      <c r="Q15" s="347">
        <f>Q14+R15</f>
        <v>167880</v>
      </c>
      <c r="R15" s="347">
        <f>H15*12</f>
        <v>59880</v>
      </c>
      <c r="S15" s="348">
        <f t="shared" si="1"/>
        <v>0.21</v>
      </c>
      <c r="T15" s="337" t="e">
        <f>IF(T11&gt;Q15,R15,IF(T11&lt;Q14,0,T11-Q14))</f>
        <v>#DIV/0!</v>
      </c>
      <c r="U15" s="337" t="e">
        <f t="shared" si="2"/>
        <v>#DIV/0!</v>
      </c>
      <c r="V15" s="337" t="e">
        <f>V14+U15</f>
        <v>#DIV/0!</v>
      </c>
      <c r="W15" s="337"/>
      <c r="X15" s="34"/>
      <c r="Y15" s="34"/>
      <c r="Z15" s="34"/>
      <c r="AA15" s="34"/>
      <c r="AB15" s="34"/>
    </row>
    <row r="16" spans="2:38">
      <c r="B16" s="1076" t="s">
        <v>664</v>
      </c>
      <c r="C16" s="1030"/>
      <c r="D16" s="345">
        <f>IF(D15&lt;=3,0,IF(D15&lt;=7,1,IF(D15&lt;=11,2,IF(D15&lt;=15,3,IF(D15&lt;=19,4,IF(D15&lt;=23,5,IF(D15&lt;=99,6,0)))))))</f>
        <v>0</v>
      </c>
      <c r="E16" s="80"/>
      <c r="F16" s="80"/>
      <c r="G16" s="347">
        <f>G15+H16</f>
        <v>19980</v>
      </c>
      <c r="H16" s="347">
        <f>'[1]חישובי מיסוי פנסיה פתוחים'!B9</f>
        <v>5990</v>
      </c>
      <c r="I16" s="348">
        <f>'[1]חישובי מיסוי פנסיה פתוחים'!C9</f>
        <v>0.31</v>
      </c>
      <c r="J16" s="337" t="e">
        <f>IF(J11&gt;G16,H16,IF(J11&lt;G15,0,J11-G15))</f>
        <v>#DIV/0!</v>
      </c>
      <c r="K16" s="337" t="e">
        <f t="shared" si="0"/>
        <v>#DIV/0!</v>
      </c>
      <c r="L16" s="337" t="e">
        <f>L15+K16</f>
        <v>#DIV/0!</v>
      </c>
      <c r="M16" s="337"/>
      <c r="N16" s="34"/>
      <c r="O16" s="34"/>
      <c r="P16" s="34"/>
      <c r="Q16" s="347">
        <f>Q15+R16</f>
        <v>239760</v>
      </c>
      <c r="R16" s="347">
        <f>H16*12</f>
        <v>71880</v>
      </c>
      <c r="S16" s="348">
        <f t="shared" si="1"/>
        <v>0.31</v>
      </c>
      <c r="T16" s="337" t="e">
        <f>IF(T11&gt;Q16,R16,IF(T11&lt;Q15,0,T11-Q15))</f>
        <v>#DIV/0!</v>
      </c>
      <c r="U16" s="337" t="e">
        <f t="shared" si="2"/>
        <v>#DIV/0!</v>
      </c>
      <c r="V16" s="337" t="e">
        <f>V15+U16</f>
        <v>#DIV/0!</v>
      </c>
      <c r="W16" s="337"/>
      <c r="X16" s="34"/>
      <c r="Y16" s="34"/>
      <c r="Z16" s="34"/>
      <c r="AA16" s="34"/>
      <c r="AB16" s="34"/>
    </row>
    <row r="17" spans="2:28">
      <c r="B17" s="34"/>
      <c r="C17" s="34"/>
      <c r="D17" s="80"/>
      <c r="E17" s="80"/>
      <c r="F17" s="80"/>
      <c r="G17" s="347">
        <f>G16+H17</f>
        <v>41790</v>
      </c>
      <c r="H17" s="347">
        <f>'[1]חישובי מיסוי פנסיה פתוחים'!B10</f>
        <v>21810</v>
      </c>
      <c r="I17" s="348">
        <f>'[1]חישובי מיסוי פנסיה פתוחים'!C10</f>
        <v>0.34</v>
      </c>
      <c r="J17" s="337" t="e">
        <f>IF(J11&gt;G17,H17,IF(J11&lt;G16,0,J11-G16))</f>
        <v>#DIV/0!</v>
      </c>
      <c r="K17" s="337" t="e">
        <f t="shared" si="0"/>
        <v>#DIV/0!</v>
      </c>
      <c r="L17" s="337" t="e">
        <f>L16+K17</f>
        <v>#DIV/0!</v>
      </c>
      <c r="M17" s="337"/>
      <c r="N17" s="34"/>
      <c r="O17" s="34"/>
      <c r="P17" s="34"/>
      <c r="Q17" s="347">
        <f>Q16+R17</f>
        <v>501480</v>
      </c>
      <c r="R17" s="347">
        <f>H17*12</f>
        <v>261720</v>
      </c>
      <c r="S17" s="348">
        <f t="shared" si="1"/>
        <v>0.34</v>
      </c>
      <c r="T17" s="337" t="e">
        <f>IF(T11&gt;Q17,R17,IF(T11&lt;Q16,0,T11-Q16))</f>
        <v>#DIV/0!</v>
      </c>
      <c r="U17" s="337" t="e">
        <f t="shared" si="2"/>
        <v>#DIV/0!</v>
      </c>
      <c r="V17" s="337" t="e">
        <f>V16+U17</f>
        <v>#DIV/0!</v>
      </c>
      <c r="W17" s="337"/>
      <c r="X17" s="34"/>
      <c r="Y17" s="34"/>
      <c r="Z17" s="34"/>
      <c r="AA17" s="34"/>
      <c r="AB17" s="34"/>
    </row>
    <row r="18" spans="2:28">
      <c r="B18" s="1076" t="s">
        <v>584</v>
      </c>
      <c r="C18" s="1030"/>
      <c r="D18" s="55">
        <f>IF(D12&gt;'[1]נתוני יסוד'!M6,'[1]נתוני יסוד'!M6,D12)</f>
        <v>0</v>
      </c>
      <c r="E18" s="80"/>
      <c r="F18" s="80"/>
      <c r="G18" s="347">
        <v>99999999</v>
      </c>
      <c r="H18" s="347" t="e">
        <f>IF(J11-G17&gt;=0,J11-G17,0)</f>
        <v>#DIV/0!</v>
      </c>
      <c r="I18" s="348">
        <f>'[1]חישובי מיסוי פנסיה פתוחים'!C11</f>
        <v>0.48</v>
      </c>
      <c r="J18" s="337" t="e">
        <f>IF(J11&gt;G18,H18,IF(J11&lt;G17,0,J11-G17))</f>
        <v>#DIV/0!</v>
      </c>
      <c r="K18" s="337" t="e">
        <f t="shared" si="0"/>
        <v>#DIV/0!</v>
      </c>
      <c r="L18" s="337" t="e">
        <f>L17+K18</f>
        <v>#DIV/0!</v>
      </c>
      <c r="M18" s="337"/>
      <c r="N18" s="34"/>
      <c r="O18" s="34"/>
      <c r="P18" s="34"/>
      <c r="Q18" s="347">
        <v>99999999</v>
      </c>
      <c r="R18" s="347" t="e">
        <f>IF(T11-Q17&gt;=0,T11-Q17,0)</f>
        <v>#DIV/0!</v>
      </c>
      <c r="S18" s="348">
        <f t="shared" si="1"/>
        <v>0.48</v>
      </c>
      <c r="T18" s="337" t="e">
        <f>IF(T11&gt;Q18,R18,IF(T11&lt;Q17,0,T11-Q17))</f>
        <v>#DIV/0!</v>
      </c>
      <c r="U18" s="337" t="e">
        <f t="shared" si="2"/>
        <v>#DIV/0!</v>
      </c>
      <c r="V18" s="337" t="e">
        <f>V17+U18</f>
        <v>#DIV/0!</v>
      </c>
      <c r="W18" s="337"/>
      <c r="X18" s="34"/>
      <c r="Y18" s="34"/>
      <c r="Z18" s="34"/>
      <c r="AA18" s="34"/>
      <c r="AB18" s="34"/>
    </row>
    <row r="19" spans="2:28" ht="25.5">
      <c r="B19" s="34" t="s">
        <v>373</v>
      </c>
      <c r="C19" s="34" t="s">
        <v>379</v>
      </c>
      <c r="D19" s="80"/>
      <c r="E19" s="80"/>
      <c r="F19" s="80"/>
      <c r="G19" s="337"/>
      <c r="H19" s="337"/>
      <c r="I19" s="337"/>
      <c r="J19" s="337"/>
      <c r="K19" s="337"/>
      <c r="L19" s="337"/>
      <c r="M19" s="337" t="s">
        <v>643</v>
      </c>
      <c r="N19" s="337" t="e">
        <f>IF(L18-'[1]נתוני יסוד'!L2&gt;=0,L18-'[1]נתוני יסוד'!L2,0)</f>
        <v>#DIV/0!</v>
      </c>
      <c r="O19" s="34"/>
      <c r="P19" s="34"/>
      <c r="Q19" s="337"/>
      <c r="R19" s="337"/>
      <c r="S19" s="337"/>
      <c r="T19" s="337"/>
      <c r="U19" s="337"/>
      <c r="V19" s="337"/>
      <c r="W19" s="337" t="s">
        <v>643</v>
      </c>
      <c r="X19" s="337" t="e">
        <f>IF(V18-'[1]נתוני יסוד'!L1&gt;=0,V18-'[1]נתוני יסוד'!L1,0)</f>
        <v>#DIV/0!</v>
      </c>
      <c r="Y19" s="34"/>
      <c r="Z19" s="34"/>
      <c r="AA19" s="34"/>
      <c r="AB19" s="34"/>
    </row>
    <row r="20" spans="2:28">
      <c r="B20" s="64">
        <f>'[1]נתוני יסוד'!E9</f>
        <v>7200</v>
      </c>
      <c r="C20" s="64">
        <f>'[1]נתוני יסוד'!E10</f>
        <v>7400</v>
      </c>
      <c r="D20" s="80"/>
      <c r="E20" s="80"/>
      <c r="F20" s="80"/>
      <c r="G20" s="34"/>
      <c r="H20" s="34"/>
      <c r="I20" s="34"/>
      <c r="J20" s="34"/>
      <c r="K20" s="34"/>
      <c r="L20" s="34"/>
      <c r="M20" s="34" t="s">
        <v>594</v>
      </c>
      <c r="N20" s="337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594</v>
      </c>
      <c r="X20" s="337" t="e">
        <f>R11+Q11-X19</f>
        <v>#DIV/0!</v>
      </c>
      <c r="Y20" s="34"/>
      <c r="Z20" s="34"/>
      <c r="AA20" s="34"/>
      <c r="AB20" s="34"/>
    </row>
    <row r="21" spans="2:28">
      <c r="B21" s="34"/>
      <c r="C21" s="34"/>
      <c r="D21" s="80"/>
      <c r="E21" s="80"/>
      <c r="F21" s="80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>
      <c r="B22" s="1076" t="s">
        <v>665</v>
      </c>
      <c r="C22" s="1030"/>
      <c r="D22" s="345">
        <f>IF(H2=1,(D13/6)*5,D13)</f>
        <v>0</v>
      </c>
      <c r="E22" s="80"/>
      <c r="F22" s="80"/>
      <c r="G22" s="1090" t="s">
        <v>666</v>
      </c>
      <c r="H22" s="1091"/>
      <c r="I22" s="1091"/>
      <c r="J22" s="1092"/>
      <c r="K22" s="34"/>
      <c r="L22" s="34"/>
      <c r="M22" s="34"/>
      <c r="N22" s="34"/>
      <c r="O22" s="34"/>
      <c r="P22" s="34"/>
      <c r="Q22" s="1093" t="s">
        <v>666</v>
      </c>
      <c r="R22" s="1093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>
      <c r="B23" s="1094" t="s">
        <v>637</v>
      </c>
      <c r="C23" s="1095"/>
      <c r="D23" s="338">
        <f>IF(H2=1,D16-1,D16)</f>
        <v>0</v>
      </c>
      <c r="E23" s="80"/>
      <c r="F23" s="80"/>
      <c r="G23" s="34"/>
      <c r="H23" s="34" t="s">
        <v>163</v>
      </c>
      <c r="I23" s="65">
        <v>68</v>
      </c>
      <c r="J23" s="1087" t="s">
        <v>436</v>
      </c>
      <c r="K23" s="1087"/>
      <c r="L23" s="65">
        <v>120</v>
      </c>
      <c r="M23" s="34" t="s">
        <v>234</v>
      </c>
      <c r="N23" s="82">
        <v>3.5</v>
      </c>
      <c r="O23" s="34"/>
      <c r="P23" s="34"/>
      <c r="Q23" s="34"/>
      <c r="R23" s="34" t="s">
        <v>163</v>
      </c>
      <c r="S23" s="65">
        <v>68</v>
      </c>
      <c r="T23" s="1087" t="s">
        <v>436</v>
      </c>
      <c r="U23" s="1087"/>
      <c r="V23" s="65">
        <v>120</v>
      </c>
      <c r="W23" s="34" t="s">
        <v>234</v>
      </c>
      <c r="X23" s="82">
        <v>3.5</v>
      </c>
      <c r="Y23" s="34"/>
      <c r="Z23" s="34"/>
      <c r="AA23" s="34"/>
      <c r="AB23" s="34"/>
    </row>
    <row r="24" spans="2:28">
      <c r="B24" s="104"/>
      <c r="C24" s="104"/>
      <c r="D24" s="338"/>
      <c r="E24" s="80"/>
      <c r="F24" s="80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>
      <c r="B25" s="104"/>
      <c r="C25" s="104"/>
      <c r="D25" s="338"/>
      <c r="E25" s="80"/>
      <c r="F25" s="80"/>
      <c r="G25" s="34"/>
      <c r="H25" s="34" t="s">
        <v>248</v>
      </c>
      <c r="I25" s="1088" t="e">
        <f>PV(N23/100/12,(L23-I23)*12,N20,,1)*(-1)</f>
        <v>#DIV/0!</v>
      </c>
      <c r="J25" s="1088"/>
      <c r="K25" s="34"/>
      <c r="L25" s="34"/>
      <c r="M25" s="34"/>
      <c r="N25" s="34"/>
      <c r="O25" s="34"/>
      <c r="P25" s="34"/>
      <c r="Q25" s="34"/>
      <c r="R25" s="34" t="s">
        <v>248</v>
      </c>
      <c r="S25" s="1088" t="e">
        <f>PV(X23/100,(V23-S23),X20,,1)*(-1)</f>
        <v>#DIV/0!</v>
      </c>
      <c r="T25" s="1088"/>
      <c r="U25" s="34"/>
      <c r="V25" s="34"/>
      <c r="W25" s="34"/>
      <c r="X25" s="34"/>
      <c r="Y25" s="34"/>
      <c r="Z25" s="34"/>
      <c r="AA25" s="34"/>
      <c r="AB25" s="34"/>
    </row>
    <row r="26" spans="2:28">
      <c r="B26" s="104"/>
      <c r="C26" s="104"/>
      <c r="D26" s="338"/>
      <c r="E26" s="80"/>
      <c r="F26" s="80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>
      <c r="B27" s="104"/>
      <c r="C27" s="104"/>
      <c r="D27" s="338"/>
      <c r="E27" s="80"/>
      <c r="F27" s="80"/>
      <c r="G27" s="1087" t="s">
        <v>668</v>
      </c>
      <c r="H27" s="1087"/>
      <c r="I27" s="1088">
        <f>PV(N23/100/12,(L23-I23)*12,I11,,1)*(-1)</f>
        <v>0</v>
      </c>
      <c r="J27" s="1088"/>
      <c r="K27" s="34"/>
      <c r="L27" s="34"/>
      <c r="M27" s="34"/>
      <c r="N27" s="34"/>
      <c r="O27" s="34"/>
      <c r="P27" s="34"/>
      <c r="Q27" s="1087" t="s">
        <v>668</v>
      </c>
      <c r="R27" s="1087"/>
      <c r="S27" s="1088">
        <f>PV(X23/100,(V23-S23),S11,,1)*(-1)</f>
        <v>0</v>
      </c>
      <c r="T27" s="1088"/>
      <c r="U27" s="34"/>
      <c r="V27" s="34"/>
      <c r="W27" s="34"/>
      <c r="X27" s="34"/>
      <c r="Y27" s="34"/>
      <c r="Z27" s="34"/>
      <c r="AA27" s="34"/>
      <c r="AB27" s="34"/>
    </row>
    <row r="28" spans="2:28">
      <c r="B28" s="34"/>
      <c r="C28" s="34"/>
      <c r="D28" s="80"/>
      <c r="E28" s="80"/>
      <c r="F28" s="80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>
      <c r="B29" s="34"/>
      <c r="C29" s="34"/>
      <c r="D29" s="80"/>
      <c r="E29" s="80"/>
      <c r="F29" s="80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4" customHeight="1">
      <c r="B30" s="1114" t="s">
        <v>272</v>
      </c>
      <c r="C30" s="1115"/>
      <c r="D30" s="355">
        <f>D12</f>
        <v>0</v>
      </c>
      <c r="E30" s="393"/>
      <c r="F30" s="80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4" customHeight="1">
      <c r="B31" s="1114" t="s">
        <v>669</v>
      </c>
      <c r="C31" s="1115"/>
      <c r="D31" s="394">
        <f>D18</f>
        <v>0</v>
      </c>
      <c r="E31" s="393"/>
      <c r="F31" s="80" t="s">
        <v>683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4" customHeight="1">
      <c r="B32" s="1114" t="s">
        <v>671</v>
      </c>
      <c r="C32" s="1115"/>
      <c r="D32" s="395">
        <f>D30-D31</f>
        <v>0</v>
      </c>
      <c r="E32" s="396" t="e">
        <f>D33</f>
        <v>#DIV/0!</v>
      </c>
      <c r="F32" s="397" t="e">
        <f>D32-E32</f>
        <v>#DIV/0!</v>
      </c>
      <c r="G32" s="224"/>
      <c r="H32" s="34"/>
      <c r="I32" s="34"/>
      <c r="J32" s="34"/>
      <c r="K32" s="34" t="s">
        <v>644</v>
      </c>
      <c r="L32" s="336" t="s">
        <v>645</v>
      </c>
      <c r="M32" s="34" t="s">
        <v>646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38" ht="29.25" customHeight="1">
      <c r="B33" s="1114" t="s">
        <v>672</v>
      </c>
      <c r="C33" s="1115"/>
      <c r="D33" s="394" t="e">
        <f>IF(H2=1,N1,N2)</f>
        <v>#DIV/0!</v>
      </c>
      <c r="E33" s="393"/>
      <c r="F33" s="80"/>
      <c r="G33" s="34"/>
      <c r="H33" s="34"/>
      <c r="I33" s="34"/>
      <c r="J33" s="337"/>
      <c r="K33" s="76">
        <f>D11</f>
        <v>0</v>
      </c>
      <c r="L33" s="76">
        <f>K4</f>
        <v>0</v>
      </c>
      <c r="M33" s="344">
        <f>K33-L33</f>
        <v>0</v>
      </c>
      <c r="N33" s="337"/>
      <c r="O33" s="337"/>
      <c r="P33" s="337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38" ht="24" customHeight="1">
      <c r="B34" s="1114" t="s">
        <v>633</v>
      </c>
      <c r="C34" s="1115"/>
      <c r="D34" s="398" t="e">
        <f>D31+D32-D33</f>
        <v>#DIV/0!</v>
      </c>
      <c r="E34" s="355" t="e">
        <f>D30-D33</f>
        <v>#DIV/0!</v>
      </c>
      <c r="F34" s="80"/>
      <c r="G34" s="34"/>
      <c r="H34" s="34"/>
      <c r="I34" s="34"/>
      <c r="J34" s="337" t="s">
        <v>639</v>
      </c>
      <c r="K34" s="337" t="s">
        <v>640</v>
      </c>
      <c r="L34" s="337" t="s">
        <v>550</v>
      </c>
      <c r="M34" s="337" t="s">
        <v>640</v>
      </c>
      <c r="N34" s="337" t="s">
        <v>641</v>
      </c>
      <c r="O34" s="337" t="s">
        <v>642</v>
      </c>
      <c r="P34" s="337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38">
      <c r="B35" s="34"/>
      <c r="C35" s="34"/>
      <c r="D35" s="34"/>
      <c r="E35" s="34"/>
      <c r="F35" s="34"/>
      <c r="G35" s="34"/>
      <c r="H35" s="34"/>
      <c r="I35" s="34"/>
      <c r="J35" s="347">
        <f>K35</f>
        <v>5270</v>
      </c>
      <c r="K35" s="347">
        <f t="shared" ref="K35:L39" si="3">H13</f>
        <v>5270</v>
      </c>
      <c r="L35" s="348">
        <f t="shared" si="3"/>
        <v>0.1</v>
      </c>
      <c r="M35" s="337">
        <f>IF(M33&gt;J35,K35,M33)</f>
        <v>0</v>
      </c>
      <c r="N35" s="337">
        <f t="shared" ref="N35:N40" si="4">M35*L35</f>
        <v>0</v>
      </c>
      <c r="O35" s="337">
        <f>N35</f>
        <v>0</v>
      </c>
      <c r="P35" s="337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38">
      <c r="B36" s="34"/>
      <c r="C36" s="34"/>
      <c r="D36" s="34"/>
      <c r="E36" s="34"/>
      <c r="F36" s="34"/>
      <c r="G36" s="34"/>
      <c r="H36" s="34"/>
      <c r="I36" s="34"/>
      <c r="J36" s="347">
        <f>J35+K36</f>
        <v>9000</v>
      </c>
      <c r="K36" s="347">
        <f t="shared" si="3"/>
        <v>3730</v>
      </c>
      <c r="L36" s="348">
        <f t="shared" si="3"/>
        <v>0.14000000000000001</v>
      </c>
      <c r="M36" s="337">
        <f>IF(M33&gt;J36,K36,IF(M33&lt;J35,0,M33-J35))</f>
        <v>0</v>
      </c>
      <c r="N36" s="337">
        <f t="shared" si="4"/>
        <v>0</v>
      </c>
      <c r="O36" s="337">
        <f>O35+N36</f>
        <v>0</v>
      </c>
      <c r="P36" s="337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38">
      <c r="A37" s="329" t="s">
        <v>693</v>
      </c>
      <c r="B37" s="1149">
        <f>'[1]חישובי מקורות א'!BZ3</f>
        <v>0</v>
      </c>
      <c r="C37" s="1150"/>
      <c r="D37" s="34"/>
      <c r="E37" s="34"/>
      <c r="F37" s="34"/>
      <c r="G37" s="34"/>
      <c r="H37" s="34"/>
      <c r="I37" s="34"/>
      <c r="J37" s="347">
        <f>J36+K37</f>
        <v>13990</v>
      </c>
      <c r="K37" s="347">
        <f t="shared" si="3"/>
        <v>4990</v>
      </c>
      <c r="L37" s="348">
        <f t="shared" si="3"/>
        <v>0.21</v>
      </c>
      <c r="M37" s="337">
        <f>IF(M33&gt;J37,K37,IF(M33&lt;J36,0,M33-J36))</f>
        <v>0</v>
      </c>
      <c r="N37" s="337">
        <f t="shared" si="4"/>
        <v>0</v>
      </c>
      <c r="O37" s="337">
        <f>O36+N37</f>
        <v>0</v>
      </c>
      <c r="P37" s="337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38">
      <c r="A38" s="329" t="s">
        <v>694</v>
      </c>
      <c r="B38" s="399">
        <v>0.45</v>
      </c>
      <c r="E38" s="34"/>
      <c r="F38" s="34"/>
      <c r="G38" s="34"/>
      <c r="H38" s="34"/>
      <c r="I38" s="34"/>
      <c r="J38" s="347">
        <f>J37+K38</f>
        <v>19980</v>
      </c>
      <c r="K38" s="347">
        <f t="shared" si="3"/>
        <v>5990</v>
      </c>
      <c r="L38" s="348">
        <f t="shared" si="3"/>
        <v>0.31</v>
      </c>
      <c r="M38" s="337">
        <f>IF(M33&gt;J38,K38,IF(M33&lt;J37,0,M33-J37))</f>
        <v>0</v>
      </c>
      <c r="N38" s="337">
        <f t="shared" si="4"/>
        <v>0</v>
      </c>
      <c r="O38" s="337">
        <f>O37+N38</f>
        <v>0</v>
      </c>
      <c r="P38" s="337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38">
      <c r="A39" s="329" t="s">
        <v>695</v>
      </c>
      <c r="B39" s="1149">
        <f>B37-(B37*B38)</f>
        <v>0</v>
      </c>
      <c r="C39" s="1150"/>
      <c r="D39" s="34"/>
      <c r="E39" s="34"/>
      <c r="F39" s="34"/>
      <c r="G39" s="34"/>
      <c r="H39" s="34"/>
      <c r="I39" s="34"/>
      <c r="J39" s="347">
        <f>J38+K39</f>
        <v>41790</v>
      </c>
      <c r="K39" s="347">
        <f t="shared" si="3"/>
        <v>21810</v>
      </c>
      <c r="L39" s="348">
        <f t="shared" si="3"/>
        <v>0.34</v>
      </c>
      <c r="M39" s="337">
        <f>IF(M33&gt;J39,K39,IF(M33&lt;J38,0,M33-J38))</f>
        <v>0</v>
      </c>
      <c r="N39" s="337">
        <f t="shared" si="4"/>
        <v>0</v>
      </c>
      <c r="O39" s="337">
        <f>O38+N39</f>
        <v>0</v>
      </c>
      <c r="P39" s="337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38">
      <c r="B40" s="34"/>
      <c r="C40" s="34"/>
      <c r="D40" s="34"/>
      <c r="E40" s="34"/>
      <c r="F40" s="34"/>
      <c r="G40" s="34"/>
      <c r="H40" s="34"/>
      <c r="I40" s="34"/>
      <c r="J40" s="347">
        <v>99999999</v>
      </c>
      <c r="K40" s="347">
        <f>IF(M33-J39&gt;=0,M33-J39,0)</f>
        <v>0</v>
      </c>
      <c r="L40" s="348">
        <f>I18</f>
        <v>0.48</v>
      </c>
      <c r="M40" s="337">
        <f>IF(M33&gt;J40,K40,IF(M33&lt;J39,0,M33-J39))</f>
        <v>0</v>
      </c>
      <c r="N40" s="337">
        <f t="shared" si="4"/>
        <v>0</v>
      </c>
      <c r="O40" s="337">
        <f>O39+N40</f>
        <v>0</v>
      </c>
      <c r="P40" s="337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 ht="25.5">
      <c r="B41" s="34"/>
      <c r="C41" s="34"/>
      <c r="D41" s="34"/>
      <c r="E41" s="34"/>
      <c r="F41" s="34"/>
      <c r="G41" s="34"/>
      <c r="H41" s="34"/>
      <c r="I41" s="34"/>
      <c r="J41" s="337"/>
      <c r="K41" s="337"/>
      <c r="L41" s="337"/>
      <c r="M41" s="337"/>
      <c r="N41" s="337"/>
      <c r="O41" s="337"/>
      <c r="P41" s="337" t="s">
        <v>643</v>
      </c>
      <c r="Q41" s="337">
        <f>IF(O40-'[1]נתוני יסוד'!L2&gt;=0,O40-'[1]נתוני יסוד'!L2,0)</f>
        <v>0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34.5" customHeight="1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 t="s">
        <v>594</v>
      </c>
      <c r="Q42" s="360">
        <f>K33-Q41</f>
        <v>0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 ht="26.25" customHeight="1">
      <c r="A43" s="1089" t="s">
        <v>273</v>
      </c>
      <c r="B43" s="1148"/>
      <c r="C43" s="1151"/>
      <c r="D43" s="352" t="e">
        <f>D34+D33</f>
        <v>#DIV/0!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ht="26.25" customHeight="1">
      <c r="A44" s="400" t="s">
        <v>484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>
      <c r="A45" s="401">
        <v>0.35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 ht="12.75" customHeight="1">
      <c r="A46" s="401">
        <v>0.45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 ht="13.5" thickBot="1">
      <c r="A47" s="401">
        <v>0.5</v>
      </c>
      <c r="B47" s="34"/>
      <c r="C47" s="34"/>
      <c r="D47" s="34"/>
      <c r="E47" s="59"/>
      <c r="F47" s="59"/>
      <c r="G47" s="59"/>
      <c r="H47" s="59"/>
      <c r="I47" s="59"/>
      <c r="J47" s="59"/>
      <c r="K47" s="59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ht="12.75" customHeight="1" thickTop="1">
      <c r="B48" s="34"/>
      <c r="C48" s="34"/>
      <c r="D48" s="37"/>
      <c r="E48" s="402"/>
      <c r="F48" s="403"/>
      <c r="G48" s="403"/>
      <c r="H48" s="403"/>
      <c r="I48" s="403"/>
      <c r="J48" s="403"/>
      <c r="K48" s="404"/>
      <c r="L48" s="22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5:11">
      <c r="E49" s="405"/>
      <c r="F49" s="1152" t="s">
        <v>696</v>
      </c>
      <c r="G49" s="1152"/>
      <c r="H49" s="1152"/>
      <c r="I49" s="1152"/>
      <c r="J49" s="1152"/>
      <c r="K49" s="1153"/>
    </row>
    <row r="50" spans="5:11">
      <c r="E50" s="405"/>
      <c r="F50" s="1154"/>
      <c r="G50" s="1154"/>
      <c r="H50" s="1154"/>
      <c r="I50" s="1154"/>
      <c r="J50" s="1154"/>
      <c r="K50" s="1155"/>
    </row>
    <row r="51" spans="5:11">
      <c r="E51" s="405"/>
      <c r="F51" s="302"/>
      <c r="G51" s="302"/>
      <c r="H51" s="302"/>
      <c r="I51" s="302"/>
      <c r="J51" s="302"/>
      <c r="K51" s="406"/>
    </row>
    <row r="52" spans="5:11">
      <c r="E52" s="405"/>
      <c r="F52" s="302"/>
      <c r="G52" s="302"/>
      <c r="H52" s="302"/>
      <c r="I52" s="302"/>
      <c r="J52" s="302"/>
      <c r="K52" s="406"/>
    </row>
    <row r="53" spans="5:11">
      <c r="E53" s="405"/>
      <c r="F53" s="1148" t="s">
        <v>676</v>
      </c>
      <c r="G53" s="1148"/>
      <c r="H53" s="407">
        <f>Q42</f>
        <v>0</v>
      </c>
      <c r="I53" s="302"/>
      <c r="J53" s="302"/>
      <c r="K53" s="406"/>
    </row>
    <row r="54" spans="5:11">
      <c r="E54" s="405"/>
      <c r="F54" s="302"/>
      <c r="G54" s="302"/>
      <c r="H54" s="407"/>
      <c r="I54" s="302"/>
      <c r="J54" s="302"/>
      <c r="K54" s="406"/>
    </row>
    <row r="55" spans="5:11">
      <c r="E55" s="405" t="s">
        <v>697</v>
      </c>
      <c r="F55" s="1148" t="s">
        <v>633</v>
      </c>
      <c r="G55" s="1148"/>
      <c r="H55" s="407" t="e">
        <f>D34</f>
        <v>#DIV/0!</v>
      </c>
      <c r="I55" s="302"/>
      <c r="J55" s="302"/>
      <c r="K55" s="406"/>
    </row>
    <row r="56" spans="5:11">
      <c r="E56" s="405"/>
      <c r="F56" s="302"/>
      <c r="G56" s="302"/>
      <c r="H56" s="407"/>
      <c r="I56" s="302"/>
      <c r="J56" s="302"/>
      <c r="K56" s="406"/>
    </row>
    <row r="57" spans="5:11">
      <c r="E57" s="405"/>
      <c r="F57" s="1148" t="s">
        <v>698</v>
      </c>
      <c r="G57" s="1148"/>
      <c r="H57" s="407">
        <f>'[1]נתוני יסוד'!B38</f>
        <v>0</v>
      </c>
      <c r="I57" s="302"/>
      <c r="J57" s="302"/>
      <c r="K57" s="406"/>
    </row>
    <row r="58" spans="5:11">
      <c r="E58" s="405"/>
      <c r="F58" s="1148" t="s">
        <v>699</v>
      </c>
      <c r="G58" s="1148"/>
      <c r="H58" s="407">
        <f>B39</f>
        <v>0</v>
      </c>
      <c r="I58" s="302"/>
      <c r="J58" s="302"/>
      <c r="K58" s="406"/>
    </row>
    <row r="59" spans="5:11">
      <c r="E59" s="405"/>
      <c r="F59" s="302"/>
      <c r="G59" s="302"/>
      <c r="H59" s="302"/>
      <c r="I59" s="302"/>
      <c r="J59" s="302"/>
      <c r="K59" s="406"/>
    </row>
    <row r="60" spans="5:11">
      <c r="E60" s="405"/>
      <c r="F60" s="1148" t="s">
        <v>700</v>
      </c>
      <c r="G60" s="1148"/>
      <c r="H60" s="407" t="e">
        <f>H55+H57+H58</f>
        <v>#DIV/0!</v>
      </c>
      <c r="I60" s="302"/>
      <c r="J60" s="302"/>
      <c r="K60" s="406"/>
    </row>
    <row r="61" spans="5:11" ht="13.5" thickBot="1">
      <c r="E61" s="408"/>
      <c r="F61" s="409"/>
      <c r="G61" s="409"/>
      <c r="H61" s="409"/>
      <c r="I61" s="409"/>
      <c r="J61" s="409"/>
      <c r="K61" s="410"/>
    </row>
    <row r="62" spans="5:11" ht="13.5" thickTop="1"/>
  </sheetData>
  <sheetProtection password="83F6" sheet="1" objects="1" scenarios="1" selectLockedCells="1" selectUnlockedCells="1"/>
  <mergeCells count="42">
    <mergeCell ref="F60:G60"/>
    <mergeCell ref="B32:C32"/>
    <mergeCell ref="B33:C33"/>
    <mergeCell ref="B34:C34"/>
    <mergeCell ref="B37:C37"/>
    <mergeCell ref="B39:C39"/>
    <mergeCell ref="A43:C43"/>
    <mergeCell ref="F49:K50"/>
    <mergeCell ref="F53:G53"/>
    <mergeCell ref="F55:G55"/>
    <mergeCell ref="F57:G57"/>
    <mergeCell ref="F58:G58"/>
    <mergeCell ref="B31:C31"/>
    <mergeCell ref="Q22:R22"/>
    <mergeCell ref="B23:C23"/>
    <mergeCell ref="J23:K23"/>
    <mergeCell ref="T23:U23"/>
    <mergeCell ref="I25:J25"/>
    <mergeCell ref="S25:T25"/>
    <mergeCell ref="G22:J22"/>
    <mergeCell ref="G27:H27"/>
    <mergeCell ref="I27:J27"/>
    <mergeCell ref="Q27:R27"/>
    <mergeCell ref="S27:T27"/>
    <mergeCell ref="B30:C30"/>
    <mergeCell ref="B13:C13"/>
    <mergeCell ref="B15:C15"/>
    <mergeCell ref="B16:C16"/>
    <mergeCell ref="B18:C18"/>
    <mergeCell ref="B22:C22"/>
    <mergeCell ref="Q8:S8"/>
    <mergeCell ref="G9:K9"/>
    <mergeCell ref="Q9:U9"/>
    <mergeCell ref="B10:C10"/>
    <mergeCell ref="B11:C11"/>
    <mergeCell ref="B12:C12"/>
    <mergeCell ref="L1:M5"/>
    <mergeCell ref="E2:G2"/>
    <mergeCell ref="B5:C5"/>
    <mergeCell ref="B6:C6"/>
    <mergeCell ref="F6:G6"/>
    <mergeCell ref="B8:K8"/>
  </mergeCells>
  <dataValidations count="1">
    <dataValidation type="list" allowBlank="1" showInputMessage="1" showErrorMessage="1" sqref="B38">
      <formula1>$A$45:$A$47</formula1>
    </dataValidation>
  </dataValidations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Worksheet______18">
    <tabColor indexed="45"/>
  </sheetPr>
  <dimension ref="A1:AL66"/>
  <sheetViews>
    <sheetView rightToLeft="1" workbookViewId="0"/>
  </sheetViews>
  <sheetFormatPr defaultRowHeight="12.75"/>
  <cols>
    <col min="1" max="3" width="9.140625" style="329"/>
    <col min="4" max="4" width="16.28515625" style="329" customWidth="1"/>
    <col min="5" max="5" width="14.28515625" style="329" customWidth="1"/>
    <col min="6" max="6" width="13.28515625" style="329" customWidth="1"/>
    <col min="7" max="7" width="14.28515625" style="329" customWidth="1"/>
    <col min="8" max="8" width="12.7109375" style="329" customWidth="1"/>
    <col min="9" max="9" width="13.28515625" style="329" customWidth="1"/>
    <col min="10" max="10" width="13" style="329" customWidth="1"/>
    <col min="11" max="11" width="14.42578125" style="329" customWidth="1"/>
    <col min="12" max="12" width="13" style="329" customWidth="1"/>
    <col min="13" max="13" width="9.140625" style="329"/>
    <col min="14" max="14" width="14.140625" style="329" customWidth="1"/>
    <col min="15" max="16" width="9.140625" style="329"/>
    <col min="17" max="17" width="15.7109375" style="329" customWidth="1"/>
    <col min="18" max="18" width="16.140625" style="329" customWidth="1"/>
    <col min="19" max="19" width="11.42578125" style="329" customWidth="1"/>
    <col min="20" max="20" width="14.85546875" style="329" customWidth="1"/>
    <col min="21" max="21" width="14.140625" style="329" customWidth="1"/>
    <col min="22" max="22" width="13.5703125" style="329" customWidth="1"/>
    <col min="23" max="23" width="9.140625" style="329"/>
    <col min="24" max="24" width="14.85546875" style="329" customWidth="1"/>
    <col min="25" max="16384" width="9.140625" style="329"/>
  </cols>
  <sheetData>
    <row r="1" spans="1:38">
      <c r="I1" s="389" t="s">
        <v>677</v>
      </c>
      <c r="J1" s="411" t="s">
        <v>635</v>
      </c>
      <c r="K1" s="411">
        <f>'[1]נתוני יסוד'!B26</f>
        <v>0</v>
      </c>
      <c r="L1" s="1130" t="s">
        <v>484</v>
      </c>
      <c r="M1" s="1130"/>
    </row>
    <row r="2" spans="1:38">
      <c r="E2" s="1073" t="s">
        <v>653</v>
      </c>
      <c r="F2" s="1073"/>
      <c r="G2" s="1073"/>
      <c r="H2" s="341">
        <f>'[1]פיצויים פטורים והוני'!H2</f>
        <v>0</v>
      </c>
      <c r="I2" s="391"/>
      <c r="J2" s="332" t="s">
        <v>678</v>
      </c>
      <c r="K2" s="332">
        <f>'[1]נתוני יסוד'!B27</f>
        <v>0</v>
      </c>
      <c r="L2" s="1131"/>
      <c r="M2" s="1131"/>
    </row>
    <row r="3" spans="1:38">
      <c r="B3" s="34"/>
      <c r="C3" s="34"/>
      <c r="D3" s="34"/>
      <c r="E3" s="34"/>
      <c r="F3" s="34"/>
      <c r="G3" s="34"/>
      <c r="H3" s="34"/>
      <c r="I3" s="372"/>
      <c r="J3" s="373" t="s">
        <v>679</v>
      </c>
      <c r="K3" s="374">
        <f>'[1]נתוני יסוד'!B28</f>
        <v>0</v>
      </c>
      <c r="L3" s="1131"/>
      <c r="M3" s="1131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8">
      <c r="B4" s="34"/>
      <c r="C4" s="34"/>
      <c r="D4" s="34"/>
      <c r="E4" s="34"/>
      <c r="F4" s="34"/>
      <c r="G4" s="34"/>
      <c r="H4" s="34"/>
      <c r="I4" s="372"/>
      <c r="J4" s="373" t="s">
        <v>385</v>
      </c>
      <c r="K4" s="374">
        <f>'[1]נתוני יסוד'!B29</f>
        <v>0</v>
      </c>
      <c r="L4" s="1131"/>
      <c r="M4" s="1131"/>
      <c r="O4" s="1074"/>
      <c r="P4" s="1075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3.5" thickBot="1">
      <c r="B5" s="1076" t="s">
        <v>650</v>
      </c>
      <c r="C5" s="1030"/>
      <c r="D5" s="342">
        <f>'[1]נתוני יסוד'!B4</f>
        <v>0</v>
      </c>
      <c r="E5" s="34" t="s">
        <v>651</v>
      </c>
      <c r="F5" s="34"/>
      <c r="G5" s="34"/>
      <c r="H5" s="34"/>
      <c r="I5" s="377"/>
      <c r="J5" s="378" t="s">
        <v>680</v>
      </c>
      <c r="K5" s="379">
        <f>'[1]נתוני יסוד'!B30</f>
        <v>0</v>
      </c>
      <c r="L5" s="1132"/>
      <c r="M5" s="113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>
      <c r="B6" s="1076" t="s">
        <v>652</v>
      </c>
      <c r="C6" s="1030"/>
      <c r="D6" s="342">
        <f>'[1]נתוני יסוד'!B6</f>
        <v>45874.826249999998</v>
      </c>
      <c r="E6" s="34"/>
      <c r="F6" s="1076" t="s">
        <v>654</v>
      </c>
      <c r="G6" s="1030"/>
      <c r="H6" s="339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38" ht="26.25">
      <c r="B8" s="1077" t="s">
        <v>701</v>
      </c>
      <c r="C8" s="1078"/>
      <c r="D8" s="1078"/>
      <c r="E8" s="1078"/>
      <c r="F8" s="1078"/>
      <c r="G8" s="1078"/>
      <c r="H8" s="1078"/>
      <c r="I8" s="1078"/>
      <c r="J8" s="1078"/>
      <c r="K8" s="1079"/>
      <c r="L8" s="34"/>
      <c r="M8" s="34"/>
      <c r="N8" s="34"/>
      <c r="O8" s="34"/>
      <c r="P8" s="34"/>
      <c r="Q8" s="1080"/>
      <c r="R8" s="1029"/>
      <c r="S8" s="1030"/>
      <c r="T8" s="34"/>
      <c r="U8" s="34"/>
      <c r="V8" s="34"/>
      <c r="W8" s="34"/>
      <c r="X8" s="34"/>
      <c r="Y8" s="34"/>
      <c r="Z8" s="34"/>
      <c r="AA8" s="34"/>
      <c r="AB8" s="34"/>
    </row>
    <row r="9" spans="1:38" ht="26.25">
      <c r="B9" s="34"/>
      <c r="C9" s="34"/>
      <c r="D9" s="34"/>
      <c r="E9" s="34"/>
      <c r="F9" s="34"/>
      <c r="G9" s="1081" t="s">
        <v>655</v>
      </c>
      <c r="H9" s="1082"/>
      <c r="I9" s="1082"/>
      <c r="J9" s="1082"/>
      <c r="K9" s="1083"/>
      <c r="L9" s="34"/>
      <c r="M9" s="34"/>
      <c r="N9" s="34"/>
      <c r="O9" s="34"/>
      <c r="P9" s="34"/>
      <c r="Q9" s="1084" t="s">
        <v>656</v>
      </c>
      <c r="R9" s="1085"/>
      <c r="S9" s="1085"/>
      <c r="T9" s="1085"/>
      <c r="U9" s="1086"/>
      <c r="V9" s="34"/>
      <c r="W9" s="34"/>
      <c r="X9" s="34"/>
      <c r="Y9" s="34"/>
      <c r="Z9" s="34"/>
      <c r="AA9" s="34"/>
      <c r="AB9" s="34"/>
    </row>
    <row r="10" spans="1:38" ht="25.5">
      <c r="A10" s="1072" t="s">
        <v>657</v>
      </c>
      <c r="B10" s="1040"/>
      <c r="C10" s="1040"/>
      <c r="D10" s="343">
        <f>K1+K2+K3+K4+K5</f>
        <v>0</v>
      </c>
      <c r="E10" s="34"/>
      <c r="F10" s="34"/>
      <c r="G10" s="34" t="s">
        <v>658</v>
      </c>
      <c r="H10" s="34" t="s">
        <v>644</v>
      </c>
      <c r="I10" s="336" t="s">
        <v>645</v>
      </c>
      <c r="J10" s="34" t="s">
        <v>646</v>
      </c>
      <c r="K10" s="34"/>
      <c r="L10" s="34"/>
      <c r="M10" s="34"/>
      <c r="N10" s="34"/>
      <c r="O10" s="34"/>
      <c r="P10" s="34"/>
      <c r="Q10" s="34" t="s">
        <v>659</v>
      </c>
      <c r="R10" s="34" t="s">
        <v>647</v>
      </c>
      <c r="S10" s="336" t="s">
        <v>648</v>
      </c>
      <c r="T10" s="34" t="s">
        <v>649</v>
      </c>
      <c r="U10" s="34"/>
      <c r="V10" s="34"/>
      <c r="W10" s="34"/>
      <c r="X10" s="34"/>
      <c r="Y10" s="34"/>
      <c r="Z10" s="34"/>
      <c r="AA10" s="34"/>
      <c r="AB10" s="34"/>
    </row>
    <row r="11" spans="1:38" ht="24" customHeight="1">
      <c r="A11" s="1072" t="s">
        <v>702</v>
      </c>
      <c r="B11" s="1040"/>
      <c r="C11" s="1040"/>
      <c r="D11" s="103">
        <f>'[1]נתוני יסוד'!B26+'[1]נתוני יסוד'!B27+'[1]נתוני יסוד'!B28+'[1]נתוני יסוד'!B29+'[1]נתוני יסוד'!B30</f>
        <v>0</v>
      </c>
      <c r="E11" s="34"/>
      <c r="F11" s="34"/>
      <c r="G11" s="335" t="e">
        <f>Q11/12</f>
        <v>#DIV/0!</v>
      </c>
      <c r="H11" s="76">
        <f>D10</f>
        <v>0</v>
      </c>
      <c r="I11" s="345">
        <f>D20+K4</f>
        <v>0</v>
      </c>
      <c r="J11" s="344" t="e">
        <f>H11-I11+G11</f>
        <v>#DIV/0!</v>
      </c>
      <c r="K11" s="337"/>
      <c r="L11" s="337"/>
      <c r="M11" s="337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7"/>
      <c r="V11" s="337"/>
      <c r="W11" s="337"/>
      <c r="X11" s="34"/>
      <c r="Y11" s="34"/>
      <c r="Z11" s="34"/>
      <c r="AA11" s="34"/>
      <c r="AB11" s="34"/>
    </row>
    <row r="12" spans="1:38" ht="24" customHeight="1">
      <c r="A12" s="1072" t="s">
        <v>661</v>
      </c>
      <c r="B12" s="1040"/>
      <c r="C12" s="1040"/>
      <c r="D12" s="64">
        <f>'[1]נתוני יסוד'!B33</f>
        <v>0</v>
      </c>
      <c r="E12" s="34"/>
      <c r="F12" s="34"/>
      <c r="G12" s="337" t="s">
        <v>639</v>
      </c>
      <c r="H12" s="337" t="s">
        <v>640</v>
      </c>
      <c r="I12" s="337" t="s">
        <v>550</v>
      </c>
      <c r="J12" s="337" t="s">
        <v>640</v>
      </c>
      <c r="K12" s="337" t="s">
        <v>641</v>
      </c>
      <c r="L12" s="337" t="s">
        <v>642</v>
      </c>
      <c r="M12" s="337"/>
      <c r="N12" s="34"/>
      <c r="O12" s="34"/>
      <c r="P12" s="34"/>
      <c r="Q12" s="337" t="s">
        <v>639</v>
      </c>
      <c r="R12" s="337" t="s">
        <v>640</v>
      </c>
      <c r="S12" s="337" t="s">
        <v>550</v>
      </c>
      <c r="T12" s="337" t="s">
        <v>640</v>
      </c>
      <c r="U12" s="337" t="s">
        <v>641</v>
      </c>
      <c r="V12" s="337" t="s">
        <v>642</v>
      </c>
      <c r="W12" s="337"/>
      <c r="X12" s="34"/>
      <c r="Y12" s="34"/>
      <c r="Z12" s="34"/>
      <c r="AA12" s="34"/>
      <c r="AB12" s="34"/>
    </row>
    <row r="13" spans="1:38" ht="24" customHeight="1">
      <c r="A13" s="1040" t="s">
        <v>703</v>
      </c>
      <c r="B13" s="1040"/>
      <c r="C13" s="1040"/>
      <c r="D13" s="346">
        <f>D12</f>
        <v>0</v>
      </c>
      <c r="E13" s="34"/>
      <c r="F13" s="34"/>
      <c r="G13" s="347">
        <f>H13</f>
        <v>5270</v>
      </c>
      <c r="H13" s="347">
        <f>'[1]חישובי מיסוי פנסיה פתוחים'!B6</f>
        <v>5270</v>
      </c>
      <c r="I13" s="348">
        <f>'[1]חישובי מיסוי פנסיה פתוחים'!C6</f>
        <v>0.1</v>
      </c>
      <c r="J13" s="337" t="e">
        <f>IF(J11&gt;G13,H13,J11)</f>
        <v>#DIV/0!</v>
      </c>
      <c r="K13" s="337" t="e">
        <f t="shared" ref="K13:K18" si="0">J13*I13</f>
        <v>#DIV/0!</v>
      </c>
      <c r="L13" s="337" t="e">
        <f>K13</f>
        <v>#DIV/0!</v>
      </c>
      <c r="M13" s="337"/>
      <c r="N13" s="34"/>
      <c r="O13" s="34"/>
      <c r="P13" s="34"/>
      <c r="Q13" s="347">
        <f>R13</f>
        <v>63240</v>
      </c>
      <c r="R13" s="347">
        <f>H13*12</f>
        <v>63240</v>
      </c>
      <c r="S13" s="348">
        <f t="shared" ref="S13:S18" si="1">I13</f>
        <v>0.1</v>
      </c>
      <c r="T13" s="337" t="e">
        <f>IF(T11&gt;Q13,R13,T11)</f>
        <v>#DIV/0!</v>
      </c>
      <c r="U13" s="337" t="e">
        <f t="shared" ref="U13:U18" si="2">T13*S13</f>
        <v>#DIV/0!</v>
      </c>
      <c r="V13" s="337" t="e">
        <f>U13</f>
        <v>#DIV/0!</v>
      </c>
      <c r="W13" s="337"/>
      <c r="X13" s="34"/>
      <c r="Y13" s="34"/>
      <c r="Z13" s="34"/>
      <c r="AA13" s="34"/>
      <c r="AB13" s="34"/>
    </row>
    <row r="14" spans="1:38">
      <c r="A14" s="1089" t="s">
        <v>662</v>
      </c>
      <c r="B14" s="1063"/>
      <c r="C14" s="1063"/>
      <c r="D14" s="349">
        <f>'[1]פיצויים פטורים וקצבה'!D13</f>
        <v>0</v>
      </c>
      <c r="E14" s="343">
        <f>'[1]פיצויים פטורים וקצבה'!L4</f>
        <v>0</v>
      </c>
      <c r="G14" s="347">
        <f>G13+H14</f>
        <v>9000</v>
      </c>
      <c r="H14" s="347">
        <f>'[1]חישובי מיסוי פנסיה פתוחים'!B7</f>
        <v>3730</v>
      </c>
      <c r="I14" s="348">
        <f>'[1]חישובי מיסוי פנסיה פתוחים'!C7</f>
        <v>0.14000000000000001</v>
      </c>
      <c r="J14" s="337" t="e">
        <f>IF(J11&gt;G14,H14,IF(J11&lt;G13,0,J11-G13))</f>
        <v>#DIV/0!</v>
      </c>
      <c r="K14" s="337" t="e">
        <f t="shared" si="0"/>
        <v>#DIV/0!</v>
      </c>
      <c r="L14" s="337" t="e">
        <f>L13+K14</f>
        <v>#DIV/0!</v>
      </c>
      <c r="M14" s="337"/>
      <c r="N14" s="34"/>
      <c r="O14" s="34"/>
      <c r="P14" s="34"/>
      <c r="Q14" s="347">
        <f>Q13+R14</f>
        <v>108000</v>
      </c>
      <c r="R14" s="347">
        <f>H14*12</f>
        <v>44760</v>
      </c>
      <c r="S14" s="348">
        <f t="shared" si="1"/>
        <v>0.14000000000000001</v>
      </c>
      <c r="T14" s="337" t="e">
        <f>IF(T11&gt;Q14,R14,IF(T11&lt;Q13,0,T11-Q13))</f>
        <v>#DIV/0!</v>
      </c>
      <c r="U14" s="337" t="e">
        <f t="shared" si="2"/>
        <v>#DIV/0!</v>
      </c>
      <c r="V14" s="337" t="e">
        <f>V13+U14</f>
        <v>#DIV/0!</v>
      </c>
      <c r="W14" s="337"/>
      <c r="X14" s="34"/>
      <c r="Y14" s="34"/>
      <c r="Z14" s="34"/>
      <c r="AA14" s="34"/>
      <c r="AB14" s="34"/>
    </row>
    <row r="15" spans="1:38">
      <c r="B15" s="1076" t="s">
        <v>663</v>
      </c>
      <c r="C15" s="1030"/>
      <c r="D15" s="350">
        <f>H6</f>
        <v>125.59842915811087</v>
      </c>
      <c r="E15" s="34"/>
      <c r="F15" s="34"/>
      <c r="G15" s="347">
        <f>G14+H15</f>
        <v>13990</v>
      </c>
      <c r="H15" s="347">
        <f>'[1]חישובי מיסוי פנסיה פתוחים'!B8</f>
        <v>4990</v>
      </c>
      <c r="I15" s="348">
        <f>'[1]חישובי מיסוי פנסיה פתוחים'!C8</f>
        <v>0.21</v>
      </c>
      <c r="J15" s="337" t="e">
        <f>IF(J11&gt;G15,H15,IF(J11&lt;G14,0,J11-G14))</f>
        <v>#DIV/0!</v>
      </c>
      <c r="K15" s="337" t="e">
        <f t="shared" si="0"/>
        <v>#DIV/0!</v>
      </c>
      <c r="L15" s="337" t="e">
        <f>L14+K15</f>
        <v>#DIV/0!</v>
      </c>
      <c r="Q15" s="347">
        <f>Q14+R15</f>
        <v>167880</v>
      </c>
      <c r="R15" s="347">
        <f>H15*12</f>
        <v>59880</v>
      </c>
      <c r="S15" s="348">
        <f t="shared" si="1"/>
        <v>0.21</v>
      </c>
      <c r="T15" s="337" t="e">
        <f>IF(T11&gt;Q15,R15,IF(T11&lt;Q14,0,T11-Q14))</f>
        <v>#DIV/0!</v>
      </c>
      <c r="U15" s="337" t="e">
        <f t="shared" si="2"/>
        <v>#DIV/0!</v>
      </c>
      <c r="V15" s="337" t="e">
        <f>V14+U15</f>
        <v>#DIV/0!</v>
      </c>
      <c r="W15" s="337"/>
      <c r="X15" s="34"/>
      <c r="Y15" s="34"/>
      <c r="Z15" s="34"/>
      <c r="AA15" s="34"/>
      <c r="AB15" s="34"/>
    </row>
    <row r="16" spans="1:38">
      <c r="B16" s="1076" t="s">
        <v>664</v>
      </c>
      <c r="C16" s="1030"/>
      <c r="D16" s="351">
        <f>IF(D15&lt;=3,0,IF(D15&lt;=7,1,IF(D15&lt;=11,2,IF(D15&lt;=15,3,IF(D15&lt;=19,4,IF(D15&lt;=23,5,IF(D15&lt;=99,6,0)))))))</f>
        <v>0</v>
      </c>
      <c r="E16" s="34"/>
      <c r="F16" s="34"/>
      <c r="G16" s="347">
        <f>G15+H16</f>
        <v>19980</v>
      </c>
      <c r="H16" s="347">
        <f>'[1]חישובי מיסוי פנסיה פתוחים'!B9</f>
        <v>5990</v>
      </c>
      <c r="I16" s="348">
        <f>'[1]חישובי מיסוי פנסיה פתוחים'!C9</f>
        <v>0.31</v>
      </c>
      <c r="J16" s="337" t="e">
        <f>IF(J11&gt;G16,H16,IF(J11&lt;G15,0,J11-G15))</f>
        <v>#DIV/0!</v>
      </c>
      <c r="K16" s="337" t="e">
        <f t="shared" si="0"/>
        <v>#DIV/0!</v>
      </c>
      <c r="L16" s="337" t="e">
        <f>L15+K16</f>
        <v>#DIV/0!</v>
      </c>
      <c r="M16" s="337"/>
      <c r="N16" s="34"/>
      <c r="O16" s="34"/>
      <c r="P16" s="34"/>
      <c r="Q16" s="347">
        <f>Q15+R16</f>
        <v>239760</v>
      </c>
      <c r="R16" s="347">
        <f>H16*12</f>
        <v>71880</v>
      </c>
      <c r="S16" s="348">
        <f t="shared" si="1"/>
        <v>0.31</v>
      </c>
      <c r="T16" s="337" t="e">
        <f>IF(T11&gt;Q16,R16,IF(T11&lt;Q15,0,T11-Q15))</f>
        <v>#DIV/0!</v>
      </c>
      <c r="U16" s="337" t="e">
        <f t="shared" si="2"/>
        <v>#DIV/0!</v>
      </c>
      <c r="V16" s="337" t="e">
        <f>V15+U16</f>
        <v>#DIV/0!</v>
      </c>
      <c r="W16" s="337"/>
      <c r="X16" s="34"/>
      <c r="Y16" s="34"/>
      <c r="Z16" s="34"/>
      <c r="AA16" s="34"/>
      <c r="AB16" s="34"/>
    </row>
    <row r="17" spans="2:28">
      <c r="B17" s="34"/>
      <c r="C17" s="34"/>
      <c r="D17" s="34"/>
      <c r="E17" s="34"/>
      <c r="F17" s="34"/>
      <c r="G17" s="347">
        <f>G16+H17</f>
        <v>41790</v>
      </c>
      <c r="H17" s="347">
        <f>'[1]חישובי מיסוי פנסיה פתוחים'!B10</f>
        <v>21810</v>
      </c>
      <c r="I17" s="348">
        <f>'[1]חישובי מיסוי פנסיה פתוחים'!C10</f>
        <v>0.34</v>
      </c>
      <c r="J17" s="337" t="e">
        <f>IF(J11&gt;G17,H17,IF(J11&lt;G16,0,J11-G16))</f>
        <v>#DIV/0!</v>
      </c>
      <c r="K17" s="337" t="e">
        <f t="shared" si="0"/>
        <v>#DIV/0!</v>
      </c>
      <c r="L17" s="337" t="e">
        <f>L16+K17</f>
        <v>#DIV/0!</v>
      </c>
      <c r="M17" s="337"/>
      <c r="N17" s="34"/>
      <c r="O17" s="34"/>
      <c r="P17" s="34"/>
      <c r="Q17" s="347">
        <f>Q16+R17</f>
        <v>501480</v>
      </c>
      <c r="R17" s="347">
        <f>H17*12</f>
        <v>261720</v>
      </c>
      <c r="S17" s="348">
        <f t="shared" si="1"/>
        <v>0.34</v>
      </c>
      <c r="T17" s="337" t="e">
        <f>IF(T11&gt;Q17,R17,IF(T11&lt;Q16,0,T11-Q16))</f>
        <v>#DIV/0!</v>
      </c>
      <c r="U17" s="337" t="e">
        <f t="shared" si="2"/>
        <v>#DIV/0!</v>
      </c>
      <c r="V17" s="337" t="e">
        <f>V16+U17</f>
        <v>#DIV/0!</v>
      </c>
      <c r="W17" s="337"/>
      <c r="X17" s="34"/>
      <c r="Y17" s="34"/>
      <c r="Z17" s="34"/>
      <c r="AA17" s="34"/>
      <c r="AB17" s="34"/>
    </row>
    <row r="18" spans="2:28">
      <c r="B18" s="1076" t="s">
        <v>584</v>
      </c>
      <c r="C18" s="1030"/>
      <c r="D18" s="336">
        <v>0</v>
      </c>
      <c r="E18" s="34"/>
      <c r="F18" s="34"/>
      <c r="G18" s="347">
        <v>99999999</v>
      </c>
      <c r="H18" s="347" t="e">
        <f>IF(J11-G17&gt;=0,J11-G17,0)</f>
        <v>#DIV/0!</v>
      </c>
      <c r="I18" s="348">
        <f>'[1]חישובי מיסוי פנסיה פתוחים'!C11</f>
        <v>0.48</v>
      </c>
      <c r="J18" s="337" t="e">
        <f>IF(J11&gt;G18,H18,IF(J11&lt;G17,0,J11-G17))</f>
        <v>#DIV/0!</v>
      </c>
      <c r="K18" s="337" t="e">
        <f t="shared" si="0"/>
        <v>#DIV/0!</v>
      </c>
      <c r="L18" s="337" t="e">
        <f>L17+K18</f>
        <v>#DIV/0!</v>
      </c>
      <c r="M18" s="337"/>
      <c r="N18" s="34"/>
      <c r="O18" s="34"/>
      <c r="P18" s="34"/>
      <c r="Q18" s="347">
        <v>99999999</v>
      </c>
      <c r="R18" s="347" t="e">
        <f>IF(T11-Q17&gt;=0,T11-Q17,0)</f>
        <v>#DIV/0!</v>
      </c>
      <c r="S18" s="348">
        <f t="shared" si="1"/>
        <v>0.48</v>
      </c>
      <c r="T18" s="337" t="e">
        <f>IF(T11&gt;Q18,R18,IF(T11&lt;Q17,0,T11-Q17))</f>
        <v>#DIV/0!</v>
      </c>
      <c r="U18" s="337" t="e">
        <f t="shared" si="2"/>
        <v>#DIV/0!</v>
      </c>
      <c r="V18" s="337" t="e">
        <f>V17+U18</f>
        <v>#DIV/0!</v>
      </c>
      <c r="W18" s="337"/>
      <c r="X18" s="34"/>
      <c r="Y18" s="34"/>
      <c r="Z18" s="34"/>
      <c r="AA18" s="34"/>
      <c r="AB18" s="34"/>
    </row>
    <row r="19" spans="2:28" ht="25.5">
      <c r="B19" s="34" t="s">
        <v>373</v>
      </c>
      <c r="C19" s="34" t="s">
        <v>379</v>
      </c>
      <c r="D19" s="34" t="s">
        <v>385</v>
      </c>
      <c r="E19" s="352"/>
      <c r="F19" s="34"/>
      <c r="G19" s="337"/>
      <c r="H19" s="337"/>
      <c r="I19" s="337"/>
      <c r="J19" s="337"/>
      <c r="K19" s="337"/>
      <c r="L19" s="337"/>
      <c r="M19" s="337" t="s">
        <v>643</v>
      </c>
      <c r="N19" s="337" t="e">
        <f>IF(L18-'[1]נתוני יסוד'!L2&gt;=0,L18-'[1]נתוני יסוד'!L2,0)</f>
        <v>#DIV/0!</v>
      </c>
      <c r="O19" s="34"/>
      <c r="P19" s="34"/>
      <c r="Q19" s="337"/>
      <c r="R19" s="337"/>
      <c r="S19" s="337"/>
      <c r="T19" s="337"/>
      <c r="U19" s="337"/>
      <c r="V19" s="337"/>
      <c r="W19" s="337" t="s">
        <v>643</v>
      </c>
      <c r="X19" s="337" t="e">
        <f>IF(V18-'[1]נתוני יסוד'!L1&gt;=0,V18-'[1]נתוני יסוד'!L1,0)</f>
        <v>#DIV/0!</v>
      </c>
      <c r="Y19" s="34"/>
      <c r="Z19" s="34"/>
      <c r="AA19" s="34"/>
      <c r="AB19" s="34"/>
    </row>
    <row r="20" spans="2:28">
      <c r="B20" s="64">
        <f>'[1]פיצויים פטורים והוני'!B21</f>
        <v>7200</v>
      </c>
      <c r="C20" s="64">
        <f>'[1]פיצויים פטורים והוני'!C21</f>
        <v>7400</v>
      </c>
      <c r="D20" s="55">
        <f>MINA(D11*35%,'[1]נתוני יסוד'!I4)</f>
        <v>0</v>
      </c>
      <c r="E20" s="34"/>
      <c r="F20" s="34"/>
      <c r="G20" s="34"/>
      <c r="H20" s="34"/>
      <c r="I20" s="34"/>
      <c r="J20" s="34"/>
      <c r="K20" s="34"/>
      <c r="L20" s="34"/>
      <c r="M20" s="34" t="s">
        <v>594</v>
      </c>
      <c r="N20" s="337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594</v>
      </c>
      <c r="X20" s="337" t="e">
        <f>R11+Q11-X19</f>
        <v>#DIV/0!</v>
      </c>
      <c r="Y20" s="34"/>
      <c r="Z20" s="34"/>
      <c r="AA20" s="34"/>
      <c r="AB20" s="34"/>
    </row>
    <row r="21" spans="2:28">
      <c r="B21" s="37"/>
      <c r="C21" s="22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>
      <c r="B22" s="1076" t="s">
        <v>665</v>
      </c>
      <c r="C22" s="1030"/>
      <c r="D22" s="353">
        <f>IF(H2=1,((D12-D18)/6)*5,D12-D18)</f>
        <v>0</v>
      </c>
      <c r="E22" s="34"/>
      <c r="F22" s="34"/>
      <c r="G22" s="1090" t="s">
        <v>666</v>
      </c>
      <c r="H22" s="1091"/>
      <c r="I22" s="1091"/>
      <c r="J22" s="1092"/>
      <c r="K22" s="34"/>
      <c r="L22" s="34"/>
      <c r="M22" s="34"/>
      <c r="N22" s="34"/>
      <c r="O22" s="34"/>
      <c r="P22" s="34"/>
      <c r="Q22" s="1093" t="s">
        <v>666</v>
      </c>
      <c r="R22" s="1093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>
      <c r="B23" s="1094" t="s">
        <v>667</v>
      </c>
      <c r="C23" s="1095"/>
      <c r="D23" s="354">
        <f>IF(H2=1,D16-1,D16)</f>
        <v>0</v>
      </c>
      <c r="E23" s="34"/>
      <c r="F23" s="34"/>
      <c r="G23" s="34"/>
      <c r="H23" s="34" t="s">
        <v>163</v>
      </c>
      <c r="I23" s="65">
        <v>67</v>
      </c>
      <c r="J23" s="1087" t="s">
        <v>436</v>
      </c>
      <c r="K23" s="1087"/>
      <c r="L23" s="65">
        <v>90</v>
      </c>
      <c r="M23" s="34" t="s">
        <v>234</v>
      </c>
      <c r="N23" s="82">
        <v>3</v>
      </c>
      <c r="O23" s="34"/>
      <c r="P23" s="34"/>
      <c r="Q23" s="34"/>
      <c r="R23" s="34" t="s">
        <v>163</v>
      </c>
      <c r="S23" s="65">
        <v>67</v>
      </c>
      <c r="T23" s="1087" t="s">
        <v>436</v>
      </c>
      <c r="U23" s="1087"/>
      <c r="V23" s="65">
        <v>90</v>
      </c>
      <c r="W23" s="34" t="s">
        <v>234</v>
      </c>
      <c r="X23" s="82">
        <v>3</v>
      </c>
      <c r="Y23" s="34"/>
      <c r="Z23" s="34"/>
      <c r="AA23" s="34"/>
      <c r="AB23" s="34"/>
    </row>
    <row r="24" spans="2:28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>
      <c r="B25" s="104"/>
      <c r="C25" s="104"/>
      <c r="D25" s="104"/>
      <c r="E25" s="34"/>
      <c r="F25" s="34"/>
      <c r="G25" s="34"/>
      <c r="H25" s="34" t="s">
        <v>248</v>
      </c>
      <c r="I25" s="1088" t="e">
        <f>PV(N23/100/12,(L23-I23)*12,N20,,1)*(-1)</f>
        <v>#DIV/0!</v>
      </c>
      <c r="J25" s="1088"/>
      <c r="K25" s="34"/>
      <c r="L25" s="34"/>
      <c r="M25" s="34"/>
      <c r="N25" s="34"/>
      <c r="O25" s="34"/>
      <c r="P25" s="34"/>
      <c r="Q25" s="34"/>
      <c r="R25" s="34" t="s">
        <v>248</v>
      </c>
      <c r="S25" s="1088" t="e">
        <f>PV(X23/100,(V23-S23),X20,,1)*(-1)</f>
        <v>#DIV/0!</v>
      </c>
      <c r="T25" s="1088"/>
      <c r="U25" s="34"/>
      <c r="V25" s="34"/>
      <c r="W25" s="34"/>
      <c r="X25" s="34"/>
      <c r="Y25" s="34"/>
      <c r="Z25" s="34"/>
      <c r="AA25" s="34"/>
      <c r="AB25" s="34"/>
    </row>
    <row r="26" spans="2:28">
      <c r="B26" s="104"/>
      <c r="C26" s="104"/>
      <c r="D26" s="10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>
      <c r="B27" s="104"/>
      <c r="C27" s="104"/>
      <c r="D27" s="104"/>
      <c r="E27" s="34"/>
      <c r="F27" s="34"/>
      <c r="G27" s="1087" t="s">
        <v>668</v>
      </c>
      <c r="H27" s="1087"/>
      <c r="I27" s="1088">
        <f>PV(N23/100/12,(L23-I23)*12,I11,,1)*(-1)</f>
        <v>0</v>
      </c>
      <c r="J27" s="1088"/>
      <c r="K27" s="34"/>
      <c r="L27" s="34"/>
      <c r="M27" s="34"/>
      <c r="N27" s="34"/>
      <c r="O27" s="34"/>
      <c r="P27" s="34"/>
      <c r="Q27" s="1087" t="s">
        <v>668</v>
      </c>
      <c r="R27" s="1087"/>
      <c r="S27" s="1088">
        <f>PV(X23/100,(V23-S23),S11,,1)*(-1)</f>
        <v>0</v>
      </c>
      <c r="T27" s="1088"/>
      <c r="U27" s="34"/>
      <c r="V27" s="34"/>
      <c r="W27" s="34"/>
      <c r="X27" s="34"/>
      <c r="Y27" s="34"/>
      <c r="Z27" s="34"/>
      <c r="AA27" s="34"/>
      <c r="AB27" s="34"/>
    </row>
    <row r="28" spans="2:28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0.25" customHeight="1">
      <c r="B30" s="1076" t="s">
        <v>272</v>
      </c>
      <c r="C30" s="1030"/>
      <c r="D30" s="386">
        <f>D12</f>
        <v>0</v>
      </c>
      <c r="E30" s="34"/>
      <c r="F30" s="337"/>
      <c r="G30" s="362"/>
      <c r="H30" s="363"/>
      <c r="I30" s="36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0.100000000000001" customHeight="1">
      <c r="B31" s="1076" t="s">
        <v>669</v>
      </c>
      <c r="C31" s="1030"/>
      <c r="D31" s="386">
        <f>D18</f>
        <v>0</v>
      </c>
      <c r="E31" s="34"/>
      <c r="F31" s="34"/>
      <c r="G31" s="365"/>
      <c r="H31" s="366"/>
      <c r="I31" s="367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0.100000000000001" customHeight="1" thickBot="1">
      <c r="B32" s="1076" t="s">
        <v>670</v>
      </c>
      <c r="C32" s="1030"/>
      <c r="D32" s="387">
        <v>0</v>
      </c>
      <c r="E32" s="34"/>
      <c r="F32" s="34"/>
      <c r="G32" s="365"/>
      <c r="H32" s="366"/>
      <c r="I32" s="367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2:38" ht="20.100000000000001" customHeight="1">
      <c r="B33" s="1076" t="s">
        <v>671</v>
      </c>
      <c r="C33" s="1030"/>
      <c r="D33" s="388">
        <f>D30-D31-D32</f>
        <v>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2:38" ht="30.75" customHeight="1">
      <c r="B34" s="1076" t="s">
        <v>672</v>
      </c>
      <c r="C34" s="1030"/>
      <c r="D34" s="386" t="e">
        <f>IF(H2=1,((X19-X56)*D23)+(Q11*50/100),(X19-X56)*D23)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2:38" ht="24.95" customHeight="1">
      <c r="B35" s="1076" t="s">
        <v>633</v>
      </c>
      <c r="C35" s="1030"/>
      <c r="D35" s="381" t="e">
        <f>D30-D32-D34</f>
        <v>#DIV/0!</v>
      </c>
      <c r="E35" s="352" t="e">
        <f>D31+D33-D34</f>
        <v>#DIV/0!</v>
      </c>
      <c r="F35" s="34"/>
      <c r="G35" s="34" t="str">
        <f>M57</f>
        <v>פנסיה נטו</v>
      </c>
      <c r="H35" s="412">
        <f>N57</f>
        <v>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2:38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2:38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2:38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2:38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2:38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2:38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2:38" ht="26.25" customHeight="1">
      <c r="B44" s="1096" t="s">
        <v>704</v>
      </c>
      <c r="C44" s="1097"/>
      <c r="D44" s="1097"/>
      <c r="E44" s="1097"/>
      <c r="F44" s="1097"/>
      <c r="G44" s="1097"/>
      <c r="H44" s="1097"/>
      <c r="I44" s="1097"/>
      <c r="J44" s="1097"/>
      <c r="K44" s="1098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2:38" ht="26.25" customHeight="1">
      <c r="B45" s="34"/>
      <c r="C45" s="34"/>
      <c r="D45" s="34"/>
      <c r="E45" s="34"/>
      <c r="F45" s="34"/>
      <c r="G45" s="1081" t="s">
        <v>705</v>
      </c>
      <c r="H45" s="1082"/>
      <c r="I45" s="1082"/>
      <c r="J45" s="1082"/>
      <c r="K45" s="1083"/>
      <c r="L45" s="34"/>
      <c r="M45" s="34"/>
      <c r="N45" s="34"/>
      <c r="O45" s="34"/>
      <c r="P45" s="34"/>
      <c r="Q45" s="1099" t="s">
        <v>706</v>
      </c>
      <c r="R45" s="1100"/>
      <c r="S45" s="1100"/>
      <c r="T45" s="1100"/>
      <c r="U45" s="1101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2:38" ht="25.5">
      <c r="B46" s="34"/>
      <c r="C46" s="34"/>
      <c r="D46" s="34"/>
      <c r="E46" s="34"/>
      <c r="F46" s="34"/>
      <c r="G46" s="34" t="s">
        <v>658</v>
      </c>
      <c r="H46" s="34" t="s">
        <v>644</v>
      </c>
      <c r="I46" s="336" t="s">
        <v>645</v>
      </c>
      <c r="J46" s="34" t="s">
        <v>646</v>
      </c>
      <c r="K46" s="34"/>
      <c r="L46" s="34"/>
      <c r="M46" s="34"/>
      <c r="N46" s="34"/>
      <c r="O46" s="34"/>
      <c r="P46" s="34"/>
      <c r="Q46" s="34" t="s">
        <v>659</v>
      </c>
      <c r="R46" s="34" t="s">
        <v>647</v>
      </c>
      <c r="S46" s="336" t="s">
        <v>648</v>
      </c>
      <c r="T46" s="34" t="s">
        <v>649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2:38" ht="12.75" customHeight="1">
      <c r="B47" s="34"/>
      <c r="C47" s="34"/>
      <c r="D47" s="34"/>
      <c r="E47" s="34"/>
      <c r="F47" s="34"/>
      <c r="G47" s="356" t="s">
        <v>675</v>
      </c>
      <c r="H47" s="76">
        <f>H11</f>
        <v>0</v>
      </c>
      <c r="I47" s="345">
        <f>D20+K4</f>
        <v>0</v>
      </c>
      <c r="J47" s="344">
        <f>H47-I47</f>
        <v>0</v>
      </c>
      <c r="K47" s="337"/>
      <c r="L47" s="337"/>
      <c r="M47" s="337"/>
      <c r="N47" s="34"/>
      <c r="O47" s="34"/>
      <c r="P47" s="34"/>
      <c r="Q47" s="76" t="s">
        <v>675</v>
      </c>
      <c r="R47" s="76">
        <f>H47*12</f>
        <v>0</v>
      </c>
      <c r="S47" s="76">
        <f>I47*12</f>
        <v>0</v>
      </c>
      <c r="T47" s="76">
        <f>R47-S47</f>
        <v>0</v>
      </c>
      <c r="U47" s="337"/>
      <c r="V47" s="337"/>
      <c r="W47" s="33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2:38">
      <c r="B48" s="34"/>
      <c r="C48" s="34"/>
      <c r="D48" s="34"/>
      <c r="E48" s="34"/>
      <c r="F48" s="34"/>
      <c r="G48" s="337"/>
      <c r="H48" s="337"/>
      <c r="I48" s="337"/>
      <c r="J48" s="337"/>
      <c r="K48" s="337"/>
      <c r="L48" s="337"/>
      <c r="M48" s="337"/>
      <c r="N48" s="34"/>
      <c r="O48" s="34"/>
      <c r="P48" s="34"/>
      <c r="Q48" s="337"/>
      <c r="R48" s="337"/>
      <c r="S48" s="337"/>
      <c r="T48" s="337"/>
      <c r="U48" s="337"/>
      <c r="V48" s="337"/>
      <c r="W48" s="33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2:38" ht="12.75" customHeight="1">
      <c r="B49" s="34"/>
      <c r="C49" s="34"/>
      <c r="D49" s="34"/>
      <c r="E49" s="34"/>
      <c r="F49" s="34"/>
      <c r="G49" s="337" t="s">
        <v>639</v>
      </c>
      <c r="H49" s="337" t="s">
        <v>640</v>
      </c>
      <c r="I49" s="337" t="s">
        <v>550</v>
      </c>
      <c r="J49" s="337" t="s">
        <v>640</v>
      </c>
      <c r="K49" s="337" t="s">
        <v>641</v>
      </c>
      <c r="L49" s="337" t="s">
        <v>642</v>
      </c>
      <c r="M49" s="337"/>
      <c r="N49" s="34"/>
      <c r="O49" s="34"/>
      <c r="P49" s="34"/>
      <c r="Q49" s="337" t="s">
        <v>639</v>
      </c>
      <c r="R49" s="337" t="s">
        <v>640</v>
      </c>
      <c r="S49" s="337" t="s">
        <v>550</v>
      </c>
      <c r="T49" s="337" t="s">
        <v>640</v>
      </c>
      <c r="U49" s="337" t="s">
        <v>641</v>
      </c>
      <c r="V49" s="337" t="s">
        <v>642</v>
      </c>
      <c r="W49" s="33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2:38">
      <c r="F50" s="34"/>
      <c r="G50" s="347">
        <f>H50</f>
        <v>5270</v>
      </c>
      <c r="H50" s="347">
        <f t="shared" ref="H50:I54" si="3">H13</f>
        <v>5270</v>
      </c>
      <c r="I50" s="348">
        <f t="shared" si="3"/>
        <v>0.1</v>
      </c>
      <c r="J50" s="337">
        <f>IF(J47&gt;G50,H50,J47)</f>
        <v>0</v>
      </c>
      <c r="K50" s="337">
        <f t="shared" ref="K50:K55" si="4">J50*I50</f>
        <v>0</v>
      </c>
      <c r="L50" s="337">
        <f>K50</f>
        <v>0</v>
      </c>
      <c r="M50" s="337"/>
      <c r="N50" s="34"/>
      <c r="O50" s="34"/>
      <c r="P50" s="34"/>
      <c r="Q50" s="347">
        <f>R50</f>
        <v>63240</v>
      </c>
      <c r="R50" s="347">
        <f>H50*12</f>
        <v>63240</v>
      </c>
      <c r="S50" s="348">
        <f t="shared" ref="S50:S55" si="5">I13</f>
        <v>0.1</v>
      </c>
      <c r="T50" s="337">
        <f>IF(T47&gt;Q50,R50,T47)</f>
        <v>0</v>
      </c>
      <c r="U50" s="337">
        <f t="shared" ref="U50:U55" si="6">T50*S50</f>
        <v>0</v>
      </c>
      <c r="V50" s="337">
        <f>U50</f>
        <v>0</v>
      </c>
      <c r="W50" s="337"/>
      <c r="X50" s="34"/>
    </row>
    <row r="51" spans="2:38">
      <c r="F51" s="34"/>
      <c r="G51" s="347">
        <f>G50+H51</f>
        <v>9000</v>
      </c>
      <c r="H51" s="347">
        <f t="shared" si="3"/>
        <v>3730</v>
      </c>
      <c r="I51" s="348">
        <f t="shared" si="3"/>
        <v>0.14000000000000001</v>
      </c>
      <c r="J51" s="337">
        <f>IF(J47&gt;G51,H51,IF(J47&lt;G50,0,J47-G50))</f>
        <v>0</v>
      </c>
      <c r="K51" s="337">
        <f t="shared" si="4"/>
        <v>0</v>
      </c>
      <c r="L51" s="337">
        <f>L50+K51</f>
        <v>0</v>
      </c>
      <c r="M51" s="337"/>
      <c r="N51" s="34"/>
      <c r="O51" s="34"/>
      <c r="P51" s="34"/>
      <c r="Q51" s="347">
        <f>Q50+R51</f>
        <v>108000</v>
      </c>
      <c r="R51" s="347">
        <f>H51*12</f>
        <v>44760</v>
      </c>
      <c r="S51" s="348">
        <f t="shared" si="5"/>
        <v>0.14000000000000001</v>
      </c>
      <c r="T51" s="337">
        <f>IF(T47&gt;Q51,R51,IF(T47&lt;Q50,0,T47-Q50))</f>
        <v>0</v>
      </c>
      <c r="U51" s="337">
        <f t="shared" si="6"/>
        <v>0</v>
      </c>
      <c r="V51" s="337">
        <f>V50+U51</f>
        <v>0</v>
      </c>
      <c r="W51" s="337"/>
      <c r="X51" s="34"/>
    </row>
    <row r="52" spans="2:38">
      <c r="F52" s="34"/>
      <c r="G52" s="347">
        <f>G51+H52</f>
        <v>13990</v>
      </c>
      <c r="H52" s="347">
        <f t="shared" si="3"/>
        <v>4990</v>
      </c>
      <c r="I52" s="348">
        <f t="shared" si="3"/>
        <v>0.21</v>
      </c>
      <c r="J52" s="337">
        <f>IF(J47&gt;G52,H52,IF(J47&lt;G51,0,J47-G51))</f>
        <v>0</v>
      </c>
      <c r="K52" s="337">
        <f t="shared" si="4"/>
        <v>0</v>
      </c>
      <c r="L52" s="337">
        <f>L51+K52</f>
        <v>0</v>
      </c>
      <c r="M52" s="337"/>
      <c r="N52" s="34"/>
      <c r="O52" s="34"/>
      <c r="P52" s="34"/>
      <c r="Q52" s="347">
        <f>Q51+R52</f>
        <v>167880</v>
      </c>
      <c r="R52" s="347">
        <f>H52*12</f>
        <v>59880</v>
      </c>
      <c r="S52" s="348">
        <f t="shared" si="5"/>
        <v>0.21</v>
      </c>
      <c r="T52" s="337">
        <f>IF(T47&gt;Q52,R52,IF(T47&lt;Q51,0,T47-Q51))</f>
        <v>0</v>
      </c>
      <c r="U52" s="337">
        <f t="shared" si="6"/>
        <v>0</v>
      </c>
      <c r="V52" s="337">
        <f>V51+U52</f>
        <v>0</v>
      </c>
      <c r="W52" s="337"/>
      <c r="X52" s="34"/>
    </row>
    <row r="53" spans="2:38">
      <c r="F53" s="34"/>
      <c r="G53" s="347">
        <f>G52+H53</f>
        <v>19980</v>
      </c>
      <c r="H53" s="347">
        <f t="shared" si="3"/>
        <v>5990</v>
      </c>
      <c r="I53" s="348">
        <f t="shared" si="3"/>
        <v>0.31</v>
      </c>
      <c r="J53" s="337">
        <f>IF(J47&gt;G53,H53,IF(J47&lt;G52,0,J47-G52))</f>
        <v>0</v>
      </c>
      <c r="K53" s="337">
        <f t="shared" si="4"/>
        <v>0</v>
      </c>
      <c r="L53" s="337">
        <f>L52+K53</f>
        <v>0</v>
      </c>
      <c r="M53" s="337"/>
      <c r="N53" s="34"/>
      <c r="O53" s="34"/>
      <c r="P53" s="34"/>
      <c r="Q53" s="347">
        <f>Q52+R53</f>
        <v>239760</v>
      </c>
      <c r="R53" s="347">
        <f>H53*12</f>
        <v>71880</v>
      </c>
      <c r="S53" s="348">
        <f t="shared" si="5"/>
        <v>0.31</v>
      </c>
      <c r="T53" s="337">
        <f>IF(T47&gt;Q53,R53,IF(T47&lt;Q52,0,T47-Q52))</f>
        <v>0</v>
      </c>
      <c r="U53" s="337">
        <f t="shared" si="6"/>
        <v>0</v>
      </c>
      <c r="V53" s="337">
        <f>V52+U53</f>
        <v>0</v>
      </c>
      <c r="W53" s="337"/>
      <c r="X53" s="34"/>
    </row>
    <row r="54" spans="2:38">
      <c r="F54" s="34"/>
      <c r="G54" s="347">
        <f>G53+H54</f>
        <v>41790</v>
      </c>
      <c r="H54" s="347">
        <f t="shared" si="3"/>
        <v>21810</v>
      </c>
      <c r="I54" s="348">
        <f t="shared" si="3"/>
        <v>0.34</v>
      </c>
      <c r="J54" s="337">
        <f>IF(J47&gt;G54,H54,IF(J47&lt;G53,0,J47-G53))</f>
        <v>0</v>
      </c>
      <c r="K54" s="337">
        <f t="shared" si="4"/>
        <v>0</v>
      </c>
      <c r="L54" s="337">
        <f>L53+K54</f>
        <v>0</v>
      </c>
      <c r="M54" s="337"/>
      <c r="N54" s="34"/>
      <c r="O54" s="34"/>
      <c r="P54" s="34"/>
      <c r="Q54" s="347">
        <f>Q53+R54</f>
        <v>501480</v>
      </c>
      <c r="R54" s="347">
        <f>H54*12</f>
        <v>261720</v>
      </c>
      <c r="S54" s="348">
        <f t="shared" si="5"/>
        <v>0.34</v>
      </c>
      <c r="T54" s="337">
        <f>IF(T47&gt;Q54,R54,IF(T47&lt;Q53,0,T47-Q53))</f>
        <v>0</v>
      </c>
      <c r="U54" s="337">
        <f t="shared" si="6"/>
        <v>0</v>
      </c>
      <c r="V54" s="337">
        <f>V53+U54</f>
        <v>0</v>
      </c>
      <c r="W54" s="337"/>
      <c r="X54" s="34"/>
    </row>
    <row r="55" spans="2:38">
      <c r="F55" s="34"/>
      <c r="G55" s="347">
        <v>99999999</v>
      </c>
      <c r="H55" s="347">
        <f>IF(J47-G54&gt;=0,J47-G54,0)</f>
        <v>0</v>
      </c>
      <c r="I55" s="348">
        <f>I18</f>
        <v>0.48</v>
      </c>
      <c r="J55" s="337">
        <f>IF(J47&gt;G55,H55,IF(J47&lt;G54,0,J47-G54))</f>
        <v>0</v>
      </c>
      <c r="K55" s="337">
        <f t="shared" si="4"/>
        <v>0</v>
      </c>
      <c r="L55" s="337">
        <f>L54+K55</f>
        <v>0</v>
      </c>
      <c r="M55" s="337"/>
      <c r="N55" s="34"/>
      <c r="O55" s="34"/>
      <c r="P55" s="34"/>
      <c r="Q55" s="347">
        <v>99999999</v>
      </c>
      <c r="R55" s="347">
        <f>IF(T47-Q54&gt;=0,T47-Q54,0)</f>
        <v>0</v>
      </c>
      <c r="S55" s="348">
        <f t="shared" si="5"/>
        <v>0.48</v>
      </c>
      <c r="T55" s="337">
        <f>IF(T47&gt;Q55,R55,IF(T47&lt;Q54,0,T47-Q54))</f>
        <v>0</v>
      </c>
      <c r="U55" s="337">
        <f t="shared" si="6"/>
        <v>0</v>
      </c>
      <c r="V55" s="337">
        <f>V54+U55</f>
        <v>0</v>
      </c>
      <c r="W55" s="337"/>
      <c r="X55" s="34"/>
    </row>
    <row r="56" spans="2:38" ht="25.5">
      <c r="F56" s="34"/>
      <c r="G56" s="337"/>
      <c r="H56" s="337"/>
      <c r="I56" s="337"/>
      <c r="J56" s="337"/>
      <c r="K56" s="337"/>
      <c r="L56" s="337"/>
      <c r="M56" s="337" t="s">
        <v>643</v>
      </c>
      <c r="N56" s="337">
        <f>IF(L55-'[1]נתוני יסוד'!L2&gt;=0,L55-'[1]נתוני יסוד'!L2,0)</f>
        <v>0</v>
      </c>
      <c r="O56" s="34"/>
      <c r="P56" s="34"/>
      <c r="Q56" s="337"/>
      <c r="R56" s="337"/>
      <c r="S56" s="337"/>
      <c r="T56" s="337"/>
      <c r="U56" s="337"/>
      <c r="V56" s="337"/>
      <c r="W56" s="337" t="s">
        <v>643</v>
      </c>
      <c r="X56" s="337">
        <f>IF(V55-'[1]נתוני יסוד'!L1&gt;=0,V55-'[1]נתוני יסוד'!L1,0)</f>
        <v>0</v>
      </c>
    </row>
    <row r="57" spans="2:38" ht="27" customHeight="1">
      <c r="F57" s="34"/>
      <c r="G57" s="34" t="s">
        <v>707</v>
      </c>
      <c r="H57" s="76">
        <f>J47-N56</f>
        <v>0</v>
      </c>
      <c r="I57" s="34" t="s">
        <v>708</v>
      </c>
      <c r="J57" s="76">
        <f>I47</f>
        <v>0</v>
      </c>
      <c r="K57" s="329" t="s">
        <v>709</v>
      </c>
      <c r="L57" s="413" t="s">
        <v>636</v>
      </c>
      <c r="M57" s="34" t="s">
        <v>594</v>
      </c>
      <c r="N57" s="361">
        <f>H47-N56</f>
        <v>0</v>
      </c>
      <c r="O57" s="34"/>
      <c r="P57" s="34"/>
      <c r="Q57" s="34"/>
      <c r="R57" s="34"/>
      <c r="S57" s="34"/>
      <c r="T57" s="34"/>
      <c r="U57" s="34"/>
      <c r="V57" s="34"/>
      <c r="W57" s="34" t="s">
        <v>594</v>
      </c>
      <c r="X57" s="337">
        <f>R47-X56</f>
        <v>0</v>
      </c>
    </row>
    <row r="58" spans="2:38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spans="2:38" ht="33">
      <c r="F59" s="34"/>
      <c r="G59" s="1090" t="s">
        <v>666</v>
      </c>
      <c r="H59" s="1091"/>
      <c r="I59" s="1091"/>
      <c r="J59" s="1092"/>
      <c r="K59" s="34"/>
      <c r="L59" s="34"/>
      <c r="M59" s="34"/>
      <c r="N59" s="34"/>
      <c r="O59" s="34"/>
      <c r="P59" s="34"/>
      <c r="Q59" s="1093" t="s">
        <v>666</v>
      </c>
      <c r="R59" s="1093"/>
      <c r="S59" s="34"/>
      <c r="T59" s="34"/>
      <c r="U59" s="34"/>
      <c r="V59" s="34"/>
      <c r="W59" s="34"/>
      <c r="X59" s="34"/>
    </row>
    <row r="60" spans="2:38">
      <c r="F60" s="34"/>
      <c r="G60" s="34"/>
      <c r="H60" s="34" t="s">
        <v>163</v>
      </c>
      <c r="I60" s="65">
        <v>68</v>
      </c>
      <c r="J60" s="1087" t="s">
        <v>436</v>
      </c>
      <c r="K60" s="1087"/>
      <c r="L60" s="65">
        <v>120</v>
      </c>
      <c r="M60" s="34" t="s">
        <v>234</v>
      </c>
      <c r="N60" s="82">
        <v>3.5</v>
      </c>
      <c r="O60" s="34"/>
      <c r="P60" s="34"/>
      <c r="Q60" s="34"/>
      <c r="R60" s="34" t="s">
        <v>163</v>
      </c>
      <c r="S60" s="65">
        <v>68</v>
      </c>
      <c r="T60" s="1087" t="s">
        <v>436</v>
      </c>
      <c r="U60" s="1087"/>
      <c r="V60" s="65">
        <v>120</v>
      </c>
      <c r="W60" s="34" t="s">
        <v>234</v>
      </c>
      <c r="X60" s="82">
        <v>3.5</v>
      </c>
    </row>
    <row r="61" spans="2:38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spans="2:38">
      <c r="F62" s="34"/>
      <c r="G62" s="34"/>
      <c r="H62" s="34" t="s">
        <v>248</v>
      </c>
      <c r="I62" s="1088">
        <f>PV(N60/100/12,(L60-I60)*12,N57,,1)*(-1)</f>
        <v>0</v>
      </c>
      <c r="J62" s="1088"/>
      <c r="K62" s="34"/>
      <c r="L62" s="34"/>
      <c r="M62" s="34"/>
      <c r="N62" s="34"/>
      <c r="O62" s="34"/>
      <c r="P62" s="34"/>
      <c r="Q62" s="34"/>
      <c r="R62" s="34" t="s">
        <v>248</v>
      </c>
      <c r="S62" s="1088">
        <f>PV(X60/100,(V60-S60),X57,,1)*(-1)</f>
        <v>0</v>
      </c>
      <c r="T62" s="1088"/>
      <c r="U62" s="34"/>
      <c r="V62" s="34"/>
      <c r="W62" s="34"/>
      <c r="X62" s="34"/>
    </row>
    <row r="63" spans="2:38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spans="2:38">
      <c r="F64" s="34"/>
      <c r="G64" s="1087" t="s">
        <v>668</v>
      </c>
      <c r="H64" s="1087"/>
      <c r="I64" s="1088">
        <f>PV(N60/100/12,(L60-I60)*12,I47,,1)*(-1)</f>
        <v>0</v>
      </c>
      <c r="J64" s="1088"/>
      <c r="K64" s="34"/>
      <c r="L64" s="34"/>
      <c r="M64" s="34"/>
      <c r="N64" s="34"/>
      <c r="O64" s="34"/>
      <c r="P64" s="34"/>
      <c r="Q64" s="1087" t="s">
        <v>668</v>
      </c>
      <c r="R64" s="1087"/>
      <c r="S64" s="1088">
        <f>PV(X60/100,(V60-S60),S47,,1)*(-1)</f>
        <v>0</v>
      </c>
      <c r="T64" s="1088"/>
      <c r="U64" s="34"/>
      <c r="V64" s="34"/>
      <c r="W64" s="34"/>
      <c r="X64" s="34"/>
    </row>
    <row r="65" spans="6:24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spans="6:24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</sheetData>
  <sheetProtection password="83F6" sheet="1" objects="1" scenarios="1" selectLockedCells="1" selectUnlockedCells="1"/>
  <mergeCells count="49">
    <mergeCell ref="I62:J62"/>
    <mergeCell ref="S62:T62"/>
    <mergeCell ref="G64:H64"/>
    <mergeCell ref="I64:J64"/>
    <mergeCell ref="Q64:R64"/>
    <mergeCell ref="S64:T64"/>
    <mergeCell ref="J60:K60"/>
    <mergeCell ref="T60:U60"/>
    <mergeCell ref="B30:C30"/>
    <mergeCell ref="B31:C31"/>
    <mergeCell ref="B32:C32"/>
    <mergeCell ref="B33:C33"/>
    <mergeCell ref="B34:C34"/>
    <mergeCell ref="B35:C35"/>
    <mergeCell ref="B44:K44"/>
    <mergeCell ref="G45:K45"/>
    <mergeCell ref="Q45:U45"/>
    <mergeCell ref="G59:J59"/>
    <mergeCell ref="Q59:R59"/>
    <mergeCell ref="I25:J25"/>
    <mergeCell ref="S25:T25"/>
    <mergeCell ref="G27:H27"/>
    <mergeCell ref="I27:J27"/>
    <mergeCell ref="Q27:R27"/>
    <mergeCell ref="S27:T27"/>
    <mergeCell ref="Q8:S8"/>
    <mergeCell ref="G9:K9"/>
    <mergeCell ref="Q9:U9"/>
    <mergeCell ref="A10:C10"/>
    <mergeCell ref="T23:U23"/>
    <mergeCell ref="A12:C12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A11:C11"/>
    <mergeCell ref="L1:M5"/>
    <mergeCell ref="E2:G2"/>
    <mergeCell ref="O4:P4"/>
    <mergeCell ref="B5:C5"/>
    <mergeCell ref="B6:C6"/>
    <mergeCell ref="F6:G6"/>
    <mergeCell ref="B8:K8"/>
  </mergeCells>
  <pageMargins left="0.75" right="0.75" top="1" bottom="1" header="0.5" footer="0.5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Worksheet______19">
    <tabColor indexed="45"/>
  </sheetPr>
  <dimension ref="A1:AL62"/>
  <sheetViews>
    <sheetView rightToLeft="1" workbookViewId="0"/>
  </sheetViews>
  <sheetFormatPr defaultRowHeight="12.75"/>
  <cols>
    <col min="1" max="1" width="7.7109375" style="329" customWidth="1"/>
    <col min="2" max="3" width="9.140625" style="329"/>
    <col min="4" max="4" width="16.28515625" style="329" customWidth="1"/>
    <col min="5" max="5" width="14.28515625" style="329" customWidth="1"/>
    <col min="6" max="6" width="13.28515625" style="329" customWidth="1"/>
    <col min="7" max="7" width="14.28515625" style="329" customWidth="1"/>
    <col min="8" max="8" width="12.7109375" style="329" customWidth="1"/>
    <col min="9" max="9" width="13.28515625" style="329" customWidth="1"/>
    <col min="10" max="10" width="13" style="329" customWidth="1"/>
    <col min="11" max="11" width="14.42578125" style="329" customWidth="1"/>
    <col min="12" max="12" width="13" style="329" customWidth="1"/>
    <col min="13" max="13" width="9.140625" style="329"/>
    <col min="14" max="14" width="14.140625" style="329" customWidth="1"/>
    <col min="15" max="16" width="9.140625" style="329"/>
    <col min="17" max="17" width="15.7109375" style="329" customWidth="1"/>
    <col min="18" max="18" width="16.140625" style="329" customWidth="1"/>
    <col min="19" max="19" width="11.42578125" style="329" customWidth="1"/>
    <col min="20" max="20" width="14.85546875" style="329" customWidth="1"/>
    <col min="21" max="21" width="14.140625" style="329" customWidth="1"/>
    <col min="22" max="22" width="13.5703125" style="329" customWidth="1"/>
    <col min="23" max="23" width="9.140625" style="329"/>
    <col min="24" max="24" width="14.85546875" style="329" customWidth="1"/>
    <col min="25" max="26" width="9.140625" style="329"/>
    <col min="27" max="27" width="31.28515625" style="415" customWidth="1"/>
    <col min="28" max="28" width="12.5703125" style="415" customWidth="1"/>
    <col min="29" max="29" width="9.7109375" style="415" bestFit="1" customWidth="1"/>
    <col min="30" max="16384" width="9.140625" style="329"/>
  </cols>
  <sheetData>
    <row r="1" spans="1:38">
      <c r="I1" s="1138" t="s">
        <v>684</v>
      </c>
      <c r="J1" s="1139"/>
      <c r="K1" s="1140"/>
      <c r="L1" s="382">
        <f>'[1]נתוני יסוד'!B28</f>
        <v>0</v>
      </c>
      <c r="Z1" s="414"/>
    </row>
    <row r="2" spans="1:38">
      <c r="E2" s="1073" t="s">
        <v>653</v>
      </c>
      <c r="F2" s="1073"/>
      <c r="G2" s="1073"/>
      <c r="H2" s="341">
        <f>'[1]פיצויים פטורים והוני'!H2</f>
        <v>0</v>
      </c>
      <c r="I2" s="1138" t="s">
        <v>685</v>
      </c>
      <c r="J2" s="1139"/>
      <c r="K2" s="1140"/>
      <c r="L2" s="382">
        <f>'[1]נתוני יסוד'!B27</f>
        <v>0</v>
      </c>
      <c r="Z2" s="414"/>
    </row>
    <row r="3" spans="1:38" ht="22.5">
      <c r="B3" s="34"/>
      <c r="C3" s="34"/>
      <c r="D3" s="34"/>
      <c r="E3" s="34"/>
      <c r="F3" s="34"/>
      <c r="G3" s="34"/>
      <c r="H3" s="37"/>
      <c r="I3" s="1135" t="s">
        <v>686</v>
      </c>
      <c r="J3" s="1136"/>
      <c r="K3" s="1137"/>
      <c r="L3" s="67">
        <f>'[1]נתוני יסוד'!B26</f>
        <v>0</v>
      </c>
      <c r="M3" s="224"/>
      <c r="O3" s="34"/>
      <c r="P3" s="34"/>
      <c r="Q3" s="1076" t="s">
        <v>710</v>
      </c>
      <c r="R3" s="1029"/>
      <c r="S3" s="1030"/>
      <c r="T3" s="359">
        <f>IF('[1]נתוני יסוד'!B36=0,1,'[1]נתוני יסוד'!B36)</f>
        <v>1</v>
      </c>
      <c r="U3" s="34"/>
      <c r="V3" s="34"/>
      <c r="W3" s="34"/>
      <c r="X3" s="34"/>
      <c r="Y3" s="34"/>
      <c r="Z3" s="416"/>
      <c r="AA3" s="417">
        <f>'[1]נתוני יסוד'!B1</f>
        <v>0</v>
      </c>
      <c r="AB3" s="418" t="s">
        <v>602</v>
      </c>
      <c r="AC3" s="419" t="s">
        <v>711</v>
      </c>
      <c r="AD3" s="34"/>
      <c r="AE3" s="34"/>
      <c r="AF3" s="34"/>
      <c r="AG3" s="34"/>
      <c r="AH3" s="34"/>
      <c r="AI3" s="34"/>
      <c r="AJ3" s="34"/>
      <c r="AK3" s="34"/>
      <c r="AL3" s="34"/>
    </row>
    <row r="4" spans="1:38" ht="12.75" customHeight="1">
      <c r="B4" s="34"/>
      <c r="C4" s="34"/>
      <c r="D4" s="34"/>
      <c r="E4" s="34"/>
      <c r="F4" s="34"/>
      <c r="G4" s="34"/>
      <c r="H4" s="37"/>
      <c r="I4" s="1135" t="s">
        <v>712</v>
      </c>
      <c r="J4" s="1136"/>
      <c r="K4" s="1137"/>
      <c r="L4" s="382">
        <f>T6</f>
        <v>0</v>
      </c>
      <c r="M4" s="383"/>
      <c r="Q4" s="1076" t="s">
        <v>713</v>
      </c>
      <c r="R4" s="1029"/>
      <c r="S4" s="1030"/>
      <c r="T4" s="358">
        <f>IF(D14/T3&lt;=0,1,D14/T3)</f>
        <v>1</v>
      </c>
      <c r="U4" s="34"/>
      <c r="V4" s="34"/>
      <c r="W4" s="34"/>
      <c r="X4" s="34"/>
      <c r="Y4" s="34"/>
      <c r="Z4" s="416"/>
      <c r="AA4" s="420"/>
      <c r="AB4" s="420"/>
      <c r="AC4" s="419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2.75" customHeight="1">
      <c r="B5" s="1076" t="s">
        <v>650</v>
      </c>
      <c r="C5" s="1030"/>
      <c r="D5" s="342">
        <f>'[1]נתוני יסוד'!B4</f>
        <v>0</v>
      </c>
      <c r="E5" s="34" t="s">
        <v>651</v>
      </c>
      <c r="F5" s="34"/>
      <c r="G5" s="34"/>
      <c r="H5" s="37"/>
      <c r="I5" s="1135" t="s">
        <v>687</v>
      </c>
      <c r="J5" s="1136"/>
      <c r="K5" s="1137"/>
      <c r="L5" s="67">
        <f>'[1]נתוני יסוד'!B29</f>
        <v>0</v>
      </c>
      <c r="M5" s="224"/>
      <c r="N5" s="34"/>
      <c r="O5" s="34"/>
      <c r="P5" s="34"/>
      <c r="Q5" s="1076" t="s">
        <v>714</v>
      </c>
      <c r="R5" s="1029"/>
      <c r="S5" s="1030"/>
      <c r="T5" s="80">
        <f>IF(D18&gt;D15,D14-(D18-D15),D14)</f>
        <v>0</v>
      </c>
      <c r="U5" s="34"/>
      <c r="V5" s="34"/>
      <c r="W5" s="34"/>
      <c r="X5" s="34"/>
      <c r="Y5" s="34"/>
      <c r="Z5" s="416"/>
      <c r="AA5" s="420" t="s">
        <v>272</v>
      </c>
      <c r="AB5" s="420">
        <f>'[1]נתוני יסוד'!$B$33</f>
        <v>0</v>
      </c>
      <c r="AC5" s="419"/>
      <c r="AD5" s="34"/>
      <c r="AE5" s="34"/>
      <c r="AF5" s="34"/>
      <c r="AG5" s="34"/>
      <c r="AH5" s="34"/>
      <c r="AI5" s="34"/>
      <c r="AJ5" s="34"/>
      <c r="AK5" s="34"/>
      <c r="AL5" s="34"/>
    </row>
    <row r="6" spans="1:38">
      <c r="B6" s="1076" t="s">
        <v>652</v>
      </c>
      <c r="C6" s="1030"/>
      <c r="D6" s="342">
        <f>'[1]נתוני יסוד'!B6</f>
        <v>45874.826249999998</v>
      </c>
      <c r="E6" s="34"/>
      <c r="F6" s="1076" t="s">
        <v>654</v>
      </c>
      <c r="G6" s="1030"/>
      <c r="H6" s="384">
        <f>(D6-D5)/365.25</f>
        <v>125.59842915811087</v>
      </c>
      <c r="I6" s="1135" t="s">
        <v>688</v>
      </c>
      <c r="J6" s="1136"/>
      <c r="K6" s="1137"/>
      <c r="L6" s="67">
        <f>'[1]נתוני יסוד'!B30</f>
        <v>0</v>
      </c>
      <c r="M6" s="224"/>
      <c r="N6" s="34"/>
      <c r="O6" s="34"/>
      <c r="P6" s="34"/>
      <c r="Q6" s="1076" t="s">
        <v>715</v>
      </c>
      <c r="R6" s="1029"/>
      <c r="S6" s="1030"/>
      <c r="T6" s="80">
        <f>T5/T4</f>
        <v>0</v>
      </c>
      <c r="U6" s="34"/>
      <c r="V6" s="34"/>
      <c r="W6" s="34"/>
      <c r="X6" s="34"/>
      <c r="Y6" s="34"/>
      <c r="Z6" s="416"/>
      <c r="AA6" s="420" t="s">
        <v>463</v>
      </c>
      <c r="AB6" s="420">
        <f>'[1]נתוני יסוד'!$B$34</f>
        <v>0</v>
      </c>
      <c r="AC6" s="419"/>
      <c r="AD6" s="34"/>
      <c r="AE6" s="34"/>
      <c r="AF6" s="34"/>
      <c r="AG6" s="34"/>
      <c r="AH6" s="34"/>
      <c r="AI6" s="34"/>
      <c r="AJ6" s="34"/>
      <c r="AK6" s="34"/>
      <c r="AL6" s="34"/>
    </row>
    <row r="7" spans="1:38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416"/>
      <c r="AA7" s="420" t="s">
        <v>566</v>
      </c>
      <c r="AB7" s="420">
        <f>'[1]נתוני יסוד'!$B$35</f>
        <v>0</v>
      </c>
    </row>
    <row r="8" spans="1:38" ht="26.25">
      <c r="B8" s="1077" t="s">
        <v>716</v>
      </c>
      <c r="C8" s="1078"/>
      <c r="D8" s="1078"/>
      <c r="E8" s="1078"/>
      <c r="F8" s="1078"/>
      <c r="G8" s="1078"/>
      <c r="H8" s="1078"/>
      <c r="I8" s="1078"/>
      <c r="J8" s="1078"/>
      <c r="K8" s="1079"/>
      <c r="L8" s="34"/>
      <c r="M8" s="34"/>
      <c r="N8" s="34"/>
      <c r="O8" s="34"/>
      <c r="P8" s="34"/>
      <c r="Q8" s="1080"/>
      <c r="R8" s="1029"/>
      <c r="S8" s="1030"/>
      <c r="T8" s="34"/>
      <c r="U8" s="34"/>
      <c r="V8" s="34"/>
      <c r="W8" s="34"/>
      <c r="X8" s="34"/>
      <c r="Y8" s="34"/>
      <c r="Z8" s="416"/>
      <c r="AA8" s="420" t="s">
        <v>567</v>
      </c>
      <c r="AB8" s="420">
        <f>'[1]נתוני יסוד'!$B$36</f>
        <v>0</v>
      </c>
    </row>
    <row r="9" spans="1:38" ht="26.25">
      <c r="B9" s="34"/>
      <c r="C9" s="34"/>
      <c r="D9" s="34"/>
      <c r="E9" s="34"/>
      <c r="F9" s="34"/>
      <c r="G9" s="1081" t="s">
        <v>655</v>
      </c>
      <c r="H9" s="1082"/>
      <c r="I9" s="1082"/>
      <c r="J9" s="1082"/>
      <c r="K9" s="1083"/>
      <c r="L9" s="34"/>
      <c r="M9" s="34"/>
      <c r="N9" s="34"/>
      <c r="O9" s="34"/>
      <c r="P9" s="34"/>
      <c r="Q9" s="1084" t="s">
        <v>656</v>
      </c>
      <c r="R9" s="1085"/>
      <c r="S9" s="1085"/>
      <c r="T9" s="1085"/>
      <c r="U9" s="1086"/>
      <c r="V9" s="34"/>
      <c r="W9" s="34"/>
      <c r="X9" s="34"/>
      <c r="Y9" s="34"/>
      <c r="Z9" s="416"/>
      <c r="AA9" s="420"/>
      <c r="AB9" s="420"/>
    </row>
    <row r="10" spans="1:38" ht="25.5">
      <c r="A10" s="1072" t="s">
        <v>657</v>
      </c>
      <c r="B10" s="1040"/>
      <c r="C10" s="1040"/>
      <c r="D10" s="343">
        <f>L1+L2+L3+L5+L6</f>
        <v>0</v>
      </c>
      <c r="E10" s="34"/>
      <c r="F10" s="34"/>
      <c r="G10" s="34" t="s">
        <v>658</v>
      </c>
      <c r="H10" s="34" t="s">
        <v>644</v>
      </c>
      <c r="I10" s="336" t="s">
        <v>645</v>
      </c>
      <c r="J10" s="34" t="s">
        <v>646</v>
      </c>
      <c r="K10" s="34"/>
      <c r="L10" s="34"/>
      <c r="M10" s="34"/>
      <c r="N10" s="34"/>
      <c r="O10" s="34"/>
      <c r="P10" s="34"/>
      <c r="Q10" s="34" t="s">
        <v>659</v>
      </c>
      <c r="R10" s="34" t="s">
        <v>647</v>
      </c>
      <c r="S10" s="336" t="s">
        <v>648</v>
      </c>
      <c r="T10" s="34" t="s">
        <v>649</v>
      </c>
      <c r="U10" s="34"/>
      <c r="V10" s="34"/>
      <c r="W10" s="34"/>
      <c r="X10" s="34"/>
      <c r="Y10" s="34"/>
      <c r="Z10" s="416"/>
      <c r="AA10" s="420" t="s">
        <v>568</v>
      </c>
      <c r="AB10" s="420">
        <f>'[1]חישובי מקורות א'!$BK$6</f>
        <v>0</v>
      </c>
    </row>
    <row r="11" spans="1:38" ht="24" customHeight="1">
      <c r="A11" s="1072" t="s">
        <v>660</v>
      </c>
      <c r="B11" s="1040"/>
      <c r="C11" s="1040"/>
      <c r="D11" s="343">
        <f>SUM(L1:L6)</f>
        <v>0</v>
      </c>
      <c r="E11" s="34"/>
      <c r="F11" s="34"/>
      <c r="G11" s="335" t="e">
        <f>Q11/12</f>
        <v>#DIV/0!</v>
      </c>
      <c r="H11" s="76">
        <f>D11</f>
        <v>0</v>
      </c>
      <c r="I11" s="76">
        <f>L5</f>
        <v>0</v>
      </c>
      <c r="J11" s="344" t="e">
        <f>H11-I11+G11</f>
        <v>#DIV/0!</v>
      </c>
      <c r="K11" s="337"/>
      <c r="L11" s="337"/>
      <c r="M11" s="337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7"/>
      <c r="V11" s="337"/>
      <c r="W11" s="337"/>
      <c r="X11" s="34"/>
      <c r="Y11" s="34"/>
      <c r="Z11" s="416"/>
      <c r="AA11" s="420" t="s">
        <v>569</v>
      </c>
      <c r="AB11" s="420">
        <f>'[1]חישובי מקורות א'!$BJ$6</f>
        <v>0</v>
      </c>
    </row>
    <row r="12" spans="1:38" ht="24" customHeight="1">
      <c r="A12" s="1072" t="s">
        <v>661</v>
      </c>
      <c r="B12" s="1040"/>
      <c r="C12" s="1040"/>
      <c r="D12" s="67">
        <f>'[1]נתוני יסוד'!B33</f>
        <v>0</v>
      </c>
      <c r="E12" s="34"/>
      <c r="F12" s="34"/>
      <c r="G12" s="337" t="s">
        <v>639</v>
      </c>
      <c r="H12" s="337" t="s">
        <v>640</v>
      </c>
      <c r="I12" s="337" t="s">
        <v>550</v>
      </c>
      <c r="J12" s="337" t="s">
        <v>640</v>
      </c>
      <c r="K12" s="337" t="s">
        <v>641</v>
      </c>
      <c r="L12" s="337" t="s">
        <v>642</v>
      </c>
      <c r="M12" s="337"/>
      <c r="N12" s="34"/>
      <c r="O12" s="34"/>
      <c r="P12" s="34"/>
      <c r="Q12" s="337" t="s">
        <v>639</v>
      </c>
      <c r="R12" s="337" t="s">
        <v>640</v>
      </c>
      <c r="S12" s="337" t="s">
        <v>550</v>
      </c>
      <c r="T12" s="337" t="s">
        <v>640</v>
      </c>
      <c r="U12" s="337" t="s">
        <v>641</v>
      </c>
      <c r="V12" s="337" t="s">
        <v>642</v>
      </c>
      <c r="W12" s="337"/>
      <c r="X12" s="34"/>
      <c r="Y12" s="34"/>
      <c r="Z12" s="416"/>
      <c r="AA12" s="420" t="s">
        <v>570</v>
      </c>
      <c r="AB12" s="420">
        <f>'[1]חישובי מקורות א'!$BI$6</f>
        <v>0</v>
      </c>
    </row>
    <row r="13" spans="1:38" ht="24" customHeight="1">
      <c r="A13" s="1087" t="s">
        <v>717</v>
      </c>
      <c r="B13" s="1087"/>
      <c r="C13" s="1087"/>
      <c r="D13" s="421">
        <f>D12-D18</f>
        <v>0</v>
      </c>
      <c r="E13" s="34"/>
      <c r="F13" s="34"/>
      <c r="G13" s="347">
        <f>H13</f>
        <v>5270</v>
      </c>
      <c r="H13" s="347">
        <f>'[1]חישובי מיסוי פנסיה פתוחים'!B6</f>
        <v>5270</v>
      </c>
      <c r="I13" s="348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37"/>
      <c r="N13" s="34"/>
      <c r="O13" s="34"/>
      <c r="P13" s="34"/>
      <c r="Q13" s="347">
        <f>R13</f>
        <v>63240</v>
      </c>
      <c r="R13" s="347">
        <f>H13*12</f>
        <v>63240</v>
      </c>
      <c r="S13" s="348">
        <f t="shared" ref="S13:S18" si="1">I13</f>
        <v>0.1</v>
      </c>
      <c r="T13" s="337" t="e">
        <f>IF(T11&gt;Q13,R13,T11)</f>
        <v>#DIV/0!</v>
      </c>
      <c r="U13" s="337" t="e">
        <f t="shared" ref="U13:U18" si="2">T13*S13</f>
        <v>#DIV/0!</v>
      </c>
      <c r="V13" s="337" t="e">
        <f>U13</f>
        <v>#DIV/0!</v>
      </c>
      <c r="W13" s="337"/>
      <c r="X13" s="34"/>
      <c r="Y13" s="34"/>
      <c r="Z13" s="416"/>
      <c r="AA13" s="420" t="s">
        <v>571</v>
      </c>
      <c r="AB13" s="420">
        <f>'[1]חישובי מקורות א'!$BH$6</f>
        <v>0</v>
      </c>
    </row>
    <row r="14" spans="1:38" ht="24.75" customHeight="1">
      <c r="A14" s="1089" t="s">
        <v>270</v>
      </c>
      <c r="B14" s="1063"/>
      <c r="C14" s="1063"/>
      <c r="D14" s="359">
        <f>'[1]נתוני יסוד'!B35</f>
        <v>0</v>
      </c>
      <c r="E14" s="34"/>
      <c r="F14" s="34"/>
      <c r="G14" s="347">
        <f>G13+H14</f>
        <v>9000</v>
      </c>
      <c r="H14" s="347">
        <f>'[1]חישובי מיסוי פנסיה פתוחים'!B7</f>
        <v>3730</v>
      </c>
      <c r="I14" s="348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37"/>
      <c r="N14" s="34"/>
      <c r="O14" s="34"/>
      <c r="P14" s="34"/>
      <c r="Q14" s="347">
        <f>Q13+R14</f>
        <v>108000</v>
      </c>
      <c r="R14" s="347">
        <f>H14*12</f>
        <v>44760</v>
      </c>
      <c r="S14" s="348">
        <f t="shared" si="1"/>
        <v>0.14000000000000001</v>
      </c>
      <c r="T14" s="337" t="e">
        <f>IF(T11&gt;Q14,R14,IF(T11&lt;Q13,0,T11-Q13))</f>
        <v>#DIV/0!</v>
      </c>
      <c r="U14" s="337" t="e">
        <f t="shared" si="2"/>
        <v>#DIV/0!</v>
      </c>
      <c r="V14" s="337" t="e">
        <f>V13+U14</f>
        <v>#DIV/0!</v>
      </c>
      <c r="W14" s="337"/>
      <c r="X14" s="34"/>
      <c r="Y14" s="34"/>
      <c r="Z14" s="416"/>
      <c r="AA14" s="420"/>
      <c r="AB14" s="420"/>
    </row>
    <row r="15" spans="1:38" ht="24.75" customHeight="1">
      <c r="A15" s="1141" t="s">
        <v>718</v>
      </c>
      <c r="B15" s="1141"/>
      <c r="C15" s="1141"/>
      <c r="D15" s="330">
        <f>D12-D14</f>
        <v>0</v>
      </c>
      <c r="E15" s="34"/>
      <c r="F15" s="34"/>
      <c r="G15" s="347">
        <f>G14+H15</f>
        <v>13990</v>
      </c>
      <c r="H15" s="347">
        <f>'[1]חישובי מיסוי פנסיה פתוחים'!B8</f>
        <v>4990</v>
      </c>
      <c r="I15" s="348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47">
        <f>Q14+R15</f>
        <v>167880</v>
      </c>
      <c r="R15" s="347">
        <f>H15*12</f>
        <v>59880</v>
      </c>
      <c r="S15" s="348">
        <f t="shared" si="1"/>
        <v>0.21</v>
      </c>
      <c r="T15" s="337" t="e">
        <f>IF(T11&gt;Q15,R15,IF(T11&lt;Q14,0,T11-Q14))</f>
        <v>#DIV/0!</v>
      </c>
      <c r="U15" s="337" t="e">
        <f t="shared" si="2"/>
        <v>#DIV/0!</v>
      </c>
      <c r="V15" s="337" t="e">
        <f>V14+U15</f>
        <v>#DIV/0!</v>
      </c>
      <c r="W15" s="337"/>
      <c r="X15" s="34"/>
      <c r="Y15" s="34"/>
      <c r="Z15" s="416"/>
      <c r="AA15" s="420" t="s">
        <v>572</v>
      </c>
      <c r="AB15" s="420">
        <f>'[1]חישובי מקורות א'!$BX$6</f>
        <v>0</v>
      </c>
    </row>
    <row r="16" spans="1:38">
      <c r="B16" s="1142" t="s">
        <v>663</v>
      </c>
      <c r="C16" s="1143"/>
      <c r="D16" s="385">
        <f>H6</f>
        <v>125.59842915811087</v>
      </c>
      <c r="E16" s="34"/>
      <c r="F16" s="34"/>
      <c r="G16" s="347">
        <f>G15+H16</f>
        <v>19980</v>
      </c>
      <c r="H16" s="347">
        <f>'[1]חישובי מיסוי פנסיה פתוחים'!B9</f>
        <v>5990</v>
      </c>
      <c r="I16" s="348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37"/>
      <c r="N16" s="34"/>
      <c r="O16" s="34"/>
      <c r="P16" s="34"/>
      <c r="Q16" s="347">
        <f>Q15+R16</f>
        <v>239760</v>
      </c>
      <c r="R16" s="347">
        <f>H16*12</f>
        <v>71880</v>
      </c>
      <c r="S16" s="348">
        <f t="shared" si="1"/>
        <v>0.31</v>
      </c>
      <c r="T16" s="337" t="e">
        <f>IF(T11&gt;Q16,R16,IF(T11&lt;Q15,0,T11-Q15))</f>
        <v>#DIV/0!</v>
      </c>
      <c r="U16" s="337" t="e">
        <f t="shared" si="2"/>
        <v>#DIV/0!</v>
      </c>
      <c r="V16" s="337" t="e">
        <f>V15+U16</f>
        <v>#DIV/0!</v>
      </c>
      <c r="W16" s="337"/>
      <c r="X16" s="34"/>
      <c r="Y16" s="34"/>
      <c r="Z16" s="416"/>
      <c r="AA16" s="420" t="s">
        <v>573</v>
      </c>
      <c r="AB16" s="420">
        <f>'[1]חישובי מקורות א'!$BW$6</f>
        <v>0</v>
      </c>
    </row>
    <row r="17" spans="2:29">
      <c r="B17" s="1076" t="s">
        <v>664</v>
      </c>
      <c r="C17" s="1030"/>
      <c r="D17" s="351">
        <f>IF(D16&lt;=3,0,IF(D16&lt;=7,1,IF(D16&lt;=11,2,IF(D16&lt;=15,3,IF(D16&lt;=19,4,IF(D16&lt;=23,5,IF(D16&lt;=99,6,0)))))))</f>
        <v>0</v>
      </c>
      <c r="E17" s="34"/>
      <c r="F17" s="34"/>
      <c r="G17" s="347">
        <f>G16+H17</f>
        <v>41790</v>
      </c>
      <c r="H17" s="347">
        <f>'[1]חישובי מיסוי פנסיה פתוחים'!B10</f>
        <v>21810</v>
      </c>
      <c r="I17" s="348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37"/>
      <c r="N17" s="34"/>
      <c r="O17" s="34"/>
      <c r="P17" s="34"/>
      <c r="Q17" s="347">
        <f>Q16+R17</f>
        <v>501480</v>
      </c>
      <c r="R17" s="347">
        <f>H17*12</f>
        <v>261720</v>
      </c>
      <c r="S17" s="348">
        <f t="shared" si="1"/>
        <v>0.34</v>
      </c>
      <c r="T17" s="337" t="e">
        <f>IF(T11&gt;Q17,R17,IF(T11&lt;Q16,0,T11-Q16))</f>
        <v>#DIV/0!</v>
      </c>
      <c r="U17" s="337" t="e">
        <f t="shared" si="2"/>
        <v>#DIV/0!</v>
      </c>
      <c r="V17" s="337" t="e">
        <f>V16+U17</f>
        <v>#DIV/0!</v>
      </c>
      <c r="W17" s="337"/>
      <c r="X17" s="34"/>
      <c r="Y17" s="34"/>
      <c r="Z17" s="416"/>
      <c r="AA17" s="420" t="s">
        <v>574</v>
      </c>
      <c r="AB17" s="420">
        <f>'[1]חישובי מקורות א'!$BV$6</f>
        <v>0</v>
      </c>
    </row>
    <row r="18" spans="2:29">
      <c r="B18" s="1076" t="s">
        <v>584</v>
      </c>
      <c r="C18" s="1030"/>
      <c r="D18" s="55">
        <f>IF(D12&gt;'[1]נתוני יסוד'!M6,'[1]נתוני יסוד'!M6,D12)</f>
        <v>0</v>
      </c>
      <c r="E18" s="34"/>
      <c r="F18" s="34"/>
      <c r="G18" s="347">
        <v>99999999</v>
      </c>
      <c r="H18" s="347" t="e">
        <f>IF(J11-G17&gt;=0,J11-G17,0)</f>
        <v>#DIV/0!</v>
      </c>
      <c r="I18" s="348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37"/>
      <c r="N18" s="34"/>
      <c r="O18" s="34"/>
      <c r="P18" s="34"/>
      <c r="Q18" s="347">
        <v>99999999</v>
      </c>
      <c r="R18" s="347" t="e">
        <f>IF(T11-Q17&gt;=0,T11-Q17,0)</f>
        <v>#DIV/0!</v>
      </c>
      <c r="S18" s="348">
        <f t="shared" si="1"/>
        <v>0.48</v>
      </c>
      <c r="T18" s="337" t="e">
        <f>IF(T11&gt;Q18,R18,IF(T11&lt;Q17,0,T11-Q17))</f>
        <v>#DIV/0!</v>
      </c>
      <c r="U18" s="337" t="e">
        <f t="shared" si="2"/>
        <v>#DIV/0!</v>
      </c>
      <c r="V18" s="337" t="e">
        <f>V17+U18</f>
        <v>#DIV/0!</v>
      </c>
      <c r="W18" s="337"/>
      <c r="X18" s="34"/>
      <c r="Y18" s="34"/>
      <c r="Z18" s="416"/>
      <c r="AA18" s="420" t="s">
        <v>571</v>
      </c>
      <c r="AB18" s="420">
        <f>'[1]חישובי מקורות א'!$BU$6</f>
        <v>0</v>
      </c>
    </row>
    <row r="19" spans="2:29" ht="25.5">
      <c r="B19" s="34" t="s">
        <v>373</v>
      </c>
      <c r="C19" s="34" t="s">
        <v>379</v>
      </c>
      <c r="D19" s="34"/>
      <c r="E19" s="352"/>
      <c r="F19" s="34"/>
      <c r="G19" s="337"/>
      <c r="H19" s="337"/>
      <c r="I19" s="337"/>
      <c r="J19" s="337"/>
      <c r="K19" s="337"/>
      <c r="L19" s="337"/>
      <c r="M19" s="337" t="s">
        <v>643</v>
      </c>
      <c r="N19" s="337" t="e">
        <f>IF(L18-'[1]נתוני יסוד'!L2&gt;=0,L18-'[1]נתוני יסוד'!L2,0)</f>
        <v>#DIV/0!</v>
      </c>
      <c r="O19" s="34"/>
      <c r="P19" s="34"/>
      <c r="Q19" s="337"/>
      <c r="R19" s="337"/>
      <c r="S19" s="337"/>
      <c r="T19" s="337"/>
      <c r="U19" s="337"/>
      <c r="V19" s="337"/>
      <c r="W19" s="337" t="s">
        <v>643</v>
      </c>
      <c r="X19" s="337" t="e">
        <f>IF(V18-'[1]נתוני יסוד'!L1&gt;=0,V18-'[1]נתוני יסוד'!L1,0)</f>
        <v>#DIV/0!</v>
      </c>
      <c r="Y19" s="34"/>
      <c r="Z19" s="416"/>
      <c r="AA19" s="420"/>
      <c r="AB19" s="420"/>
    </row>
    <row r="20" spans="2:29">
      <c r="B20" s="64">
        <f>'[1]פיצויים פטורים והוני'!B21</f>
        <v>7200</v>
      </c>
      <c r="C20" s="64">
        <f>'[1]פיצויים פטורים והוני'!C21</f>
        <v>7400</v>
      </c>
      <c r="D20" s="34"/>
      <c r="E20" s="34"/>
      <c r="F20" s="34"/>
      <c r="G20" s="34"/>
      <c r="H20" s="34"/>
      <c r="I20" s="34"/>
      <c r="J20" s="34"/>
      <c r="K20" s="34"/>
      <c r="L20" s="34"/>
      <c r="M20" s="34" t="s">
        <v>594</v>
      </c>
      <c r="N20" s="337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594</v>
      </c>
      <c r="X20" s="337" t="e">
        <f>R11+Q11-X19</f>
        <v>#DIV/0!</v>
      </c>
      <c r="Y20" s="34"/>
      <c r="Z20" s="416"/>
      <c r="AA20" s="420" t="s">
        <v>575</v>
      </c>
      <c r="AB20" s="420">
        <f>'[1]חישובי מקורות א'!$BQ$6</f>
        <v>0</v>
      </c>
    </row>
    <row r="21" spans="2:29">
      <c r="B21" s="37"/>
      <c r="C21" s="22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416"/>
      <c r="AA21" s="420" t="s">
        <v>576</v>
      </c>
      <c r="AB21" s="420">
        <f>'[1]חישובי מקורות א'!$BP$6</f>
        <v>0</v>
      </c>
    </row>
    <row r="22" spans="2:29" ht="33">
      <c r="B22" s="1076" t="s">
        <v>665</v>
      </c>
      <c r="C22" s="1030"/>
      <c r="D22" s="353">
        <f>IF(H2=1,((D13-T5)/6)*5,D13-T5)</f>
        <v>0</v>
      </c>
      <c r="E22" s="34"/>
      <c r="F22" s="34"/>
      <c r="G22" s="1090" t="s">
        <v>666</v>
      </c>
      <c r="H22" s="1091"/>
      <c r="I22" s="1091"/>
      <c r="J22" s="1092"/>
      <c r="K22" s="34"/>
      <c r="L22" s="34"/>
      <c r="M22" s="34"/>
      <c r="N22" s="34"/>
      <c r="O22" s="34"/>
      <c r="P22" s="34"/>
      <c r="Q22" s="1093" t="s">
        <v>666</v>
      </c>
      <c r="R22" s="1093"/>
      <c r="S22" s="34"/>
      <c r="T22" s="34"/>
      <c r="U22" s="34"/>
      <c r="V22" s="34"/>
      <c r="W22" s="34"/>
      <c r="X22" s="34"/>
      <c r="Y22" s="34"/>
      <c r="Z22" s="416"/>
      <c r="AA22" s="420" t="s">
        <v>577</v>
      </c>
      <c r="AB22" s="420">
        <f>'[1]חישובי מקורות א'!$BO$6</f>
        <v>0</v>
      </c>
    </row>
    <row r="23" spans="2:29">
      <c r="B23" s="1094" t="s">
        <v>667</v>
      </c>
      <c r="C23" s="1095"/>
      <c r="D23" s="354">
        <f>IF(H2=1,D17-1,D17)</f>
        <v>0</v>
      </c>
      <c r="E23" s="34"/>
      <c r="F23" s="34"/>
      <c r="G23" s="34"/>
      <c r="H23" s="34" t="s">
        <v>163</v>
      </c>
      <c r="I23" s="41">
        <v>68</v>
      </c>
      <c r="J23" s="1087" t="s">
        <v>436</v>
      </c>
      <c r="K23" s="1087"/>
      <c r="L23" s="41">
        <v>120</v>
      </c>
      <c r="M23" s="34" t="s">
        <v>234</v>
      </c>
      <c r="N23" s="422">
        <v>3.5</v>
      </c>
      <c r="O23" s="34"/>
      <c r="P23" s="34"/>
      <c r="Q23" s="34"/>
      <c r="R23" s="34" t="s">
        <v>163</v>
      </c>
      <c r="S23" s="41">
        <v>68</v>
      </c>
      <c r="T23" s="1087" t="s">
        <v>436</v>
      </c>
      <c r="U23" s="1087"/>
      <c r="V23" s="41">
        <v>120</v>
      </c>
      <c r="W23" s="34" t="s">
        <v>234</v>
      </c>
      <c r="X23" s="422">
        <v>3.5</v>
      </c>
      <c r="Y23" s="34"/>
      <c r="Z23" s="416"/>
      <c r="AA23" s="420" t="s">
        <v>578</v>
      </c>
      <c r="AB23" s="420">
        <f>'[1]חישובי מקורות א'!$BN$6</f>
        <v>0</v>
      </c>
    </row>
    <row r="24" spans="2:29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416"/>
      <c r="AA24" s="420"/>
      <c r="AB24" s="420"/>
    </row>
    <row r="25" spans="2:29">
      <c r="F25" s="34"/>
      <c r="G25" s="34"/>
      <c r="H25" s="34" t="s">
        <v>248</v>
      </c>
      <c r="I25" s="1088" t="e">
        <f>PV(N23/100/12,(L23-I23)*12,N20,,1)*(-1)</f>
        <v>#DIV/0!</v>
      </c>
      <c r="J25" s="1088"/>
      <c r="K25" s="34"/>
      <c r="L25" s="34"/>
      <c r="M25" s="34"/>
      <c r="N25" s="34"/>
      <c r="O25" s="34"/>
      <c r="P25" s="34"/>
      <c r="Q25" s="34"/>
      <c r="R25" s="34" t="s">
        <v>248</v>
      </c>
      <c r="S25" s="1088" t="e">
        <f>PV(X23/100,(V23-S23),X20,,1)*(-1)</f>
        <v>#DIV/0!</v>
      </c>
      <c r="T25" s="1088"/>
      <c r="U25" s="34"/>
      <c r="V25" s="34"/>
      <c r="W25" s="34"/>
      <c r="X25" s="34"/>
      <c r="Y25" s="34"/>
      <c r="Z25" s="416"/>
      <c r="AA25" s="420" t="s">
        <v>579</v>
      </c>
      <c r="AB25" s="420">
        <f>'[1]חישובי מקורות א'!$CE$6</f>
        <v>0</v>
      </c>
    </row>
    <row r="26" spans="2:29"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416"/>
      <c r="AA26" s="420" t="s">
        <v>580</v>
      </c>
      <c r="AB26" s="420">
        <f>'[1]חישובי מקורות א'!$CD$6</f>
        <v>0</v>
      </c>
    </row>
    <row r="27" spans="2:29">
      <c r="B27" s="104"/>
      <c r="C27" s="104"/>
      <c r="D27" s="104"/>
      <c r="E27" s="34"/>
      <c r="F27" s="34"/>
      <c r="G27" s="1087" t="s">
        <v>668</v>
      </c>
      <c r="H27" s="1087"/>
      <c r="I27" s="1088">
        <f>PV(N23/100/12,(L23-I23)*12,I11,,1)*(-1)</f>
        <v>0</v>
      </c>
      <c r="J27" s="1088"/>
      <c r="K27" s="34"/>
      <c r="L27" s="34"/>
      <c r="M27" s="34"/>
      <c r="N27" s="34"/>
      <c r="O27" s="34"/>
      <c r="P27" s="34"/>
      <c r="Q27" s="1087" t="s">
        <v>668</v>
      </c>
      <c r="R27" s="1087"/>
      <c r="S27" s="1088">
        <f>PV(X23/100,(V23-S23),S11,,1)*(-1)</f>
        <v>0</v>
      </c>
      <c r="T27" s="1088"/>
      <c r="U27" s="34"/>
      <c r="V27" s="34"/>
      <c r="W27" s="34"/>
      <c r="X27" s="34"/>
      <c r="Y27" s="34"/>
      <c r="Z27" s="416"/>
      <c r="AA27" s="420" t="s">
        <v>581</v>
      </c>
      <c r="AB27" s="420">
        <f>'[1]חישובי מקורות א'!$CC$6</f>
        <v>0</v>
      </c>
    </row>
    <row r="28" spans="2:29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416"/>
      <c r="AA28" s="420" t="s">
        <v>582</v>
      </c>
      <c r="AB28" s="420">
        <f>'[1]חישובי מקורות א'!$CB$6</f>
        <v>0</v>
      </c>
    </row>
    <row r="29" spans="2:29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416"/>
      <c r="AA29" s="420"/>
      <c r="AB29" s="420"/>
    </row>
    <row r="30" spans="2:29" ht="20.25" customHeight="1">
      <c r="B30" s="1076" t="s">
        <v>272</v>
      </c>
      <c r="C30" s="1030"/>
      <c r="D30" s="386">
        <f>D12</f>
        <v>0</v>
      </c>
      <c r="E30" s="34"/>
      <c r="F30" s="337"/>
      <c r="G30" s="362"/>
      <c r="H30" s="363"/>
      <c r="I30" s="36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416"/>
      <c r="AA30" s="420"/>
      <c r="AB30" s="420"/>
    </row>
    <row r="31" spans="2:29" ht="20.100000000000001" customHeight="1">
      <c r="B31" s="1076" t="s">
        <v>669</v>
      </c>
      <c r="C31" s="1030"/>
      <c r="D31" s="386">
        <f>D18</f>
        <v>0</v>
      </c>
      <c r="E31" s="34"/>
      <c r="F31" s="34"/>
      <c r="G31" s="365"/>
      <c r="H31" s="365"/>
      <c r="I31" s="366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416"/>
      <c r="AA31" s="417">
        <f>'[1]נתוני יסוד'!B1</f>
        <v>0</v>
      </c>
      <c r="AB31" s="418" t="s">
        <v>602</v>
      </c>
      <c r="AC31" s="415" t="str">
        <f>AC3</f>
        <v>אחרת</v>
      </c>
    </row>
    <row r="32" spans="2:29" ht="20.100000000000001" customHeight="1" thickBot="1">
      <c r="B32" s="1076" t="s">
        <v>670</v>
      </c>
      <c r="C32" s="1030"/>
      <c r="D32" s="387">
        <f>T5</f>
        <v>0</v>
      </c>
      <c r="E32" s="34"/>
      <c r="F32" s="34" t="s">
        <v>689</v>
      </c>
      <c r="G32" s="365"/>
      <c r="H32" s="366"/>
      <c r="I32" s="367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416"/>
      <c r="AA32" s="420" t="s">
        <v>272</v>
      </c>
      <c r="AB32" s="420">
        <f>'[1]מקסימום פנסיה עם קצבה פטורה'!$B$11</f>
        <v>0</v>
      </c>
      <c r="AC32" s="420">
        <f>D12</f>
        <v>0</v>
      </c>
    </row>
    <row r="33" spans="2:38" ht="20.100000000000001" customHeight="1">
      <c r="B33" s="1076" t="s">
        <v>671</v>
      </c>
      <c r="C33" s="1030"/>
      <c r="D33" s="388">
        <f>D30-D31-D32</f>
        <v>0</v>
      </c>
      <c r="E33" s="352" t="e">
        <f>D34</f>
        <v>#DIV/0!</v>
      </c>
      <c r="F33" s="64" t="e">
        <f>D33-E33</f>
        <v>#DIV/0!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416"/>
      <c r="AA33" s="420" t="s">
        <v>583</v>
      </c>
      <c r="AB33" s="420">
        <v>0</v>
      </c>
      <c r="AC33" s="420">
        <f>D15</f>
        <v>0</v>
      </c>
    </row>
    <row r="34" spans="2:38" ht="30.75" customHeight="1">
      <c r="B34" s="1076" t="s">
        <v>672</v>
      </c>
      <c r="C34" s="1030"/>
      <c r="D34" s="386" t="e">
        <f>IF(H2=1,((X19-X49)*D23)+(Q11*50/100),(X19-X49)*D23)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416"/>
      <c r="AA34" s="420" t="s">
        <v>270</v>
      </c>
      <c r="AB34" s="420">
        <f>'[1]פיצויים פטורים וקצבה'!D32</f>
        <v>0</v>
      </c>
      <c r="AC34" s="420">
        <f>T5</f>
        <v>0</v>
      </c>
    </row>
    <row r="35" spans="2:38" ht="24.95" customHeight="1">
      <c r="B35" s="1076" t="s">
        <v>633</v>
      </c>
      <c r="C35" s="1030"/>
      <c r="D35" s="381" t="e">
        <f>D30-D32-D34</f>
        <v>#DIV/0!</v>
      </c>
      <c r="E35" s="352" t="e">
        <f>D31+D33-D34</f>
        <v>#DIV/0!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416"/>
      <c r="AA35" s="420" t="s">
        <v>584</v>
      </c>
      <c r="AB35" s="420">
        <f>'[1]פיצויים פטורים וקצבה'!D31</f>
        <v>0</v>
      </c>
      <c r="AC35" s="420">
        <f>D18</f>
        <v>0</v>
      </c>
    </row>
    <row r="36" spans="2:38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416"/>
      <c r="AA36" s="420" t="s">
        <v>585</v>
      </c>
      <c r="AB36" s="420">
        <f>AB32-AB34-AB35</f>
        <v>0</v>
      </c>
      <c r="AC36" s="423">
        <f>D33</f>
        <v>0</v>
      </c>
    </row>
    <row r="37" spans="2:38" ht="26.25" customHeight="1">
      <c r="B37" s="1144" t="s">
        <v>690</v>
      </c>
      <c r="C37" s="1097"/>
      <c r="D37" s="1097"/>
      <c r="E37" s="1097"/>
      <c r="F37" s="1097"/>
      <c r="G37" s="1097"/>
      <c r="H37" s="1097"/>
      <c r="I37" s="1097"/>
      <c r="J37" s="1097"/>
      <c r="K37" s="1098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416"/>
      <c r="AA37" s="424" t="s">
        <v>453</v>
      </c>
      <c r="AB37" s="420">
        <f>'[1]נתוני יסוד'!B28</f>
        <v>0</v>
      </c>
      <c r="AC37" s="425">
        <f>AB37</f>
        <v>0</v>
      </c>
      <c r="AD37" s="34"/>
      <c r="AE37" s="34"/>
      <c r="AF37" s="34"/>
      <c r="AG37" s="34"/>
      <c r="AH37" s="34"/>
      <c r="AI37" s="34"/>
      <c r="AJ37" s="34"/>
      <c r="AK37" s="34"/>
      <c r="AL37" s="34"/>
    </row>
    <row r="38" spans="2:38" ht="26.25" customHeight="1">
      <c r="B38" s="34"/>
      <c r="C38" s="34"/>
      <c r="D38" s="34"/>
      <c r="E38" s="34"/>
      <c r="F38" s="34"/>
      <c r="G38" s="1081" t="s">
        <v>673</v>
      </c>
      <c r="H38" s="1082"/>
      <c r="I38" s="1082"/>
      <c r="J38" s="1082"/>
      <c r="K38" s="1083"/>
      <c r="L38" s="34"/>
      <c r="M38" s="34"/>
      <c r="N38" s="34"/>
      <c r="O38" s="34"/>
      <c r="P38" s="34"/>
      <c r="Q38" s="1099" t="s">
        <v>674</v>
      </c>
      <c r="R38" s="1100"/>
      <c r="S38" s="1100"/>
      <c r="T38" s="1100"/>
      <c r="U38" s="1101"/>
      <c r="V38" s="34"/>
      <c r="W38" s="34"/>
      <c r="X38" s="34"/>
      <c r="Y38" s="34"/>
      <c r="Z38" s="416"/>
      <c r="AA38" s="424" t="s">
        <v>455</v>
      </c>
      <c r="AB38" s="420">
        <f>'[1]נתוני יסוד'!B29</f>
        <v>0</v>
      </c>
      <c r="AC38" s="425">
        <f>AB38</f>
        <v>0</v>
      </c>
      <c r="AD38" s="34"/>
      <c r="AE38" s="34"/>
      <c r="AF38" s="34"/>
      <c r="AG38" s="34"/>
      <c r="AH38" s="34"/>
      <c r="AI38" s="34"/>
      <c r="AJ38" s="34"/>
      <c r="AK38" s="34"/>
      <c r="AL38" s="34"/>
    </row>
    <row r="39" spans="2:38" ht="25.5">
      <c r="B39" s="34"/>
      <c r="C39" s="34"/>
      <c r="D39" s="34"/>
      <c r="E39" s="34"/>
      <c r="F39" s="34"/>
      <c r="G39" s="34" t="s">
        <v>658</v>
      </c>
      <c r="H39" s="34" t="s">
        <v>644</v>
      </c>
      <c r="I39" s="336" t="s">
        <v>645</v>
      </c>
      <c r="J39" s="34" t="s">
        <v>646</v>
      </c>
      <c r="K39" s="34"/>
      <c r="L39" s="34"/>
      <c r="M39" s="34"/>
      <c r="N39" s="34"/>
      <c r="O39" s="34"/>
      <c r="P39" s="34"/>
      <c r="Q39" s="34" t="s">
        <v>659</v>
      </c>
      <c r="R39" s="34" t="s">
        <v>647</v>
      </c>
      <c r="S39" s="336" t="s">
        <v>648</v>
      </c>
      <c r="T39" s="34" t="s">
        <v>649</v>
      </c>
      <c r="U39" s="34"/>
      <c r="V39" s="34"/>
      <c r="W39" s="34"/>
      <c r="X39" s="34"/>
      <c r="Y39" s="34"/>
      <c r="Z39" s="416"/>
      <c r="AA39" s="424" t="s">
        <v>591</v>
      </c>
      <c r="AB39" s="420">
        <f>'[1]נתוני יסוד'!B30</f>
        <v>0</v>
      </c>
      <c r="AC39" s="425">
        <f>AB39</f>
        <v>0</v>
      </c>
      <c r="AD39" s="34"/>
      <c r="AE39" s="34"/>
      <c r="AF39" s="34"/>
      <c r="AG39" s="34"/>
      <c r="AH39" s="34"/>
      <c r="AI39" s="34"/>
      <c r="AJ39" s="34"/>
      <c r="AK39" s="34"/>
      <c r="AL39" s="34"/>
    </row>
    <row r="40" spans="2:38" ht="12.75" customHeight="1">
      <c r="B40" s="34"/>
      <c r="C40" s="34"/>
      <c r="D40" s="34"/>
      <c r="E40" s="34"/>
      <c r="F40" s="34"/>
      <c r="G40" s="356" t="s">
        <v>675</v>
      </c>
      <c r="H40" s="345">
        <f>H11</f>
        <v>0</v>
      </c>
      <c r="I40" s="345">
        <f>L5</f>
        <v>0</v>
      </c>
      <c r="J40" s="357">
        <f>H40-I40</f>
        <v>0</v>
      </c>
      <c r="K40" s="337"/>
      <c r="L40" s="337"/>
      <c r="M40" s="337"/>
      <c r="N40" s="34"/>
      <c r="O40" s="34"/>
      <c r="P40" s="34"/>
      <c r="Q40" s="76" t="s">
        <v>675</v>
      </c>
      <c r="R40" s="76">
        <f>H40*12</f>
        <v>0</v>
      </c>
      <c r="S40" s="76">
        <f>I40*12</f>
        <v>0</v>
      </c>
      <c r="T40" s="76">
        <f>R40-S40</f>
        <v>0</v>
      </c>
      <c r="U40" s="337"/>
      <c r="V40" s="337"/>
      <c r="W40" s="337"/>
      <c r="X40" s="34"/>
      <c r="Y40" s="34"/>
      <c r="Z40" s="416"/>
      <c r="AA40" s="424" t="s">
        <v>592</v>
      </c>
      <c r="AB40" s="420">
        <f>'[1]פיצויים פטורים וקצבה'!L4</f>
        <v>0</v>
      </c>
      <c r="AC40" s="425">
        <f>L4</f>
        <v>0</v>
      </c>
      <c r="AD40" s="34"/>
      <c r="AE40" s="34"/>
      <c r="AF40" s="34"/>
      <c r="AG40" s="34"/>
      <c r="AH40" s="34"/>
      <c r="AI40" s="34"/>
      <c r="AJ40" s="34"/>
      <c r="AK40" s="34"/>
      <c r="AL40" s="34"/>
    </row>
    <row r="41" spans="2:38">
      <c r="B41" s="34"/>
      <c r="C41" s="34"/>
      <c r="D41" s="34"/>
      <c r="E41" s="34"/>
      <c r="F41" s="34"/>
      <c r="G41" s="337"/>
      <c r="H41" s="337"/>
      <c r="I41" s="337"/>
      <c r="J41" s="337"/>
      <c r="K41" s="337"/>
      <c r="L41" s="337"/>
      <c r="M41" s="337"/>
      <c r="N41" s="34"/>
      <c r="O41" s="34"/>
      <c r="P41" s="34"/>
      <c r="Q41" s="337"/>
      <c r="R41" s="337"/>
      <c r="S41" s="337"/>
      <c r="T41" s="337"/>
      <c r="U41" s="337"/>
      <c r="V41" s="337"/>
      <c r="W41" s="337"/>
      <c r="X41" s="34"/>
      <c r="Y41" s="34"/>
      <c r="Z41" s="416"/>
      <c r="AA41" s="426" t="s">
        <v>593</v>
      </c>
      <c r="AB41" s="420" t="e">
        <f>#REF!+#REF!+AB37+AB39+AB40</f>
        <v>#REF!</v>
      </c>
      <c r="AC41" s="420" t="e">
        <f>#REF!+#REF!+AC37+AC39+AC40</f>
        <v>#REF!</v>
      </c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ht="12.75" customHeight="1">
      <c r="B42" s="34"/>
      <c r="C42" s="34"/>
      <c r="D42" s="34"/>
      <c r="E42" s="34"/>
      <c r="F42" s="34"/>
      <c r="G42" s="337" t="s">
        <v>639</v>
      </c>
      <c r="H42" s="337" t="s">
        <v>640</v>
      </c>
      <c r="I42" s="337" t="s">
        <v>550</v>
      </c>
      <c r="J42" s="337" t="s">
        <v>640</v>
      </c>
      <c r="K42" s="337" t="s">
        <v>641</v>
      </c>
      <c r="L42" s="337" t="s">
        <v>642</v>
      </c>
      <c r="M42" s="337"/>
      <c r="N42" s="34"/>
      <c r="O42" s="34"/>
      <c r="P42" s="34"/>
      <c r="Q42" s="337" t="s">
        <v>639</v>
      </c>
      <c r="R42" s="337" t="s">
        <v>640</v>
      </c>
      <c r="S42" s="337" t="s">
        <v>550</v>
      </c>
      <c r="T42" s="337" t="s">
        <v>640</v>
      </c>
      <c r="U42" s="337" t="s">
        <v>641</v>
      </c>
      <c r="V42" s="337" t="s">
        <v>642</v>
      </c>
      <c r="W42" s="337"/>
      <c r="X42" s="34"/>
      <c r="Y42" s="34"/>
      <c r="Z42" s="416"/>
      <c r="AA42" s="426" t="s">
        <v>594</v>
      </c>
      <c r="AB42" s="427">
        <f>'[1]פיצויים פטורים וקצבה'!N51</f>
        <v>0</v>
      </c>
      <c r="AC42" s="428">
        <f>N50</f>
        <v>0</v>
      </c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>
      <c r="F43" s="34"/>
      <c r="G43" s="347">
        <f>H43</f>
        <v>5270</v>
      </c>
      <c r="H43" s="347">
        <f t="shared" ref="H43:I47" si="3">H13</f>
        <v>5270</v>
      </c>
      <c r="I43" s="348">
        <f t="shared" si="3"/>
        <v>0.1</v>
      </c>
      <c r="J43" s="80">
        <f>IF(J40&gt;G43,H43,J40)</f>
        <v>0</v>
      </c>
      <c r="K43" s="80">
        <f t="shared" ref="K43:K48" si="4">J43*I43</f>
        <v>0</v>
      </c>
      <c r="L43" s="80">
        <f>K43</f>
        <v>0</v>
      </c>
      <c r="M43" s="337"/>
      <c r="N43" s="34"/>
      <c r="O43" s="34"/>
      <c r="P43" s="34"/>
      <c r="Q43" s="347">
        <f>R43</f>
        <v>63240</v>
      </c>
      <c r="R43" s="347">
        <f>H43*12</f>
        <v>63240</v>
      </c>
      <c r="S43" s="348">
        <f t="shared" ref="S43:S48" si="5">I13</f>
        <v>0.1</v>
      </c>
      <c r="T43" s="337">
        <f>IF(T40&gt;Q43,R43,T40)</f>
        <v>0</v>
      </c>
      <c r="U43" s="337">
        <f t="shared" ref="U43:U48" si="6">T43*S43</f>
        <v>0</v>
      </c>
      <c r="V43" s="337">
        <f>U43</f>
        <v>0</v>
      </c>
      <c r="W43" s="337"/>
      <c r="X43" s="34"/>
      <c r="Z43" s="414"/>
      <c r="AA43" s="420"/>
      <c r="AB43" s="420"/>
    </row>
    <row r="44" spans="2:38">
      <c r="F44" s="34"/>
      <c r="G44" s="347">
        <f>G43+H44</f>
        <v>9000</v>
      </c>
      <c r="H44" s="347">
        <f t="shared" si="3"/>
        <v>3730</v>
      </c>
      <c r="I44" s="348">
        <f t="shared" si="3"/>
        <v>0.14000000000000001</v>
      </c>
      <c r="J44" s="80">
        <f>IF(J40&gt;G44,H44,IF(J40&lt;G43,0,J40-G43))</f>
        <v>0</v>
      </c>
      <c r="K44" s="80">
        <f t="shared" si="4"/>
        <v>0</v>
      </c>
      <c r="L44" s="80">
        <f>L43+K44</f>
        <v>0</v>
      </c>
      <c r="M44" s="337"/>
      <c r="N44" s="34"/>
      <c r="O44" s="34"/>
      <c r="P44" s="34"/>
      <c r="Q44" s="347">
        <f>Q43+R44</f>
        <v>108000</v>
      </c>
      <c r="R44" s="347">
        <f>H44*12</f>
        <v>44760</v>
      </c>
      <c r="S44" s="348">
        <f t="shared" si="5"/>
        <v>0.14000000000000001</v>
      </c>
      <c r="T44" s="337">
        <f>IF(T40&gt;Q44,R44,IF(T40&lt;Q43,0,T40-Q43))</f>
        <v>0</v>
      </c>
      <c r="U44" s="337">
        <f t="shared" si="6"/>
        <v>0</v>
      </c>
      <c r="V44" s="337">
        <f>V43+U44</f>
        <v>0</v>
      </c>
      <c r="W44" s="337"/>
      <c r="X44" s="34"/>
      <c r="Z44" s="414"/>
      <c r="AA44" s="420" t="s">
        <v>595</v>
      </c>
      <c r="AB44" s="420"/>
    </row>
    <row r="45" spans="2:38">
      <c r="F45" s="34"/>
      <c r="G45" s="347">
        <f>G44+H45</f>
        <v>13990</v>
      </c>
      <c r="H45" s="347">
        <f t="shared" si="3"/>
        <v>4990</v>
      </c>
      <c r="I45" s="348">
        <f t="shared" si="3"/>
        <v>0.21</v>
      </c>
      <c r="J45" s="80">
        <f>IF(J40&gt;G45,H45,IF(J40&lt;G44,0,J40-G44))</f>
        <v>0</v>
      </c>
      <c r="K45" s="80">
        <f t="shared" si="4"/>
        <v>0</v>
      </c>
      <c r="L45" s="80">
        <f>L44+K45</f>
        <v>0</v>
      </c>
      <c r="M45" s="337"/>
      <c r="N45" s="34"/>
      <c r="O45" s="34"/>
      <c r="P45" s="34"/>
      <c r="Q45" s="347">
        <f>Q44+R45</f>
        <v>167880</v>
      </c>
      <c r="R45" s="347">
        <f>H45*12</f>
        <v>59880</v>
      </c>
      <c r="S45" s="348">
        <f t="shared" si="5"/>
        <v>0.21</v>
      </c>
      <c r="T45" s="337">
        <f>IF(T40&gt;Q45,R45,IF(T40&lt;Q44,0,T40-Q44))</f>
        <v>0</v>
      </c>
      <c r="U45" s="337">
        <f t="shared" si="6"/>
        <v>0</v>
      </c>
      <c r="V45" s="337">
        <f>V44+U45</f>
        <v>0</v>
      </c>
      <c r="W45" s="337"/>
      <c r="X45" s="34"/>
      <c r="Z45" s="414"/>
      <c r="AA45" s="420"/>
      <c r="AB45" s="420"/>
    </row>
    <row r="46" spans="2:38">
      <c r="F46" s="34"/>
      <c r="G46" s="347">
        <f>G45+H46</f>
        <v>19980</v>
      </c>
      <c r="H46" s="347">
        <f t="shared" si="3"/>
        <v>5990</v>
      </c>
      <c r="I46" s="348">
        <f t="shared" si="3"/>
        <v>0.31</v>
      </c>
      <c r="J46" s="80">
        <f>IF(J40&gt;G46,H46,IF(J40&lt;G45,0,J40-G45))</f>
        <v>0</v>
      </c>
      <c r="K46" s="80">
        <f t="shared" si="4"/>
        <v>0</v>
      </c>
      <c r="L46" s="80">
        <f>L45+K46</f>
        <v>0</v>
      </c>
      <c r="M46" s="337"/>
      <c r="N46" s="34"/>
      <c r="O46" s="34"/>
      <c r="P46" s="34"/>
      <c r="Q46" s="347">
        <f>Q45+R46</f>
        <v>239760</v>
      </c>
      <c r="R46" s="347">
        <f>H46*12</f>
        <v>71880</v>
      </c>
      <c r="S46" s="348">
        <f t="shared" si="5"/>
        <v>0.31</v>
      </c>
      <c r="T46" s="337">
        <f>IF(T40&gt;Q46,R46,IF(T40&lt;Q45,0,T40-Q45))</f>
        <v>0</v>
      </c>
      <c r="U46" s="337">
        <f t="shared" si="6"/>
        <v>0</v>
      </c>
      <c r="V46" s="337">
        <f>V45+U46</f>
        <v>0</v>
      </c>
      <c r="W46" s="337"/>
      <c r="X46" s="34"/>
      <c r="Z46" s="414"/>
      <c r="AA46" s="420" t="s">
        <v>596</v>
      </c>
      <c r="AB46" s="420"/>
    </row>
    <row r="47" spans="2:38" ht="22.5">
      <c r="F47" s="34"/>
      <c r="G47" s="347">
        <f>G46+H47</f>
        <v>41790</v>
      </c>
      <c r="H47" s="347">
        <f t="shared" si="3"/>
        <v>21810</v>
      </c>
      <c r="I47" s="348">
        <f t="shared" si="3"/>
        <v>0.34</v>
      </c>
      <c r="J47" s="80">
        <f>IF(J40&gt;G47,H47,IF(J40&lt;G46,0,J40-G46))</f>
        <v>0</v>
      </c>
      <c r="K47" s="80">
        <f t="shared" si="4"/>
        <v>0</v>
      </c>
      <c r="L47" s="80">
        <f>L46+K47</f>
        <v>0</v>
      </c>
      <c r="M47" s="337"/>
      <c r="N47" s="34"/>
      <c r="O47" s="34"/>
      <c r="P47" s="34"/>
      <c r="Q47" s="347">
        <f>Q46+R47</f>
        <v>501480</v>
      </c>
      <c r="R47" s="347">
        <f>H47*12</f>
        <v>261720</v>
      </c>
      <c r="S47" s="348">
        <f t="shared" si="5"/>
        <v>0.34</v>
      </c>
      <c r="T47" s="337">
        <f>IF(T40&gt;Q47,R47,IF(T40&lt;Q46,0,T40-Q46))</f>
        <v>0</v>
      </c>
      <c r="U47" s="337">
        <f t="shared" si="6"/>
        <v>0</v>
      </c>
      <c r="V47" s="337">
        <f>V46+U47</f>
        <v>0</v>
      </c>
      <c r="W47" s="337"/>
      <c r="X47" s="34"/>
      <c r="Z47" s="414"/>
      <c r="AA47" s="429" t="str">
        <f>'[1]נתוני יסוד'!A38</f>
        <v>כספים ממקורות הפטורים במשיכה ח"פ בפרישה</v>
      </c>
      <c r="AB47" s="420">
        <f>'[1]נתוני יסוד'!B38</f>
        <v>0</v>
      </c>
      <c r="AC47" s="420">
        <f>AB47</f>
        <v>0</v>
      </c>
    </row>
    <row r="48" spans="2:38">
      <c r="F48" s="34"/>
      <c r="G48" s="347">
        <v>99999999</v>
      </c>
      <c r="H48" s="347">
        <f>IF(J40-G47&gt;=0,J40-G47,0)</f>
        <v>0</v>
      </c>
      <c r="I48" s="348">
        <f>I18</f>
        <v>0.48</v>
      </c>
      <c r="J48" s="80">
        <f>IF(J40&gt;G48,H48,IF(J40&lt;G47,0,J40-G47))</f>
        <v>0</v>
      </c>
      <c r="K48" s="80">
        <f t="shared" si="4"/>
        <v>0</v>
      </c>
      <c r="L48" s="80">
        <f>L47+K48</f>
        <v>0</v>
      </c>
      <c r="M48" s="337"/>
      <c r="N48" s="34"/>
      <c r="O48" s="34"/>
      <c r="P48" s="34"/>
      <c r="Q48" s="347">
        <v>99999999</v>
      </c>
      <c r="R48" s="347">
        <f>IF(T40-Q47&gt;=0,T40-Q47,0)</f>
        <v>0</v>
      </c>
      <c r="S48" s="348">
        <f t="shared" si="5"/>
        <v>0.48</v>
      </c>
      <c r="T48" s="337">
        <f>IF(T40&gt;Q48,R48,IF(T40&lt;Q47,0,T40-Q47))</f>
        <v>0</v>
      </c>
      <c r="U48" s="337">
        <f t="shared" si="6"/>
        <v>0</v>
      </c>
      <c r="V48" s="337">
        <f>V47+U48</f>
        <v>0</v>
      </c>
      <c r="W48" s="337"/>
      <c r="X48" s="34"/>
      <c r="Z48" s="414"/>
      <c r="AA48" s="420"/>
      <c r="AB48" s="420"/>
    </row>
    <row r="49" spans="6:29" ht="25.5">
      <c r="F49" s="34"/>
      <c r="G49" s="337"/>
      <c r="H49" s="337"/>
      <c r="I49" s="337"/>
      <c r="J49" s="337"/>
      <c r="K49" s="337"/>
      <c r="L49" s="337"/>
      <c r="M49" s="337" t="s">
        <v>643</v>
      </c>
      <c r="N49" s="337">
        <f>IF(L48-'[1]נתוני יסוד'!L2&gt;=0,L48-'[1]נתוני יסוד'!L2,0)</f>
        <v>0</v>
      </c>
      <c r="O49" s="34"/>
      <c r="P49" s="34"/>
      <c r="Q49" s="337"/>
      <c r="R49" s="337"/>
      <c r="S49" s="337"/>
      <c r="T49" s="337"/>
      <c r="U49" s="337"/>
      <c r="V49" s="337"/>
      <c r="W49" s="337" t="s">
        <v>643</v>
      </c>
      <c r="X49" s="337">
        <f>IF(V48-'[1]נתוני יסוד'!L1&gt;=0,V48-'[1]נתוני יסוד'!L1,0)</f>
        <v>0</v>
      </c>
      <c r="Z49" s="414"/>
      <c r="AA49" s="420"/>
      <c r="AB49" s="420"/>
    </row>
    <row r="50" spans="6:29" ht="27" customHeight="1">
      <c r="F50" s="34"/>
      <c r="G50" s="34"/>
      <c r="H50" s="34"/>
      <c r="I50" s="34"/>
      <c r="J50" s="34"/>
      <c r="K50" s="34"/>
      <c r="L50" s="34"/>
      <c r="M50" s="34" t="s">
        <v>594</v>
      </c>
      <c r="N50" s="361">
        <f>H40-N49</f>
        <v>0</v>
      </c>
      <c r="O50" s="34"/>
      <c r="P50" s="34"/>
      <c r="Q50" s="34"/>
      <c r="R50" s="34"/>
      <c r="S50" s="34"/>
      <c r="T50" s="34"/>
      <c r="U50" s="34"/>
      <c r="V50" s="34"/>
      <c r="W50" s="34" t="s">
        <v>594</v>
      </c>
      <c r="X50" s="337">
        <f>R40-X49</f>
        <v>0</v>
      </c>
      <c r="Z50" s="414"/>
      <c r="AA50" s="420" t="s">
        <v>597</v>
      </c>
      <c r="AB50" s="427" t="e">
        <f>AB47+#REF!</f>
        <v>#REF!</v>
      </c>
      <c r="AC50" s="427" t="e">
        <f>AC47+#REF!</f>
        <v>#REF!</v>
      </c>
    </row>
    <row r="51" spans="6:29"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Z51" s="414"/>
      <c r="AA51" s="420"/>
      <c r="AB51" s="420"/>
    </row>
    <row r="52" spans="6:29" ht="33">
      <c r="F52" s="34"/>
      <c r="G52" s="1090" t="s">
        <v>666</v>
      </c>
      <c r="H52" s="1091"/>
      <c r="I52" s="1091"/>
      <c r="J52" s="1092"/>
      <c r="K52" s="34"/>
      <c r="L52" s="34"/>
      <c r="M52" s="34"/>
      <c r="N52" s="34"/>
      <c r="O52" s="34"/>
      <c r="P52" s="34"/>
      <c r="Q52" s="1093" t="s">
        <v>666</v>
      </c>
      <c r="R52" s="1093"/>
      <c r="S52" s="34"/>
      <c r="T52" s="34"/>
      <c r="U52" s="34"/>
      <c r="V52" s="34"/>
      <c r="W52" s="34"/>
      <c r="X52" s="34"/>
      <c r="Z52" s="414"/>
      <c r="AA52" s="429"/>
      <c r="AB52" s="418" t="s">
        <v>602</v>
      </c>
    </row>
    <row r="53" spans="6:29">
      <c r="F53" s="34"/>
      <c r="G53" s="34"/>
      <c r="H53" s="34" t="s">
        <v>163</v>
      </c>
      <c r="I53" s="41">
        <v>68</v>
      </c>
      <c r="J53" s="1087" t="s">
        <v>436</v>
      </c>
      <c r="K53" s="1087"/>
      <c r="L53" s="41">
        <v>120</v>
      </c>
      <c r="M53" s="34" t="s">
        <v>234</v>
      </c>
      <c r="N53" s="422">
        <v>3.5</v>
      </c>
      <c r="O53" s="34"/>
      <c r="P53" s="34"/>
      <c r="Q53" s="34"/>
      <c r="R53" s="34" t="s">
        <v>163</v>
      </c>
      <c r="S53" s="41">
        <v>68</v>
      </c>
      <c r="T53" s="1087" t="s">
        <v>436</v>
      </c>
      <c r="U53" s="1087"/>
      <c r="V53" s="41">
        <v>120</v>
      </c>
      <c r="W53" s="34" t="s">
        <v>234</v>
      </c>
      <c r="X53" s="422">
        <v>3.5</v>
      </c>
      <c r="Z53" s="414"/>
      <c r="AA53" s="420"/>
      <c r="AB53" s="420"/>
    </row>
    <row r="54" spans="6:29"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AA54" s="420"/>
      <c r="AB54" s="420"/>
    </row>
    <row r="55" spans="6:29">
      <c r="F55" s="34"/>
      <c r="G55" s="34"/>
      <c r="H55" s="34" t="s">
        <v>248</v>
      </c>
      <c r="I55" s="1088">
        <f>PV(N53/100/12,(L53-I53)*12,N50,,1)*(-1)</f>
        <v>0</v>
      </c>
      <c r="J55" s="1088"/>
      <c r="K55" s="34"/>
      <c r="L55" s="34"/>
      <c r="M55" s="34"/>
      <c r="N55" s="34"/>
      <c r="O55" s="34"/>
      <c r="P55" s="34"/>
      <c r="Q55" s="34"/>
      <c r="R55" s="34" t="s">
        <v>248</v>
      </c>
      <c r="S55" s="1088">
        <f>PV(X53/100,(V53-S53),X50,,1)*(-1)</f>
        <v>0</v>
      </c>
      <c r="T55" s="1088"/>
      <c r="U55" s="34"/>
      <c r="V55" s="34"/>
      <c r="W55" s="34"/>
      <c r="X55" s="34"/>
      <c r="AA55" s="420"/>
      <c r="AB55" s="420"/>
    </row>
    <row r="56" spans="6:29"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AA56" s="420"/>
      <c r="AB56" s="420"/>
    </row>
    <row r="57" spans="6:29">
      <c r="F57" s="34"/>
      <c r="G57" s="1087" t="s">
        <v>668</v>
      </c>
      <c r="H57" s="1087"/>
      <c r="I57" s="1088">
        <f>PV(N53/100/12,(L53-I53)*12,I40,,1)*(-1)</f>
        <v>0</v>
      </c>
      <c r="J57" s="1088"/>
      <c r="K57" s="34"/>
      <c r="L57" s="34"/>
      <c r="M57" s="34"/>
      <c r="N57" s="34"/>
      <c r="O57" s="34"/>
      <c r="P57" s="34"/>
      <c r="Q57" s="1087" t="s">
        <v>668</v>
      </c>
      <c r="R57" s="1087"/>
      <c r="S57" s="1088">
        <f>PV(X53/100,(V53-S53),S40,,1)*(-1)</f>
        <v>0</v>
      </c>
      <c r="T57" s="1088"/>
      <c r="U57" s="34"/>
      <c r="V57" s="34"/>
      <c r="W57" s="34"/>
      <c r="X57" s="34"/>
      <c r="AA57" s="420"/>
      <c r="AB57" s="420"/>
    </row>
    <row r="58" spans="6:29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AA58" s="420"/>
      <c r="AB58" s="420"/>
    </row>
    <row r="59" spans="6:29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AA59" s="420"/>
      <c r="AB59" s="420"/>
    </row>
    <row r="60" spans="6:29">
      <c r="AA60" s="420"/>
      <c r="AB60" s="420"/>
    </row>
    <row r="61" spans="6:29">
      <c r="AA61" s="420"/>
      <c r="AB61" s="420"/>
    </row>
    <row r="62" spans="6:29">
      <c r="AA62" s="420"/>
    </row>
  </sheetData>
  <sheetProtection password="83F6" sheet="1" objects="1" scenarios="1"/>
  <mergeCells count="58">
    <mergeCell ref="I55:J55"/>
    <mergeCell ref="S55:T55"/>
    <mergeCell ref="G57:H57"/>
    <mergeCell ref="I57:J57"/>
    <mergeCell ref="Q57:R57"/>
    <mergeCell ref="S57:T57"/>
    <mergeCell ref="J53:K53"/>
    <mergeCell ref="T53:U53"/>
    <mergeCell ref="B30:C30"/>
    <mergeCell ref="B31:C31"/>
    <mergeCell ref="B32:C32"/>
    <mergeCell ref="B33:C33"/>
    <mergeCell ref="B34:C34"/>
    <mergeCell ref="B35:C35"/>
    <mergeCell ref="B37:K37"/>
    <mergeCell ref="G38:K38"/>
    <mergeCell ref="Q38:U38"/>
    <mergeCell ref="G52:J52"/>
    <mergeCell ref="Q52:R52"/>
    <mergeCell ref="T23:U23"/>
    <mergeCell ref="I25:J25"/>
    <mergeCell ref="S25:T25"/>
    <mergeCell ref="G27:H27"/>
    <mergeCell ref="I27:J27"/>
    <mergeCell ref="Q27:R27"/>
    <mergeCell ref="S27:T27"/>
    <mergeCell ref="B18:C18"/>
    <mergeCell ref="B22:C22"/>
    <mergeCell ref="G22:J22"/>
    <mergeCell ref="Q22:R22"/>
    <mergeCell ref="B23:C23"/>
    <mergeCell ref="J23:K23"/>
    <mergeCell ref="B17:C17"/>
    <mergeCell ref="B8:K8"/>
    <mergeCell ref="Q8:S8"/>
    <mergeCell ref="G9:K9"/>
    <mergeCell ref="Q9:U9"/>
    <mergeCell ref="A10:C10"/>
    <mergeCell ref="A11:C11"/>
    <mergeCell ref="A12:C12"/>
    <mergeCell ref="A13:C13"/>
    <mergeCell ref="A14:C14"/>
    <mergeCell ref="A15:C15"/>
    <mergeCell ref="B16:C16"/>
    <mergeCell ref="B5:C5"/>
    <mergeCell ref="I5:K5"/>
    <mergeCell ref="Q5:S5"/>
    <mergeCell ref="B6:C6"/>
    <mergeCell ref="F6:G6"/>
    <mergeCell ref="I6:K6"/>
    <mergeCell ref="Q6:S6"/>
    <mergeCell ref="I4:K4"/>
    <mergeCell ref="Q4:S4"/>
    <mergeCell ref="I1:K1"/>
    <mergeCell ref="E2:G2"/>
    <mergeCell ref="I2:K2"/>
    <mergeCell ref="I3:K3"/>
    <mergeCell ref="Q3:S3"/>
  </mergeCell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Worksheet______20">
    <tabColor indexed="40"/>
  </sheetPr>
  <dimension ref="A1:I31"/>
  <sheetViews>
    <sheetView rightToLeft="1" workbookViewId="0"/>
  </sheetViews>
  <sheetFormatPr defaultRowHeight="12.75"/>
  <cols>
    <col min="2" max="2" width="15.140625" customWidth="1"/>
    <col min="3" max="3" width="11.7109375" customWidth="1"/>
    <col min="4" max="4" width="13.140625" customWidth="1"/>
    <col min="5" max="5" width="13" customWidth="1"/>
    <col min="6" max="6" width="15.28515625" customWidth="1"/>
    <col min="7" max="7" width="10.42578125" customWidth="1"/>
  </cols>
  <sheetData>
    <row r="1" spans="1:9">
      <c r="A1" s="329"/>
      <c r="B1" s="329"/>
      <c r="C1" s="329"/>
      <c r="D1" s="329"/>
      <c r="E1" s="329"/>
      <c r="F1" s="329"/>
      <c r="G1" s="329"/>
      <c r="H1" s="329"/>
      <c r="I1" s="329"/>
    </row>
    <row r="2" spans="1:9">
      <c r="A2" s="329"/>
      <c r="B2" s="329"/>
      <c r="C2" s="329"/>
      <c r="D2" s="329"/>
      <c r="E2" s="329"/>
      <c r="F2" s="329"/>
      <c r="G2" s="329"/>
      <c r="H2" s="329"/>
      <c r="I2" s="329"/>
    </row>
    <row r="3" spans="1:9">
      <c r="A3" s="329"/>
      <c r="B3" s="34"/>
      <c r="C3" s="34" t="s">
        <v>644</v>
      </c>
      <c r="D3" s="336" t="s">
        <v>645</v>
      </c>
      <c r="E3" s="34" t="s">
        <v>646</v>
      </c>
      <c r="F3" s="34"/>
      <c r="G3" s="34" t="s">
        <v>433</v>
      </c>
      <c r="H3" s="422">
        <v>2.25</v>
      </c>
      <c r="I3" s="34"/>
    </row>
    <row r="4" spans="1:9" ht="25.5">
      <c r="A4" s="329"/>
      <c r="B4" s="337"/>
      <c r="C4" s="76">
        <v>0</v>
      </c>
      <c r="D4" s="76">
        <v>0</v>
      </c>
      <c r="E4" s="344">
        <f>C4-D4</f>
        <v>0</v>
      </c>
      <c r="F4" s="337"/>
      <c r="G4" s="337" t="s">
        <v>719</v>
      </c>
      <c r="H4" s="343">
        <f>H3*'[1]נתוני יסוד'!I1</f>
        <v>400.5</v>
      </c>
      <c r="I4" s="34"/>
    </row>
    <row r="5" spans="1:9">
      <c r="A5" s="329"/>
      <c r="B5" s="337"/>
      <c r="C5" s="337"/>
      <c r="D5" s="337"/>
      <c r="E5" s="337"/>
      <c r="F5" s="337"/>
      <c r="G5" s="337"/>
      <c r="H5" s="337"/>
      <c r="I5" s="34"/>
    </row>
    <row r="6" spans="1:9">
      <c r="A6" s="329"/>
      <c r="B6" s="337" t="s">
        <v>639</v>
      </c>
      <c r="C6" s="337" t="s">
        <v>640</v>
      </c>
      <c r="D6" s="337" t="s">
        <v>550</v>
      </c>
      <c r="E6" s="337" t="s">
        <v>640</v>
      </c>
      <c r="F6" s="337" t="s">
        <v>641</v>
      </c>
      <c r="G6" s="337" t="s">
        <v>642</v>
      </c>
      <c r="H6" s="337"/>
      <c r="I6" s="34"/>
    </row>
    <row r="7" spans="1:9">
      <c r="A7" s="329"/>
      <c r="B7" s="347">
        <f>C7</f>
        <v>5270</v>
      </c>
      <c r="C7" s="347">
        <f>'[1]חישובי מיסוי פנסיה פתוחים'!B6</f>
        <v>5270</v>
      </c>
      <c r="D7" s="348">
        <f>'[1]חישובי מיסוי פנסיה פתוחים'!C6</f>
        <v>0.1</v>
      </c>
      <c r="E7" s="337">
        <f>IF(E4&gt;B7,C7,E4)</f>
        <v>0</v>
      </c>
      <c r="F7" s="337">
        <f t="shared" ref="F7:F12" si="0">E7*D7</f>
        <v>0</v>
      </c>
      <c r="G7" s="337">
        <f>F7</f>
        <v>0</v>
      </c>
      <c r="H7" s="337"/>
      <c r="I7" s="34"/>
    </row>
    <row r="8" spans="1:9">
      <c r="A8" s="329"/>
      <c r="B8" s="347">
        <f>B7+C8</f>
        <v>9000</v>
      </c>
      <c r="C8" s="347">
        <f>'[1]חישובי מיסוי פנסיה פתוחים'!B7</f>
        <v>3730</v>
      </c>
      <c r="D8" s="348">
        <f>'[1]חישובי מיסוי פנסיה פתוחים'!C7</f>
        <v>0.14000000000000001</v>
      </c>
      <c r="E8" s="337">
        <f>IF(E4&gt;B8,C8,IF(E4&lt;B7,0,E4-B7))</f>
        <v>0</v>
      </c>
      <c r="F8" s="337">
        <f t="shared" si="0"/>
        <v>0</v>
      </c>
      <c r="G8" s="337">
        <f>G7+F8</f>
        <v>0</v>
      </c>
      <c r="H8" s="337"/>
      <c r="I8" s="34"/>
    </row>
    <row r="9" spans="1:9">
      <c r="A9" s="329"/>
      <c r="B9" s="347">
        <f>B8+C9</f>
        <v>13990</v>
      </c>
      <c r="C9" s="347">
        <f>'[1]חישובי מיסוי פנסיה פתוחים'!B8</f>
        <v>4990</v>
      </c>
      <c r="D9" s="348">
        <f>'[1]חישובי מיסוי פנסיה פתוחים'!C8</f>
        <v>0.21</v>
      </c>
      <c r="E9" s="337">
        <f>IF(E4&gt;B9,C9,IF(E4&lt;B8,0,E4-B8))</f>
        <v>0</v>
      </c>
      <c r="F9" s="337">
        <f t="shared" si="0"/>
        <v>0</v>
      </c>
      <c r="G9" s="337">
        <f>G8+F9</f>
        <v>0</v>
      </c>
      <c r="H9" s="337"/>
      <c r="I9" s="34"/>
    </row>
    <row r="10" spans="1:9">
      <c r="A10" s="329"/>
      <c r="B10" s="347">
        <f>B9+C10</f>
        <v>19980</v>
      </c>
      <c r="C10" s="347">
        <f>'[1]חישובי מיסוי פנסיה פתוחים'!B9</f>
        <v>5990</v>
      </c>
      <c r="D10" s="348">
        <f>'[1]חישובי מיסוי פנסיה פתוחים'!C9</f>
        <v>0.31</v>
      </c>
      <c r="E10" s="337">
        <f>IF(E4&gt;B10,C10,IF(E4&lt;B9,0,E4-B9))</f>
        <v>0</v>
      </c>
      <c r="F10" s="337">
        <f t="shared" si="0"/>
        <v>0</v>
      </c>
      <c r="G10" s="337">
        <f>G9+F10</f>
        <v>0</v>
      </c>
      <c r="H10" s="337"/>
      <c r="I10" s="34"/>
    </row>
    <row r="11" spans="1:9">
      <c r="A11" s="329"/>
      <c r="B11" s="347">
        <f>B10+C11</f>
        <v>41790</v>
      </c>
      <c r="C11" s="347">
        <f>'[1]חישובי מיסוי פנסיה פתוחים'!B10</f>
        <v>21810</v>
      </c>
      <c r="D11" s="348">
        <f>'[1]חישובי מיסוי פנסיה פתוחים'!C10</f>
        <v>0.34</v>
      </c>
      <c r="E11" s="337">
        <f>IF(E4&gt;B11,C11,IF(E4&lt;B10,0,E4-B10))</f>
        <v>0</v>
      </c>
      <c r="F11" s="337">
        <f t="shared" si="0"/>
        <v>0</v>
      </c>
      <c r="G11" s="337">
        <f>G10+F11</f>
        <v>0</v>
      </c>
      <c r="H11" s="337"/>
      <c r="I11" s="34"/>
    </row>
    <row r="12" spans="1:9">
      <c r="A12" s="329"/>
      <c r="B12" s="347">
        <v>99999999</v>
      </c>
      <c r="C12" s="347">
        <f>IF(E4-B11&gt;=0,E4-B11,0)</f>
        <v>0</v>
      </c>
      <c r="D12" s="348">
        <f>'[1]חישובי מיסוי פנסיה פתוחים'!C11</f>
        <v>0.48</v>
      </c>
      <c r="E12" s="337">
        <f>IF(E4&gt;B12,C12,IF(E4&lt;B11,0,E4-B11))</f>
        <v>0</v>
      </c>
      <c r="F12" s="337">
        <f t="shared" si="0"/>
        <v>0</v>
      </c>
      <c r="G12" s="337">
        <f>G11+F12</f>
        <v>0</v>
      </c>
      <c r="H12" s="337"/>
      <c r="I12" s="34"/>
    </row>
    <row r="13" spans="1:9" ht="25.5">
      <c r="A13" s="329"/>
      <c r="B13" s="337"/>
      <c r="C13" s="337"/>
      <c r="D13" s="337"/>
      <c r="E13" s="337"/>
      <c r="F13" s="337"/>
      <c r="G13" s="337"/>
      <c r="H13" s="337" t="s">
        <v>643</v>
      </c>
      <c r="I13" s="337">
        <f>IF(G12-H4&gt;=0,G12-H4,0)</f>
        <v>0</v>
      </c>
    </row>
    <row r="14" spans="1:9">
      <c r="A14" s="329"/>
      <c r="B14" s="34"/>
      <c r="C14" s="34"/>
      <c r="D14" s="34"/>
      <c r="E14" s="34"/>
      <c r="F14" s="34"/>
      <c r="G14" s="34"/>
      <c r="H14" s="34" t="s">
        <v>594</v>
      </c>
      <c r="I14" s="337">
        <f>C4-I13</f>
        <v>0</v>
      </c>
    </row>
    <row r="16" spans="1:9" ht="33">
      <c r="A16" s="329"/>
      <c r="B16" s="1090" t="s">
        <v>666</v>
      </c>
      <c r="C16" s="1091"/>
      <c r="D16" s="1091"/>
      <c r="E16" s="1092"/>
      <c r="F16" s="34"/>
      <c r="G16" s="34"/>
      <c r="H16" s="34"/>
      <c r="I16" s="34"/>
    </row>
    <row r="17" spans="1:9">
      <c r="A17" s="329"/>
      <c r="B17" s="34"/>
      <c r="C17" s="34" t="s">
        <v>163</v>
      </c>
      <c r="D17" s="41">
        <v>68</v>
      </c>
      <c r="E17" s="1087" t="s">
        <v>436</v>
      </c>
      <c r="F17" s="1087"/>
      <c r="G17" s="41">
        <v>85</v>
      </c>
      <c r="H17" s="34" t="s">
        <v>234</v>
      </c>
      <c r="I17" s="422">
        <v>2.5</v>
      </c>
    </row>
    <row r="18" spans="1:9">
      <c r="A18" s="329"/>
      <c r="B18" s="34"/>
      <c r="C18" s="34"/>
      <c r="D18" s="34"/>
      <c r="E18" s="34"/>
      <c r="F18" s="34"/>
      <c r="G18" s="34"/>
      <c r="H18" s="34"/>
      <c r="I18" s="34"/>
    </row>
    <row r="19" spans="1:9" ht="15.75">
      <c r="A19" s="329"/>
      <c r="B19" s="34"/>
      <c r="C19" s="34" t="s">
        <v>248</v>
      </c>
      <c r="D19" s="1156">
        <f>PV(I17/100/12,(G17-D17)*12,I14,,1)*(-1)</f>
        <v>0</v>
      </c>
      <c r="E19" s="1156"/>
      <c r="F19" s="34"/>
      <c r="G19" s="34"/>
      <c r="H19" s="34"/>
      <c r="I19" s="34"/>
    </row>
    <row r="20" spans="1:9">
      <c r="A20" s="329"/>
      <c r="B20" s="34"/>
      <c r="C20" s="34"/>
      <c r="D20" s="34"/>
      <c r="E20" s="34"/>
      <c r="F20" s="34"/>
      <c r="G20" s="34"/>
      <c r="H20" s="34"/>
      <c r="I20" s="34"/>
    </row>
    <row r="21" spans="1:9" ht="15.75">
      <c r="A21" s="329"/>
      <c r="B21" s="1087" t="s">
        <v>668</v>
      </c>
      <c r="C21" s="1087"/>
      <c r="D21" s="1156">
        <f>PV(I17/100/12,(G17-D17)*12,D4,,1)*(-1)</f>
        <v>0</v>
      </c>
      <c r="E21" s="1156"/>
      <c r="F21" s="34"/>
      <c r="G21" s="34"/>
      <c r="H21" s="34"/>
      <c r="I21" s="34"/>
    </row>
    <row r="22" spans="1:9">
      <c r="A22" s="329"/>
      <c r="B22" s="34"/>
      <c r="C22" s="34"/>
      <c r="D22" s="34"/>
      <c r="E22" s="34"/>
      <c r="F22" s="34"/>
      <c r="G22" s="34"/>
      <c r="H22" s="34"/>
      <c r="I22" s="34"/>
    </row>
    <row r="23" spans="1:9" ht="46.5">
      <c r="A23" s="329"/>
      <c r="B23" s="337" t="s">
        <v>639</v>
      </c>
      <c r="C23" s="337" t="s">
        <v>640</v>
      </c>
      <c r="D23" s="337" t="s">
        <v>550</v>
      </c>
      <c r="E23" s="337" t="s">
        <v>640</v>
      </c>
      <c r="F23" s="430" t="s">
        <v>720</v>
      </c>
      <c r="G23" s="34"/>
      <c r="H23" s="34"/>
      <c r="I23" s="34"/>
    </row>
    <row r="24" spans="1:9">
      <c r="A24" s="329"/>
      <c r="B24" s="103">
        <f>C24</f>
        <v>5270</v>
      </c>
      <c r="C24" s="103">
        <f>'[1]חישובי מיסוי פנסיה פתוחים'!B6</f>
        <v>5270</v>
      </c>
      <c r="D24" s="340">
        <f>'[1]חישובי מיסוי פנסיה פתוחים'!C6</f>
        <v>0.1</v>
      </c>
      <c r="E24" s="337">
        <f>IF(E4&gt;B24,C24,E21)</f>
        <v>0</v>
      </c>
      <c r="F24" s="431">
        <f>C24-E24</f>
        <v>5270</v>
      </c>
      <c r="G24" s="329"/>
      <c r="H24" s="329"/>
      <c r="I24" s="329"/>
    </row>
    <row r="25" spans="1:9">
      <c r="A25" s="329"/>
      <c r="B25" s="103">
        <f>B24+C25</f>
        <v>9000</v>
      </c>
      <c r="C25" s="103">
        <f>'[1]חישובי מיסוי פנסיה פתוחים'!B7</f>
        <v>3730</v>
      </c>
      <c r="D25" s="340">
        <f>'[1]חישובי מיסוי פנסיה פתוחים'!C7</f>
        <v>0.14000000000000001</v>
      </c>
      <c r="E25" s="337">
        <f>IF(E4&gt;B25,C25,IF(E4&lt;B24,0,E4-B24))</f>
        <v>0</v>
      </c>
      <c r="F25" s="431">
        <f>C25-E25</f>
        <v>3730</v>
      </c>
      <c r="G25" s="329"/>
      <c r="H25" s="329"/>
      <c r="I25" s="329"/>
    </row>
    <row r="26" spans="1:9">
      <c r="A26" s="329"/>
      <c r="B26" s="103">
        <f>B25+C26</f>
        <v>13990</v>
      </c>
      <c r="C26" s="103">
        <f>'[1]חישובי מיסוי פנסיה פתוחים'!B8</f>
        <v>4990</v>
      </c>
      <c r="D26" s="340">
        <f>'[1]חישובי מיסוי פנסיה פתוחים'!C8</f>
        <v>0.21</v>
      </c>
      <c r="E26" s="337">
        <f>IF(E4&gt;B26,C26,IF(E4&lt;B25,0,E4-B25))</f>
        <v>0</v>
      </c>
      <c r="F26" s="431">
        <f>C26-E26</f>
        <v>4990</v>
      </c>
      <c r="G26" s="329"/>
      <c r="H26" s="329"/>
      <c r="I26" s="329"/>
    </row>
    <row r="27" spans="1:9">
      <c r="A27" s="329"/>
      <c r="B27" s="103">
        <f>B26+C27</f>
        <v>19980</v>
      </c>
      <c r="C27" s="103">
        <f>'[1]חישובי מיסוי פנסיה פתוחים'!B9</f>
        <v>5990</v>
      </c>
      <c r="D27" s="340">
        <f>'[1]חישובי מיסוי פנסיה פתוחים'!C9</f>
        <v>0.31</v>
      </c>
      <c r="E27" s="337">
        <f>IF(E4&gt;B27,C27,IF(E4&lt;B26,0,E4-B26))</f>
        <v>0</v>
      </c>
      <c r="F27" s="431">
        <f>C27-E27</f>
        <v>5990</v>
      </c>
      <c r="G27" s="329"/>
      <c r="H27" s="329"/>
      <c r="I27" s="329"/>
    </row>
    <row r="28" spans="1:9">
      <c r="A28" s="329"/>
      <c r="B28" s="103">
        <f>B27+C28</f>
        <v>41790</v>
      </c>
      <c r="C28" s="103">
        <f>'[1]חישובי מיסוי פנסיה פתוחים'!B10</f>
        <v>21810</v>
      </c>
      <c r="D28" s="340">
        <f>'[1]חישובי מיסוי פנסיה פתוחים'!C10</f>
        <v>0.34</v>
      </c>
      <c r="E28" s="337">
        <f>IF(E4&gt;B28,C28,IF(E4&lt;B27,0,E4-B27))</f>
        <v>0</v>
      </c>
      <c r="F28" s="431">
        <f>C28-E28</f>
        <v>21810</v>
      </c>
      <c r="G28" s="329"/>
      <c r="H28" s="329"/>
      <c r="I28" s="329"/>
    </row>
    <row r="29" spans="1:9">
      <c r="A29" s="329"/>
      <c r="B29" s="103">
        <v>99999999</v>
      </c>
      <c r="C29" s="103">
        <f>IF(E21-B28&gt;=0,E21-B28,0)</f>
        <v>0</v>
      </c>
      <c r="D29" s="340">
        <f>'[1]חישובי מיסוי פנסיה פתוחים'!C11</f>
        <v>0.48</v>
      </c>
      <c r="E29" s="337">
        <f>IF(E4&gt;B29,C29,IF(E4&lt;B28,0,E4-B28))</f>
        <v>0</v>
      </c>
      <c r="F29" s="431">
        <f>B29-E29</f>
        <v>99999999</v>
      </c>
      <c r="G29" s="329"/>
      <c r="H29" s="329"/>
      <c r="I29" s="329"/>
    </row>
    <row r="30" spans="1:9">
      <c r="A30" s="329"/>
      <c r="B30" s="329"/>
      <c r="C30" s="329"/>
      <c r="D30" s="329"/>
      <c r="E30" s="329"/>
      <c r="F30" s="329"/>
      <c r="G30" s="329"/>
      <c r="H30" s="329"/>
      <c r="I30" s="329"/>
    </row>
    <row r="31" spans="1:9">
      <c r="A31" s="329"/>
      <c r="B31" s="329"/>
      <c r="C31" s="329"/>
      <c r="D31" s="329"/>
      <c r="E31" s="329"/>
      <c r="F31" s="329"/>
      <c r="G31" s="329"/>
      <c r="H31" s="329"/>
      <c r="I31" s="329"/>
    </row>
  </sheetData>
  <sheetProtection password="83F6" sheet="1" objects="1" scenarios="1"/>
  <mergeCells count="5">
    <mergeCell ref="B16:E16"/>
    <mergeCell ref="E17:F17"/>
    <mergeCell ref="D19:E19"/>
    <mergeCell ref="B21:C21"/>
    <mergeCell ref="D21:E21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Worksheet______23">
    <tabColor indexed="56"/>
  </sheetPr>
  <dimension ref="A1:AF132"/>
  <sheetViews>
    <sheetView rightToLeft="1" workbookViewId="0">
      <selection activeCell="A13" sqref="A13:B13"/>
    </sheetView>
  </sheetViews>
  <sheetFormatPr defaultRowHeight="12.75"/>
  <cols>
    <col min="1" max="1" width="33.42578125" style="34" customWidth="1"/>
    <col min="2" max="2" width="19.7109375" style="34" customWidth="1"/>
    <col min="3" max="3" width="3.85546875" style="34" customWidth="1"/>
    <col min="4" max="4" width="23.7109375" style="34" customWidth="1"/>
    <col min="5" max="5" width="13.28515625" style="34" bestFit="1" customWidth="1"/>
    <col min="6" max="6" width="18.7109375" style="34" customWidth="1"/>
    <col min="7" max="14" width="14.7109375" style="34" customWidth="1"/>
    <col min="15" max="15" width="9.140625" style="34"/>
    <col min="16" max="16" width="9.85546875" style="34" bestFit="1" customWidth="1"/>
    <col min="17" max="17" width="14.28515625" style="34" customWidth="1"/>
    <col min="18" max="16384" width="9.140625" style="34"/>
  </cols>
  <sheetData>
    <row r="1" spans="1:32" ht="39" customHeight="1" thickTop="1">
      <c r="A1" s="118" t="s">
        <v>364</v>
      </c>
      <c r="B1" s="33" t="str">
        <f>ClientList!E6 &amp;" " &amp;ClientList!F6</f>
        <v xml:space="preserve"> </v>
      </c>
      <c r="D1" s="34" t="s">
        <v>365</v>
      </c>
      <c r="E1" s="35"/>
      <c r="F1" s="36">
        <f ca="1">TODAY()</f>
        <v>42920</v>
      </c>
      <c r="G1" s="37"/>
      <c r="H1" s="124" t="s">
        <v>366</v>
      </c>
      <c r="I1" s="38">
        <v>178</v>
      </c>
      <c r="J1" s="39"/>
      <c r="K1" s="126" t="s">
        <v>367</v>
      </c>
      <c r="L1" s="127">
        <f>I1*B21*12</f>
        <v>4806</v>
      </c>
      <c r="P1" s="1028" t="s">
        <v>368</v>
      </c>
      <c r="Q1" s="1029"/>
      <c r="R1" s="1030"/>
      <c r="V1" s="1028" t="s">
        <v>369</v>
      </c>
      <c r="W1" s="1029"/>
      <c r="X1" s="1030"/>
      <c r="AB1" s="1028" t="s">
        <v>370</v>
      </c>
      <c r="AC1" s="1031"/>
      <c r="AD1" s="1032"/>
    </row>
    <row r="2" spans="1:32" ht="26.25" thickBot="1">
      <c r="A2" s="118" t="s">
        <v>371</v>
      </c>
      <c r="B2" s="33" t="str">
        <f>IF(ClientList!I6="ז","גבר",IF(ClientList!I6="נ","אשה","???"))</f>
        <v>???</v>
      </c>
      <c r="D2" s="40" t="s">
        <v>372</v>
      </c>
      <c r="E2" s="41"/>
      <c r="G2" s="37"/>
      <c r="H2" s="125" t="s">
        <v>373</v>
      </c>
      <c r="I2" s="42">
        <v>7200</v>
      </c>
      <c r="J2" s="39"/>
      <c r="K2" s="126" t="s">
        <v>374</v>
      </c>
      <c r="L2" s="126">
        <f>I1*B21</f>
        <v>400.5</v>
      </c>
      <c r="P2" s="43" t="s">
        <v>375</v>
      </c>
      <c r="Q2" s="44">
        <v>14397</v>
      </c>
      <c r="R2" s="45">
        <v>65</v>
      </c>
      <c r="S2" s="46">
        <v>14397</v>
      </c>
      <c r="T2" s="34">
        <v>65</v>
      </c>
      <c r="V2" s="47" t="s">
        <v>376</v>
      </c>
      <c r="W2" s="48">
        <v>16224</v>
      </c>
      <c r="X2" s="49">
        <v>60</v>
      </c>
      <c r="Y2" s="50">
        <v>16224</v>
      </c>
      <c r="Z2" s="34">
        <v>60</v>
      </c>
      <c r="AB2" s="43" t="s">
        <v>377</v>
      </c>
      <c r="AC2" s="44">
        <v>14397</v>
      </c>
      <c r="AD2" s="45">
        <v>65</v>
      </c>
      <c r="AE2" s="50">
        <v>14427</v>
      </c>
      <c r="AF2" s="34">
        <v>65.33</v>
      </c>
    </row>
    <row r="3" spans="1:32" ht="26.25" thickBot="1">
      <c r="A3" s="118" t="s">
        <v>48</v>
      </c>
      <c r="B3" s="35">
        <f>ClientList!H6</f>
        <v>0</v>
      </c>
      <c r="D3" s="34" t="s">
        <v>378</v>
      </c>
      <c r="E3" s="51">
        <f>(B4-B3)/365.25</f>
        <v>0</v>
      </c>
      <c r="G3" s="37"/>
      <c r="H3" s="125" t="s">
        <v>379</v>
      </c>
      <c r="I3" s="42">
        <v>7400</v>
      </c>
      <c r="J3" s="39"/>
      <c r="P3" s="52">
        <v>14427</v>
      </c>
      <c r="Q3" s="44" t="s">
        <v>380</v>
      </c>
      <c r="R3" s="45" t="s">
        <v>381</v>
      </c>
      <c r="S3" s="46">
        <v>14427</v>
      </c>
      <c r="T3" s="34">
        <v>65.33</v>
      </c>
      <c r="V3" s="53">
        <v>16254</v>
      </c>
      <c r="W3" s="48">
        <v>16285</v>
      </c>
      <c r="X3" s="49" t="s">
        <v>382</v>
      </c>
      <c r="Y3" s="50">
        <v>16254</v>
      </c>
      <c r="Z3" s="34">
        <v>60.33</v>
      </c>
      <c r="AB3" s="52">
        <v>14427</v>
      </c>
      <c r="AC3" s="44">
        <v>14458</v>
      </c>
      <c r="AD3" s="45" t="s">
        <v>381</v>
      </c>
      <c r="AE3" s="50">
        <v>14458</v>
      </c>
      <c r="AF3" s="34">
        <v>65.33</v>
      </c>
    </row>
    <row r="4" spans="1:32" ht="26.25" thickBot="1">
      <c r="A4" s="118" t="s">
        <v>383</v>
      </c>
      <c r="B4" s="54"/>
      <c r="D4" s="40" t="s">
        <v>384</v>
      </c>
      <c r="E4" s="51">
        <f>(E1-B3)/365.25</f>
        <v>0</v>
      </c>
      <c r="G4" s="37"/>
      <c r="H4" s="125" t="s">
        <v>385</v>
      </c>
      <c r="I4" s="42">
        <v>3850</v>
      </c>
      <c r="J4" s="39"/>
      <c r="P4" s="52">
        <v>14489</v>
      </c>
      <c r="Q4" s="44">
        <v>14702</v>
      </c>
      <c r="R4" s="45" t="s">
        <v>386</v>
      </c>
      <c r="S4" s="50">
        <v>14458</v>
      </c>
      <c r="T4" s="34">
        <v>65.33</v>
      </c>
      <c r="V4" s="53">
        <v>16316</v>
      </c>
      <c r="W4" s="48">
        <v>16528</v>
      </c>
      <c r="X4" s="49" t="s">
        <v>387</v>
      </c>
      <c r="Y4" s="50">
        <v>16285</v>
      </c>
      <c r="Z4" s="34">
        <v>60.33</v>
      </c>
      <c r="AB4" s="52">
        <v>14489</v>
      </c>
      <c r="AC4" s="44">
        <v>14702</v>
      </c>
      <c r="AD4" s="45" t="s">
        <v>386</v>
      </c>
      <c r="AE4" s="50">
        <v>14489</v>
      </c>
      <c r="AF4" s="34">
        <v>65.66</v>
      </c>
    </row>
    <row r="5" spans="1:32" ht="26.25" thickBot="1">
      <c r="A5" s="118" t="s">
        <v>163</v>
      </c>
      <c r="B5" s="55">
        <f>B14</f>
        <v>125.59842915811087</v>
      </c>
      <c r="D5" s="40" t="s">
        <v>388</v>
      </c>
      <c r="E5" s="56">
        <f>INT(E4+0.5)</f>
        <v>0</v>
      </c>
      <c r="G5" s="37"/>
      <c r="H5" s="57" t="s">
        <v>389</v>
      </c>
      <c r="I5" s="58">
        <v>10500</v>
      </c>
      <c r="J5" s="39"/>
      <c r="K5" s="59"/>
      <c r="L5" s="59"/>
      <c r="M5" s="59"/>
      <c r="P5" s="52">
        <v>14732</v>
      </c>
      <c r="Q5" s="44">
        <v>14946</v>
      </c>
      <c r="R5" s="45">
        <v>66</v>
      </c>
      <c r="S5" s="46">
        <v>14489</v>
      </c>
      <c r="T5" s="34">
        <v>65.33</v>
      </c>
      <c r="V5" s="53">
        <v>16558</v>
      </c>
      <c r="W5" s="48">
        <v>16772</v>
      </c>
      <c r="X5" s="49">
        <v>61</v>
      </c>
      <c r="Y5" s="50">
        <v>16316</v>
      </c>
      <c r="Z5" s="34">
        <v>60.66</v>
      </c>
      <c r="AB5" s="52">
        <v>14732</v>
      </c>
      <c r="AC5" s="44">
        <v>14946</v>
      </c>
      <c r="AD5" s="45">
        <v>66</v>
      </c>
      <c r="AE5" s="50">
        <v>14519</v>
      </c>
      <c r="AF5" s="34">
        <v>65.66</v>
      </c>
    </row>
    <row r="6" spans="1:32" ht="12.75" customHeight="1" thickTop="1" thickBot="1">
      <c r="A6" s="118" t="s">
        <v>390</v>
      </c>
      <c r="B6" s="55">
        <f>B3+(B5*365.25)</f>
        <v>45874.826249999998</v>
      </c>
      <c r="D6" s="34" t="s">
        <v>391</v>
      </c>
      <c r="E6" s="51">
        <v>0</v>
      </c>
      <c r="H6" s="60"/>
      <c r="I6" s="60"/>
      <c r="J6" s="37"/>
      <c r="K6" s="1033" t="s">
        <v>392</v>
      </c>
      <c r="L6" s="1034"/>
      <c r="M6" s="61">
        <f>I5*(B7-B9)</f>
        <v>1318783.5061601643</v>
      </c>
      <c r="N6" s="39"/>
      <c r="P6" s="52">
        <v>14977</v>
      </c>
      <c r="Q6" s="44">
        <v>15189</v>
      </c>
      <c r="R6" s="45" t="s">
        <v>393</v>
      </c>
      <c r="S6" s="46">
        <v>14519</v>
      </c>
      <c r="T6" s="34">
        <v>65.33</v>
      </c>
      <c r="V6" s="53">
        <v>16803</v>
      </c>
      <c r="W6" s="48">
        <v>17015</v>
      </c>
      <c r="X6" s="49" t="s">
        <v>394</v>
      </c>
      <c r="Y6" s="50">
        <v>16346</v>
      </c>
      <c r="Z6" s="34">
        <v>60.66</v>
      </c>
      <c r="AB6" s="52">
        <v>14977</v>
      </c>
      <c r="AC6" s="44">
        <v>15189</v>
      </c>
      <c r="AD6" s="45" t="s">
        <v>393</v>
      </c>
      <c r="AE6" s="50">
        <v>14550</v>
      </c>
      <c r="AF6" s="34">
        <v>65.66</v>
      </c>
    </row>
    <row r="7" spans="1:32" ht="26.25" customHeight="1" thickBot="1">
      <c r="A7" s="118" t="s">
        <v>395</v>
      </c>
      <c r="B7" s="55">
        <f>((B6-B4)/365.25)-B9</f>
        <v>125.59842915811087</v>
      </c>
      <c r="K7" s="60"/>
      <c r="L7" s="60"/>
      <c r="M7" s="60"/>
      <c r="P7" s="52">
        <v>15220</v>
      </c>
      <c r="Q7" s="44">
        <v>15432</v>
      </c>
      <c r="R7" s="45" t="s">
        <v>396</v>
      </c>
      <c r="S7" s="50">
        <v>14550</v>
      </c>
      <c r="T7" s="34">
        <v>65.66</v>
      </c>
      <c r="V7" s="53">
        <v>17046</v>
      </c>
      <c r="W7" s="48">
        <v>17258</v>
      </c>
      <c r="X7" s="49" t="s">
        <v>397</v>
      </c>
      <c r="Y7" s="50">
        <v>16377</v>
      </c>
      <c r="Z7" s="34">
        <v>60.66</v>
      </c>
      <c r="AB7" s="52">
        <v>15220</v>
      </c>
      <c r="AC7" s="44">
        <v>15432</v>
      </c>
      <c r="AD7" s="45" t="s">
        <v>396</v>
      </c>
      <c r="AE7" s="50">
        <v>14580</v>
      </c>
      <c r="AF7" s="34">
        <v>65.66</v>
      </c>
    </row>
    <row r="8" spans="1:32" ht="13.5" thickBot="1">
      <c r="A8" s="118" t="s">
        <v>398</v>
      </c>
      <c r="B8" s="62">
        <f>B7*12</f>
        <v>1507.1811498973304</v>
      </c>
      <c r="F8" s="34">
        <f>SUM(F2)</f>
        <v>0</v>
      </c>
      <c r="P8" s="52">
        <v>15462</v>
      </c>
      <c r="Q8" s="45" t="s">
        <v>399</v>
      </c>
      <c r="R8" s="45">
        <v>67</v>
      </c>
      <c r="S8" s="46">
        <v>14580</v>
      </c>
      <c r="T8" s="34">
        <v>65.66</v>
      </c>
      <c r="V8" s="53">
        <v>17288</v>
      </c>
      <c r="W8" s="48">
        <v>18233</v>
      </c>
      <c r="X8" s="49">
        <v>62</v>
      </c>
      <c r="Y8" s="50">
        <v>16407</v>
      </c>
      <c r="Z8" s="34">
        <v>60.66</v>
      </c>
      <c r="AB8" s="52">
        <v>15462</v>
      </c>
      <c r="AC8" s="44">
        <v>16407</v>
      </c>
      <c r="AD8" s="45">
        <v>67</v>
      </c>
      <c r="AE8" s="50">
        <v>14611</v>
      </c>
      <c r="AF8" s="34">
        <v>65.66</v>
      </c>
    </row>
    <row r="9" spans="1:32" ht="16.5" customHeight="1" thickBot="1">
      <c r="A9" s="118" t="s">
        <v>400</v>
      </c>
      <c r="B9" s="62"/>
      <c r="D9" s="63" t="s">
        <v>373</v>
      </c>
      <c r="E9" s="64">
        <f>I2</f>
        <v>7200</v>
      </c>
      <c r="S9" s="46">
        <v>14611</v>
      </c>
      <c r="T9" s="34">
        <v>65.66</v>
      </c>
      <c r="V9" s="53">
        <v>18264</v>
      </c>
      <c r="W9" s="48">
        <v>18476</v>
      </c>
      <c r="X9" s="49" t="s">
        <v>401</v>
      </c>
      <c r="Y9" s="50">
        <v>16438</v>
      </c>
      <c r="Z9" s="34">
        <v>60.66</v>
      </c>
      <c r="AB9" s="52">
        <v>16438</v>
      </c>
      <c r="AC9" s="44">
        <v>16650</v>
      </c>
      <c r="AD9" s="45" t="s">
        <v>402</v>
      </c>
      <c r="AE9" s="50">
        <v>14642</v>
      </c>
      <c r="AF9" s="34">
        <v>65.66</v>
      </c>
    </row>
    <row r="10" spans="1:32" ht="22.5" customHeight="1" thickBot="1">
      <c r="A10" s="118" t="s">
        <v>403</v>
      </c>
      <c r="B10" s="65"/>
      <c r="D10" s="63" t="s">
        <v>379</v>
      </c>
      <c r="E10" s="64">
        <f>I3</f>
        <v>7400</v>
      </c>
      <c r="L10" s="66"/>
      <c r="S10" s="50">
        <v>14642</v>
      </c>
      <c r="T10" s="34">
        <v>65.66</v>
      </c>
      <c r="V10" s="53">
        <v>18507</v>
      </c>
      <c r="W10" s="48">
        <v>18719</v>
      </c>
      <c r="X10" s="49" t="s">
        <v>404</v>
      </c>
      <c r="Y10" s="50">
        <v>16469</v>
      </c>
      <c r="Z10" s="34">
        <v>60.66</v>
      </c>
      <c r="AB10" s="52">
        <v>16681</v>
      </c>
      <c r="AC10" s="44">
        <v>16893</v>
      </c>
      <c r="AD10" s="45" t="s">
        <v>405</v>
      </c>
      <c r="AE10" s="50">
        <v>14671</v>
      </c>
      <c r="AF10" s="34">
        <v>65.66</v>
      </c>
    </row>
    <row r="11" spans="1:32" ht="19.5" customHeight="1" thickBot="1">
      <c r="A11" s="34" t="s">
        <v>406</v>
      </c>
      <c r="B11" s="34" t="b">
        <f>IF(B2="גבר",L12,N12)</f>
        <v>0</v>
      </c>
      <c r="D11" s="63" t="str">
        <f>H5</f>
        <v>פיצויים פטורים לשנת עבודה</v>
      </c>
      <c r="E11" s="67">
        <f>I5</f>
        <v>10500</v>
      </c>
      <c r="G11" s="34" t="s">
        <v>407</v>
      </c>
      <c r="H11" s="51">
        <f>E4-E3</f>
        <v>0</v>
      </c>
      <c r="K11" s="66"/>
      <c r="L11" s="66"/>
      <c r="S11" s="46">
        <v>14671</v>
      </c>
      <c r="T11" s="34">
        <v>65.66</v>
      </c>
      <c r="V11" s="53">
        <v>18749</v>
      </c>
      <c r="W11" s="48">
        <v>18963</v>
      </c>
      <c r="X11" s="49">
        <v>63</v>
      </c>
      <c r="Y11" s="50">
        <v>16497</v>
      </c>
      <c r="Z11" s="34">
        <v>60.66</v>
      </c>
      <c r="AB11" s="52">
        <v>16923</v>
      </c>
      <c r="AC11" s="44">
        <v>17137</v>
      </c>
      <c r="AD11" s="45">
        <v>68</v>
      </c>
      <c r="AE11" s="50">
        <v>14702</v>
      </c>
      <c r="AF11" s="34">
        <v>65.66</v>
      </c>
    </row>
    <row r="12" spans="1:32" ht="39" thickBot="1">
      <c r="G12" s="34" t="s">
        <v>408</v>
      </c>
      <c r="H12" s="68">
        <f>(E1-B4)/365.25</f>
        <v>0</v>
      </c>
      <c r="I12" s="128" t="s">
        <v>409</v>
      </c>
      <c r="K12" s="40" t="s">
        <v>410</v>
      </c>
      <c r="L12" s="34" t="b">
        <f>IF(B2="גבר",IF(B3&lt;=DATE(1939,6,1),65,IF(B3&gt;=DATE(1942,5,1),67,VLOOKUP(B3,S2:T37,2))))</f>
        <v>0</v>
      </c>
      <c r="M12" s="40" t="s">
        <v>411</v>
      </c>
      <c r="N12" s="34" t="b">
        <f>IF(B2="אשה",IF(B3&lt;DATE(1944,7,1),60,IF(B3&gt;=DATE(1953,5,1),67,VLOOKUP(B3,Y2:Z109,2))))</f>
        <v>0</v>
      </c>
      <c r="S12" s="46">
        <v>14702</v>
      </c>
      <c r="T12" s="34">
        <v>65.66</v>
      </c>
      <c r="V12" s="53">
        <v>18994</v>
      </c>
      <c r="W12" s="48">
        <v>19207</v>
      </c>
      <c r="X12" s="49" t="s">
        <v>412</v>
      </c>
      <c r="Y12" s="50">
        <v>16528</v>
      </c>
      <c r="Z12" s="34">
        <v>60.66</v>
      </c>
      <c r="AB12" s="52">
        <v>17168</v>
      </c>
      <c r="AC12" s="44">
        <v>17380</v>
      </c>
      <c r="AD12" s="45" t="s">
        <v>413</v>
      </c>
      <c r="AE12" s="50">
        <v>14732</v>
      </c>
      <c r="AF12" s="34">
        <v>66</v>
      </c>
    </row>
    <row r="13" spans="1:32" ht="39" thickBot="1">
      <c r="A13" s="120" t="s">
        <v>414</v>
      </c>
      <c r="B13" s="69">
        <v>45873</v>
      </c>
      <c r="D13" s="118" t="s">
        <v>415</v>
      </c>
      <c r="E13" s="70" t="e">
        <f>FLOOR(I13,1)</f>
        <v>#NUM!</v>
      </c>
      <c r="G13" s="34" t="s">
        <v>416</v>
      </c>
      <c r="H13" s="71">
        <f>(E1-B4)/30.4375</f>
        <v>0</v>
      </c>
      <c r="I13" s="129">
        <f>(E4-18)*12</f>
        <v>-216</v>
      </c>
      <c r="K13" s="40" t="s">
        <v>417</v>
      </c>
      <c r="L13" s="72">
        <v>70</v>
      </c>
      <c r="M13" s="40" t="s">
        <v>418</v>
      </c>
      <c r="N13" s="34" t="b">
        <f>IF(B2="אשה",IF(B3&lt;DATE(1939,7,1),65,IF(B3&gt;=DATE(1950,5,1),70,VLOOKUP(B3,AE2:AF132,2))))</f>
        <v>0</v>
      </c>
      <c r="S13" s="50">
        <v>14732</v>
      </c>
      <c r="T13" s="34">
        <v>66</v>
      </c>
      <c r="V13" s="53">
        <v>19238</v>
      </c>
      <c r="W13" s="48">
        <v>19450</v>
      </c>
      <c r="X13" s="49" t="s">
        <v>419</v>
      </c>
      <c r="Y13" s="50">
        <v>16558</v>
      </c>
      <c r="Z13" s="34">
        <v>61</v>
      </c>
      <c r="AB13" s="52">
        <v>17411</v>
      </c>
      <c r="AC13" s="44">
        <v>17624</v>
      </c>
      <c r="AD13" s="45" t="s">
        <v>420</v>
      </c>
      <c r="AE13" s="50">
        <v>14763</v>
      </c>
      <c r="AF13" s="34">
        <v>66</v>
      </c>
    </row>
    <row r="14" spans="1:32" ht="13.5" thickBot="1">
      <c r="A14" s="120" t="s">
        <v>421</v>
      </c>
      <c r="B14" s="73">
        <f>((B13-B3)/365.25)+0.005</f>
        <v>125.59842915811087</v>
      </c>
      <c r="D14" s="34" t="s">
        <v>422</v>
      </c>
      <c r="E14" s="55">
        <f>((B5-E4)*12)-0.01</f>
        <v>1507.1711498973305</v>
      </c>
      <c r="S14" s="46">
        <v>14763</v>
      </c>
      <c r="T14" s="34">
        <v>66</v>
      </c>
      <c r="V14" s="53">
        <v>19480</v>
      </c>
      <c r="W14" s="49" t="s">
        <v>399</v>
      </c>
      <c r="X14" s="49">
        <v>64</v>
      </c>
      <c r="Y14" s="50">
        <v>16589</v>
      </c>
      <c r="Z14" s="34">
        <v>61</v>
      </c>
      <c r="AB14" s="74">
        <v>17654</v>
      </c>
      <c r="AC14" s="74">
        <v>17868</v>
      </c>
      <c r="AD14" s="75">
        <v>69</v>
      </c>
      <c r="AE14" s="50">
        <v>14793</v>
      </c>
      <c r="AF14" s="34">
        <v>66</v>
      </c>
    </row>
    <row r="15" spans="1:32" ht="13.5" thickBot="1">
      <c r="D15" s="34" t="s">
        <v>423</v>
      </c>
      <c r="E15" s="76" t="e">
        <f>IF((E13/12)&lt;(E4-18),(E13+E14)/12,"???")</f>
        <v>#NUM!</v>
      </c>
      <c r="J15" s="50"/>
      <c r="L15" s="34">
        <v>70</v>
      </c>
      <c r="S15" s="46">
        <v>14793</v>
      </c>
      <c r="T15" s="34">
        <v>66</v>
      </c>
      <c r="Y15" s="50">
        <v>16619</v>
      </c>
      <c r="Z15" s="34">
        <v>61</v>
      </c>
      <c r="AB15" s="53"/>
      <c r="AC15" s="53"/>
      <c r="AD15" s="77"/>
      <c r="AE15" s="50">
        <v>14824</v>
      </c>
      <c r="AF15" s="34">
        <v>66</v>
      </c>
    </row>
    <row r="16" spans="1:32" ht="26.25" thickBot="1">
      <c r="A16" s="34" t="s">
        <v>424</v>
      </c>
      <c r="B16" s="56">
        <f>(B5-E4)</f>
        <v>125.59842915811087</v>
      </c>
      <c r="F16" s="34" t="s">
        <v>425</v>
      </c>
      <c r="G16" s="78">
        <v>35</v>
      </c>
      <c r="J16" s="50"/>
      <c r="K16" s="50"/>
      <c r="M16" s="79"/>
      <c r="S16" s="50">
        <v>14824</v>
      </c>
      <c r="T16" s="34">
        <v>66</v>
      </c>
      <c r="Y16" s="50">
        <v>16650</v>
      </c>
      <c r="Z16" s="34">
        <v>61</v>
      </c>
      <c r="AB16" s="52">
        <v>17899</v>
      </c>
      <c r="AC16" s="44">
        <v>18111</v>
      </c>
      <c r="AD16" s="45" t="s">
        <v>426</v>
      </c>
      <c r="AE16" s="50">
        <v>14855</v>
      </c>
      <c r="AF16" s="34">
        <v>66</v>
      </c>
    </row>
    <row r="17" spans="1:32" ht="26.25" thickBot="1">
      <c r="A17" s="34" t="s">
        <v>427</v>
      </c>
      <c r="B17" s="80">
        <f>(B6-E1)/365.25</f>
        <v>125.59842915811087</v>
      </c>
      <c r="F17" s="34" t="s">
        <v>428</v>
      </c>
      <c r="G17" s="78">
        <f>G16*12</f>
        <v>420</v>
      </c>
      <c r="S17" s="46">
        <v>14855</v>
      </c>
      <c r="T17" s="34">
        <v>66</v>
      </c>
      <c r="Y17" s="50">
        <v>16681</v>
      </c>
      <c r="Z17" s="34">
        <v>61</v>
      </c>
      <c r="AB17" s="52">
        <v>18142</v>
      </c>
      <c r="AC17" s="44">
        <v>18354</v>
      </c>
      <c r="AD17" s="45" t="s">
        <v>429</v>
      </c>
      <c r="AE17" s="50">
        <v>14885</v>
      </c>
      <c r="AF17" s="34">
        <v>66</v>
      </c>
    </row>
    <row r="18" spans="1:32" ht="13.5" thickBot="1">
      <c r="S18" s="46">
        <v>14885</v>
      </c>
      <c r="T18" s="34">
        <v>66</v>
      </c>
      <c r="Y18" s="50">
        <v>16711</v>
      </c>
      <c r="Z18" s="34">
        <v>61</v>
      </c>
      <c r="AB18" s="52">
        <v>18384</v>
      </c>
      <c r="AC18" s="45" t="s">
        <v>399</v>
      </c>
      <c r="AD18" s="45">
        <v>70</v>
      </c>
      <c r="AE18" s="50">
        <v>14916</v>
      </c>
      <c r="AF18" s="34">
        <v>66</v>
      </c>
    </row>
    <row r="19" spans="1:32">
      <c r="S19" s="50">
        <v>14916</v>
      </c>
      <c r="T19" s="34">
        <v>66</v>
      </c>
      <c r="Y19" s="50">
        <v>16742</v>
      </c>
      <c r="Z19" s="34">
        <v>61</v>
      </c>
      <c r="AE19" s="50">
        <v>14946</v>
      </c>
      <c r="AF19" s="34">
        <v>66</v>
      </c>
    </row>
    <row r="20" spans="1:32">
      <c r="D20" s="34" t="s">
        <v>430</v>
      </c>
      <c r="E20" s="81" t="s">
        <v>431</v>
      </c>
      <c r="F20" s="34" t="s">
        <v>432</v>
      </c>
      <c r="S20" s="46">
        <v>14946</v>
      </c>
      <c r="T20" s="34">
        <v>66</v>
      </c>
      <c r="Y20" s="50">
        <v>16772</v>
      </c>
      <c r="Z20" s="34">
        <v>61</v>
      </c>
      <c r="AE20" s="50">
        <v>14977</v>
      </c>
      <c r="AF20" s="34">
        <v>66.33</v>
      </c>
    </row>
    <row r="21" spans="1:32">
      <c r="A21" s="121" t="s">
        <v>433</v>
      </c>
      <c r="B21" s="120">
        <v>2.25</v>
      </c>
      <c r="D21" s="142" t="s">
        <v>434</v>
      </c>
      <c r="E21" s="82"/>
      <c r="F21" s="139" t="s">
        <v>435</v>
      </c>
      <c r="G21" s="83">
        <f>IF(B7&gt;=35,70%,B7*2%)</f>
        <v>0.7</v>
      </c>
      <c r="S21" s="46">
        <v>14977</v>
      </c>
      <c r="T21" s="34">
        <v>66.33</v>
      </c>
      <c r="Y21" s="50">
        <v>16803</v>
      </c>
      <c r="Z21" s="34">
        <v>61.33</v>
      </c>
      <c r="AE21" s="50">
        <v>15008</v>
      </c>
      <c r="AF21" s="34">
        <v>66.33</v>
      </c>
    </row>
    <row r="22" spans="1:32" ht="18.75" customHeight="1">
      <c r="A22" s="121" t="s">
        <v>436</v>
      </c>
      <c r="B22" s="120">
        <v>90</v>
      </c>
      <c r="S22" s="50">
        <v>15008</v>
      </c>
      <c r="T22" s="34">
        <v>66.33</v>
      </c>
      <c r="Y22" s="50">
        <v>16834</v>
      </c>
      <c r="Z22" s="34">
        <v>61.33</v>
      </c>
      <c r="AE22" s="50">
        <v>15036</v>
      </c>
      <c r="AF22" s="34">
        <v>66.33</v>
      </c>
    </row>
    <row r="23" spans="1:32">
      <c r="A23" s="121" t="s">
        <v>437</v>
      </c>
      <c r="B23" s="130">
        <v>2.5</v>
      </c>
      <c r="D23" s="135" t="s">
        <v>438</v>
      </c>
      <c r="E23" s="136">
        <v>0</v>
      </c>
      <c r="F23" s="34" t="s">
        <v>439</v>
      </c>
      <c r="S23" s="46">
        <v>15036</v>
      </c>
      <c r="T23" s="34">
        <v>66.33</v>
      </c>
      <c r="Y23" s="50">
        <v>16862</v>
      </c>
      <c r="Z23" s="34">
        <v>61.33</v>
      </c>
      <c r="AE23" s="50">
        <v>15067</v>
      </c>
      <c r="AF23" s="34">
        <v>66.33</v>
      </c>
    </row>
    <row r="24" spans="1:32">
      <c r="D24" s="135" t="s">
        <v>440</v>
      </c>
      <c r="E24" s="136">
        <v>0</v>
      </c>
      <c r="F24" s="122" t="s">
        <v>441</v>
      </c>
      <c r="I24" s="65" t="s">
        <v>442</v>
      </c>
      <c r="J24" s="65">
        <v>1</v>
      </c>
      <c r="S24" s="46">
        <v>15067</v>
      </c>
      <c r="T24" s="34">
        <v>66.33</v>
      </c>
      <c r="Y24" s="50">
        <v>16893</v>
      </c>
      <c r="Z24" s="34">
        <v>61.33</v>
      </c>
      <c r="AE24" s="50">
        <v>15097</v>
      </c>
      <c r="AF24" s="34">
        <v>66.33</v>
      </c>
    </row>
    <row r="25" spans="1:32" ht="20.25" customHeight="1">
      <c r="A25" s="84" t="s">
        <v>443</v>
      </c>
      <c r="B25" s="85">
        <f>IF(B2="גבר",(B26*0.57),B26*0.28)</f>
        <v>0</v>
      </c>
      <c r="D25" s="123" t="s">
        <v>444</v>
      </c>
      <c r="E25" s="86">
        <f>J29</f>
        <v>1004.7874332648869</v>
      </c>
      <c r="F25" s="34" t="s">
        <v>445</v>
      </c>
      <c r="I25" s="78" t="s">
        <v>446</v>
      </c>
      <c r="J25" s="78">
        <f>B7*12</f>
        <v>1507.1811498973304</v>
      </c>
      <c r="S25" s="50">
        <v>15097</v>
      </c>
      <c r="T25" s="34">
        <v>66.33</v>
      </c>
      <c r="Y25" s="50">
        <v>16923</v>
      </c>
      <c r="Z25" s="34">
        <v>61.33</v>
      </c>
      <c r="AE25" s="50">
        <v>15128</v>
      </c>
      <c r="AF25" s="34">
        <v>66.33</v>
      </c>
    </row>
    <row r="26" spans="1:32" ht="25.5">
      <c r="A26" s="131" t="s">
        <v>447</v>
      </c>
      <c r="B26" s="85">
        <f>E21*G21</f>
        <v>0</v>
      </c>
      <c r="D26" s="123" t="s">
        <v>448</v>
      </c>
      <c r="E26" s="55">
        <v>0</v>
      </c>
      <c r="I26" s="78" t="s">
        <v>449</v>
      </c>
      <c r="J26" s="78">
        <f>J25*2.5</f>
        <v>3767.952874743326</v>
      </c>
      <c r="S26" s="46">
        <v>15128</v>
      </c>
      <c r="T26" s="34">
        <v>66.33</v>
      </c>
      <c r="Y26" s="50">
        <v>16954</v>
      </c>
      <c r="Z26" s="34">
        <v>61.33</v>
      </c>
      <c r="AE26" s="50">
        <v>15158</v>
      </c>
      <c r="AF26" s="34">
        <v>66.33</v>
      </c>
    </row>
    <row r="27" spans="1:32">
      <c r="A27" s="119" t="s">
        <v>450</v>
      </c>
      <c r="B27" s="85">
        <v>0</v>
      </c>
      <c r="D27" s="137" t="s">
        <v>451</v>
      </c>
      <c r="E27" s="138">
        <v>0</v>
      </c>
      <c r="I27" s="87" t="s">
        <v>452</v>
      </c>
      <c r="J27" s="87">
        <v>0</v>
      </c>
      <c r="S27" s="46">
        <v>15158</v>
      </c>
      <c r="T27" s="34">
        <v>66.33</v>
      </c>
      <c r="Y27" s="50">
        <v>16984</v>
      </c>
      <c r="Z27" s="34">
        <v>61.33</v>
      </c>
      <c r="AE27" s="50">
        <v>15189</v>
      </c>
      <c r="AF27" s="34">
        <v>66.33</v>
      </c>
    </row>
    <row r="28" spans="1:32">
      <c r="A28" s="117" t="s">
        <v>453</v>
      </c>
      <c r="B28" s="85">
        <v>0</v>
      </c>
      <c r="G28" s="37"/>
      <c r="I28" s="88" t="s">
        <v>454</v>
      </c>
      <c r="J28" s="88">
        <f>J26-J27</f>
        <v>3767.952874743326</v>
      </c>
      <c r="K28" s="59"/>
      <c r="L28" s="59"/>
      <c r="M28" s="59"/>
      <c r="S28" s="50">
        <v>15189</v>
      </c>
      <c r="T28" s="34">
        <v>66.33</v>
      </c>
      <c r="Y28" s="50">
        <v>17015</v>
      </c>
      <c r="Z28" s="34">
        <v>61.33</v>
      </c>
      <c r="AE28" s="50">
        <v>15220</v>
      </c>
      <c r="AF28" s="34">
        <v>66.66</v>
      </c>
    </row>
    <row r="29" spans="1:32">
      <c r="A29" s="117" t="s">
        <v>455</v>
      </c>
      <c r="B29" s="85">
        <v>0</v>
      </c>
      <c r="I29" s="89" t="s">
        <v>456</v>
      </c>
      <c r="J29" s="90">
        <f>(J24*J28)*K30</f>
        <v>1004.7874332648869</v>
      </c>
      <c r="K29" s="91"/>
      <c r="L29" s="92">
        <v>8</v>
      </c>
      <c r="M29" s="93" t="s">
        <v>457</v>
      </c>
      <c r="N29" s="39"/>
      <c r="S29" s="46">
        <v>15220</v>
      </c>
      <c r="T29" s="34">
        <v>66.66</v>
      </c>
      <c r="Y29" s="50">
        <v>17046</v>
      </c>
      <c r="Z29" s="34">
        <v>61.66</v>
      </c>
      <c r="AE29" s="50">
        <v>15250</v>
      </c>
      <c r="AF29" s="34">
        <v>66.66</v>
      </c>
    </row>
    <row r="30" spans="1:32" ht="21" customHeight="1">
      <c r="A30" s="132" t="s">
        <v>458</v>
      </c>
      <c r="B30" s="85">
        <v>0</v>
      </c>
      <c r="J30" s="37"/>
      <c r="K30" s="94">
        <f>L29/L30</f>
        <v>0.26666666666666666</v>
      </c>
      <c r="L30" s="95">
        <v>30</v>
      </c>
      <c r="M30" s="96" t="s">
        <v>459</v>
      </c>
      <c r="N30" s="39"/>
      <c r="S30" s="46">
        <v>15250</v>
      </c>
      <c r="T30" s="34">
        <v>66.66</v>
      </c>
      <c r="Y30" s="50">
        <v>17076</v>
      </c>
      <c r="Z30" s="34">
        <v>61.66</v>
      </c>
      <c r="AE30" s="50">
        <v>15281</v>
      </c>
      <c r="AF30" s="34">
        <v>66.66</v>
      </c>
    </row>
    <row r="31" spans="1:32">
      <c r="A31" s="117" t="s">
        <v>460</v>
      </c>
      <c r="B31" s="134" t="e">
        <v>#NUM!</v>
      </c>
      <c r="D31" s="140" t="s">
        <v>461</v>
      </c>
      <c r="E31" s="141" t="e">
        <v>#NUM!</v>
      </c>
      <c r="K31" s="97"/>
      <c r="L31" s="60"/>
      <c r="M31" s="60"/>
      <c r="S31" s="50">
        <v>15281</v>
      </c>
      <c r="T31" s="34">
        <v>66.66</v>
      </c>
      <c r="Y31" s="50">
        <v>17107</v>
      </c>
      <c r="Z31" s="34">
        <v>61.66</v>
      </c>
      <c r="AE31" s="50">
        <v>15311</v>
      </c>
      <c r="AF31" s="34">
        <v>66.66</v>
      </c>
    </row>
    <row r="32" spans="1:32">
      <c r="S32" s="46">
        <v>15311</v>
      </c>
      <c r="T32" s="34">
        <v>66.66</v>
      </c>
      <c r="Y32" s="50">
        <v>17137</v>
      </c>
      <c r="Z32" s="34">
        <v>61.66</v>
      </c>
      <c r="AE32" s="50">
        <v>15342</v>
      </c>
      <c r="AF32" s="34">
        <v>66.66</v>
      </c>
    </row>
    <row r="33" spans="1:32">
      <c r="A33" s="135" t="s">
        <v>462</v>
      </c>
      <c r="B33" s="98">
        <f>E26+E23+E24+E27</f>
        <v>0</v>
      </c>
      <c r="S33" s="46">
        <v>15342</v>
      </c>
      <c r="T33" s="34">
        <v>66.66</v>
      </c>
      <c r="Y33" s="50">
        <v>17168</v>
      </c>
      <c r="Z33" s="34">
        <v>61.66</v>
      </c>
      <c r="AE33" s="50">
        <v>15373</v>
      </c>
      <c r="AF33" s="34">
        <v>66.66</v>
      </c>
    </row>
    <row r="34" spans="1:32">
      <c r="A34" s="135" t="s">
        <v>463</v>
      </c>
      <c r="B34" s="98">
        <v>0</v>
      </c>
      <c r="S34" s="50">
        <v>15373</v>
      </c>
      <c r="T34" s="34">
        <v>66.66</v>
      </c>
      <c r="Y34" s="50">
        <v>17199</v>
      </c>
      <c r="Z34" s="34">
        <v>61.66</v>
      </c>
      <c r="AE34" s="50">
        <v>15401</v>
      </c>
      <c r="AF34" s="34">
        <v>66.66</v>
      </c>
    </row>
    <row r="35" spans="1:32">
      <c r="A35" s="135" t="s">
        <v>464</v>
      </c>
      <c r="B35" s="99">
        <v>0</v>
      </c>
      <c r="S35" s="46">
        <v>15401</v>
      </c>
      <c r="T35" s="34">
        <v>66.66</v>
      </c>
      <c r="Y35" s="50">
        <v>17227</v>
      </c>
      <c r="Z35" s="34">
        <v>61.66</v>
      </c>
      <c r="AE35" s="50">
        <v>15432</v>
      </c>
      <c r="AF35" s="34">
        <v>66.66</v>
      </c>
    </row>
    <row r="36" spans="1:32" ht="25.5">
      <c r="A36" s="135" t="s">
        <v>465</v>
      </c>
      <c r="B36" s="55">
        <v>0</v>
      </c>
      <c r="G36" s="100"/>
      <c r="H36" s="101"/>
      <c r="S36" s="46">
        <v>15432</v>
      </c>
      <c r="T36" s="34">
        <v>66.66</v>
      </c>
      <c r="Y36" s="50">
        <v>17258</v>
      </c>
      <c r="Z36" s="34">
        <v>61.66</v>
      </c>
      <c r="AE36" s="50">
        <v>15462</v>
      </c>
      <c r="AF36" s="34">
        <v>67</v>
      </c>
    </row>
    <row r="37" spans="1:32" ht="24" customHeight="1">
      <c r="G37" s="100"/>
      <c r="H37" s="102"/>
      <c r="S37" s="50">
        <v>15462</v>
      </c>
      <c r="T37" s="34">
        <v>67</v>
      </c>
      <c r="Y37" s="50">
        <v>17288</v>
      </c>
      <c r="Z37" s="34">
        <v>62</v>
      </c>
      <c r="AE37" s="50">
        <v>15493</v>
      </c>
      <c r="AF37" s="34">
        <v>67</v>
      </c>
    </row>
    <row r="38" spans="1:32" ht="23.25" customHeight="1">
      <c r="A38" s="133" t="s">
        <v>466</v>
      </c>
      <c r="B38" s="55">
        <v>0</v>
      </c>
      <c r="G38" s="100"/>
      <c r="H38" s="103"/>
      <c r="Y38" s="50">
        <v>17319</v>
      </c>
      <c r="Z38" s="34">
        <v>62</v>
      </c>
      <c r="AE38" s="50">
        <v>15523</v>
      </c>
      <c r="AF38" s="34">
        <v>67</v>
      </c>
    </row>
    <row r="39" spans="1:32" ht="28.5" customHeight="1">
      <c r="D39" s="104"/>
      <c r="E39" s="104"/>
      <c r="F39" s="104"/>
      <c r="G39" s="104"/>
      <c r="H39" s="104"/>
      <c r="Y39" s="50">
        <v>17349</v>
      </c>
      <c r="Z39" s="34">
        <v>62</v>
      </c>
      <c r="AE39" s="50">
        <v>15554</v>
      </c>
      <c r="AF39" s="34">
        <v>67</v>
      </c>
    </row>
    <row r="40" spans="1:32">
      <c r="A40" s="63" t="s">
        <v>467</v>
      </c>
      <c r="B40" s="41"/>
      <c r="F40" s="104"/>
      <c r="Y40" s="50">
        <v>17380</v>
      </c>
      <c r="Z40" s="34">
        <v>62</v>
      </c>
      <c r="AE40" s="50">
        <v>15585</v>
      </c>
      <c r="AF40" s="34">
        <v>67</v>
      </c>
    </row>
    <row r="41" spans="1:32" ht="24.75" customHeight="1">
      <c r="A41" s="63" t="s">
        <v>468</v>
      </c>
      <c r="B41" s="41"/>
      <c r="D41" s="133" t="s">
        <v>469</v>
      </c>
      <c r="E41" s="133" t="s">
        <v>470</v>
      </c>
      <c r="F41" s="133" t="s">
        <v>471</v>
      </c>
      <c r="G41" s="133" t="s">
        <v>472</v>
      </c>
      <c r="H41" s="34" t="s">
        <v>473</v>
      </c>
      <c r="Y41" s="50">
        <v>17411</v>
      </c>
      <c r="Z41" s="34">
        <v>62</v>
      </c>
      <c r="AE41" s="50">
        <v>15615</v>
      </c>
      <c r="AF41" s="34">
        <v>67</v>
      </c>
    </row>
    <row r="42" spans="1:32" ht="23.25" customHeight="1">
      <c r="A42" s="63" t="s">
        <v>474</v>
      </c>
      <c r="B42" s="54"/>
      <c r="D42" s="105"/>
      <c r="E42" s="35"/>
      <c r="F42" s="106">
        <f t="shared" ref="F42:F62" si="0">INT((($E$1-E42)/365.25)+0.5)</f>
        <v>0</v>
      </c>
      <c r="G42" s="41"/>
      <c r="H42" s="34" t="s">
        <v>475</v>
      </c>
      <c r="Y42" s="50">
        <v>17441</v>
      </c>
      <c r="Z42" s="34">
        <v>62</v>
      </c>
      <c r="AE42" s="50">
        <v>15646</v>
      </c>
      <c r="AF42" s="34">
        <v>67</v>
      </c>
    </row>
    <row r="43" spans="1:32">
      <c r="A43" s="63" t="s">
        <v>476</v>
      </c>
      <c r="B43" s="143">
        <f>(E1-B42)/365.25</f>
        <v>0</v>
      </c>
      <c r="D43" s="105"/>
      <c r="E43" s="35"/>
      <c r="F43" s="106">
        <f t="shared" si="0"/>
        <v>0</v>
      </c>
      <c r="G43" s="41"/>
      <c r="Y43" s="50">
        <v>17472</v>
      </c>
      <c r="Z43" s="34">
        <v>62</v>
      </c>
      <c r="AE43" s="50">
        <v>15676</v>
      </c>
      <c r="AF43" s="34">
        <v>67</v>
      </c>
    </row>
    <row r="44" spans="1:32">
      <c r="A44" s="63" t="s">
        <v>477</v>
      </c>
      <c r="B44" s="143">
        <f>B43+B16</f>
        <v>125.59842915811087</v>
      </c>
      <c r="D44" s="105"/>
      <c r="E44" s="35"/>
      <c r="F44" s="106">
        <f t="shared" si="0"/>
        <v>0</v>
      </c>
      <c r="G44" s="41"/>
      <c r="Y44" s="50">
        <v>17502</v>
      </c>
      <c r="Z44" s="34">
        <v>62</v>
      </c>
      <c r="AE44" s="50">
        <v>15707</v>
      </c>
      <c r="AF44" s="34">
        <v>67</v>
      </c>
    </row>
    <row r="45" spans="1:32">
      <c r="A45" s="63" t="s">
        <v>478</v>
      </c>
      <c r="B45" s="144">
        <f>(B6-B42)/365.25</f>
        <v>125.59842915811087</v>
      </c>
      <c r="D45" s="105"/>
      <c r="E45" s="35"/>
      <c r="F45" s="106">
        <f t="shared" si="0"/>
        <v>0</v>
      </c>
      <c r="G45" s="41"/>
      <c r="Y45" s="50">
        <v>17533</v>
      </c>
      <c r="Z45" s="34">
        <v>62</v>
      </c>
      <c r="AE45" s="50">
        <v>15738</v>
      </c>
      <c r="AF45" s="34">
        <v>67</v>
      </c>
    </row>
    <row r="46" spans="1:32">
      <c r="A46" s="63" t="s">
        <v>479</v>
      </c>
      <c r="B46" s="107">
        <f>INT(B45+0.5)</f>
        <v>126</v>
      </c>
      <c r="D46" s="108"/>
      <c r="E46" s="41"/>
      <c r="F46" s="106">
        <f t="shared" si="0"/>
        <v>0</v>
      </c>
      <c r="G46" s="41"/>
      <c r="Y46" s="50">
        <v>17564</v>
      </c>
      <c r="Z46" s="34">
        <v>62</v>
      </c>
      <c r="AE46" s="50">
        <v>15766</v>
      </c>
      <c r="AF46" s="34">
        <v>67</v>
      </c>
    </row>
    <row r="47" spans="1:32">
      <c r="D47" s="108"/>
      <c r="E47" s="41"/>
      <c r="F47" s="106">
        <f t="shared" si="0"/>
        <v>0</v>
      </c>
      <c r="G47" s="41"/>
      <c r="Y47" s="50">
        <v>17593</v>
      </c>
      <c r="Z47" s="34">
        <v>62</v>
      </c>
      <c r="AE47" s="50">
        <v>15797</v>
      </c>
      <c r="AF47" s="34">
        <v>67</v>
      </c>
    </row>
    <row r="48" spans="1:32">
      <c r="D48" s="108"/>
      <c r="E48" s="41"/>
      <c r="F48" s="106">
        <f t="shared" si="0"/>
        <v>0</v>
      </c>
      <c r="G48" s="41"/>
      <c r="Y48" s="50">
        <v>17624</v>
      </c>
      <c r="Z48" s="34">
        <v>62</v>
      </c>
      <c r="AE48" s="50">
        <v>15827</v>
      </c>
      <c r="AF48" s="34">
        <v>67</v>
      </c>
    </row>
    <row r="49" spans="1:32">
      <c r="D49" s="108"/>
      <c r="E49" s="41"/>
      <c r="F49" s="106">
        <f t="shared" si="0"/>
        <v>0</v>
      </c>
      <c r="G49" s="41"/>
      <c r="Y49" s="50">
        <v>17654</v>
      </c>
      <c r="Z49" s="34">
        <v>62</v>
      </c>
      <c r="AE49" s="50">
        <v>15858</v>
      </c>
      <c r="AF49" s="34">
        <v>67</v>
      </c>
    </row>
    <row r="50" spans="1:32">
      <c r="D50" s="108"/>
      <c r="E50" s="41"/>
      <c r="F50" s="106">
        <f t="shared" si="0"/>
        <v>0</v>
      </c>
      <c r="G50" s="41"/>
      <c r="Y50" s="50">
        <v>17685</v>
      </c>
      <c r="Z50" s="34">
        <v>62</v>
      </c>
      <c r="AE50" s="50">
        <v>15888</v>
      </c>
      <c r="AF50" s="34">
        <v>67</v>
      </c>
    </row>
    <row r="51" spans="1:32">
      <c r="D51" s="108"/>
      <c r="E51" s="41"/>
      <c r="F51" s="106">
        <f t="shared" si="0"/>
        <v>0</v>
      </c>
      <c r="G51" s="41"/>
      <c r="Y51" s="50">
        <v>17715</v>
      </c>
      <c r="Z51" s="34">
        <v>62</v>
      </c>
      <c r="AE51" s="50">
        <v>15919</v>
      </c>
      <c r="AF51" s="34">
        <v>67</v>
      </c>
    </row>
    <row r="52" spans="1:32">
      <c r="D52" s="108"/>
      <c r="E52" s="41"/>
      <c r="F52" s="106">
        <f t="shared" si="0"/>
        <v>0</v>
      </c>
      <c r="G52" s="41"/>
      <c r="Y52" s="50">
        <v>17746</v>
      </c>
      <c r="Z52" s="34">
        <v>62</v>
      </c>
      <c r="AE52" s="50">
        <v>15950</v>
      </c>
      <c r="AF52" s="34">
        <v>67</v>
      </c>
    </row>
    <row r="53" spans="1:32">
      <c r="A53" s="34" t="s">
        <v>480</v>
      </c>
      <c r="D53" s="108"/>
      <c r="E53" s="41"/>
      <c r="F53" s="106">
        <f t="shared" si="0"/>
        <v>0</v>
      </c>
      <c r="G53" s="41"/>
      <c r="Y53" s="50">
        <v>17777</v>
      </c>
      <c r="Z53" s="34">
        <v>62</v>
      </c>
      <c r="AE53" s="50">
        <v>15980</v>
      </c>
      <c r="AF53" s="34">
        <v>67</v>
      </c>
    </row>
    <row r="54" spans="1:32">
      <c r="D54" s="108"/>
      <c r="E54" s="41"/>
      <c r="F54" s="106">
        <f t="shared" si="0"/>
        <v>0</v>
      </c>
      <c r="G54" s="41"/>
      <c r="Y54" s="50">
        <v>17807</v>
      </c>
      <c r="Z54" s="34">
        <v>62</v>
      </c>
      <c r="AE54" s="50">
        <v>16011</v>
      </c>
      <c r="AF54" s="34">
        <v>67</v>
      </c>
    </row>
    <row r="55" spans="1:32">
      <c r="A55" s="59"/>
      <c r="D55" s="108"/>
      <c r="E55" s="41"/>
      <c r="F55" s="106">
        <f t="shared" si="0"/>
        <v>0</v>
      </c>
      <c r="G55" s="41"/>
      <c r="Y55" s="50">
        <v>17838</v>
      </c>
      <c r="Z55" s="34">
        <v>62</v>
      </c>
      <c r="AE55" s="50">
        <v>16041</v>
      </c>
      <c r="AF55" s="34">
        <v>67</v>
      </c>
    </row>
    <row r="56" spans="1:32">
      <c r="B56" s="39"/>
      <c r="D56" s="108"/>
      <c r="E56" s="41"/>
      <c r="F56" s="106">
        <f t="shared" si="0"/>
        <v>0</v>
      </c>
      <c r="G56" s="41"/>
      <c r="Y56" s="50">
        <v>17868</v>
      </c>
      <c r="Z56" s="34">
        <v>62</v>
      </c>
      <c r="AE56" s="50">
        <v>16072</v>
      </c>
      <c r="AF56" s="34">
        <v>67</v>
      </c>
    </row>
    <row r="57" spans="1:32">
      <c r="B57" s="39"/>
      <c r="D57" s="108"/>
      <c r="E57" s="41"/>
      <c r="F57" s="106">
        <f t="shared" si="0"/>
        <v>0</v>
      </c>
      <c r="G57" s="41"/>
      <c r="Y57" s="50">
        <v>17899</v>
      </c>
      <c r="Z57" s="34">
        <v>62</v>
      </c>
      <c r="AE57" s="50">
        <v>16103</v>
      </c>
      <c r="AF57" s="34">
        <v>67</v>
      </c>
    </row>
    <row r="58" spans="1:32">
      <c r="B58" s="39"/>
      <c r="D58" s="108"/>
      <c r="E58" s="41"/>
      <c r="F58" s="106">
        <f t="shared" si="0"/>
        <v>0</v>
      </c>
      <c r="G58" s="41"/>
      <c r="Y58" s="50">
        <v>17930</v>
      </c>
      <c r="Z58" s="34">
        <v>62</v>
      </c>
      <c r="AE58" s="50">
        <v>16132</v>
      </c>
      <c r="AF58" s="34">
        <v>67</v>
      </c>
    </row>
    <row r="59" spans="1:32">
      <c r="B59" s="39"/>
      <c r="D59" s="108"/>
      <c r="E59" s="41"/>
      <c r="F59" s="106">
        <f t="shared" si="0"/>
        <v>0</v>
      </c>
      <c r="G59" s="41"/>
      <c r="Y59" s="50">
        <v>17958</v>
      </c>
      <c r="Z59" s="34">
        <v>62</v>
      </c>
      <c r="AE59" s="50">
        <v>16163</v>
      </c>
      <c r="AF59" s="34">
        <v>67</v>
      </c>
    </row>
    <row r="60" spans="1:32">
      <c r="B60" s="39"/>
      <c r="D60" s="108"/>
      <c r="E60" s="41"/>
      <c r="F60" s="106">
        <f t="shared" si="0"/>
        <v>0</v>
      </c>
      <c r="G60" s="41"/>
      <c r="Y60" s="50">
        <v>17989</v>
      </c>
      <c r="Z60" s="34">
        <v>62</v>
      </c>
      <c r="AE60" s="50">
        <v>16193</v>
      </c>
      <c r="AF60" s="34">
        <v>67</v>
      </c>
    </row>
    <row r="61" spans="1:32">
      <c r="B61" s="39"/>
      <c r="D61" s="108"/>
      <c r="E61" s="41"/>
      <c r="F61" s="106">
        <f t="shared" si="0"/>
        <v>0</v>
      </c>
      <c r="G61" s="41"/>
      <c r="Y61" s="50">
        <v>18019</v>
      </c>
      <c r="Z61" s="34">
        <v>62</v>
      </c>
      <c r="AE61" s="50">
        <v>16224</v>
      </c>
      <c r="AF61" s="34">
        <v>67</v>
      </c>
    </row>
    <row r="62" spans="1:32">
      <c r="B62" s="39"/>
      <c r="D62" s="108"/>
      <c r="E62" s="41"/>
      <c r="F62" s="106">
        <f t="shared" si="0"/>
        <v>0</v>
      </c>
      <c r="G62" s="41"/>
      <c r="Y62" s="50">
        <v>18050</v>
      </c>
      <c r="Z62" s="34">
        <v>62</v>
      </c>
      <c r="AE62" s="50">
        <v>16254</v>
      </c>
      <c r="AF62" s="34">
        <v>67</v>
      </c>
    </row>
    <row r="63" spans="1:32">
      <c r="B63" s="39"/>
      <c r="F63" s="104"/>
      <c r="Y63" s="50">
        <v>18080</v>
      </c>
      <c r="Z63" s="34">
        <v>62</v>
      </c>
      <c r="AE63" s="50">
        <v>16285</v>
      </c>
      <c r="AF63" s="34">
        <v>67</v>
      </c>
    </row>
    <row r="64" spans="1:32">
      <c r="B64" s="39"/>
      <c r="F64" s="104"/>
      <c r="Y64" s="50">
        <v>18111</v>
      </c>
      <c r="Z64" s="34">
        <v>62</v>
      </c>
      <c r="AE64" s="50">
        <v>16316</v>
      </c>
      <c r="AF64" s="34">
        <v>67</v>
      </c>
    </row>
    <row r="65" spans="1:32">
      <c r="B65" s="39"/>
      <c r="F65" s="104"/>
      <c r="Y65" s="50">
        <v>18142</v>
      </c>
      <c r="Z65" s="34">
        <v>62</v>
      </c>
      <c r="AE65" s="50">
        <v>16346</v>
      </c>
      <c r="AF65" s="34">
        <v>67</v>
      </c>
    </row>
    <row r="66" spans="1:32">
      <c r="B66" s="39"/>
      <c r="F66" s="104"/>
      <c r="Y66" s="50">
        <v>18172</v>
      </c>
      <c r="Z66" s="34">
        <v>62</v>
      </c>
      <c r="AE66" s="50">
        <v>16377</v>
      </c>
      <c r="AF66" s="34">
        <v>67</v>
      </c>
    </row>
    <row r="67" spans="1:32">
      <c r="A67" s="60"/>
      <c r="F67" s="104"/>
      <c r="Y67" s="50">
        <v>18203</v>
      </c>
      <c r="Z67" s="34">
        <v>62</v>
      </c>
      <c r="AE67" s="50">
        <v>16407</v>
      </c>
      <c r="AF67" s="34">
        <v>67</v>
      </c>
    </row>
    <row r="68" spans="1:32">
      <c r="F68" s="104"/>
      <c r="Y68" s="50">
        <v>18233</v>
      </c>
      <c r="Z68" s="34">
        <v>62</v>
      </c>
      <c r="AE68" s="50">
        <v>16438</v>
      </c>
      <c r="AF68" s="34">
        <v>67.33</v>
      </c>
    </row>
    <row r="69" spans="1:32">
      <c r="F69" s="104"/>
      <c r="Y69" s="50">
        <v>18264</v>
      </c>
      <c r="Z69" s="34">
        <v>62.33</v>
      </c>
      <c r="AE69" s="50">
        <v>16469</v>
      </c>
      <c r="AF69" s="34">
        <v>67.33</v>
      </c>
    </row>
    <row r="70" spans="1:32">
      <c r="Y70" s="50">
        <v>18295</v>
      </c>
      <c r="Z70" s="34">
        <v>62.33</v>
      </c>
      <c r="AE70" s="50">
        <v>16497</v>
      </c>
      <c r="AF70" s="34">
        <v>67.33</v>
      </c>
    </row>
    <row r="71" spans="1:32">
      <c r="Y71" s="50">
        <v>18323</v>
      </c>
      <c r="Z71" s="34">
        <v>62.33</v>
      </c>
      <c r="AE71" s="50">
        <v>16528</v>
      </c>
      <c r="AF71" s="34">
        <v>67.33</v>
      </c>
    </row>
    <row r="72" spans="1:32">
      <c r="Y72" s="50">
        <v>18354</v>
      </c>
      <c r="Z72" s="34">
        <v>62.33</v>
      </c>
      <c r="AE72" s="50">
        <v>16558</v>
      </c>
      <c r="AF72" s="34">
        <v>67.33</v>
      </c>
    </row>
    <row r="73" spans="1:32">
      <c r="Y73" s="50">
        <v>18384</v>
      </c>
      <c r="Z73" s="34">
        <v>62.33</v>
      </c>
      <c r="AE73" s="50">
        <v>16589</v>
      </c>
      <c r="AF73" s="34">
        <v>67.33</v>
      </c>
    </row>
    <row r="74" spans="1:32">
      <c r="Y74" s="50">
        <v>18415</v>
      </c>
      <c r="Z74" s="34">
        <v>62.33</v>
      </c>
      <c r="AE74" s="50">
        <v>16619</v>
      </c>
      <c r="AF74" s="34">
        <v>67.33</v>
      </c>
    </row>
    <row r="75" spans="1:32">
      <c r="Y75" s="50">
        <v>18445</v>
      </c>
      <c r="Z75" s="34">
        <v>62.33</v>
      </c>
      <c r="AE75" s="50">
        <v>16650</v>
      </c>
      <c r="AF75" s="34">
        <v>67.33</v>
      </c>
    </row>
    <row r="76" spans="1:32">
      <c r="Y76" s="50">
        <v>18476</v>
      </c>
      <c r="Z76" s="34">
        <v>62.33</v>
      </c>
      <c r="AE76" s="50">
        <v>16681</v>
      </c>
      <c r="AF76" s="34">
        <v>67.66</v>
      </c>
    </row>
    <row r="77" spans="1:32">
      <c r="Y77" s="50">
        <v>18507</v>
      </c>
      <c r="Z77" s="34">
        <v>62.66</v>
      </c>
      <c r="AE77" s="50">
        <v>16711</v>
      </c>
      <c r="AF77" s="34">
        <v>67.66</v>
      </c>
    </row>
    <row r="78" spans="1:32">
      <c r="Y78" s="50">
        <v>18537</v>
      </c>
      <c r="Z78" s="34">
        <v>62.66</v>
      </c>
      <c r="AE78" s="50">
        <v>16742</v>
      </c>
      <c r="AF78" s="34">
        <v>67.66</v>
      </c>
    </row>
    <row r="79" spans="1:32">
      <c r="Y79" s="50">
        <v>18568</v>
      </c>
      <c r="Z79" s="34">
        <v>62.66</v>
      </c>
      <c r="AE79" s="50">
        <v>16772</v>
      </c>
      <c r="AF79" s="34">
        <v>67.66</v>
      </c>
    </row>
    <row r="80" spans="1:32">
      <c r="Y80" s="50">
        <v>18598</v>
      </c>
      <c r="Z80" s="34">
        <v>62.66</v>
      </c>
      <c r="AE80" s="50">
        <v>16803</v>
      </c>
      <c r="AF80" s="34">
        <v>67.66</v>
      </c>
    </row>
    <row r="81" spans="25:32">
      <c r="Y81" s="50">
        <v>18629</v>
      </c>
      <c r="Z81" s="34">
        <v>62.66</v>
      </c>
      <c r="AE81" s="50">
        <v>16834</v>
      </c>
      <c r="AF81" s="34">
        <v>67.66</v>
      </c>
    </row>
    <row r="82" spans="25:32">
      <c r="Y82" s="50">
        <v>18660</v>
      </c>
      <c r="Z82" s="34">
        <v>62.66</v>
      </c>
      <c r="AE82" s="50">
        <v>16862</v>
      </c>
      <c r="AF82" s="34">
        <v>67.66</v>
      </c>
    </row>
    <row r="83" spans="25:32">
      <c r="Y83" s="50">
        <v>18688</v>
      </c>
      <c r="Z83" s="34">
        <v>62.66</v>
      </c>
      <c r="AE83" s="50">
        <v>16893</v>
      </c>
      <c r="AF83" s="34">
        <v>67.66</v>
      </c>
    </row>
    <row r="84" spans="25:32">
      <c r="Y84" s="50">
        <v>18719</v>
      </c>
      <c r="Z84" s="34">
        <v>62.66</v>
      </c>
      <c r="AE84" s="50">
        <v>16923</v>
      </c>
      <c r="AF84" s="34">
        <v>68</v>
      </c>
    </row>
    <row r="85" spans="25:32">
      <c r="Y85" s="50">
        <v>18749</v>
      </c>
      <c r="Z85" s="34">
        <v>63</v>
      </c>
      <c r="AE85" s="50">
        <v>16954</v>
      </c>
      <c r="AF85" s="34">
        <v>68</v>
      </c>
    </row>
    <row r="86" spans="25:32">
      <c r="Y86" s="50">
        <v>18780</v>
      </c>
      <c r="Z86" s="34">
        <v>63</v>
      </c>
      <c r="AE86" s="50">
        <v>16984</v>
      </c>
      <c r="AF86" s="34">
        <v>68</v>
      </c>
    </row>
    <row r="87" spans="25:32">
      <c r="Y87" s="50">
        <v>18810</v>
      </c>
      <c r="Z87" s="34">
        <v>63</v>
      </c>
      <c r="AE87" s="50">
        <v>17015</v>
      </c>
      <c r="AF87" s="34">
        <v>68</v>
      </c>
    </row>
    <row r="88" spans="25:32">
      <c r="Y88" s="50">
        <v>18841</v>
      </c>
      <c r="Z88" s="34">
        <v>63</v>
      </c>
      <c r="AE88" s="50">
        <v>17046</v>
      </c>
      <c r="AF88" s="34">
        <v>68</v>
      </c>
    </row>
    <row r="89" spans="25:32">
      <c r="Y89" s="50">
        <v>18872</v>
      </c>
      <c r="Z89" s="34">
        <v>63</v>
      </c>
      <c r="AE89" s="50">
        <v>17076</v>
      </c>
      <c r="AF89" s="34">
        <v>68</v>
      </c>
    </row>
    <row r="90" spans="25:32">
      <c r="Y90" s="50">
        <v>18902</v>
      </c>
      <c r="Z90" s="34">
        <v>63</v>
      </c>
      <c r="AE90" s="50">
        <v>17107</v>
      </c>
      <c r="AF90" s="34">
        <v>68</v>
      </c>
    </row>
    <row r="91" spans="25:32">
      <c r="Y91" s="50">
        <v>18933</v>
      </c>
      <c r="Z91" s="34">
        <v>63</v>
      </c>
      <c r="AE91" s="50">
        <v>17137</v>
      </c>
      <c r="AF91" s="34">
        <v>68</v>
      </c>
    </row>
    <row r="92" spans="25:32">
      <c r="Y92" s="50">
        <v>18963</v>
      </c>
      <c r="Z92" s="34">
        <v>63</v>
      </c>
      <c r="AE92" s="50">
        <v>17168</v>
      </c>
      <c r="AF92" s="34">
        <v>68.33</v>
      </c>
    </row>
    <row r="93" spans="25:32">
      <c r="Y93" s="50">
        <v>18994</v>
      </c>
      <c r="Z93" s="34">
        <v>63.33</v>
      </c>
      <c r="AE93" s="50">
        <v>17199</v>
      </c>
      <c r="AF93" s="34">
        <v>68.33</v>
      </c>
    </row>
    <row r="94" spans="25:32">
      <c r="Y94" s="50">
        <v>19025</v>
      </c>
      <c r="Z94" s="34">
        <v>63.33</v>
      </c>
      <c r="AE94" s="50">
        <v>17227</v>
      </c>
      <c r="AF94" s="34">
        <v>68.33</v>
      </c>
    </row>
    <row r="95" spans="25:32">
      <c r="Y95" s="50">
        <v>19054</v>
      </c>
      <c r="Z95" s="34">
        <v>63.33</v>
      </c>
      <c r="AE95" s="50">
        <v>17258</v>
      </c>
      <c r="AF95" s="34">
        <v>68.33</v>
      </c>
    </row>
    <row r="96" spans="25:32">
      <c r="Y96" s="50">
        <v>19085</v>
      </c>
      <c r="Z96" s="34">
        <v>63.33</v>
      </c>
      <c r="AE96" s="50">
        <v>17288</v>
      </c>
      <c r="AF96" s="34">
        <v>68.33</v>
      </c>
    </row>
    <row r="97" spans="1:32">
      <c r="Y97" s="50">
        <v>19115</v>
      </c>
      <c r="Z97" s="34">
        <v>63.33</v>
      </c>
      <c r="AE97" s="50">
        <v>17319</v>
      </c>
      <c r="AF97" s="34">
        <v>68.33</v>
      </c>
    </row>
    <row r="98" spans="1:32">
      <c r="Y98" s="50">
        <v>19146</v>
      </c>
      <c r="Z98" s="34">
        <v>63.33</v>
      </c>
      <c r="AE98" s="50">
        <v>17349</v>
      </c>
      <c r="AF98" s="34">
        <v>68.33</v>
      </c>
    </row>
    <row r="99" spans="1:32" s="110" customFormat="1" ht="12" customHeight="1" thickBot="1">
      <c r="A99" s="109"/>
      <c r="B99" s="109"/>
      <c r="G99" s="34"/>
      <c r="Y99" s="50">
        <v>19176</v>
      </c>
      <c r="Z99" s="34">
        <v>63.33</v>
      </c>
      <c r="AE99" s="50">
        <v>17380</v>
      </c>
      <c r="AF99" s="34">
        <v>68.33</v>
      </c>
    </row>
    <row r="100" spans="1:32" s="110" customFormat="1" ht="12" customHeight="1">
      <c r="A100" s="111" t="s">
        <v>481</v>
      </c>
      <c r="B100" s="109" t="s">
        <v>482</v>
      </c>
      <c r="D100" s="112"/>
      <c r="G100" s="34"/>
      <c r="Y100" s="50">
        <v>19207</v>
      </c>
      <c r="Z100" s="34">
        <v>63.33</v>
      </c>
      <c r="AE100" s="50">
        <v>17411</v>
      </c>
      <c r="AF100" s="110">
        <v>68.66</v>
      </c>
    </row>
    <row r="101" spans="1:32" s="110" customFormat="1" ht="12" customHeight="1">
      <c r="A101" s="111" t="s">
        <v>483</v>
      </c>
      <c r="B101" s="109">
        <v>0</v>
      </c>
      <c r="D101" s="113" t="s">
        <v>484</v>
      </c>
      <c r="G101" s="34"/>
      <c r="Y101" s="50">
        <v>19238</v>
      </c>
      <c r="Z101" s="34">
        <v>63.66</v>
      </c>
      <c r="AE101" s="50">
        <v>17441</v>
      </c>
      <c r="AF101" s="110">
        <v>68.66</v>
      </c>
    </row>
    <row r="102" spans="1:32" s="110" customFormat="1" ht="12" customHeight="1">
      <c r="A102" s="111" t="s">
        <v>485</v>
      </c>
      <c r="B102" s="109">
        <v>1</v>
      </c>
      <c r="D102" s="114" t="s">
        <v>486</v>
      </c>
      <c r="G102" s="34"/>
      <c r="Y102" s="50">
        <v>19268</v>
      </c>
      <c r="Z102" s="34">
        <v>63.66</v>
      </c>
      <c r="AE102" s="50">
        <v>17472</v>
      </c>
      <c r="AF102" s="110">
        <v>68.66</v>
      </c>
    </row>
    <row r="103" spans="1:32" s="110" customFormat="1" ht="12" customHeight="1">
      <c r="A103" s="109"/>
      <c r="B103" s="109"/>
      <c r="D103" s="114" t="s">
        <v>441</v>
      </c>
      <c r="G103" s="34"/>
      <c r="Y103" s="50">
        <v>19299</v>
      </c>
      <c r="Z103" s="34">
        <v>63.66</v>
      </c>
      <c r="AE103" s="50">
        <v>17502</v>
      </c>
      <c r="AF103" s="110">
        <v>68.66</v>
      </c>
    </row>
    <row r="104" spans="1:32">
      <c r="A104" s="115"/>
      <c r="B104" s="115"/>
      <c r="D104" s="114" t="s">
        <v>487</v>
      </c>
      <c r="Y104" s="50">
        <v>19329</v>
      </c>
      <c r="Z104" s="34">
        <v>63.66</v>
      </c>
      <c r="AE104" s="50">
        <v>17533</v>
      </c>
      <c r="AF104" s="110">
        <v>68.66</v>
      </c>
    </row>
    <row r="105" spans="1:32">
      <c r="D105" s="114" t="s">
        <v>488</v>
      </c>
      <c r="Y105" s="50">
        <v>19360</v>
      </c>
      <c r="Z105" s="34">
        <v>63.66</v>
      </c>
      <c r="AE105" s="50">
        <v>17564</v>
      </c>
      <c r="AF105" s="110">
        <v>68.66</v>
      </c>
    </row>
    <row r="106" spans="1:32">
      <c r="Y106" s="50">
        <v>19391</v>
      </c>
      <c r="Z106" s="34">
        <v>63.66</v>
      </c>
      <c r="AE106" s="50">
        <v>17593</v>
      </c>
      <c r="AF106" s="110">
        <v>68.66</v>
      </c>
    </row>
    <row r="107" spans="1:32">
      <c r="D107" s="114" t="s">
        <v>489</v>
      </c>
      <c r="Y107" s="50">
        <v>19419</v>
      </c>
      <c r="Z107" s="34">
        <v>63.66</v>
      </c>
      <c r="AE107" s="50">
        <v>17624</v>
      </c>
      <c r="AF107" s="110">
        <v>68.66</v>
      </c>
    </row>
    <row r="108" spans="1:32">
      <c r="D108" s="114" t="s">
        <v>490</v>
      </c>
      <c r="Y108" s="50">
        <v>19450</v>
      </c>
      <c r="Z108" s="34">
        <v>63.66</v>
      </c>
      <c r="AE108" s="50">
        <v>17654</v>
      </c>
      <c r="AF108" s="34">
        <v>69</v>
      </c>
    </row>
    <row r="109" spans="1:32">
      <c r="D109" s="114"/>
      <c r="Y109" s="50">
        <v>19480</v>
      </c>
      <c r="Z109" s="34">
        <v>64</v>
      </c>
      <c r="AE109" s="50">
        <v>17685</v>
      </c>
      <c r="AF109" s="34">
        <v>69</v>
      </c>
    </row>
    <row r="110" spans="1:32" ht="13.5" thickBot="1">
      <c r="D110" s="116"/>
      <c r="AE110" s="50">
        <v>17715</v>
      </c>
      <c r="AF110" s="34">
        <v>69</v>
      </c>
    </row>
    <row r="111" spans="1:32">
      <c r="AE111" s="50">
        <v>17746</v>
      </c>
      <c r="AF111" s="34">
        <v>69</v>
      </c>
    </row>
    <row r="112" spans="1:32">
      <c r="AE112" s="50">
        <v>17777</v>
      </c>
      <c r="AF112" s="34">
        <v>69</v>
      </c>
    </row>
    <row r="113" spans="31:32">
      <c r="AE113" s="50">
        <v>17807</v>
      </c>
      <c r="AF113" s="34">
        <v>69</v>
      </c>
    </row>
    <row r="114" spans="31:32">
      <c r="AE114" s="50">
        <v>17838</v>
      </c>
      <c r="AF114" s="34">
        <v>69</v>
      </c>
    </row>
    <row r="115" spans="31:32">
      <c r="AE115" s="50">
        <v>17868</v>
      </c>
      <c r="AF115" s="34">
        <v>69</v>
      </c>
    </row>
    <row r="116" spans="31:32">
      <c r="AE116" s="50">
        <v>17899</v>
      </c>
      <c r="AF116" s="34">
        <v>69.33</v>
      </c>
    </row>
    <row r="117" spans="31:32">
      <c r="AE117" s="50">
        <v>17930</v>
      </c>
      <c r="AF117" s="34">
        <v>69.33</v>
      </c>
    </row>
    <row r="118" spans="31:32">
      <c r="AE118" s="50">
        <v>17958</v>
      </c>
      <c r="AF118" s="34">
        <v>69.33</v>
      </c>
    </row>
    <row r="119" spans="31:32">
      <c r="AE119" s="50">
        <v>17989</v>
      </c>
      <c r="AF119" s="34">
        <v>69.33</v>
      </c>
    </row>
    <row r="120" spans="31:32">
      <c r="AE120" s="50">
        <v>18019</v>
      </c>
      <c r="AF120" s="34">
        <v>69.33</v>
      </c>
    </row>
    <row r="121" spans="31:32">
      <c r="AE121" s="50">
        <v>18050</v>
      </c>
      <c r="AF121" s="34">
        <v>69.33</v>
      </c>
    </row>
    <row r="122" spans="31:32">
      <c r="AE122" s="50">
        <v>18080</v>
      </c>
      <c r="AF122" s="34">
        <v>69.33</v>
      </c>
    </row>
    <row r="123" spans="31:32">
      <c r="AE123" s="50">
        <v>18111</v>
      </c>
      <c r="AF123" s="34">
        <v>69.33</v>
      </c>
    </row>
    <row r="124" spans="31:32">
      <c r="AE124" s="50">
        <v>18142</v>
      </c>
      <c r="AF124" s="34">
        <v>69.66</v>
      </c>
    </row>
    <row r="125" spans="31:32">
      <c r="AE125" s="50">
        <v>18172</v>
      </c>
      <c r="AF125" s="34">
        <v>69.66</v>
      </c>
    </row>
    <row r="126" spans="31:32">
      <c r="AE126" s="50">
        <v>18203</v>
      </c>
      <c r="AF126" s="34">
        <v>69.66</v>
      </c>
    </row>
    <row r="127" spans="31:32">
      <c r="AE127" s="50">
        <v>18233</v>
      </c>
      <c r="AF127" s="34">
        <v>69.66</v>
      </c>
    </row>
    <row r="128" spans="31:32">
      <c r="AE128" s="50">
        <v>18264</v>
      </c>
      <c r="AF128" s="34">
        <v>69.66</v>
      </c>
    </row>
    <row r="129" spans="31:32">
      <c r="AE129" s="50">
        <v>18295</v>
      </c>
      <c r="AF129" s="34">
        <v>69.66</v>
      </c>
    </row>
    <row r="130" spans="31:32">
      <c r="AE130" s="50">
        <v>18323</v>
      </c>
      <c r="AF130" s="34">
        <v>69.66</v>
      </c>
    </row>
    <row r="131" spans="31:32">
      <c r="AE131" s="50">
        <v>18354</v>
      </c>
      <c r="AF131" s="34">
        <v>69.66</v>
      </c>
    </row>
    <row r="132" spans="31:32">
      <c r="AE132" s="50">
        <v>18384</v>
      </c>
      <c r="AF132" s="34">
        <v>70</v>
      </c>
    </row>
  </sheetData>
  <mergeCells count="4">
    <mergeCell ref="P1:R1"/>
    <mergeCell ref="V1:X1"/>
    <mergeCell ref="AB1:AD1"/>
    <mergeCell ref="K6:L6"/>
  </mergeCells>
  <dataValidations count="4">
    <dataValidation type="list" allowBlank="1" showInputMessage="1" showErrorMessage="1" sqref="G42:G104">
      <formula1>$H$41:$H$42</formula1>
    </dataValidation>
    <dataValidation type="list" allowBlank="1" showInputMessage="1" showErrorMessage="1" sqref="F24">
      <formula1>$D$102:$D$107</formula1>
    </dataValidation>
    <dataValidation type="list" allowBlank="1" showInputMessage="1" showErrorMessage="1" sqref="E6">
      <formula1>$B$100:$B$102</formula1>
    </dataValidation>
    <dataValidation type="list" allowBlank="1" showInputMessage="1" showErrorMessage="1" sqref="B2 B41">
      <formula1>$A$100:$A$102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Worksheet______211">
    <tabColor indexed="40"/>
  </sheetPr>
  <dimension ref="B3:S35"/>
  <sheetViews>
    <sheetView rightToLeft="1" workbookViewId="0"/>
  </sheetViews>
  <sheetFormatPr defaultRowHeight="12.75"/>
  <cols>
    <col min="1" max="1" width="5.42578125" style="329" customWidth="1"/>
    <col min="2" max="2" width="27" style="329" customWidth="1"/>
    <col min="3" max="3" width="16.85546875" style="329" customWidth="1"/>
    <col min="4" max="4" width="14.140625" style="329" customWidth="1"/>
    <col min="5" max="5" width="20.5703125" style="329" customWidth="1"/>
    <col min="6" max="6" width="27.42578125" style="329" customWidth="1"/>
    <col min="7" max="7" width="13" style="329" customWidth="1"/>
    <col min="8" max="8" width="9.28515625" style="329" customWidth="1"/>
    <col min="9" max="9" width="19.85546875" style="329" customWidth="1"/>
    <col min="10" max="10" width="9.140625" style="329"/>
    <col min="11" max="11" width="5.85546875" style="329" customWidth="1"/>
    <col min="12" max="13" width="16.7109375" style="329" customWidth="1"/>
    <col min="14" max="14" width="11.28515625" style="329" customWidth="1"/>
    <col min="15" max="17" width="16.7109375" style="329" customWidth="1"/>
    <col min="18" max="18" width="10.28515625" style="329" customWidth="1"/>
    <col min="19" max="19" width="16.7109375" style="329" customWidth="1"/>
    <col min="20" max="16384" width="9.140625" style="329"/>
  </cols>
  <sheetData>
    <row r="3" spans="2:19" ht="25.5">
      <c r="B3" s="34"/>
      <c r="C3" s="34" t="s">
        <v>644</v>
      </c>
      <c r="D3" s="336" t="s">
        <v>645</v>
      </c>
      <c r="E3" s="34" t="s">
        <v>646</v>
      </c>
      <c r="F3" s="34"/>
      <c r="G3" s="34" t="s">
        <v>433</v>
      </c>
      <c r="H3" s="41">
        <v>2.25</v>
      </c>
      <c r="I3" s="34"/>
      <c r="J3" s="34"/>
      <c r="K3" s="34"/>
      <c r="L3" s="34"/>
      <c r="M3" s="34" t="s">
        <v>647</v>
      </c>
      <c r="N3" s="336" t="s">
        <v>648</v>
      </c>
      <c r="O3" s="34" t="s">
        <v>649</v>
      </c>
      <c r="P3" s="34"/>
      <c r="Q3" s="34"/>
      <c r="R3" s="34"/>
      <c r="S3" s="34"/>
    </row>
    <row r="4" spans="2:19">
      <c r="B4" s="337"/>
      <c r="C4" s="432">
        <v>5000</v>
      </c>
      <c r="D4" s="432">
        <v>0</v>
      </c>
      <c r="E4" s="433">
        <f>C4-D4</f>
        <v>5000</v>
      </c>
      <c r="F4" s="337"/>
      <c r="G4" s="337" t="s">
        <v>719</v>
      </c>
      <c r="H4" s="337">
        <f>H3*'[1]נתוני יסוד'!I1</f>
        <v>400.5</v>
      </c>
      <c r="I4" s="34"/>
      <c r="J4" s="34"/>
      <c r="K4" s="34"/>
      <c r="L4" s="337"/>
      <c r="M4" s="76">
        <f>C4*12</f>
        <v>60000</v>
      </c>
      <c r="N4" s="76">
        <f>D4*12</f>
        <v>0</v>
      </c>
      <c r="O4" s="344">
        <f>M4-N4</f>
        <v>60000</v>
      </c>
      <c r="P4" s="337"/>
      <c r="Q4" s="337"/>
      <c r="R4" s="337"/>
      <c r="S4" s="34"/>
    </row>
    <row r="5" spans="2:19">
      <c r="B5" s="337"/>
      <c r="C5" s="337"/>
      <c r="D5" s="337"/>
      <c r="E5" s="337"/>
      <c r="F5" s="337"/>
      <c r="G5" s="337"/>
      <c r="H5" s="337"/>
      <c r="I5" s="34"/>
      <c r="J5" s="34"/>
      <c r="K5" s="34"/>
      <c r="L5" s="337"/>
      <c r="M5" s="337"/>
      <c r="N5" s="337"/>
      <c r="O5" s="337"/>
      <c r="P5" s="337"/>
      <c r="Q5" s="337"/>
      <c r="R5" s="337"/>
      <c r="S5" s="34"/>
    </row>
    <row r="6" spans="2:19">
      <c r="B6" s="337" t="s">
        <v>639</v>
      </c>
      <c r="C6" s="337" t="s">
        <v>640</v>
      </c>
      <c r="D6" s="337" t="s">
        <v>550</v>
      </c>
      <c r="E6" s="337" t="s">
        <v>640</v>
      </c>
      <c r="F6" s="337" t="s">
        <v>641</v>
      </c>
      <c r="G6" s="337" t="s">
        <v>642</v>
      </c>
      <c r="H6" s="337"/>
      <c r="I6" s="34"/>
      <c r="J6" s="34"/>
      <c r="K6" s="34"/>
      <c r="L6" s="337" t="s">
        <v>639</v>
      </c>
      <c r="M6" s="337" t="s">
        <v>640</v>
      </c>
      <c r="N6" s="337" t="s">
        <v>550</v>
      </c>
      <c r="O6" s="337" t="s">
        <v>640</v>
      </c>
      <c r="P6" s="337" t="s">
        <v>641</v>
      </c>
      <c r="Q6" s="337" t="s">
        <v>642</v>
      </c>
      <c r="R6" s="337"/>
      <c r="S6" s="34"/>
    </row>
    <row r="7" spans="2:19">
      <c r="B7" s="347">
        <f>C7</f>
        <v>5270</v>
      </c>
      <c r="C7" s="347">
        <f>'[1]חישובי מיסוי פנסיה פתוחים'!B6</f>
        <v>5270</v>
      </c>
      <c r="D7" s="348">
        <f>'[1]חישובי מיסוי פנסיה פתוחים'!C6</f>
        <v>0.1</v>
      </c>
      <c r="E7" s="337">
        <f>IF(E4&gt;B7,C7,E4)</f>
        <v>5000</v>
      </c>
      <c r="F7" s="337">
        <f t="shared" ref="F7:F12" si="0">E7*D7</f>
        <v>500</v>
      </c>
      <c r="G7" s="337">
        <f>F7</f>
        <v>500</v>
      </c>
      <c r="H7" s="337"/>
      <c r="I7" s="34"/>
      <c r="J7" s="34"/>
      <c r="K7" s="34"/>
      <c r="L7" s="347">
        <f>M7</f>
        <v>63240</v>
      </c>
      <c r="M7" s="347">
        <f>C7*12</f>
        <v>63240</v>
      </c>
      <c r="N7" s="348">
        <f t="shared" ref="N7:N12" si="1">D7</f>
        <v>0.1</v>
      </c>
      <c r="O7" s="337">
        <f>IF(O4&gt;L7,M7,O4)</f>
        <v>60000</v>
      </c>
      <c r="P7" s="337">
        <f t="shared" ref="P7:P12" si="2">O7*N7</f>
        <v>6000</v>
      </c>
      <c r="Q7" s="337">
        <f>P7</f>
        <v>6000</v>
      </c>
      <c r="R7" s="337"/>
      <c r="S7" s="34"/>
    </row>
    <row r="8" spans="2:19">
      <c r="B8" s="347">
        <f>B7+C8</f>
        <v>9000</v>
      </c>
      <c r="C8" s="347">
        <f>'[1]חישובי מיסוי פנסיה פתוחים'!B7</f>
        <v>3730</v>
      </c>
      <c r="D8" s="348">
        <f>'[1]חישובי מיסוי פנסיה פתוחים'!C7</f>
        <v>0.14000000000000001</v>
      </c>
      <c r="E8" s="337">
        <f>IF(E4&gt;B8,C8,IF(E4&lt;B7,0,E4-B7))</f>
        <v>0</v>
      </c>
      <c r="F8" s="337">
        <f t="shared" si="0"/>
        <v>0</v>
      </c>
      <c r="G8" s="337">
        <f>G7+F8</f>
        <v>500</v>
      </c>
      <c r="H8" s="337"/>
      <c r="I8" s="34"/>
      <c r="J8" s="34"/>
      <c r="K8" s="34"/>
      <c r="L8" s="347">
        <f>L7+M8</f>
        <v>108000</v>
      </c>
      <c r="M8" s="347">
        <f>C8*12</f>
        <v>44760</v>
      </c>
      <c r="N8" s="348">
        <f t="shared" si="1"/>
        <v>0.14000000000000001</v>
      </c>
      <c r="O8" s="337">
        <f>IF(O4&gt;L8,M8,IF(O4&lt;L7,0,O4-L7))</f>
        <v>0</v>
      </c>
      <c r="P8" s="337">
        <f t="shared" si="2"/>
        <v>0</v>
      </c>
      <c r="Q8" s="337">
        <f>Q7+P8</f>
        <v>6000</v>
      </c>
      <c r="R8" s="337"/>
      <c r="S8" s="34"/>
    </row>
    <row r="9" spans="2:19">
      <c r="B9" s="347">
        <f>B8+C9</f>
        <v>13990</v>
      </c>
      <c r="C9" s="347">
        <f>'[1]חישובי מיסוי פנסיה פתוחים'!B8</f>
        <v>4990</v>
      </c>
      <c r="D9" s="348">
        <f>'[1]חישובי מיסוי פנסיה פתוחים'!C8</f>
        <v>0.21</v>
      </c>
      <c r="E9" s="337">
        <f>IF(E4&gt;B9,C9,IF(E4&lt;B8,0,E4-B8))</f>
        <v>0</v>
      </c>
      <c r="F9" s="337">
        <f t="shared" si="0"/>
        <v>0</v>
      </c>
      <c r="G9" s="337">
        <f>G8+F9</f>
        <v>500</v>
      </c>
      <c r="H9" s="337"/>
      <c r="I9" s="34"/>
      <c r="J9" s="34"/>
      <c r="K9" s="34"/>
      <c r="L9" s="347">
        <f>L8+M9</f>
        <v>167880</v>
      </c>
      <c r="M9" s="347">
        <f>C9*12</f>
        <v>59880</v>
      </c>
      <c r="N9" s="348">
        <f t="shared" si="1"/>
        <v>0.21</v>
      </c>
      <c r="O9" s="337">
        <f>IF(O4&gt;L9,M9,IF(O4&lt;L8,0,O4-L8))</f>
        <v>0</v>
      </c>
      <c r="P9" s="337">
        <f t="shared" si="2"/>
        <v>0</v>
      </c>
      <c r="Q9" s="337">
        <f>Q8+P9</f>
        <v>6000</v>
      </c>
      <c r="R9" s="337"/>
      <c r="S9" s="34"/>
    </row>
    <row r="10" spans="2:19">
      <c r="B10" s="347">
        <f>B9+C10</f>
        <v>19980</v>
      </c>
      <c r="C10" s="347">
        <f>'[1]חישובי מיסוי פנסיה פתוחים'!B9</f>
        <v>5990</v>
      </c>
      <c r="D10" s="348">
        <f>'[1]חישובי מיסוי פנסיה פתוחים'!C9</f>
        <v>0.31</v>
      </c>
      <c r="E10" s="337">
        <f>IF(E4&gt;B10,C10,IF(E4&lt;B9,0,E4-B9))</f>
        <v>0</v>
      </c>
      <c r="F10" s="337">
        <f t="shared" si="0"/>
        <v>0</v>
      </c>
      <c r="G10" s="337">
        <f>G9+F10</f>
        <v>500</v>
      </c>
      <c r="H10" s="337"/>
      <c r="I10" s="34"/>
      <c r="J10" s="34"/>
      <c r="K10" s="34"/>
      <c r="L10" s="347">
        <f>L9+M10</f>
        <v>239760</v>
      </c>
      <c r="M10" s="347">
        <f>C10*12</f>
        <v>71880</v>
      </c>
      <c r="N10" s="348">
        <f t="shared" si="1"/>
        <v>0.31</v>
      </c>
      <c r="O10" s="337">
        <f>IF(O4&gt;L10,M10,IF(O4&lt;L9,0,O4-L9))</f>
        <v>0</v>
      </c>
      <c r="P10" s="337">
        <f t="shared" si="2"/>
        <v>0</v>
      </c>
      <c r="Q10" s="337">
        <f>Q9+P10</f>
        <v>6000</v>
      </c>
      <c r="R10" s="337"/>
      <c r="S10" s="34"/>
    </row>
    <row r="11" spans="2:19">
      <c r="B11" s="347">
        <f>B10+C11</f>
        <v>41790</v>
      </c>
      <c r="C11" s="347">
        <f>'[1]חישובי מיסוי פנסיה פתוחים'!B10</f>
        <v>21810</v>
      </c>
      <c r="D11" s="348">
        <f>'[1]חישובי מיסוי פנסיה פתוחים'!C10</f>
        <v>0.34</v>
      </c>
      <c r="E11" s="337">
        <f>IF(E4&gt;B11,C11,IF(E4&lt;B10,0,E4-B10))</f>
        <v>0</v>
      </c>
      <c r="F11" s="337">
        <f t="shared" si="0"/>
        <v>0</v>
      </c>
      <c r="G11" s="337">
        <f>G10+F11</f>
        <v>500</v>
      </c>
      <c r="H11" s="337"/>
      <c r="I11" s="34"/>
      <c r="J11" s="34"/>
      <c r="K11" s="34"/>
      <c r="L11" s="347">
        <f>L10+M11</f>
        <v>501480</v>
      </c>
      <c r="M11" s="347">
        <f>C11*12</f>
        <v>261720</v>
      </c>
      <c r="N11" s="348">
        <f t="shared" si="1"/>
        <v>0.34</v>
      </c>
      <c r="O11" s="337">
        <f>IF(O4&gt;L11,M11,IF(O4&lt;L10,0,O4-L10))</f>
        <v>0</v>
      </c>
      <c r="P11" s="337">
        <f t="shared" si="2"/>
        <v>0</v>
      </c>
      <c r="Q11" s="337">
        <f>Q10+P11</f>
        <v>6000</v>
      </c>
      <c r="R11" s="337"/>
      <c r="S11" s="34"/>
    </row>
    <row r="12" spans="2:19">
      <c r="B12" s="347">
        <v>99999999</v>
      </c>
      <c r="C12" s="347">
        <f>IF(E4-B11&gt;=0,E4-B11,0)</f>
        <v>0</v>
      </c>
      <c r="D12" s="348">
        <f>'[1]חישובי מיסוי פנסיה פתוחים'!C11</f>
        <v>0.48</v>
      </c>
      <c r="E12" s="337">
        <f>IF(E4&gt;B12,C12,IF(E4&lt;B11,0,E4-B11))</f>
        <v>0</v>
      </c>
      <c r="F12" s="337">
        <f t="shared" si="0"/>
        <v>0</v>
      </c>
      <c r="G12" s="337">
        <f>G11+F12</f>
        <v>500</v>
      </c>
      <c r="H12" s="337"/>
      <c r="I12" s="34"/>
      <c r="J12" s="34"/>
      <c r="K12" s="34"/>
      <c r="L12" s="347">
        <v>99999999</v>
      </c>
      <c r="M12" s="347">
        <f>IF(O4-L11&gt;=0,O4-L11,0)</f>
        <v>0</v>
      </c>
      <c r="N12" s="348">
        <f t="shared" si="1"/>
        <v>0.48</v>
      </c>
      <c r="O12" s="337">
        <f>IF(O4&gt;L12,M12,IF(O4&lt;L11,0,O4-L11))</f>
        <v>0</v>
      </c>
      <c r="P12" s="337">
        <f t="shared" si="2"/>
        <v>0</v>
      </c>
      <c r="Q12" s="337">
        <f>Q11+P12</f>
        <v>6000</v>
      </c>
      <c r="R12" s="337"/>
      <c r="S12" s="34"/>
    </row>
    <row r="13" spans="2:19" ht="25.5">
      <c r="B13" s="337"/>
      <c r="C13" s="337"/>
      <c r="D13" s="337"/>
      <c r="E13" s="337"/>
      <c r="F13" s="337"/>
      <c r="G13" s="337"/>
      <c r="H13" s="337" t="s">
        <v>643</v>
      </c>
      <c r="I13" s="337">
        <f>IF(G12-H4&gt;=0,G12-H4,0)</f>
        <v>99.5</v>
      </c>
      <c r="J13" s="34"/>
      <c r="K13" s="34"/>
      <c r="L13" s="337"/>
      <c r="M13" s="337"/>
      <c r="N13" s="337"/>
      <c r="O13" s="337"/>
      <c r="P13" s="337"/>
      <c r="Q13" s="337"/>
      <c r="R13" s="337" t="s">
        <v>643</v>
      </c>
      <c r="S13" s="337">
        <f>IF(Q12-'[1]נתוני יסוד'!L1&gt;=0,Q12-'[1]נתוני יסוד'!L1,0)</f>
        <v>1194</v>
      </c>
    </row>
    <row r="14" spans="2:19">
      <c r="B14" s="34"/>
      <c r="C14" s="34"/>
      <c r="D14" s="34"/>
      <c r="E14" s="34"/>
      <c r="F14" s="34"/>
      <c r="G14" s="34"/>
      <c r="H14" s="34" t="s">
        <v>594</v>
      </c>
      <c r="I14" s="337">
        <f>C4-I13</f>
        <v>4900.5</v>
      </c>
      <c r="J14" s="34"/>
      <c r="K14" s="34"/>
      <c r="L14" s="34"/>
      <c r="M14" s="34"/>
      <c r="N14" s="34"/>
      <c r="O14" s="34"/>
      <c r="P14" s="34"/>
      <c r="Q14" s="34"/>
      <c r="R14" s="34" t="s">
        <v>594</v>
      </c>
      <c r="S14" s="337">
        <f>M4-S13</f>
        <v>58806</v>
      </c>
    </row>
    <row r="15" spans="2:19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2:19" ht="33">
      <c r="B16" s="1090" t="s">
        <v>666</v>
      </c>
      <c r="C16" s="1091"/>
      <c r="D16" s="1091"/>
      <c r="E16" s="1092"/>
      <c r="F16" s="34"/>
      <c r="G16" s="34"/>
      <c r="H16" s="34"/>
      <c r="I16" s="34"/>
      <c r="J16" s="34"/>
      <c r="K16" s="34"/>
      <c r="L16" s="1093" t="s">
        <v>666</v>
      </c>
      <c r="M16" s="1093"/>
      <c r="N16" s="34"/>
      <c r="O16" s="34"/>
      <c r="P16" s="34"/>
      <c r="Q16" s="34"/>
      <c r="R16" s="34"/>
      <c r="S16" s="34"/>
    </row>
    <row r="17" spans="2:19">
      <c r="B17" s="34"/>
      <c r="C17" s="34" t="s">
        <v>163</v>
      </c>
      <c r="D17" s="434">
        <v>68</v>
      </c>
      <c r="E17" s="1087" t="s">
        <v>436</v>
      </c>
      <c r="F17" s="1087"/>
      <c r="G17" s="434">
        <v>85</v>
      </c>
      <c r="H17" s="34" t="s">
        <v>234</v>
      </c>
      <c r="I17" s="435">
        <v>2.5</v>
      </c>
      <c r="J17" s="34"/>
      <c r="K17" s="34"/>
      <c r="L17" s="34"/>
      <c r="M17" s="34" t="s">
        <v>163</v>
      </c>
      <c r="N17" s="334">
        <f>D17</f>
        <v>68</v>
      </c>
      <c r="O17" s="1087" t="s">
        <v>436</v>
      </c>
      <c r="P17" s="1087"/>
      <c r="Q17" s="334">
        <f>G17</f>
        <v>85</v>
      </c>
      <c r="R17" s="34" t="s">
        <v>234</v>
      </c>
      <c r="S17" s="345">
        <f>I17</f>
        <v>2.5</v>
      </c>
    </row>
    <row r="18" spans="2:19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2:19" ht="15.75">
      <c r="B19" s="34"/>
      <c r="C19" s="34" t="s">
        <v>248</v>
      </c>
      <c r="D19" s="1157">
        <f>PV(I17/100/12,(G17-D17)*12,I14,,1)*(-1)</f>
        <v>815431.83163428959</v>
      </c>
      <c r="E19" s="1157"/>
      <c r="F19" s="34"/>
      <c r="G19" s="34"/>
      <c r="H19" s="34"/>
      <c r="I19" s="34"/>
      <c r="J19" s="34"/>
      <c r="K19" s="34"/>
      <c r="L19" s="34"/>
      <c r="M19" s="34" t="s">
        <v>248</v>
      </c>
      <c r="N19" s="1157">
        <f>PV(S17/100,(Q17-N17),S14,,1)*(-1)</f>
        <v>826518.4864205498</v>
      </c>
      <c r="O19" s="1157"/>
      <c r="P19" s="34"/>
      <c r="Q19" s="34"/>
      <c r="R19" s="34"/>
      <c r="S19" s="34"/>
    </row>
    <row r="20" spans="2:19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2:19" ht="15.75">
      <c r="B21" s="1087" t="s">
        <v>668</v>
      </c>
      <c r="C21" s="1087"/>
      <c r="D21" s="1157">
        <f>PV(I17/100/12,(G17-D17)*12,D4,,1)*(-1)</f>
        <v>0</v>
      </c>
      <c r="E21" s="1157"/>
      <c r="F21" s="34"/>
      <c r="G21" s="34"/>
      <c r="H21" s="34"/>
      <c r="I21" s="34"/>
      <c r="J21" s="34"/>
      <c r="K21" s="34"/>
      <c r="L21" s="1087" t="s">
        <v>668</v>
      </c>
      <c r="M21" s="1087"/>
      <c r="N21" s="1157">
        <f>PV(S17/100,(Q17-N17),N4,,1)*(-1)</f>
        <v>0</v>
      </c>
      <c r="O21" s="1157"/>
      <c r="P21" s="34"/>
      <c r="Q21" s="34"/>
      <c r="R21" s="34"/>
      <c r="S21" s="34"/>
    </row>
    <row r="22" spans="2:19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2:19"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8" spans="2:19" ht="13.5" thickBot="1"/>
    <row r="29" spans="2:19" ht="21" thickBot="1">
      <c r="B29" s="436" t="s">
        <v>639</v>
      </c>
      <c r="C29" s="436" t="s">
        <v>640</v>
      </c>
      <c r="D29" s="436" t="s">
        <v>550</v>
      </c>
      <c r="E29" s="436" t="s">
        <v>640</v>
      </c>
      <c r="F29" s="437" t="s">
        <v>720</v>
      </c>
    </row>
    <row r="30" spans="2:19" ht="21" thickBot="1">
      <c r="B30" s="438">
        <f>C30</f>
        <v>5270</v>
      </c>
      <c r="C30" s="438">
        <f>'[1]חישובי מיסוי פנסיה פתוחים'!B6</f>
        <v>5270</v>
      </c>
      <c r="D30" s="439">
        <f>'[1]חישובי מיסוי פנסיה פתוחים'!C6</f>
        <v>0.1</v>
      </c>
      <c r="E30" s="436">
        <f>IF(E4&gt;B30,C30,E4)</f>
        <v>5000</v>
      </c>
      <c r="F30" s="440">
        <f>C30-E30</f>
        <v>270</v>
      </c>
    </row>
    <row r="31" spans="2:19" ht="21" thickBot="1">
      <c r="B31" s="438">
        <f>B30+C31</f>
        <v>9000</v>
      </c>
      <c r="C31" s="438">
        <f>'[1]חישובי מיסוי פנסיה פתוחים'!B7</f>
        <v>3730</v>
      </c>
      <c r="D31" s="439">
        <f>'[1]חישובי מיסוי פנסיה פתוחים'!C7</f>
        <v>0.14000000000000001</v>
      </c>
      <c r="E31" s="436">
        <f>IF(E4&gt;B31,C31,IF(E4&lt;B30,0,E4-B30))</f>
        <v>0</v>
      </c>
      <c r="F31" s="440">
        <f>C31-E31</f>
        <v>3730</v>
      </c>
    </row>
    <row r="32" spans="2:19" ht="21" thickBot="1">
      <c r="B32" s="438">
        <f>B31+C32</f>
        <v>13990</v>
      </c>
      <c r="C32" s="438">
        <f>'[1]חישובי מיסוי פנסיה פתוחים'!B8</f>
        <v>4990</v>
      </c>
      <c r="D32" s="439">
        <f>'[1]חישובי מיסוי פנסיה פתוחים'!C8</f>
        <v>0.21</v>
      </c>
      <c r="E32" s="436">
        <f>IF(E4&gt;B32,C32,IF(E4&lt;B31,0,E4-B31))</f>
        <v>0</v>
      </c>
      <c r="F32" s="440">
        <f>C32-E32</f>
        <v>4990</v>
      </c>
    </row>
    <row r="33" spans="2:6" ht="21" thickBot="1">
      <c r="B33" s="438">
        <f>B32+C33</f>
        <v>19980</v>
      </c>
      <c r="C33" s="438">
        <f>'[1]חישובי מיסוי פנסיה פתוחים'!B9</f>
        <v>5990</v>
      </c>
      <c r="D33" s="439">
        <f>'[1]חישובי מיסוי פנסיה פתוחים'!C9</f>
        <v>0.31</v>
      </c>
      <c r="E33" s="436">
        <f>IF(E4&gt;B33,C33,IF(E4&lt;B32,0,E4-B32))</f>
        <v>0</v>
      </c>
      <c r="F33" s="440">
        <f>C33-E33</f>
        <v>5990</v>
      </c>
    </row>
    <row r="34" spans="2:6" ht="21" thickBot="1">
      <c r="B34" s="438">
        <f>B33+C34</f>
        <v>41790</v>
      </c>
      <c r="C34" s="438">
        <f>'[1]חישובי מיסוי פנסיה פתוחים'!B10</f>
        <v>21810</v>
      </c>
      <c r="D34" s="439">
        <f>'[1]חישובי מיסוי פנסיה פתוחים'!C10</f>
        <v>0.34</v>
      </c>
      <c r="E34" s="436">
        <f>IF(E4&gt;B34,C34,IF(E4&lt;B33,0,E4-B33))</f>
        <v>0</v>
      </c>
      <c r="F34" s="440">
        <f>C34-E34</f>
        <v>21810</v>
      </c>
    </row>
    <row r="35" spans="2:6" ht="21" thickBot="1">
      <c r="B35" s="438">
        <v>99999999</v>
      </c>
      <c r="C35" s="438">
        <f>IF(E4-B34&gt;=0,E4-B34,0)</f>
        <v>0</v>
      </c>
      <c r="D35" s="439">
        <f>'[1]חישובי מיסוי פנסיה פתוחים'!C11</f>
        <v>0.48</v>
      </c>
      <c r="E35" s="436">
        <f>IF(E4&gt;B35,C35,IF(E4&lt;B34,0,E4-B34))</f>
        <v>0</v>
      </c>
      <c r="F35" s="440">
        <f>B35-E35</f>
        <v>99999999</v>
      </c>
    </row>
  </sheetData>
  <sheetProtection password="83F6" sheet="1" objects="1" scenarios="1"/>
  <mergeCells count="10">
    <mergeCell ref="B21:C21"/>
    <mergeCell ref="D21:E21"/>
    <mergeCell ref="L21:M21"/>
    <mergeCell ref="N21:O21"/>
    <mergeCell ref="B16:E16"/>
    <mergeCell ref="L16:M16"/>
    <mergeCell ref="E17:F17"/>
    <mergeCell ref="O17:P17"/>
    <mergeCell ref="D19:E19"/>
    <mergeCell ref="N19:O19"/>
  </mergeCell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Worksheet______221">
    <tabColor indexed="55"/>
  </sheetPr>
  <dimension ref="A1:R49"/>
  <sheetViews>
    <sheetView rightToLeft="1" workbookViewId="0"/>
  </sheetViews>
  <sheetFormatPr defaultRowHeight="12.75"/>
  <cols>
    <col min="1" max="2" width="9.140625" style="441"/>
    <col min="3" max="3" width="16.42578125" style="441" customWidth="1"/>
    <col min="4" max="4" width="7.140625" style="441" customWidth="1"/>
    <col min="5" max="5" width="14" style="441" customWidth="1"/>
    <col min="6" max="6" width="14.42578125" style="441" customWidth="1"/>
    <col min="7" max="7" width="14.42578125" style="441" bestFit="1" customWidth="1"/>
    <col min="8" max="8" width="12.85546875" style="441" customWidth="1"/>
    <col min="9" max="9" width="12.140625" style="441" customWidth="1"/>
    <col min="10" max="10" width="15.5703125" style="441" customWidth="1"/>
    <col min="11" max="11" width="9.28515625" style="441" bestFit="1" customWidth="1"/>
    <col min="12" max="12" width="14" style="441" customWidth="1"/>
    <col min="13" max="13" width="12" style="441" customWidth="1"/>
    <col min="14" max="14" width="12.7109375" style="441" customWidth="1"/>
    <col min="15" max="15" width="17" style="441" customWidth="1"/>
    <col min="16" max="16" width="12" style="441" customWidth="1"/>
    <col min="17" max="17" width="11" style="441" customWidth="1"/>
    <col min="18" max="18" width="12.7109375" style="441" customWidth="1"/>
    <col min="19" max="16384" width="9.140625" style="441"/>
  </cols>
  <sheetData>
    <row r="1" spans="1:18" ht="36" customHeight="1">
      <c r="B1" s="1160" t="s">
        <v>721</v>
      </c>
      <c r="C1" s="1160"/>
      <c r="D1" s="1160"/>
      <c r="E1" s="1160"/>
      <c r="F1" s="1160"/>
      <c r="G1" s="1160"/>
      <c r="H1" s="442"/>
    </row>
    <row r="3" spans="1:18" ht="15.95" customHeight="1">
      <c r="B3" s="441" t="s">
        <v>163</v>
      </c>
      <c r="C3" s="443">
        <f>'[1]נתוני יסוד'!B5</f>
        <v>125.59842915811087</v>
      </c>
      <c r="E3" s="441" t="s">
        <v>722</v>
      </c>
      <c r="G3" s="444">
        <v>48</v>
      </c>
      <c r="H3" s="444"/>
    </row>
    <row r="4" spans="1:18" ht="15.95" customHeight="1">
      <c r="B4" s="441" t="s">
        <v>723</v>
      </c>
      <c r="C4" s="443">
        <f>'[1]נתוני יסוד'!B22</f>
        <v>90</v>
      </c>
    </row>
    <row r="5" spans="1:18" ht="15.95" customHeight="1">
      <c r="B5" s="441" t="s">
        <v>234</v>
      </c>
      <c r="C5" s="445">
        <f>'[1]נתוני יסוד'!B23/100</f>
        <v>2.5000000000000001E-2</v>
      </c>
      <c r="E5" s="1159" t="s">
        <v>724</v>
      </c>
      <c r="F5" s="1159"/>
      <c r="G5" s="1159"/>
      <c r="H5" s="1159"/>
      <c r="I5" s="1159"/>
      <c r="N5" s="1159" t="s">
        <v>615</v>
      </c>
      <c r="O5" s="1159"/>
      <c r="P5" s="1159"/>
      <c r="Q5" s="1159"/>
      <c r="R5" s="1159"/>
    </row>
    <row r="6" spans="1:18" ht="15.95" customHeight="1">
      <c r="A6" s="441" t="s">
        <v>725</v>
      </c>
      <c r="B6" s="441" t="s">
        <v>726</v>
      </c>
      <c r="C6" s="441" t="s">
        <v>291</v>
      </c>
      <c r="D6" s="441" t="s">
        <v>727</v>
      </c>
      <c r="E6" s="441" t="s">
        <v>16</v>
      </c>
      <c r="F6" s="1159" t="s">
        <v>22</v>
      </c>
      <c r="G6" s="1159"/>
      <c r="H6" s="1159" t="s">
        <v>23</v>
      </c>
      <c r="I6" s="1159"/>
      <c r="J6" s="441" t="s">
        <v>238</v>
      </c>
      <c r="K6" s="441" t="s">
        <v>728</v>
      </c>
      <c r="M6" s="1159" t="s">
        <v>273</v>
      </c>
      <c r="N6" s="441" t="s">
        <v>729</v>
      </c>
      <c r="O6" s="1159" t="s">
        <v>730</v>
      </c>
      <c r="P6" s="1159"/>
      <c r="Q6" s="1159" t="s">
        <v>731</v>
      </c>
      <c r="R6" s="1159"/>
    </row>
    <row r="7" spans="1:18" ht="15.95" customHeight="1">
      <c r="F7" s="441" t="s">
        <v>732</v>
      </c>
      <c r="G7" s="441" t="s">
        <v>733</v>
      </c>
      <c r="H7" s="441" t="s">
        <v>732</v>
      </c>
      <c r="I7" s="441" t="s">
        <v>733</v>
      </c>
      <c r="M7" s="1159"/>
      <c r="O7" s="441" t="s">
        <v>734</v>
      </c>
      <c r="P7" s="441" t="s">
        <v>634</v>
      </c>
      <c r="Q7" s="441" t="s">
        <v>734</v>
      </c>
      <c r="R7" s="441" t="s">
        <v>634</v>
      </c>
    </row>
    <row r="8" spans="1:18" s="446" customFormat="1" ht="15.95" customHeight="1">
      <c r="D8" s="447">
        <v>1</v>
      </c>
      <c r="E8" s="448"/>
      <c r="F8" s="449"/>
      <c r="G8" s="450"/>
      <c r="H8" s="451"/>
      <c r="I8" s="452"/>
      <c r="J8" s="453">
        <f>SUM(E8:I8)</f>
        <v>0</v>
      </c>
      <c r="K8" s="446">
        <v>144.19999999999999</v>
      </c>
      <c r="L8" s="453">
        <f>IF(J8&gt;0,J8/K8,0)</f>
        <v>0</v>
      </c>
      <c r="M8" s="446">
        <f>SUM(N8:R8)</f>
        <v>0</v>
      </c>
      <c r="N8" s="448">
        <f>E8/K8</f>
        <v>0</v>
      </c>
      <c r="O8" s="449">
        <f>F8/K8</f>
        <v>0</v>
      </c>
      <c r="P8" s="450">
        <f>H8/K8</f>
        <v>0</v>
      </c>
      <c r="Q8" s="451">
        <f>G8/K8</f>
        <v>0</v>
      </c>
      <c r="R8" s="452">
        <f>I8/K8</f>
        <v>0</v>
      </c>
    </row>
    <row r="9" spans="1:18" s="454" customFormat="1" ht="15.95" customHeight="1">
      <c r="D9" s="455">
        <v>2</v>
      </c>
      <c r="E9" s="456"/>
      <c r="F9" s="457"/>
      <c r="G9" s="458"/>
      <c r="H9" s="459"/>
      <c r="I9" s="460"/>
      <c r="J9" s="461">
        <f t="shared" ref="J9:J39" si="0">SUM(E9:I9)</f>
        <v>0</v>
      </c>
      <c r="K9" s="454">
        <v>144.19999999999999</v>
      </c>
      <c r="L9" s="461">
        <f t="shared" ref="L9:L39" si="1">IF(J9&gt;0,J9/K9,0)</f>
        <v>0</v>
      </c>
      <c r="M9" s="454">
        <f t="shared" ref="M9:M39" si="2">SUM(N9:R9)</f>
        <v>0</v>
      </c>
      <c r="N9" s="456">
        <f t="shared" ref="N9:N39" si="3">E9/K9</f>
        <v>0</v>
      </c>
      <c r="O9" s="457">
        <f t="shared" ref="O9:O39" si="4">F9/K9</f>
        <v>0</v>
      </c>
      <c r="P9" s="458">
        <f t="shared" ref="P9:P39" si="5">H9/K9</f>
        <v>0</v>
      </c>
      <c r="Q9" s="459">
        <f t="shared" ref="Q9:Q39" si="6">G9/K9</f>
        <v>0</v>
      </c>
      <c r="R9" s="460">
        <f t="shared" ref="R9:R39" si="7">I9/K9</f>
        <v>0</v>
      </c>
    </row>
    <row r="10" spans="1:18" s="462" customFormat="1" ht="15.95" customHeight="1">
      <c r="D10" s="463">
        <v>3</v>
      </c>
      <c r="E10" s="464"/>
      <c r="F10" s="465"/>
      <c r="G10" s="466"/>
      <c r="H10" s="467"/>
      <c r="I10" s="468"/>
      <c r="J10" s="469">
        <f t="shared" si="0"/>
        <v>0</v>
      </c>
      <c r="K10" s="462">
        <v>144.19999999999999</v>
      </c>
      <c r="L10" s="469">
        <f t="shared" si="1"/>
        <v>0</v>
      </c>
      <c r="M10" s="462">
        <f t="shared" si="2"/>
        <v>0</v>
      </c>
      <c r="N10" s="464">
        <f t="shared" si="3"/>
        <v>0</v>
      </c>
      <c r="O10" s="465">
        <f t="shared" si="4"/>
        <v>0</v>
      </c>
      <c r="P10" s="466">
        <f t="shared" si="5"/>
        <v>0</v>
      </c>
      <c r="Q10" s="467">
        <f t="shared" si="6"/>
        <v>0</v>
      </c>
      <c r="R10" s="468">
        <f t="shared" si="7"/>
        <v>0</v>
      </c>
    </row>
    <row r="11" spans="1:18" ht="15.95" customHeight="1" thickBot="1">
      <c r="A11" s="470"/>
      <c r="B11" s="470"/>
      <c r="C11" s="470"/>
      <c r="D11" s="471">
        <v>4</v>
      </c>
      <c r="E11" s="472"/>
      <c r="F11" s="473"/>
      <c r="G11" s="474"/>
      <c r="H11" s="475"/>
      <c r="I11" s="476"/>
      <c r="J11" s="477">
        <f t="shared" si="0"/>
        <v>0</v>
      </c>
      <c r="K11" s="470">
        <v>153.6</v>
      </c>
      <c r="L11" s="477">
        <f t="shared" si="1"/>
        <v>0</v>
      </c>
      <c r="M11" s="470">
        <f t="shared" si="2"/>
        <v>0</v>
      </c>
      <c r="N11" s="472">
        <f t="shared" si="3"/>
        <v>0</v>
      </c>
      <c r="O11" s="473">
        <f t="shared" si="4"/>
        <v>0</v>
      </c>
      <c r="P11" s="474">
        <f t="shared" si="5"/>
        <v>0</v>
      </c>
      <c r="Q11" s="475">
        <f t="shared" si="6"/>
        <v>0</v>
      </c>
      <c r="R11" s="476">
        <f t="shared" si="7"/>
        <v>0</v>
      </c>
    </row>
    <row r="12" spans="1:18" s="478" customFormat="1" ht="15.95" customHeight="1">
      <c r="D12" s="479">
        <v>5</v>
      </c>
      <c r="E12" s="480"/>
      <c r="F12" s="481"/>
      <c r="G12" s="482"/>
      <c r="H12" s="483"/>
      <c r="I12" s="484"/>
      <c r="J12" s="485">
        <f t="shared" si="0"/>
        <v>0</v>
      </c>
      <c r="K12" s="478">
        <v>144.19999999999999</v>
      </c>
      <c r="L12" s="485">
        <f t="shared" si="1"/>
        <v>0</v>
      </c>
      <c r="M12" s="478">
        <f t="shared" si="2"/>
        <v>0</v>
      </c>
      <c r="N12" s="480">
        <f t="shared" si="3"/>
        <v>0</v>
      </c>
      <c r="O12" s="481">
        <f t="shared" si="4"/>
        <v>0</v>
      </c>
      <c r="P12" s="482">
        <f t="shared" si="5"/>
        <v>0</v>
      </c>
      <c r="Q12" s="483">
        <f t="shared" si="6"/>
        <v>0</v>
      </c>
      <c r="R12" s="484">
        <f t="shared" si="7"/>
        <v>0</v>
      </c>
    </row>
    <row r="13" spans="1:18" s="486" customFormat="1" ht="15.95" customHeight="1">
      <c r="D13" s="487">
        <v>6</v>
      </c>
      <c r="E13" s="488"/>
      <c r="F13" s="489"/>
      <c r="G13" s="490"/>
      <c r="H13" s="491"/>
      <c r="I13" s="492"/>
      <c r="J13" s="493">
        <f t="shared" si="0"/>
        <v>0</v>
      </c>
      <c r="K13" s="486">
        <v>144.19999999999999</v>
      </c>
      <c r="L13" s="493">
        <f t="shared" si="1"/>
        <v>0</v>
      </c>
      <c r="M13" s="486">
        <f t="shared" si="2"/>
        <v>0</v>
      </c>
      <c r="N13" s="488">
        <f t="shared" si="3"/>
        <v>0</v>
      </c>
      <c r="O13" s="489">
        <f t="shared" si="4"/>
        <v>0</v>
      </c>
      <c r="P13" s="490">
        <f t="shared" si="5"/>
        <v>0</v>
      </c>
      <c r="Q13" s="491">
        <f t="shared" si="6"/>
        <v>0</v>
      </c>
      <c r="R13" s="492">
        <f t="shared" si="7"/>
        <v>0</v>
      </c>
    </row>
    <row r="14" spans="1:18" s="494" customFormat="1" ht="15.95" customHeight="1">
      <c r="D14" s="495">
        <v>7</v>
      </c>
      <c r="E14" s="496"/>
      <c r="F14" s="497"/>
      <c r="G14" s="498"/>
      <c r="H14" s="499"/>
      <c r="I14" s="500"/>
      <c r="J14" s="501">
        <f t="shared" si="0"/>
        <v>0</v>
      </c>
      <c r="K14" s="494">
        <v>166.66</v>
      </c>
      <c r="L14" s="501">
        <f t="shared" si="1"/>
        <v>0</v>
      </c>
      <c r="M14" s="494">
        <f t="shared" si="2"/>
        <v>0</v>
      </c>
      <c r="N14" s="496">
        <f t="shared" si="3"/>
        <v>0</v>
      </c>
      <c r="O14" s="497">
        <f t="shared" si="4"/>
        <v>0</v>
      </c>
      <c r="P14" s="498">
        <f t="shared" si="5"/>
        <v>0</v>
      </c>
      <c r="Q14" s="499">
        <f t="shared" si="6"/>
        <v>0</v>
      </c>
      <c r="R14" s="500">
        <f t="shared" si="7"/>
        <v>0</v>
      </c>
    </row>
    <row r="15" spans="1:18" s="502" customFormat="1" ht="15.95" customHeight="1">
      <c r="D15" s="503">
        <v>8</v>
      </c>
      <c r="E15" s="504"/>
      <c r="F15" s="505"/>
      <c r="G15" s="506"/>
      <c r="H15" s="507"/>
      <c r="I15" s="508"/>
      <c r="J15" s="509">
        <f t="shared" si="0"/>
        <v>0</v>
      </c>
      <c r="K15" s="502">
        <v>144.19999999999999</v>
      </c>
      <c r="L15" s="509">
        <f t="shared" si="1"/>
        <v>0</v>
      </c>
      <c r="M15" s="502">
        <f t="shared" si="2"/>
        <v>0</v>
      </c>
      <c r="N15" s="504">
        <f t="shared" si="3"/>
        <v>0</v>
      </c>
      <c r="O15" s="505">
        <f t="shared" si="4"/>
        <v>0</v>
      </c>
      <c r="P15" s="506">
        <f t="shared" si="5"/>
        <v>0</v>
      </c>
      <c r="Q15" s="507">
        <f t="shared" si="6"/>
        <v>0</v>
      </c>
      <c r="R15" s="508">
        <f t="shared" si="7"/>
        <v>0</v>
      </c>
    </row>
    <row r="16" spans="1:18" s="510" customFormat="1" ht="15.95" customHeight="1">
      <c r="D16" s="511">
        <v>9</v>
      </c>
      <c r="E16" s="512"/>
      <c r="F16" s="513"/>
      <c r="G16" s="514"/>
      <c r="H16" s="515"/>
      <c r="I16" s="516"/>
      <c r="J16" s="517">
        <f t="shared" si="0"/>
        <v>0</v>
      </c>
      <c r="K16" s="510">
        <v>144.19999999999999</v>
      </c>
      <c r="L16" s="517">
        <f t="shared" si="1"/>
        <v>0</v>
      </c>
      <c r="M16" s="510">
        <f t="shared" si="2"/>
        <v>0</v>
      </c>
      <c r="N16" s="512">
        <f t="shared" si="3"/>
        <v>0</v>
      </c>
      <c r="O16" s="513">
        <f t="shared" si="4"/>
        <v>0</v>
      </c>
      <c r="P16" s="514">
        <f t="shared" si="5"/>
        <v>0</v>
      </c>
      <c r="Q16" s="515">
        <f t="shared" si="6"/>
        <v>0</v>
      </c>
      <c r="R16" s="516">
        <f t="shared" si="7"/>
        <v>0</v>
      </c>
    </row>
    <row r="17" spans="1:18" ht="15.95" customHeight="1">
      <c r="A17" s="470"/>
      <c r="B17" s="470"/>
      <c r="C17" s="470"/>
      <c r="D17" s="471">
        <v>10</v>
      </c>
      <c r="E17" s="472"/>
      <c r="F17" s="473"/>
      <c r="G17" s="474"/>
      <c r="H17" s="475"/>
      <c r="I17" s="476"/>
      <c r="J17" s="477">
        <f t="shared" si="0"/>
        <v>0</v>
      </c>
      <c r="K17" s="470">
        <v>144.19999999999999</v>
      </c>
      <c r="L17" s="477">
        <f t="shared" si="1"/>
        <v>0</v>
      </c>
      <c r="M17" s="470">
        <f t="shared" si="2"/>
        <v>0</v>
      </c>
      <c r="N17" s="472">
        <f t="shared" si="3"/>
        <v>0</v>
      </c>
      <c r="O17" s="473">
        <f t="shared" si="4"/>
        <v>0</v>
      </c>
      <c r="P17" s="474">
        <f t="shared" si="5"/>
        <v>0</v>
      </c>
      <c r="Q17" s="475">
        <f t="shared" si="6"/>
        <v>0</v>
      </c>
      <c r="R17" s="476">
        <f t="shared" si="7"/>
        <v>0</v>
      </c>
    </row>
    <row r="18" spans="1:18" s="518" customFormat="1" ht="15.95" customHeight="1">
      <c r="D18" s="519">
        <v>11</v>
      </c>
      <c r="E18" s="520"/>
      <c r="F18" s="521"/>
      <c r="G18" s="522"/>
      <c r="H18" s="523"/>
      <c r="I18" s="524"/>
      <c r="J18" s="525">
        <f t="shared" si="0"/>
        <v>0</v>
      </c>
      <c r="K18" s="518">
        <v>144.19999999999999</v>
      </c>
      <c r="L18" s="525">
        <f t="shared" si="1"/>
        <v>0</v>
      </c>
      <c r="M18" s="518">
        <f t="shared" si="2"/>
        <v>0</v>
      </c>
      <c r="N18" s="520">
        <f t="shared" si="3"/>
        <v>0</v>
      </c>
      <c r="O18" s="521">
        <f t="shared" si="4"/>
        <v>0</v>
      </c>
      <c r="P18" s="522">
        <f t="shared" si="5"/>
        <v>0</v>
      </c>
      <c r="Q18" s="523">
        <f t="shared" si="6"/>
        <v>0</v>
      </c>
      <c r="R18" s="524">
        <f t="shared" si="7"/>
        <v>0</v>
      </c>
    </row>
    <row r="19" spans="1:18" s="526" customFormat="1" ht="15.95" customHeight="1">
      <c r="D19" s="527">
        <v>12</v>
      </c>
      <c r="E19" s="528"/>
      <c r="F19" s="529"/>
      <c r="G19" s="530"/>
      <c r="H19" s="531"/>
      <c r="I19" s="532"/>
      <c r="J19" s="533">
        <f t="shared" si="0"/>
        <v>0</v>
      </c>
      <c r="K19" s="526">
        <v>144.19999999999999</v>
      </c>
      <c r="L19" s="533">
        <f t="shared" si="1"/>
        <v>0</v>
      </c>
      <c r="M19" s="526">
        <f t="shared" si="2"/>
        <v>0</v>
      </c>
      <c r="N19" s="528">
        <f t="shared" si="3"/>
        <v>0</v>
      </c>
      <c r="O19" s="529">
        <f t="shared" si="4"/>
        <v>0</v>
      </c>
      <c r="P19" s="530">
        <f t="shared" si="5"/>
        <v>0</v>
      </c>
      <c r="Q19" s="531">
        <f t="shared" si="6"/>
        <v>0</v>
      </c>
      <c r="R19" s="532">
        <f t="shared" si="7"/>
        <v>0</v>
      </c>
    </row>
    <row r="20" spans="1:18" s="494" customFormat="1" ht="15.95" customHeight="1">
      <c r="D20" s="495">
        <v>13</v>
      </c>
      <c r="E20" s="496"/>
      <c r="F20" s="497"/>
      <c r="G20" s="498"/>
      <c r="H20" s="499"/>
      <c r="I20" s="500"/>
      <c r="J20" s="501">
        <f t="shared" si="0"/>
        <v>0</v>
      </c>
      <c r="K20" s="494">
        <v>144.19999999999999</v>
      </c>
      <c r="L20" s="501">
        <f t="shared" si="1"/>
        <v>0</v>
      </c>
      <c r="M20" s="494">
        <f t="shared" si="2"/>
        <v>0</v>
      </c>
      <c r="N20" s="496">
        <f t="shared" si="3"/>
        <v>0</v>
      </c>
      <c r="O20" s="497">
        <f t="shared" si="4"/>
        <v>0</v>
      </c>
      <c r="P20" s="498">
        <f t="shared" si="5"/>
        <v>0</v>
      </c>
      <c r="Q20" s="499">
        <f t="shared" si="6"/>
        <v>0</v>
      </c>
      <c r="R20" s="500">
        <f t="shared" si="7"/>
        <v>0</v>
      </c>
    </row>
    <row r="21" spans="1:18" ht="15.95" customHeight="1">
      <c r="A21" s="470"/>
      <c r="B21" s="470"/>
      <c r="C21" s="470"/>
      <c r="D21" s="471">
        <v>14</v>
      </c>
      <c r="E21" s="472"/>
      <c r="F21" s="473"/>
      <c r="G21" s="474"/>
      <c r="H21" s="475"/>
      <c r="I21" s="476"/>
      <c r="J21" s="477">
        <f t="shared" si="0"/>
        <v>0</v>
      </c>
      <c r="K21" s="470">
        <v>144.19999999999999</v>
      </c>
      <c r="L21" s="477">
        <f t="shared" si="1"/>
        <v>0</v>
      </c>
      <c r="M21" s="470">
        <f t="shared" si="2"/>
        <v>0</v>
      </c>
      <c r="N21" s="472">
        <f t="shared" si="3"/>
        <v>0</v>
      </c>
      <c r="O21" s="473">
        <f t="shared" si="4"/>
        <v>0</v>
      </c>
      <c r="P21" s="474">
        <f t="shared" si="5"/>
        <v>0</v>
      </c>
      <c r="Q21" s="475">
        <f t="shared" si="6"/>
        <v>0</v>
      </c>
      <c r="R21" s="476">
        <f t="shared" si="7"/>
        <v>0</v>
      </c>
    </row>
    <row r="22" spans="1:18" s="518" customFormat="1" ht="15.95" customHeight="1">
      <c r="D22" s="519">
        <v>15</v>
      </c>
      <c r="E22" s="520"/>
      <c r="F22" s="521"/>
      <c r="G22" s="522"/>
      <c r="H22" s="523"/>
      <c r="I22" s="524"/>
      <c r="J22" s="525">
        <f t="shared" si="0"/>
        <v>0</v>
      </c>
      <c r="K22" s="518">
        <v>144.19999999999999</v>
      </c>
      <c r="L22" s="525">
        <f t="shared" si="1"/>
        <v>0</v>
      </c>
      <c r="M22" s="518">
        <f t="shared" si="2"/>
        <v>0</v>
      </c>
      <c r="N22" s="520">
        <f t="shared" si="3"/>
        <v>0</v>
      </c>
      <c r="O22" s="521">
        <f t="shared" si="4"/>
        <v>0</v>
      </c>
      <c r="P22" s="522">
        <f t="shared" si="5"/>
        <v>0</v>
      </c>
      <c r="Q22" s="523">
        <f t="shared" si="6"/>
        <v>0</v>
      </c>
      <c r="R22" s="524">
        <f t="shared" si="7"/>
        <v>0</v>
      </c>
    </row>
    <row r="23" spans="1:18" s="534" customFormat="1" ht="15.95" customHeight="1">
      <c r="D23" s="535">
        <v>16</v>
      </c>
      <c r="E23" s="536"/>
      <c r="F23" s="537"/>
      <c r="G23" s="538"/>
      <c r="H23" s="539"/>
      <c r="I23" s="540"/>
      <c r="J23" s="541">
        <f t="shared" si="0"/>
        <v>0</v>
      </c>
      <c r="K23" s="534">
        <v>144.19999999999999</v>
      </c>
      <c r="L23" s="541">
        <f t="shared" si="1"/>
        <v>0</v>
      </c>
      <c r="M23" s="534">
        <f t="shared" si="2"/>
        <v>0</v>
      </c>
      <c r="N23" s="536">
        <f t="shared" si="3"/>
        <v>0</v>
      </c>
      <c r="O23" s="537">
        <f t="shared" si="4"/>
        <v>0</v>
      </c>
      <c r="P23" s="538">
        <f t="shared" si="5"/>
        <v>0</v>
      </c>
      <c r="Q23" s="539">
        <f t="shared" si="6"/>
        <v>0</v>
      </c>
      <c r="R23" s="540">
        <f t="shared" si="7"/>
        <v>0</v>
      </c>
    </row>
    <row r="24" spans="1:18" s="542" customFormat="1" ht="15.95" customHeight="1">
      <c r="D24" s="543">
        <v>17</v>
      </c>
      <c r="E24" s="544"/>
      <c r="F24" s="545"/>
      <c r="G24" s="546"/>
      <c r="H24" s="547"/>
      <c r="I24" s="548"/>
      <c r="J24" s="549">
        <f t="shared" si="0"/>
        <v>0</v>
      </c>
      <c r="K24" s="542">
        <v>144.19999999999999</v>
      </c>
      <c r="L24" s="549">
        <f t="shared" si="1"/>
        <v>0</v>
      </c>
      <c r="M24" s="542">
        <f t="shared" si="2"/>
        <v>0</v>
      </c>
      <c r="N24" s="544">
        <f t="shared" si="3"/>
        <v>0</v>
      </c>
      <c r="O24" s="545">
        <f t="shared" si="4"/>
        <v>0</v>
      </c>
      <c r="P24" s="546">
        <f t="shared" si="5"/>
        <v>0</v>
      </c>
      <c r="Q24" s="547">
        <f t="shared" si="6"/>
        <v>0</v>
      </c>
      <c r="R24" s="548">
        <f t="shared" si="7"/>
        <v>0</v>
      </c>
    </row>
    <row r="25" spans="1:18" ht="15.95" customHeight="1">
      <c r="A25" s="550"/>
      <c r="B25" s="550"/>
      <c r="C25" s="550"/>
      <c r="D25" s="551">
        <v>18</v>
      </c>
      <c r="E25" s="552"/>
      <c r="F25" s="553"/>
      <c r="G25" s="554"/>
      <c r="H25" s="555"/>
      <c r="I25" s="556"/>
      <c r="J25" s="557">
        <f t="shared" si="0"/>
        <v>0</v>
      </c>
      <c r="K25" s="550">
        <v>144.19999999999999</v>
      </c>
      <c r="L25" s="557">
        <f t="shared" si="1"/>
        <v>0</v>
      </c>
      <c r="M25" s="550">
        <f t="shared" si="2"/>
        <v>0</v>
      </c>
      <c r="N25" s="552">
        <f t="shared" si="3"/>
        <v>0</v>
      </c>
      <c r="O25" s="553">
        <f t="shared" si="4"/>
        <v>0</v>
      </c>
      <c r="P25" s="554">
        <f t="shared" si="5"/>
        <v>0</v>
      </c>
      <c r="Q25" s="555">
        <f t="shared" si="6"/>
        <v>0</v>
      </c>
      <c r="R25" s="556">
        <f t="shared" si="7"/>
        <v>0</v>
      </c>
    </row>
    <row r="26" spans="1:18" ht="15.95" customHeight="1">
      <c r="A26" s="558"/>
      <c r="B26" s="558"/>
      <c r="C26" s="558"/>
      <c r="D26" s="559">
        <v>19</v>
      </c>
      <c r="E26" s="560"/>
      <c r="F26" s="561"/>
      <c r="G26" s="562"/>
      <c r="H26" s="563"/>
      <c r="I26" s="564"/>
      <c r="J26" s="565">
        <f t="shared" si="0"/>
        <v>0</v>
      </c>
      <c r="K26" s="558">
        <v>144.19999999999999</v>
      </c>
      <c r="L26" s="565">
        <f t="shared" si="1"/>
        <v>0</v>
      </c>
      <c r="M26" s="558">
        <f t="shared" si="2"/>
        <v>0</v>
      </c>
      <c r="N26" s="560">
        <f t="shared" si="3"/>
        <v>0</v>
      </c>
      <c r="O26" s="561">
        <f t="shared" si="4"/>
        <v>0</v>
      </c>
      <c r="P26" s="562">
        <f t="shared" si="5"/>
        <v>0</v>
      </c>
      <c r="Q26" s="563">
        <f t="shared" si="6"/>
        <v>0</v>
      </c>
      <c r="R26" s="564">
        <f t="shared" si="7"/>
        <v>0</v>
      </c>
    </row>
    <row r="27" spans="1:18" ht="15.95" customHeight="1">
      <c r="A27" s="558"/>
      <c r="B27" s="558"/>
      <c r="C27" s="558"/>
      <c r="D27" s="559">
        <v>20</v>
      </c>
      <c r="E27" s="560"/>
      <c r="F27" s="561"/>
      <c r="G27" s="562"/>
      <c r="H27" s="563"/>
      <c r="I27" s="564"/>
      <c r="J27" s="565">
        <f t="shared" si="0"/>
        <v>0</v>
      </c>
      <c r="K27" s="558">
        <v>144.19999999999999</v>
      </c>
      <c r="L27" s="565">
        <f t="shared" si="1"/>
        <v>0</v>
      </c>
      <c r="M27" s="558">
        <f t="shared" si="2"/>
        <v>0</v>
      </c>
      <c r="N27" s="560">
        <f t="shared" si="3"/>
        <v>0</v>
      </c>
      <c r="O27" s="561">
        <f t="shared" si="4"/>
        <v>0</v>
      </c>
      <c r="P27" s="562">
        <f t="shared" si="5"/>
        <v>0</v>
      </c>
      <c r="Q27" s="563">
        <f t="shared" si="6"/>
        <v>0</v>
      </c>
      <c r="R27" s="564">
        <f t="shared" si="7"/>
        <v>0</v>
      </c>
    </row>
    <row r="28" spans="1:18" ht="15.95" customHeight="1">
      <c r="A28" s="558"/>
      <c r="B28" s="558"/>
      <c r="C28" s="558"/>
      <c r="D28" s="559">
        <v>21</v>
      </c>
      <c r="E28" s="560"/>
      <c r="F28" s="561"/>
      <c r="G28" s="562"/>
      <c r="H28" s="563"/>
      <c r="I28" s="564"/>
      <c r="J28" s="565">
        <f t="shared" si="0"/>
        <v>0</v>
      </c>
      <c r="K28" s="558">
        <v>144.19999999999999</v>
      </c>
      <c r="L28" s="565">
        <f t="shared" si="1"/>
        <v>0</v>
      </c>
      <c r="M28" s="558">
        <f t="shared" si="2"/>
        <v>0</v>
      </c>
      <c r="N28" s="560">
        <f t="shared" si="3"/>
        <v>0</v>
      </c>
      <c r="O28" s="561">
        <f t="shared" si="4"/>
        <v>0</v>
      </c>
      <c r="P28" s="562">
        <f t="shared" si="5"/>
        <v>0</v>
      </c>
      <c r="Q28" s="563">
        <f t="shared" si="6"/>
        <v>0</v>
      </c>
      <c r="R28" s="564">
        <f t="shared" si="7"/>
        <v>0</v>
      </c>
    </row>
    <row r="29" spans="1:18" ht="15.95" customHeight="1">
      <c r="A29" s="558"/>
      <c r="B29" s="558"/>
      <c r="C29" s="558"/>
      <c r="D29" s="559">
        <v>22</v>
      </c>
      <c r="E29" s="560"/>
      <c r="F29" s="561"/>
      <c r="G29" s="562"/>
      <c r="H29" s="563"/>
      <c r="I29" s="564"/>
      <c r="J29" s="565">
        <f t="shared" si="0"/>
        <v>0</v>
      </c>
      <c r="K29" s="558">
        <v>144.19999999999999</v>
      </c>
      <c r="L29" s="565">
        <f t="shared" si="1"/>
        <v>0</v>
      </c>
      <c r="M29" s="558">
        <f t="shared" si="2"/>
        <v>0</v>
      </c>
      <c r="N29" s="560">
        <f t="shared" si="3"/>
        <v>0</v>
      </c>
      <c r="O29" s="561">
        <f t="shared" si="4"/>
        <v>0</v>
      </c>
      <c r="P29" s="562">
        <f t="shared" si="5"/>
        <v>0</v>
      </c>
      <c r="Q29" s="563">
        <f t="shared" si="6"/>
        <v>0</v>
      </c>
      <c r="R29" s="564">
        <f t="shared" si="7"/>
        <v>0</v>
      </c>
    </row>
    <row r="30" spans="1:18" ht="15.95" customHeight="1">
      <c r="A30" s="558"/>
      <c r="B30" s="558"/>
      <c r="C30" s="558"/>
      <c r="D30" s="559">
        <v>23</v>
      </c>
      <c r="E30" s="560"/>
      <c r="F30" s="561"/>
      <c r="G30" s="562"/>
      <c r="H30" s="563"/>
      <c r="I30" s="564"/>
      <c r="J30" s="565">
        <f t="shared" si="0"/>
        <v>0</v>
      </c>
      <c r="K30" s="558">
        <v>144.19999999999999</v>
      </c>
      <c r="L30" s="565">
        <f t="shared" si="1"/>
        <v>0</v>
      </c>
      <c r="M30" s="558">
        <f t="shared" si="2"/>
        <v>0</v>
      </c>
      <c r="N30" s="560">
        <f t="shared" si="3"/>
        <v>0</v>
      </c>
      <c r="O30" s="561">
        <f t="shared" si="4"/>
        <v>0</v>
      </c>
      <c r="P30" s="562">
        <f t="shared" si="5"/>
        <v>0</v>
      </c>
      <c r="Q30" s="563">
        <f t="shared" si="6"/>
        <v>0</v>
      </c>
      <c r="R30" s="564">
        <f t="shared" si="7"/>
        <v>0</v>
      </c>
    </row>
    <row r="31" spans="1:18" ht="15.95" customHeight="1">
      <c r="A31" s="558"/>
      <c r="B31" s="558"/>
      <c r="C31" s="558"/>
      <c r="D31" s="559">
        <v>24</v>
      </c>
      <c r="E31" s="560"/>
      <c r="F31" s="561"/>
      <c r="G31" s="562"/>
      <c r="H31" s="563"/>
      <c r="I31" s="564"/>
      <c r="J31" s="565">
        <f t="shared" si="0"/>
        <v>0</v>
      </c>
      <c r="K31" s="558">
        <v>144.19999999999999</v>
      </c>
      <c r="L31" s="565">
        <f t="shared" si="1"/>
        <v>0</v>
      </c>
      <c r="M31" s="558">
        <f t="shared" si="2"/>
        <v>0</v>
      </c>
      <c r="N31" s="560">
        <f t="shared" si="3"/>
        <v>0</v>
      </c>
      <c r="O31" s="561">
        <f t="shared" si="4"/>
        <v>0</v>
      </c>
      <c r="P31" s="562">
        <f t="shared" si="5"/>
        <v>0</v>
      </c>
      <c r="Q31" s="563">
        <f t="shared" si="6"/>
        <v>0</v>
      </c>
      <c r="R31" s="564">
        <f t="shared" si="7"/>
        <v>0</v>
      </c>
    </row>
    <row r="32" spans="1:18" ht="15.95" customHeight="1">
      <c r="A32" s="558"/>
      <c r="B32" s="558"/>
      <c r="C32" s="558"/>
      <c r="D32" s="559">
        <v>25</v>
      </c>
      <c r="E32" s="560"/>
      <c r="F32" s="561"/>
      <c r="G32" s="562"/>
      <c r="H32" s="563"/>
      <c r="I32" s="564"/>
      <c r="J32" s="565">
        <f t="shared" si="0"/>
        <v>0</v>
      </c>
      <c r="K32" s="558">
        <v>144.19999999999999</v>
      </c>
      <c r="L32" s="565">
        <f t="shared" si="1"/>
        <v>0</v>
      </c>
      <c r="M32" s="558">
        <f t="shared" si="2"/>
        <v>0</v>
      </c>
      <c r="N32" s="560">
        <f t="shared" si="3"/>
        <v>0</v>
      </c>
      <c r="O32" s="561">
        <f t="shared" si="4"/>
        <v>0</v>
      </c>
      <c r="P32" s="562">
        <f t="shared" si="5"/>
        <v>0</v>
      </c>
      <c r="Q32" s="563">
        <f t="shared" si="6"/>
        <v>0</v>
      </c>
      <c r="R32" s="564">
        <f t="shared" si="7"/>
        <v>0</v>
      </c>
    </row>
    <row r="33" spans="1:18" ht="15.95" customHeight="1">
      <c r="A33" s="558"/>
      <c r="B33" s="558"/>
      <c r="C33" s="558"/>
      <c r="D33" s="559">
        <v>26</v>
      </c>
      <c r="E33" s="560"/>
      <c r="F33" s="561"/>
      <c r="G33" s="562"/>
      <c r="H33" s="563"/>
      <c r="I33" s="564"/>
      <c r="J33" s="565">
        <f t="shared" si="0"/>
        <v>0</v>
      </c>
      <c r="K33" s="558">
        <v>144.19999999999999</v>
      </c>
      <c r="L33" s="565">
        <f t="shared" si="1"/>
        <v>0</v>
      </c>
      <c r="M33" s="558">
        <f t="shared" si="2"/>
        <v>0</v>
      </c>
      <c r="N33" s="560">
        <f t="shared" si="3"/>
        <v>0</v>
      </c>
      <c r="O33" s="561">
        <f t="shared" si="4"/>
        <v>0</v>
      </c>
      <c r="P33" s="562">
        <f t="shared" si="5"/>
        <v>0</v>
      </c>
      <c r="Q33" s="563">
        <f t="shared" si="6"/>
        <v>0</v>
      </c>
      <c r="R33" s="564">
        <f t="shared" si="7"/>
        <v>0</v>
      </c>
    </row>
    <row r="34" spans="1:18" ht="15.95" customHeight="1">
      <c r="A34" s="558"/>
      <c r="B34" s="558"/>
      <c r="C34" s="558"/>
      <c r="D34" s="559">
        <v>27</v>
      </c>
      <c r="E34" s="560"/>
      <c r="F34" s="561"/>
      <c r="G34" s="562"/>
      <c r="H34" s="563"/>
      <c r="I34" s="564"/>
      <c r="J34" s="565">
        <f t="shared" si="0"/>
        <v>0</v>
      </c>
      <c r="K34" s="558">
        <v>144.19999999999999</v>
      </c>
      <c r="L34" s="565">
        <f t="shared" si="1"/>
        <v>0</v>
      </c>
      <c r="M34" s="558">
        <f t="shared" si="2"/>
        <v>0</v>
      </c>
      <c r="N34" s="560">
        <f t="shared" si="3"/>
        <v>0</v>
      </c>
      <c r="O34" s="561">
        <f t="shared" si="4"/>
        <v>0</v>
      </c>
      <c r="P34" s="562">
        <f t="shared" si="5"/>
        <v>0</v>
      </c>
      <c r="Q34" s="563">
        <f t="shared" si="6"/>
        <v>0</v>
      </c>
      <c r="R34" s="564">
        <f t="shared" si="7"/>
        <v>0</v>
      </c>
    </row>
    <row r="35" spans="1:18" ht="15.95" customHeight="1">
      <c r="A35" s="558"/>
      <c r="B35" s="558"/>
      <c r="C35" s="558"/>
      <c r="D35" s="559">
        <v>28</v>
      </c>
      <c r="E35" s="560"/>
      <c r="F35" s="561"/>
      <c r="G35" s="562"/>
      <c r="H35" s="563"/>
      <c r="I35" s="564"/>
      <c r="J35" s="565">
        <f t="shared" si="0"/>
        <v>0</v>
      </c>
      <c r="K35" s="558">
        <v>144.19999999999999</v>
      </c>
      <c r="L35" s="565">
        <f t="shared" si="1"/>
        <v>0</v>
      </c>
      <c r="M35" s="558">
        <f t="shared" si="2"/>
        <v>0</v>
      </c>
      <c r="N35" s="560">
        <f t="shared" si="3"/>
        <v>0</v>
      </c>
      <c r="O35" s="561">
        <f t="shared" si="4"/>
        <v>0</v>
      </c>
      <c r="P35" s="562">
        <f t="shared" si="5"/>
        <v>0</v>
      </c>
      <c r="Q35" s="563">
        <f t="shared" si="6"/>
        <v>0</v>
      </c>
      <c r="R35" s="564">
        <f t="shared" si="7"/>
        <v>0</v>
      </c>
    </row>
    <row r="36" spans="1:18" ht="15.95" customHeight="1">
      <c r="A36" s="558"/>
      <c r="B36" s="558"/>
      <c r="C36" s="558"/>
      <c r="D36" s="559">
        <v>29</v>
      </c>
      <c r="E36" s="560"/>
      <c r="F36" s="561"/>
      <c r="G36" s="562"/>
      <c r="H36" s="563"/>
      <c r="I36" s="564"/>
      <c r="J36" s="565">
        <f t="shared" si="0"/>
        <v>0</v>
      </c>
      <c r="K36" s="558">
        <v>144.19999999999999</v>
      </c>
      <c r="L36" s="565">
        <f t="shared" si="1"/>
        <v>0</v>
      </c>
      <c r="M36" s="558">
        <f t="shared" si="2"/>
        <v>0</v>
      </c>
      <c r="N36" s="560">
        <f t="shared" si="3"/>
        <v>0</v>
      </c>
      <c r="O36" s="561">
        <f t="shared" si="4"/>
        <v>0</v>
      </c>
      <c r="P36" s="562">
        <f t="shared" si="5"/>
        <v>0</v>
      </c>
      <c r="Q36" s="563">
        <f t="shared" si="6"/>
        <v>0</v>
      </c>
      <c r="R36" s="564">
        <f t="shared" si="7"/>
        <v>0</v>
      </c>
    </row>
    <row r="37" spans="1:18" ht="15.95" customHeight="1">
      <c r="A37" s="558"/>
      <c r="B37" s="558"/>
      <c r="C37" s="558"/>
      <c r="D37" s="559">
        <v>30</v>
      </c>
      <c r="E37" s="560"/>
      <c r="F37" s="561"/>
      <c r="G37" s="562"/>
      <c r="H37" s="563"/>
      <c r="I37" s="564"/>
      <c r="J37" s="565">
        <f t="shared" si="0"/>
        <v>0</v>
      </c>
      <c r="K37" s="558">
        <v>144.19999999999999</v>
      </c>
      <c r="L37" s="565">
        <f t="shared" si="1"/>
        <v>0</v>
      </c>
      <c r="M37" s="558">
        <f t="shared" si="2"/>
        <v>0</v>
      </c>
      <c r="N37" s="560">
        <f t="shared" si="3"/>
        <v>0</v>
      </c>
      <c r="O37" s="561">
        <f t="shared" si="4"/>
        <v>0</v>
      </c>
      <c r="P37" s="562">
        <f t="shared" si="5"/>
        <v>0</v>
      </c>
      <c r="Q37" s="563">
        <f t="shared" si="6"/>
        <v>0</v>
      </c>
      <c r="R37" s="564">
        <f t="shared" si="7"/>
        <v>0</v>
      </c>
    </row>
    <row r="38" spans="1:18" ht="15.95" customHeight="1">
      <c r="A38" s="558"/>
      <c r="B38" s="558"/>
      <c r="C38" s="558"/>
      <c r="D38" s="559">
        <v>31</v>
      </c>
      <c r="E38" s="560"/>
      <c r="F38" s="561"/>
      <c r="G38" s="562"/>
      <c r="H38" s="563"/>
      <c r="I38" s="564"/>
      <c r="J38" s="565">
        <f t="shared" si="0"/>
        <v>0</v>
      </c>
      <c r="K38" s="558">
        <v>144.19999999999999</v>
      </c>
      <c r="L38" s="565">
        <f t="shared" si="1"/>
        <v>0</v>
      </c>
      <c r="M38" s="558">
        <f t="shared" si="2"/>
        <v>0</v>
      </c>
      <c r="N38" s="560">
        <f t="shared" si="3"/>
        <v>0</v>
      </c>
      <c r="O38" s="561">
        <f t="shared" si="4"/>
        <v>0</v>
      </c>
      <c r="P38" s="562">
        <f t="shared" si="5"/>
        <v>0</v>
      </c>
      <c r="Q38" s="563">
        <f t="shared" si="6"/>
        <v>0</v>
      </c>
      <c r="R38" s="564">
        <f t="shared" si="7"/>
        <v>0</v>
      </c>
    </row>
    <row r="39" spans="1:18" ht="15.95" customHeight="1">
      <c r="A39" s="558"/>
      <c r="B39" s="558"/>
      <c r="C39" s="558"/>
      <c r="D39" s="559">
        <v>32</v>
      </c>
      <c r="E39" s="560"/>
      <c r="F39" s="561"/>
      <c r="G39" s="562"/>
      <c r="H39" s="563"/>
      <c r="I39" s="564"/>
      <c r="J39" s="565">
        <f t="shared" si="0"/>
        <v>0</v>
      </c>
      <c r="K39" s="558">
        <v>144.19999999999999</v>
      </c>
      <c r="L39" s="565">
        <f t="shared" si="1"/>
        <v>0</v>
      </c>
      <c r="M39" s="558">
        <f t="shared" si="2"/>
        <v>0</v>
      </c>
      <c r="N39" s="560">
        <f t="shared" si="3"/>
        <v>0</v>
      </c>
      <c r="O39" s="561">
        <f t="shared" si="4"/>
        <v>0</v>
      </c>
      <c r="P39" s="562">
        <f t="shared" si="5"/>
        <v>0</v>
      </c>
      <c r="Q39" s="563">
        <f t="shared" si="6"/>
        <v>0</v>
      </c>
      <c r="R39" s="564">
        <f t="shared" si="7"/>
        <v>0</v>
      </c>
    </row>
    <row r="40" spans="1:18" ht="15.95" customHeight="1">
      <c r="A40" s="558"/>
      <c r="B40" s="558"/>
      <c r="C40" s="558"/>
      <c r="D40" s="558"/>
      <c r="E40" s="560">
        <f>SUM(E8:E39)</f>
        <v>0</v>
      </c>
      <c r="F40" s="561">
        <f>SUM(F8:F39)</f>
        <v>0</v>
      </c>
      <c r="G40" s="562">
        <f>SUM(G8:G39)</f>
        <v>0</v>
      </c>
      <c r="H40" s="563">
        <f>SUM(H8:H39)</f>
        <v>0</v>
      </c>
      <c r="I40" s="564">
        <f>SUM(I8:I39)</f>
        <v>0</v>
      </c>
      <c r="J40" s="565">
        <f>SUM(E40:I40)</f>
        <v>0</v>
      </c>
      <c r="K40" s="558"/>
      <c r="L40" s="565">
        <f>SUM(L8:L39)</f>
        <v>0</v>
      </c>
      <c r="M40" s="558">
        <f>SUM(N40:R40)</f>
        <v>0</v>
      </c>
      <c r="N40" s="560">
        <f>SUM(N8:N39)</f>
        <v>0</v>
      </c>
      <c r="O40" s="561">
        <f>SUM(O8:O39)</f>
        <v>0</v>
      </c>
      <c r="P40" s="562">
        <f>SUM(P8:P39)</f>
        <v>0</v>
      </c>
      <c r="Q40" s="563">
        <f>SUM(Q8:Q39)</f>
        <v>0</v>
      </c>
      <c r="R40" s="564">
        <f>SUM(R8:R39)</f>
        <v>0</v>
      </c>
    </row>
    <row r="41" spans="1:18" ht="15.95" customHeight="1"/>
    <row r="42" spans="1:18" ht="15.95" customHeight="1">
      <c r="I42" s="441" t="s">
        <v>273</v>
      </c>
      <c r="J42" s="441">
        <f>E40+F45+I45</f>
        <v>0</v>
      </c>
    </row>
    <row r="43" spans="1:18" ht="15.95" customHeight="1">
      <c r="L43" s="1158" t="s">
        <v>735</v>
      </c>
      <c r="M43" s="1158"/>
      <c r="N43" s="1158"/>
    </row>
    <row r="44" spans="1:18" ht="15.95" customHeight="1"/>
    <row r="45" spans="1:18" ht="15.95" customHeight="1">
      <c r="A45" s="1159" t="s">
        <v>736</v>
      </c>
      <c r="B45" s="1159"/>
      <c r="C45" s="441">
        <f>SUM(F40:I40)</f>
        <v>0</v>
      </c>
      <c r="E45" s="441" t="s">
        <v>737</v>
      </c>
      <c r="F45" s="441">
        <f>F40+H40</f>
        <v>0</v>
      </c>
      <c r="H45" s="441" t="s">
        <v>733</v>
      </c>
      <c r="I45" s="441">
        <f>G40+I40</f>
        <v>0</v>
      </c>
      <c r="L45" s="441" t="s">
        <v>16</v>
      </c>
      <c r="M45" s="441">
        <f>N40</f>
        <v>0</v>
      </c>
    </row>
    <row r="46" spans="1:18" ht="15.95" customHeight="1">
      <c r="E46" s="441" t="s">
        <v>734</v>
      </c>
    </row>
    <row r="47" spans="1:18" ht="15.95" customHeight="1">
      <c r="A47" s="1159"/>
      <c r="B47" s="1159"/>
      <c r="F47" s="441" t="s">
        <v>738</v>
      </c>
      <c r="G47" s="441">
        <f>F40+G40</f>
        <v>0</v>
      </c>
      <c r="L47" s="441" t="s">
        <v>22</v>
      </c>
      <c r="M47" s="441">
        <f>O40+Q40</f>
        <v>0</v>
      </c>
      <c r="O47" s="441" t="s">
        <v>739</v>
      </c>
      <c r="P47" s="441">
        <f>O40+P40</f>
        <v>0</v>
      </c>
    </row>
    <row r="48" spans="1:18" ht="15.95" customHeight="1">
      <c r="F48" s="441" t="s">
        <v>740</v>
      </c>
      <c r="G48" s="441">
        <f>H40+I40</f>
        <v>0</v>
      </c>
      <c r="L48" s="441" t="s">
        <v>23</v>
      </c>
      <c r="M48" s="441">
        <f>P40+R40</f>
        <v>0</v>
      </c>
      <c r="O48" s="441" t="s">
        <v>733</v>
      </c>
      <c r="P48" s="441">
        <f>Q40+R40</f>
        <v>0</v>
      </c>
    </row>
    <row r="49" spans="6:16" ht="15.95" customHeight="1">
      <c r="F49" s="441" t="s">
        <v>273</v>
      </c>
      <c r="G49" s="441">
        <f>SUM(G47:G48)</f>
        <v>0</v>
      </c>
      <c r="L49" s="441" t="s">
        <v>741</v>
      </c>
      <c r="M49" s="441">
        <f>SUM(M47:M48)</f>
        <v>0</v>
      </c>
      <c r="O49" s="441" t="s">
        <v>742</v>
      </c>
      <c r="P49" s="441">
        <f>SUM(P47:P48)</f>
        <v>0</v>
      </c>
    </row>
  </sheetData>
  <mergeCells count="11">
    <mergeCell ref="L43:N43"/>
    <mergeCell ref="A45:B45"/>
    <mergeCell ref="A47:B47"/>
    <mergeCell ref="B1:G1"/>
    <mergeCell ref="E5:I5"/>
    <mergeCell ref="N5:R5"/>
    <mergeCell ref="F6:G6"/>
    <mergeCell ref="H6:I6"/>
    <mergeCell ref="M6:M7"/>
    <mergeCell ref="O6:P6"/>
    <mergeCell ref="Q6:R6"/>
  </mergeCell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Worksheet______231">
    <tabColor indexed="55"/>
  </sheetPr>
  <dimension ref="A1:S52"/>
  <sheetViews>
    <sheetView rightToLeft="1" workbookViewId="0"/>
  </sheetViews>
  <sheetFormatPr defaultRowHeight="12.75"/>
  <cols>
    <col min="1" max="1" width="13.7109375" style="328" customWidth="1"/>
    <col min="2" max="2" width="14.85546875" style="328" customWidth="1"/>
    <col min="3" max="16384" width="9.140625" style="328"/>
  </cols>
  <sheetData>
    <row r="1" spans="1:19" ht="39" customHeight="1">
      <c r="B1" s="1161" t="s">
        <v>743</v>
      </c>
      <c r="C1" s="1161"/>
      <c r="D1" s="1161"/>
    </row>
    <row r="2" spans="1:19" ht="15" customHeight="1"/>
    <row r="3" spans="1:19" ht="15" customHeight="1">
      <c r="A3" s="566" t="s">
        <v>364</v>
      </c>
      <c r="B3" s="567">
        <f>'[1]נתוני יסוד'!B1</f>
        <v>0</v>
      </c>
      <c r="C3" s="567"/>
      <c r="D3" s="567" t="s">
        <v>744</v>
      </c>
      <c r="E3" s="1162">
        <f>'[1]נתוני יסוד'!B40</f>
        <v>0</v>
      </c>
      <c r="F3" s="1162"/>
      <c r="G3" s="1162"/>
    </row>
    <row r="4" spans="1:19" ht="15" customHeight="1">
      <c r="A4" s="566" t="s">
        <v>163</v>
      </c>
      <c r="B4" s="567">
        <f>'[1]נתוני יסוד'!B5</f>
        <v>125.59842915811087</v>
      </c>
      <c r="C4" s="1162" t="s">
        <v>745</v>
      </c>
      <c r="D4" s="1162"/>
      <c r="E4" s="568">
        <v>65</v>
      </c>
      <c r="F4" s="567"/>
      <c r="G4" s="567"/>
    </row>
    <row r="5" spans="1:19" ht="15" customHeight="1">
      <c r="A5" s="569"/>
      <c r="E5" s="328" t="s">
        <v>746</v>
      </c>
      <c r="F5" s="570">
        <v>0</v>
      </c>
    </row>
    <row r="6" spans="1:19">
      <c r="H6" s="571"/>
    </row>
    <row r="7" spans="1:19">
      <c r="H7" s="328" t="s">
        <v>728</v>
      </c>
      <c r="I7" s="572" t="e">
        <f>INDEX(D11:S26,E4-59,B4-59)</f>
        <v>#REF!</v>
      </c>
    </row>
    <row r="9" spans="1:19">
      <c r="D9" s="328" t="s">
        <v>747</v>
      </c>
    </row>
    <row r="10" spans="1:19">
      <c r="D10" s="328">
        <v>60</v>
      </c>
      <c r="E10" s="328">
        <v>61</v>
      </c>
      <c r="F10" s="328">
        <v>62</v>
      </c>
      <c r="G10" s="328">
        <v>63</v>
      </c>
      <c r="H10" s="328">
        <v>64</v>
      </c>
      <c r="I10" s="328">
        <v>65</v>
      </c>
      <c r="J10" s="328">
        <v>66</v>
      </c>
      <c r="K10" s="328">
        <v>67</v>
      </c>
      <c r="L10" s="328">
        <v>68</v>
      </c>
      <c r="M10" s="328">
        <v>69</v>
      </c>
      <c r="N10" s="328">
        <v>70</v>
      </c>
      <c r="O10" s="328">
        <v>71</v>
      </c>
      <c r="P10" s="328">
        <v>72</v>
      </c>
      <c r="Q10" s="328">
        <v>73</v>
      </c>
      <c r="R10" s="328">
        <v>74</v>
      </c>
      <c r="S10" s="328">
        <v>75</v>
      </c>
    </row>
    <row r="11" spans="1:19">
      <c r="B11" s="333" t="s">
        <v>748</v>
      </c>
      <c r="C11" s="328">
        <v>60</v>
      </c>
      <c r="D11" s="328">
        <v>1.1000000000000001</v>
      </c>
      <c r="E11" s="328">
        <v>2.1</v>
      </c>
      <c r="F11" s="328">
        <v>3.1</v>
      </c>
      <c r="G11" s="328">
        <v>4.0999999999999996</v>
      </c>
      <c r="H11" s="328">
        <v>5.01</v>
      </c>
      <c r="I11" s="328">
        <v>6.01</v>
      </c>
      <c r="J11" s="328">
        <v>7.01</v>
      </c>
      <c r="K11" s="328">
        <v>8.01</v>
      </c>
      <c r="L11" s="328">
        <v>9.01</v>
      </c>
      <c r="M11" s="328">
        <v>10.01</v>
      </c>
      <c r="N11" s="328">
        <v>11.01</v>
      </c>
      <c r="O11" s="328">
        <v>12.01</v>
      </c>
      <c r="P11" s="328">
        <v>13.01</v>
      </c>
      <c r="Q11" s="328">
        <v>14.01</v>
      </c>
      <c r="R11" s="328">
        <v>15.01</v>
      </c>
      <c r="S11" s="328">
        <v>16.010000000000002</v>
      </c>
    </row>
    <row r="12" spans="1:19">
      <c r="C12" s="328">
        <v>61</v>
      </c>
      <c r="D12" s="328">
        <v>1.2</v>
      </c>
      <c r="E12" s="328">
        <v>2.2000000000000002</v>
      </c>
      <c r="F12" s="328">
        <v>3.2</v>
      </c>
      <c r="G12" s="328">
        <v>4.2</v>
      </c>
      <c r="H12" s="328">
        <v>5.0199999999999996</v>
      </c>
      <c r="I12" s="328">
        <v>6.02</v>
      </c>
      <c r="J12" s="328">
        <v>7.02</v>
      </c>
      <c r="K12" s="328">
        <v>8.02</v>
      </c>
      <c r="L12" s="328">
        <v>9.02</v>
      </c>
      <c r="M12" s="328">
        <v>10.02</v>
      </c>
      <c r="N12" s="328">
        <v>11.02</v>
      </c>
      <c r="O12" s="328">
        <v>12.02</v>
      </c>
      <c r="P12" s="328">
        <v>13.02</v>
      </c>
      <c r="Q12" s="328">
        <v>14.02</v>
      </c>
      <c r="R12" s="328">
        <v>15.02</v>
      </c>
      <c r="S12" s="328">
        <v>16.02</v>
      </c>
    </row>
    <row r="13" spans="1:19">
      <c r="C13" s="328">
        <v>62</v>
      </c>
      <c r="D13" s="328">
        <v>1.3</v>
      </c>
      <c r="E13" s="328">
        <v>2.2999999999999998</v>
      </c>
      <c r="F13" s="328">
        <v>3.3</v>
      </c>
      <c r="G13" s="328">
        <v>4.3</v>
      </c>
      <c r="H13" s="328">
        <v>5.03</v>
      </c>
      <c r="I13" s="328">
        <v>6.03</v>
      </c>
      <c r="J13" s="328">
        <v>7.03</v>
      </c>
      <c r="K13" s="328">
        <v>8.0299999999999994</v>
      </c>
      <c r="L13" s="328">
        <v>9.0299999999999994</v>
      </c>
      <c r="M13" s="328">
        <v>10.029999999999999</v>
      </c>
      <c r="N13" s="328">
        <v>11.03</v>
      </c>
      <c r="O13" s="328">
        <v>12.03</v>
      </c>
      <c r="P13" s="328">
        <v>13.03</v>
      </c>
      <c r="Q13" s="328">
        <v>14.03</v>
      </c>
      <c r="R13" s="328">
        <v>15.03</v>
      </c>
      <c r="S13" s="328">
        <v>16.03</v>
      </c>
    </row>
    <row r="14" spans="1:19">
      <c r="C14" s="328">
        <v>63</v>
      </c>
      <c r="D14" s="328">
        <v>1.4</v>
      </c>
      <c r="E14" s="328">
        <v>2.4</v>
      </c>
      <c r="F14" s="328">
        <v>3.4</v>
      </c>
      <c r="G14" s="328">
        <v>4.4000000000000004</v>
      </c>
      <c r="H14" s="328">
        <v>5.04</v>
      </c>
      <c r="I14" s="328">
        <v>6.04</v>
      </c>
      <c r="J14" s="328">
        <v>7.04</v>
      </c>
      <c r="K14" s="328">
        <v>8.0399999999999991</v>
      </c>
      <c r="L14" s="328">
        <v>9.0399999999999991</v>
      </c>
      <c r="M14" s="328">
        <v>10.039999999999999</v>
      </c>
      <c r="N14" s="328">
        <v>11.04</v>
      </c>
      <c r="O14" s="328">
        <v>12.04</v>
      </c>
      <c r="P14" s="328">
        <v>13.04</v>
      </c>
      <c r="Q14" s="328">
        <v>14.04</v>
      </c>
      <c r="R14" s="328">
        <v>15.04</v>
      </c>
      <c r="S14" s="328">
        <v>16.04</v>
      </c>
    </row>
    <row r="15" spans="1:19">
      <c r="C15" s="328">
        <v>64</v>
      </c>
      <c r="D15" s="328">
        <v>1.5</v>
      </c>
      <c r="E15" s="328">
        <v>2.5</v>
      </c>
      <c r="F15" s="328">
        <v>3.5</v>
      </c>
      <c r="G15" s="328">
        <v>4.5</v>
      </c>
      <c r="H15" s="328">
        <v>5.05</v>
      </c>
      <c r="I15" s="328">
        <v>6.05</v>
      </c>
      <c r="J15" s="328">
        <v>7.05</v>
      </c>
      <c r="K15" s="328">
        <v>8.0500000000000007</v>
      </c>
      <c r="L15" s="328">
        <v>9.0500000000000007</v>
      </c>
      <c r="M15" s="328">
        <v>10.050000000000001</v>
      </c>
      <c r="N15" s="328">
        <v>11.05</v>
      </c>
      <c r="O15" s="328">
        <v>12.05</v>
      </c>
      <c r="P15" s="328">
        <v>13.05</v>
      </c>
      <c r="Q15" s="328">
        <v>14.05</v>
      </c>
      <c r="R15" s="328">
        <v>15.05</v>
      </c>
      <c r="S15" s="328">
        <v>16.05</v>
      </c>
    </row>
    <row r="16" spans="1:19">
      <c r="C16" s="328">
        <v>65</v>
      </c>
      <c r="D16" s="328">
        <v>1.6</v>
      </c>
      <c r="E16" s="328">
        <v>2.6</v>
      </c>
      <c r="F16" s="328">
        <v>3.6</v>
      </c>
      <c r="G16" s="328">
        <v>4.5999999999999996</v>
      </c>
      <c r="H16" s="328">
        <v>5.0599999999999996</v>
      </c>
      <c r="I16" s="328">
        <v>6.06</v>
      </c>
      <c r="J16" s="328">
        <v>7.06</v>
      </c>
      <c r="K16" s="328">
        <v>8.06</v>
      </c>
      <c r="L16" s="328">
        <v>9.06</v>
      </c>
      <c r="M16" s="328">
        <v>10.06</v>
      </c>
      <c r="N16" s="328">
        <v>11.06</v>
      </c>
      <c r="O16" s="328">
        <v>12.06</v>
      </c>
      <c r="P16" s="328">
        <v>13.06</v>
      </c>
      <c r="Q16" s="328">
        <v>14.06</v>
      </c>
      <c r="R16" s="328">
        <v>15.06</v>
      </c>
      <c r="S16" s="328">
        <v>16.059999999999999</v>
      </c>
    </row>
    <row r="17" spans="3:19">
      <c r="C17" s="328">
        <v>66</v>
      </c>
      <c r="D17" s="328">
        <v>1.7</v>
      </c>
      <c r="E17" s="328">
        <v>2.7</v>
      </c>
      <c r="F17" s="328">
        <v>3.7</v>
      </c>
      <c r="G17" s="328">
        <v>4.7</v>
      </c>
      <c r="H17" s="328">
        <v>5.07</v>
      </c>
      <c r="I17" s="328">
        <v>6.07</v>
      </c>
      <c r="J17" s="328">
        <v>7.07</v>
      </c>
      <c r="K17" s="328">
        <v>8.07</v>
      </c>
      <c r="L17" s="328">
        <v>9.07</v>
      </c>
      <c r="M17" s="328">
        <v>10.07</v>
      </c>
      <c r="N17" s="328">
        <v>11.07</v>
      </c>
      <c r="O17" s="328">
        <v>12.07</v>
      </c>
      <c r="P17" s="328">
        <v>13.07</v>
      </c>
      <c r="Q17" s="328">
        <v>14.07</v>
      </c>
      <c r="R17" s="328">
        <v>15.07</v>
      </c>
      <c r="S17" s="328">
        <v>16.07</v>
      </c>
    </row>
    <row r="18" spans="3:19">
      <c r="C18" s="328">
        <v>67</v>
      </c>
      <c r="D18" s="328">
        <v>1.8</v>
      </c>
      <c r="E18" s="328">
        <v>2.8</v>
      </c>
      <c r="F18" s="328">
        <v>3.8</v>
      </c>
      <c r="G18" s="328">
        <v>4.8</v>
      </c>
      <c r="H18" s="328">
        <v>5.08</v>
      </c>
      <c r="I18" s="328">
        <v>6.08</v>
      </c>
      <c r="J18" s="328">
        <v>7.08</v>
      </c>
      <c r="K18" s="328">
        <v>8.08</v>
      </c>
      <c r="L18" s="328">
        <v>9.08</v>
      </c>
      <c r="M18" s="328">
        <v>10.08</v>
      </c>
      <c r="N18" s="328">
        <v>11.08</v>
      </c>
      <c r="O18" s="328">
        <v>12.08</v>
      </c>
      <c r="P18" s="328">
        <v>13.08</v>
      </c>
      <c r="Q18" s="328">
        <v>14.08</v>
      </c>
      <c r="R18" s="328">
        <v>15.08</v>
      </c>
      <c r="S18" s="328">
        <v>16.079999999999998</v>
      </c>
    </row>
    <row r="19" spans="3:19">
      <c r="C19" s="328">
        <v>68</v>
      </c>
      <c r="D19" s="328">
        <v>1.9</v>
      </c>
      <c r="E19" s="328">
        <v>2.9</v>
      </c>
      <c r="F19" s="328">
        <v>3.9</v>
      </c>
      <c r="G19" s="328">
        <v>4.9000000000000004</v>
      </c>
      <c r="H19" s="328">
        <v>5.09</v>
      </c>
      <c r="I19" s="328">
        <v>6.09</v>
      </c>
      <c r="J19" s="328">
        <v>7.09</v>
      </c>
      <c r="K19" s="328">
        <v>8.09</v>
      </c>
      <c r="L19" s="328">
        <v>9.09</v>
      </c>
      <c r="M19" s="328">
        <v>10.09</v>
      </c>
      <c r="N19" s="328">
        <v>11.09</v>
      </c>
      <c r="O19" s="328">
        <v>12.09</v>
      </c>
      <c r="P19" s="328">
        <v>13.09</v>
      </c>
      <c r="Q19" s="328">
        <v>14.09</v>
      </c>
      <c r="R19" s="328">
        <v>15.09</v>
      </c>
      <c r="S19" s="328">
        <v>16.09</v>
      </c>
    </row>
    <row r="20" spans="3:19">
      <c r="C20" s="328">
        <v>69</v>
      </c>
      <c r="D20" s="328">
        <v>2</v>
      </c>
      <c r="E20" s="328">
        <v>3</v>
      </c>
      <c r="F20" s="328">
        <v>4</v>
      </c>
      <c r="G20" s="328">
        <v>5</v>
      </c>
      <c r="H20" s="328">
        <v>5.0999999999999996</v>
      </c>
      <c r="I20" s="328">
        <v>6.1</v>
      </c>
      <c r="J20" s="328">
        <v>7.1</v>
      </c>
      <c r="K20" s="328">
        <v>8.1</v>
      </c>
      <c r="L20" s="328">
        <v>9.1</v>
      </c>
      <c r="M20" s="328">
        <v>10.1</v>
      </c>
      <c r="N20" s="328">
        <v>11.1</v>
      </c>
      <c r="O20" s="328">
        <v>12.1</v>
      </c>
      <c r="P20" s="328">
        <v>13.1</v>
      </c>
      <c r="Q20" s="328">
        <v>14.1</v>
      </c>
      <c r="R20" s="328">
        <v>15.1</v>
      </c>
      <c r="S20" s="328">
        <v>16.100000000000001</v>
      </c>
    </row>
    <row r="21" spans="3:19">
      <c r="C21" s="328">
        <v>70</v>
      </c>
      <c r="D21" s="328">
        <v>2.1</v>
      </c>
      <c r="E21" s="328">
        <v>3.1</v>
      </c>
      <c r="F21" s="328">
        <v>4.0999999999999996</v>
      </c>
      <c r="G21" s="328">
        <v>5.1000000000000103</v>
      </c>
      <c r="H21" s="328">
        <v>5.1100000000000003</v>
      </c>
      <c r="I21" s="328">
        <v>6.11</v>
      </c>
      <c r="J21" s="328">
        <v>7.11</v>
      </c>
      <c r="K21" s="328">
        <v>8.11</v>
      </c>
      <c r="L21" s="328">
        <v>9.11</v>
      </c>
      <c r="M21" s="328">
        <v>10.11</v>
      </c>
      <c r="N21" s="328">
        <v>11.11</v>
      </c>
      <c r="O21" s="328">
        <v>12.11</v>
      </c>
      <c r="P21" s="328">
        <v>13.11</v>
      </c>
      <c r="Q21" s="328">
        <v>14.11</v>
      </c>
      <c r="R21" s="328">
        <v>15.11</v>
      </c>
      <c r="S21" s="328">
        <v>16.11</v>
      </c>
    </row>
    <row r="22" spans="3:19">
      <c r="C22" s="328">
        <v>71</v>
      </c>
      <c r="D22" s="328">
        <v>2.2000000000000002</v>
      </c>
      <c r="E22" s="328">
        <v>3.2</v>
      </c>
      <c r="F22" s="328">
        <v>4.2</v>
      </c>
      <c r="G22" s="328">
        <v>5.2000000000000099</v>
      </c>
      <c r="H22" s="328">
        <v>5.12</v>
      </c>
      <c r="I22" s="328">
        <v>6.12</v>
      </c>
      <c r="J22" s="328">
        <v>7.12</v>
      </c>
      <c r="K22" s="328">
        <v>8.1199999999999992</v>
      </c>
      <c r="L22" s="328">
        <v>9.1199999999999992</v>
      </c>
      <c r="M22" s="328">
        <v>10.119999999999999</v>
      </c>
      <c r="N22" s="328">
        <v>11.12</v>
      </c>
      <c r="O22" s="328">
        <v>12.12</v>
      </c>
      <c r="P22" s="328">
        <v>13.12</v>
      </c>
      <c r="Q22" s="328">
        <v>14.12</v>
      </c>
      <c r="R22" s="328">
        <v>15.12</v>
      </c>
      <c r="S22" s="328">
        <v>16.12</v>
      </c>
    </row>
    <row r="23" spans="3:19">
      <c r="C23" s="328">
        <v>72</v>
      </c>
      <c r="D23" s="328">
        <v>2.2999999999999998</v>
      </c>
      <c r="E23" s="328">
        <v>3.3</v>
      </c>
      <c r="F23" s="328">
        <v>4.3</v>
      </c>
      <c r="G23" s="328">
        <v>5.3000000000000096</v>
      </c>
      <c r="H23" s="328">
        <v>5.13</v>
      </c>
      <c r="I23" s="328">
        <v>6.13</v>
      </c>
      <c r="J23" s="328">
        <v>7.13</v>
      </c>
      <c r="K23" s="328">
        <v>8.1300000000000008</v>
      </c>
      <c r="L23" s="328">
        <v>9.1300000000000008</v>
      </c>
      <c r="M23" s="328">
        <v>10.130000000000001</v>
      </c>
      <c r="N23" s="328">
        <v>11.13</v>
      </c>
      <c r="O23" s="328">
        <v>12.13</v>
      </c>
      <c r="P23" s="328">
        <v>13.13</v>
      </c>
      <c r="Q23" s="328">
        <v>14.13</v>
      </c>
      <c r="R23" s="328">
        <v>15.13</v>
      </c>
      <c r="S23" s="328">
        <v>16.13</v>
      </c>
    </row>
    <row r="24" spans="3:19">
      <c r="C24" s="328">
        <v>73</v>
      </c>
      <c r="D24" s="328">
        <v>2.4</v>
      </c>
      <c r="E24" s="328">
        <v>3.4</v>
      </c>
      <c r="F24" s="328">
        <v>4.4000000000000004</v>
      </c>
      <c r="G24" s="328">
        <v>5.4000000000000101</v>
      </c>
      <c r="H24" s="328">
        <v>5.14</v>
      </c>
      <c r="I24" s="328">
        <v>6.14</v>
      </c>
      <c r="J24" s="328">
        <v>7.14</v>
      </c>
      <c r="K24" s="328">
        <v>8.14</v>
      </c>
      <c r="L24" s="328">
        <v>9.14</v>
      </c>
      <c r="M24" s="328">
        <v>10.14</v>
      </c>
      <c r="N24" s="328">
        <v>11.14</v>
      </c>
      <c r="O24" s="328">
        <v>12.14</v>
      </c>
      <c r="P24" s="328">
        <v>13.14</v>
      </c>
      <c r="Q24" s="328">
        <v>14.14</v>
      </c>
      <c r="R24" s="328">
        <v>15.14</v>
      </c>
      <c r="S24" s="328">
        <v>16.14</v>
      </c>
    </row>
    <row r="25" spans="3:19">
      <c r="C25" s="328">
        <v>74</v>
      </c>
      <c r="D25" s="328">
        <v>2.5</v>
      </c>
      <c r="E25" s="328">
        <v>3.5</v>
      </c>
      <c r="F25" s="328">
        <v>4.5</v>
      </c>
      <c r="G25" s="328">
        <v>5.5000000000000098</v>
      </c>
      <c r="H25" s="328">
        <v>5.15</v>
      </c>
      <c r="I25" s="328">
        <v>6.15</v>
      </c>
      <c r="J25" s="328">
        <v>7.15</v>
      </c>
      <c r="K25" s="328">
        <v>8.15</v>
      </c>
      <c r="L25" s="328">
        <v>9.15</v>
      </c>
      <c r="M25" s="328">
        <v>10.15</v>
      </c>
      <c r="N25" s="328">
        <v>11.15</v>
      </c>
      <c r="O25" s="328">
        <v>12.15</v>
      </c>
      <c r="P25" s="328">
        <v>13.15</v>
      </c>
      <c r="Q25" s="328">
        <v>14.15</v>
      </c>
      <c r="R25" s="328">
        <v>15.15</v>
      </c>
      <c r="S25" s="328">
        <v>16.149999999999999</v>
      </c>
    </row>
    <row r="26" spans="3:19">
      <c r="C26" s="328">
        <v>75</v>
      </c>
      <c r="D26" s="328">
        <v>2.6</v>
      </c>
      <c r="E26" s="328">
        <v>3.6</v>
      </c>
      <c r="F26" s="328">
        <v>4.5999999999999996</v>
      </c>
      <c r="G26" s="328">
        <v>5.6000000000000103</v>
      </c>
      <c r="H26" s="328">
        <v>5.16</v>
      </c>
      <c r="I26" s="328">
        <v>6.16</v>
      </c>
      <c r="J26" s="328">
        <v>7.16</v>
      </c>
      <c r="K26" s="328">
        <v>8.16</v>
      </c>
      <c r="L26" s="328">
        <v>9.16</v>
      </c>
      <c r="M26" s="328">
        <v>10.16</v>
      </c>
      <c r="N26" s="328">
        <v>11.16</v>
      </c>
      <c r="O26" s="328">
        <v>12.16</v>
      </c>
      <c r="P26" s="328">
        <v>13.16</v>
      </c>
      <c r="Q26" s="328">
        <v>14.16</v>
      </c>
      <c r="R26" s="328">
        <v>15.16</v>
      </c>
      <c r="S26" s="328">
        <v>16.16</v>
      </c>
    </row>
    <row r="32" spans="3:19" ht="25.5">
      <c r="I32" s="573"/>
      <c r="J32" s="574" t="s">
        <v>749</v>
      </c>
      <c r="K32" s="573">
        <v>68</v>
      </c>
      <c r="L32" s="573"/>
      <c r="M32" s="574" t="s">
        <v>750</v>
      </c>
      <c r="N32" s="573">
        <v>65</v>
      </c>
    </row>
    <row r="33" spans="2:19">
      <c r="G33" s="328" t="s">
        <v>728</v>
      </c>
      <c r="H33" s="573">
        <f>INDEX(D37:S52,K32-59,N32-59+G30165)</f>
        <v>4420</v>
      </c>
    </row>
    <row r="35" spans="2:19">
      <c r="E35" s="1163" t="s">
        <v>748</v>
      </c>
      <c r="F35" s="1163"/>
    </row>
    <row r="36" spans="2:19">
      <c r="D36" s="328">
        <v>60</v>
      </c>
      <c r="E36" s="328">
        <v>61</v>
      </c>
      <c r="F36" s="328">
        <v>62</v>
      </c>
      <c r="G36" s="328">
        <v>63</v>
      </c>
      <c r="H36" s="328">
        <v>64</v>
      </c>
      <c r="I36" s="328">
        <v>65</v>
      </c>
      <c r="J36" s="328">
        <v>66</v>
      </c>
      <c r="K36" s="328">
        <v>67</v>
      </c>
      <c r="L36" s="328">
        <v>68</v>
      </c>
      <c r="M36" s="328">
        <v>69</v>
      </c>
      <c r="N36" s="328">
        <v>70</v>
      </c>
      <c r="O36" s="328">
        <v>71</v>
      </c>
      <c r="P36" s="328">
        <v>72</v>
      </c>
      <c r="Q36" s="328">
        <v>73</v>
      </c>
      <c r="R36" s="328">
        <v>74</v>
      </c>
      <c r="S36" s="328">
        <v>75</v>
      </c>
    </row>
    <row r="37" spans="2:19">
      <c r="C37" s="328">
        <v>60</v>
      </c>
      <c r="D37" s="328">
        <f t="shared" ref="D37:D52" si="0">$D$36*C37</f>
        <v>3600</v>
      </c>
      <c r="E37" s="328">
        <f>E36*$C$37</f>
        <v>3660</v>
      </c>
      <c r="F37" s="328">
        <f t="shared" ref="F37:S37" si="1">F36*$C$37</f>
        <v>3720</v>
      </c>
      <c r="G37" s="328">
        <f t="shared" si="1"/>
        <v>3780</v>
      </c>
      <c r="H37" s="328">
        <f t="shared" si="1"/>
        <v>3840</v>
      </c>
      <c r="I37" s="328">
        <f t="shared" si="1"/>
        <v>3900</v>
      </c>
      <c r="J37" s="328">
        <f t="shared" si="1"/>
        <v>3960</v>
      </c>
      <c r="K37" s="328">
        <f t="shared" si="1"/>
        <v>4020</v>
      </c>
      <c r="L37" s="328">
        <f t="shared" si="1"/>
        <v>4080</v>
      </c>
      <c r="M37" s="328">
        <f t="shared" si="1"/>
        <v>4140</v>
      </c>
      <c r="N37" s="328">
        <f t="shared" si="1"/>
        <v>4200</v>
      </c>
      <c r="O37" s="328">
        <f t="shared" si="1"/>
        <v>4260</v>
      </c>
      <c r="P37" s="328">
        <f t="shared" si="1"/>
        <v>4320</v>
      </c>
      <c r="Q37" s="328">
        <f t="shared" si="1"/>
        <v>4380</v>
      </c>
      <c r="R37" s="328">
        <f t="shared" si="1"/>
        <v>4440</v>
      </c>
      <c r="S37" s="328">
        <f t="shared" si="1"/>
        <v>4500</v>
      </c>
    </row>
    <row r="38" spans="2:19">
      <c r="B38" s="328" t="s">
        <v>747</v>
      </c>
      <c r="C38" s="328">
        <v>61</v>
      </c>
      <c r="D38" s="328">
        <f t="shared" si="0"/>
        <v>3660</v>
      </c>
      <c r="E38" s="328">
        <f t="shared" ref="E38:S52" si="2">E$36*$C38</f>
        <v>3721</v>
      </c>
      <c r="F38" s="328">
        <f t="shared" si="2"/>
        <v>3782</v>
      </c>
      <c r="G38" s="328">
        <f t="shared" si="2"/>
        <v>3843</v>
      </c>
      <c r="H38" s="328">
        <f t="shared" si="2"/>
        <v>3904</v>
      </c>
      <c r="I38" s="328">
        <f t="shared" si="2"/>
        <v>3965</v>
      </c>
      <c r="J38" s="328">
        <f t="shared" si="2"/>
        <v>4026</v>
      </c>
      <c r="K38" s="328">
        <f t="shared" si="2"/>
        <v>4087</v>
      </c>
      <c r="L38" s="328">
        <f t="shared" si="2"/>
        <v>4148</v>
      </c>
      <c r="M38" s="328">
        <f t="shared" si="2"/>
        <v>4209</v>
      </c>
      <c r="N38" s="328">
        <f t="shared" si="2"/>
        <v>4270</v>
      </c>
      <c r="O38" s="328">
        <f t="shared" si="2"/>
        <v>4331</v>
      </c>
      <c r="P38" s="328">
        <f t="shared" si="2"/>
        <v>4392</v>
      </c>
      <c r="Q38" s="328">
        <f t="shared" si="2"/>
        <v>4453</v>
      </c>
      <c r="R38" s="328">
        <f t="shared" si="2"/>
        <v>4514</v>
      </c>
      <c r="S38" s="328">
        <f t="shared" si="2"/>
        <v>4575</v>
      </c>
    </row>
    <row r="39" spans="2:19">
      <c r="C39" s="328">
        <v>62</v>
      </c>
      <c r="D39" s="328">
        <f t="shared" si="0"/>
        <v>3720</v>
      </c>
      <c r="E39" s="328">
        <f t="shared" si="2"/>
        <v>3782</v>
      </c>
      <c r="F39" s="328">
        <f t="shared" si="2"/>
        <v>3844</v>
      </c>
      <c r="G39" s="328">
        <f t="shared" si="2"/>
        <v>3906</v>
      </c>
      <c r="H39" s="328">
        <f t="shared" si="2"/>
        <v>3968</v>
      </c>
      <c r="I39" s="328">
        <f t="shared" si="2"/>
        <v>4030</v>
      </c>
      <c r="J39" s="328">
        <f t="shared" si="2"/>
        <v>4092</v>
      </c>
      <c r="K39" s="328">
        <f t="shared" si="2"/>
        <v>4154</v>
      </c>
      <c r="L39" s="328">
        <f t="shared" si="2"/>
        <v>4216</v>
      </c>
      <c r="M39" s="328">
        <f t="shared" si="2"/>
        <v>4278</v>
      </c>
      <c r="N39" s="328">
        <f t="shared" si="2"/>
        <v>4340</v>
      </c>
      <c r="O39" s="328">
        <f t="shared" si="2"/>
        <v>4402</v>
      </c>
      <c r="P39" s="328">
        <f t="shared" si="2"/>
        <v>4464</v>
      </c>
      <c r="Q39" s="328">
        <f t="shared" si="2"/>
        <v>4526</v>
      </c>
      <c r="R39" s="328">
        <f t="shared" si="2"/>
        <v>4588</v>
      </c>
      <c r="S39" s="328">
        <f t="shared" si="2"/>
        <v>4650</v>
      </c>
    </row>
    <row r="40" spans="2:19">
      <c r="C40" s="328">
        <v>63</v>
      </c>
      <c r="D40" s="328">
        <f t="shared" si="0"/>
        <v>3780</v>
      </c>
      <c r="E40" s="328">
        <f t="shared" si="2"/>
        <v>3843</v>
      </c>
      <c r="F40" s="328">
        <f t="shared" si="2"/>
        <v>3906</v>
      </c>
      <c r="G40" s="328">
        <f t="shared" si="2"/>
        <v>3969</v>
      </c>
      <c r="H40" s="328">
        <f t="shared" si="2"/>
        <v>4032</v>
      </c>
      <c r="I40" s="328">
        <f t="shared" si="2"/>
        <v>4095</v>
      </c>
      <c r="J40" s="328">
        <f t="shared" si="2"/>
        <v>4158</v>
      </c>
      <c r="K40" s="328">
        <f t="shared" si="2"/>
        <v>4221</v>
      </c>
      <c r="L40" s="328">
        <f t="shared" si="2"/>
        <v>4284</v>
      </c>
      <c r="M40" s="328">
        <f t="shared" si="2"/>
        <v>4347</v>
      </c>
      <c r="N40" s="328">
        <f t="shared" si="2"/>
        <v>4410</v>
      </c>
      <c r="O40" s="328">
        <f t="shared" si="2"/>
        <v>4473</v>
      </c>
      <c r="P40" s="328">
        <f t="shared" si="2"/>
        <v>4536</v>
      </c>
      <c r="Q40" s="328">
        <f t="shared" si="2"/>
        <v>4599</v>
      </c>
      <c r="R40" s="328">
        <f t="shared" si="2"/>
        <v>4662</v>
      </c>
      <c r="S40" s="328">
        <f t="shared" si="2"/>
        <v>4725</v>
      </c>
    </row>
    <row r="41" spans="2:19">
      <c r="C41" s="328">
        <v>64</v>
      </c>
      <c r="D41" s="328">
        <f t="shared" si="0"/>
        <v>3840</v>
      </c>
      <c r="E41" s="328">
        <f t="shared" si="2"/>
        <v>3904</v>
      </c>
      <c r="F41" s="328">
        <f t="shared" si="2"/>
        <v>3968</v>
      </c>
      <c r="G41" s="328">
        <f t="shared" si="2"/>
        <v>4032</v>
      </c>
      <c r="H41" s="328">
        <f t="shared" si="2"/>
        <v>4096</v>
      </c>
      <c r="I41" s="328">
        <f t="shared" si="2"/>
        <v>4160</v>
      </c>
      <c r="J41" s="328">
        <f t="shared" si="2"/>
        <v>4224</v>
      </c>
      <c r="K41" s="328">
        <f t="shared" si="2"/>
        <v>4288</v>
      </c>
      <c r="L41" s="328">
        <f t="shared" si="2"/>
        <v>4352</v>
      </c>
      <c r="M41" s="328">
        <f t="shared" si="2"/>
        <v>4416</v>
      </c>
      <c r="N41" s="328">
        <f t="shared" si="2"/>
        <v>4480</v>
      </c>
      <c r="O41" s="328">
        <f t="shared" si="2"/>
        <v>4544</v>
      </c>
      <c r="P41" s="328">
        <f t="shared" si="2"/>
        <v>4608</v>
      </c>
      <c r="Q41" s="328">
        <f t="shared" si="2"/>
        <v>4672</v>
      </c>
      <c r="R41" s="328">
        <f t="shared" si="2"/>
        <v>4736</v>
      </c>
      <c r="S41" s="328">
        <f t="shared" si="2"/>
        <v>4800</v>
      </c>
    </row>
    <row r="42" spans="2:19">
      <c r="C42" s="328">
        <v>65</v>
      </c>
      <c r="D42" s="328">
        <f t="shared" si="0"/>
        <v>3900</v>
      </c>
      <c r="E42" s="328">
        <f t="shared" si="2"/>
        <v>3965</v>
      </c>
      <c r="F42" s="328">
        <f t="shared" si="2"/>
        <v>4030</v>
      </c>
      <c r="G42" s="328">
        <f t="shared" si="2"/>
        <v>4095</v>
      </c>
      <c r="H42" s="328">
        <f t="shared" si="2"/>
        <v>4160</v>
      </c>
      <c r="I42" s="328">
        <f t="shared" si="2"/>
        <v>4225</v>
      </c>
      <c r="J42" s="328">
        <f t="shared" si="2"/>
        <v>4290</v>
      </c>
      <c r="K42" s="328">
        <f t="shared" si="2"/>
        <v>4355</v>
      </c>
      <c r="L42" s="328">
        <f t="shared" si="2"/>
        <v>4420</v>
      </c>
      <c r="M42" s="328">
        <f t="shared" si="2"/>
        <v>4485</v>
      </c>
      <c r="N42" s="328">
        <f t="shared" si="2"/>
        <v>4550</v>
      </c>
      <c r="O42" s="328">
        <f t="shared" si="2"/>
        <v>4615</v>
      </c>
      <c r="P42" s="328">
        <f t="shared" si="2"/>
        <v>4680</v>
      </c>
      <c r="Q42" s="328">
        <f t="shared" si="2"/>
        <v>4745</v>
      </c>
      <c r="R42" s="328">
        <f t="shared" si="2"/>
        <v>4810</v>
      </c>
      <c r="S42" s="328">
        <f t="shared" si="2"/>
        <v>4875</v>
      </c>
    </row>
    <row r="43" spans="2:19">
      <c r="C43" s="328">
        <v>66</v>
      </c>
      <c r="D43" s="328">
        <f t="shared" si="0"/>
        <v>3960</v>
      </c>
      <c r="E43" s="328">
        <f t="shared" si="2"/>
        <v>4026</v>
      </c>
      <c r="F43" s="328">
        <f t="shared" si="2"/>
        <v>4092</v>
      </c>
      <c r="G43" s="328">
        <f t="shared" si="2"/>
        <v>4158</v>
      </c>
      <c r="H43" s="328">
        <f t="shared" si="2"/>
        <v>4224</v>
      </c>
      <c r="I43" s="328">
        <f t="shared" si="2"/>
        <v>4290</v>
      </c>
      <c r="J43" s="328">
        <f>J$36*$C43</f>
        <v>4356</v>
      </c>
      <c r="K43" s="328">
        <f>K$36*$C43</f>
        <v>4422</v>
      </c>
      <c r="L43" s="328">
        <f>L$36*$C43</f>
        <v>4488</v>
      </c>
      <c r="M43" s="328">
        <f t="shared" si="2"/>
        <v>4554</v>
      </c>
      <c r="N43" s="328">
        <f>N$36*$C43</f>
        <v>4620</v>
      </c>
      <c r="O43" s="328">
        <f>O$36*$C43</f>
        <v>4686</v>
      </c>
      <c r="P43" s="328">
        <f t="shared" si="2"/>
        <v>4752</v>
      </c>
      <c r="Q43" s="328">
        <f>Q$36*$C43</f>
        <v>4818</v>
      </c>
      <c r="R43" s="328">
        <f>R$36*$C43</f>
        <v>4884</v>
      </c>
      <c r="S43" s="328">
        <f t="shared" si="2"/>
        <v>4950</v>
      </c>
    </row>
    <row r="44" spans="2:19">
      <c r="C44" s="328">
        <v>67</v>
      </c>
      <c r="D44" s="328">
        <f t="shared" si="0"/>
        <v>4020</v>
      </c>
      <c r="E44" s="328">
        <f t="shared" si="2"/>
        <v>4087</v>
      </c>
      <c r="F44" s="328">
        <f t="shared" si="2"/>
        <v>4154</v>
      </c>
      <c r="G44" s="328">
        <f t="shared" si="2"/>
        <v>4221</v>
      </c>
      <c r="H44" s="328">
        <f t="shared" si="2"/>
        <v>4288</v>
      </c>
      <c r="I44" s="328">
        <f t="shared" si="2"/>
        <v>4355</v>
      </c>
      <c r="J44" s="328">
        <f t="shared" si="2"/>
        <v>4422</v>
      </c>
      <c r="K44" s="328">
        <f>K$36*$C44</f>
        <v>4489</v>
      </c>
      <c r="L44" s="328">
        <f t="shared" si="2"/>
        <v>4556</v>
      </c>
      <c r="M44" s="328">
        <f t="shared" si="2"/>
        <v>4623</v>
      </c>
      <c r="N44" s="328">
        <f>N$36*$C44</f>
        <v>4690</v>
      </c>
      <c r="O44" s="328">
        <f t="shared" si="2"/>
        <v>4757</v>
      </c>
      <c r="P44" s="328">
        <f t="shared" si="2"/>
        <v>4824</v>
      </c>
      <c r="Q44" s="328">
        <f>Q$36*$C44</f>
        <v>4891</v>
      </c>
      <c r="R44" s="328">
        <f t="shared" si="2"/>
        <v>4958</v>
      </c>
      <c r="S44" s="328">
        <f t="shared" si="2"/>
        <v>5025</v>
      </c>
    </row>
    <row r="45" spans="2:19">
      <c r="C45" s="328">
        <v>68</v>
      </c>
      <c r="D45" s="328">
        <f t="shared" si="0"/>
        <v>4080</v>
      </c>
      <c r="E45" s="328">
        <f t="shared" si="2"/>
        <v>4148</v>
      </c>
      <c r="F45" s="328">
        <f t="shared" si="2"/>
        <v>4216</v>
      </c>
      <c r="G45" s="328">
        <f t="shared" si="2"/>
        <v>4284</v>
      </c>
      <c r="H45" s="328">
        <f t="shared" si="2"/>
        <v>4352</v>
      </c>
      <c r="I45" s="328">
        <f t="shared" si="2"/>
        <v>4420</v>
      </c>
      <c r="J45" s="328">
        <f t="shared" si="2"/>
        <v>4488</v>
      </c>
      <c r="K45" s="328">
        <f t="shared" si="2"/>
        <v>4556</v>
      </c>
      <c r="L45" s="328">
        <f>L$36*$C45</f>
        <v>4624</v>
      </c>
      <c r="M45" s="328">
        <f t="shared" si="2"/>
        <v>4692</v>
      </c>
      <c r="N45" s="328">
        <f t="shared" si="2"/>
        <v>4760</v>
      </c>
      <c r="O45" s="328">
        <f>O$36*$C45</f>
        <v>4828</v>
      </c>
      <c r="P45" s="328">
        <f t="shared" si="2"/>
        <v>4896</v>
      </c>
      <c r="Q45" s="328">
        <f t="shared" si="2"/>
        <v>4964</v>
      </c>
      <c r="R45" s="328">
        <f>R$36*$C45</f>
        <v>5032</v>
      </c>
      <c r="S45" s="328">
        <f t="shared" si="2"/>
        <v>5100</v>
      </c>
    </row>
    <row r="46" spans="2:19">
      <c r="C46" s="328">
        <v>69</v>
      </c>
      <c r="D46" s="328">
        <f t="shared" si="0"/>
        <v>4140</v>
      </c>
      <c r="E46" s="328">
        <f t="shared" si="2"/>
        <v>4209</v>
      </c>
      <c r="F46" s="328">
        <f t="shared" si="2"/>
        <v>4278</v>
      </c>
      <c r="G46" s="328">
        <f t="shared" si="2"/>
        <v>4347</v>
      </c>
      <c r="H46" s="328">
        <f t="shared" si="2"/>
        <v>4416</v>
      </c>
      <c r="I46" s="328">
        <f t="shared" si="2"/>
        <v>4485</v>
      </c>
      <c r="J46" s="328">
        <f t="shared" si="2"/>
        <v>4554</v>
      </c>
      <c r="K46" s="328">
        <f>K$36*$C46</f>
        <v>4623</v>
      </c>
      <c r="L46" s="328">
        <f t="shared" si="2"/>
        <v>4692</v>
      </c>
      <c r="M46" s="328">
        <f t="shared" si="2"/>
        <v>4761</v>
      </c>
      <c r="N46" s="328">
        <f t="shared" si="2"/>
        <v>4830</v>
      </c>
      <c r="O46" s="328">
        <f>O$36*$C46</f>
        <v>4899</v>
      </c>
      <c r="P46" s="328">
        <f t="shared" si="2"/>
        <v>4968</v>
      </c>
      <c r="Q46" s="328">
        <f t="shared" si="2"/>
        <v>5037</v>
      </c>
      <c r="R46" s="328">
        <f t="shared" si="2"/>
        <v>5106</v>
      </c>
      <c r="S46" s="328">
        <f>S$36*$C46</f>
        <v>5175</v>
      </c>
    </row>
    <row r="47" spans="2:19">
      <c r="C47" s="328">
        <v>70</v>
      </c>
      <c r="D47" s="328">
        <f t="shared" si="0"/>
        <v>4200</v>
      </c>
      <c r="E47" s="328">
        <f t="shared" si="2"/>
        <v>4270</v>
      </c>
      <c r="F47" s="328">
        <f t="shared" si="2"/>
        <v>4340</v>
      </c>
      <c r="G47" s="328">
        <f t="shared" si="2"/>
        <v>4410</v>
      </c>
      <c r="H47" s="328">
        <f t="shared" si="2"/>
        <v>4480</v>
      </c>
      <c r="I47" s="328">
        <f t="shared" si="2"/>
        <v>4550</v>
      </c>
      <c r="J47" s="328">
        <f t="shared" si="2"/>
        <v>4620</v>
      </c>
      <c r="K47" s="328">
        <f>K$36*$C47</f>
        <v>4690</v>
      </c>
      <c r="L47" s="328">
        <f>L$36*$C47</f>
        <v>4760</v>
      </c>
      <c r="M47" s="328">
        <f t="shared" si="2"/>
        <v>4830</v>
      </c>
      <c r="N47" s="328">
        <f t="shared" si="2"/>
        <v>4900</v>
      </c>
      <c r="O47" s="328">
        <f>O$36*$C47</f>
        <v>4970</v>
      </c>
      <c r="P47" s="328">
        <f>P$36*$C47</f>
        <v>5040</v>
      </c>
      <c r="Q47" s="328">
        <f t="shared" si="2"/>
        <v>5110</v>
      </c>
      <c r="R47" s="328">
        <f t="shared" si="2"/>
        <v>5180</v>
      </c>
      <c r="S47" s="328">
        <f>S$36*$C47</f>
        <v>5250</v>
      </c>
    </row>
    <row r="48" spans="2:19">
      <c r="C48" s="328">
        <v>71</v>
      </c>
      <c r="D48" s="328">
        <f t="shared" si="0"/>
        <v>4260</v>
      </c>
      <c r="E48" s="328">
        <f t="shared" si="2"/>
        <v>4331</v>
      </c>
      <c r="F48" s="328">
        <f t="shared" si="2"/>
        <v>4402</v>
      </c>
      <c r="G48" s="328">
        <f t="shared" si="2"/>
        <v>4473</v>
      </c>
      <c r="H48" s="328">
        <f t="shared" si="2"/>
        <v>4544</v>
      </c>
      <c r="I48" s="328">
        <f t="shared" si="2"/>
        <v>4615</v>
      </c>
      <c r="J48" s="328">
        <f t="shared" si="2"/>
        <v>4686</v>
      </c>
      <c r="K48" s="328">
        <f t="shared" si="2"/>
        <v>4757</v>
      </c>
      <c r="L48" s="328">
        <f t="shared" si="2"/>
        <v>4828</v>
      </c>
      <c r="M48" s="328">
        <f t="shared" si="2"/>
        <v>4899</v>
      </c>
      <c r="N48" s="328">
        <f t="shared" si="2"/>
        <v>4970</v>
      </c>
      <c r="O48" s="328">
        <f t="shared" si="2"/>
        <v>5041</v>
      </c>
      <c r="P48" s="328">
        <f t="shared" si="2"/>
        <v>5112</v>
      </c>
      <c r="Q48" s="328">
        <f t="shared" si="2"/>
        <v>5183</v>
      </c>
      <c r="R48" s="328">
        <f t="shared" si="2"/>
        <v>5254</v>
      </c>
      <c r="S48" s="328">
        <f t="shared" si="2"/>
        <v>5325</v>
      </c>
    </row>
    <row r="49" spans="3:19">
      <c r="C49" s="328">
        <v>72</v>
      </c>
      <c r="D49" s="328">
        <f t="shared" si="0"/>
        <v>4320</v>
      </c>
      <c r="E49" s="328">
        <f t="shared" si="2"/>
        <v>4392</v>
      </c>
      <c r="F49" s="328">
        <f t="shared" si="2"/>
        <v>4464</v>
      </c>
      <c r="G49" s="328">
        <f t="shared" si="2"/>
        <v>4536</v>
      </c>
      <c r="H49" s="328">
        <f t="shared" si="2"/>
        <v>4608</v>
      </c>
      <c r="I49" s="328">
        <f t="shared" si="2"/>
        <v>4680</v>
      </c>
      <c r="J49" s="328">
        <f t="shared" si="2"/>
        <v>4752</v>
      </c>
      <c r="K49" s="328">
        <f>K$36*$C49</f>
        <v>4824</v>
      </c>
      <c r="L49" s="328">
        <f>L$36*$C49</f>
        <v>4896</v>
      </c>
      <c r="M49" s="328">
        <f t="shared" si="2"/>
        <v>4968</v>
      </c>
      <c r="N49" s="328">
        <f t="shared" si="2"/>
        <v>5040</v>
      </c>
      <c r="O49" s="328">
        <f>O$36*$C49</f>
        <v>5112</v>
      </c>
      <c r="P49" s="328">
        <f>P$36*$C49</f>
        <v>5184</v>
      </c>
      <c r="Q49" s="328">
        <f t="shared" si="2"/>
        <v>5256</v>
      </c>
      <c r="R49" s="328">
        <f t="shared" si="2"/>
        <v>5328</v>
      </c>
      <c r="S49" s="328">
        <f>S$36*$C49</f>
        <v>5400</v>
      </c>
    </row>
    <row r="50" spans="3:19">
      <c r="C50" s="328">
        <v>73</v>
      </c>
      <c r="D50" s="328">
        <f t="shared" si="0"/>
        <v>4380</v>
      </c>
      <c r="E50" s="328">
        <f t="shared" si="2"/>
        <v>4453</v>
      </c>
      <c r="F50" s="328">
        <f t="shared" si="2"/>
        <v>4526</v>
      </c>
      <c r="G50" s="328">
        <f t="shared" si="2"/>
        <v>4599</v>
      </c>
      <c r="H50" s="328">
        <f t="shared" si="2"/>
        <v>4672</v>
      </c>
      <c r="I50" s="328">
        <f t="shared" si="2"/>
        <v>4745</v>
      </c>
      <c r="J50" s="328">
        <f t="shared" si="2"/>
        <v>4818</v>
      </c>
      <c r="K50" s="328">
        <f>K$36*$C50</f>
        <v>4891</v>
      </c>
      <c r="L50" s="328">
        <f t="shared" si="2"/>
        <v>4964</v>
      </c>
      <c r="M50" s="328">
        <f t="shared" si="2"/>
        <v>5037</v>
      </c>
      <c r="N50" s="328">
        <f t="shared" si="2"/>
        <v>5110</v>
      </c>
      <c r="O50" s="328">
        <f>O$36*$C50</f>
        <v>5183</v>
      </c>
      <c r="P50" s="328">
        <f t="shared" si="2"/>
        <v>5256</v>
      </c>
      <c r="Q50" s="328">
        <f t="shared" si="2"/>
        <v>5329</v>
      </c>
      <c r="R50" s="328">
        <f t="shared" si="2"/>
        <v>5402</v>
      </c>
      <c r="S50" s="328">
        <f>S$36*$C50</f>
        <v>5475</v>
      </c>
    </row>
    <row r="51" spans="3:19">
      <c r="C51" s="328">
        <v>74</v>
      </c>
      <c r="D51" s="328">
        <f t="shared" si="0"/>
        <v>4440</v>
      </c>
      <c r="E51" s="328">
        <f t="shared" si="2"/>
        <v>4514</v>
      </c>
      <c r="F51" s="328">
        <f t="shared" si="2"/>
        <v>4588</v>
      </c>
      <c r="G51" s="328">
        <f t="shared" si="2"/>
        <v>4662</v>
      </c>
      <c r="H51" s="328">
        <f t="shared" si="2"/>
        <v>4736</v>
      </c>
      <c r="I51" s="328">
        <f t="shared" si="2"/>
        <v>4810</v>
      </c>
      <c r="J51" s="328">
        <f t="shared" si="2"/>
        <v>4884</v>
      </c>
      <c r="K51" s="328">
        <f t="shared" si="2"/>
        <v>4958</v>
      </c>
      <c r="L51" s="328">
        <f>L$36*$C51</f>
        <v>5032</v>
      </c>
      <c r="M51" s="328">
        <f t="shared" si="2"/>
        <v>5106</v>
      </c>
      <c r="N51" s="328">
        <f t="shared" si="2"/>
        <v>5180</v>
      </c>
      <c r="O51" s="328">
        <f t="shared" si="2"/>
        <v>5254</v>
      </c>
      <c r="P51" s="328">
        <f>P$36*$C51</f>
        <v>5328</v>
      </c>
      <c r="Q51" s="328">
        <f t="shared" si="2"/>
        <v>5402</v>
      </c>
      <c r="R51" s="328">
        <f t="shared" si="2"/>
        <v>5476</v>
      </c>
      <c r="S51" s="328">
        <f t="shared" si="2"/>
        <v>5550</v>
      </c>
    </row>
    <row r="52" spans="3:19">
      <c r="C52" s="328">
        <v>75</v>
      </c>
      <c r="D52" s="328">
        <f t="shared" si="0"/>
        <v>4500</v>
      </c>
      <c r="E52" s="328">
        <f t="shared" si="2"/>
        <v>4575</v>
      </c>
      <c r="F52" s="328">
        <f t="shared" si="2"/>
        <v>4650</v>
      </c>
      <c r="G52" s="328">
        <f t="shared" si="2"/>
        <v>4725</v>
      </c>
      <c r="H52" s="328">
        <f t="shared" si="2"/>
        <v>4800</v>
      </c>
      <c r="I52" s="328">
        <f t="shared" si="2"/>
        <v>4875</v>
      </c>
      <c r="J52" s="328">
        <f t="shared" si="2"/>
        <v>4950</v>
      </c>
      <c r="K52" s="328">
        <f>K$36*$C52</f>
        <v>5025</v>
      </c>
      <c r="L52" s="328">
        <f t="shared" si="2"/>
        <v>5100</v>
      </c>
      <c r="M52" s="328">
        <f t="shared" si="2"/>
        <v>5175</v>
      </c>
      <c r="N52" s="328">
        <f t="shared" si="2"/>
        <v>5250</v>
      </c>
      <c r="O52" s="328">
        <f>O$36*$C52</f>
        <v>5325</v>
      </c>
      <c r="P52" s="328">
        <f t="shared" si="2"/>
        <v>5400</v>
      </c>
      <c r="Q52" s="328">
        <f t="shared" si="2"/>
        <v>5475</v>
      </c>
      <c r="R52" s="328">
        <f t="shared" si="2"/>
        <v>5550</v>
      </c>
      <c r="S52" s="328">
        <f>S$36*$C52</f>
        <v>5625</v>
      </c>
    </row>
  </sheetData>
  <mergeCells count="4">
    <mergeCell ref="B1:D1"/>
    <mergeCell ref="E3:G3"/>
    <mergeCell ref="C4:D4"/>
    <mergeCell ref="E35:F35"/>
  </mergeCell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Worksheet______241">
    <tabColor indexed="55"/>
  </sheetPr>
  <dimension ref="B1:T44"/>
  <sheetViews>
    <sheetView rightToLeft="1" workbookViewId="0"/>
  </sheetViews>
  <sheetFormatPr defaultRowHeight="12.75"/>
  <cols>
    <col min="1" max="1" width="9.140625" style="571"/>
    <col min="2" max="3" width="13.42578125" style="571" customWidth="1"/>
    <col min="4" max="12" width="13.85546875" style="571" customWidth="1"/>
    <col min="13" max="13" width="15.42578125" style="571" customWidth="1"/>
    <col min="14" max="17" width="9.140625" style="571"/>
    <col min="18" max="18" width="11.7109375" style="571" customWidth="1"/>
    <col min="19" max="19" width="14" style="571" customWidth="1"/>
    <col min="20" max="16384" width="9.140625" style="571"/>
  </cols>
  <sheetData>
    <row r="1" spans="2:12">
      <c r="E1" s="575"/>
      <c r="F1" s="576"/>
      <c r="G1" s="577"/>
    </row>
    <row r="4" spans="2:12" ht="25.5" customHeight="1">
      <c r="F4" s="578">
        <f>'[1]נתוני יסוד'!B4</f>
        <v>0</v>
      </c>
      <c r="G4" s="577">
        <v>31503</v>
      </c>
      <c r="H4" s="577">
        <v>33664</v>
      </c>
      <c r="I4" s="577">
        <v>34335</v>
      </c>
      <c r="J4" s="577">
        <v>34486</v>
      </c>
      <c r="K4" s="577">
        <v>36557</v>
      </c>
      <c r="L4" s="577">
        <v>36708</v>
      </c>
    </row>
    <row r="5" spans="2:12" ht="25.5" customHeight="1" thickBot="1">
      <c r="B5" s="571" t="s">
        <v>751</v>
      </c>
      <c r="C5" s="571" t="s">
        <v>752</v>
      </c>
      <c r="D5" s="579" t="s">
        <v>753</v>
      </c>
      <c r="E5" s="579" t="s">
        <v>754</v>
      </c>
      <c r="F5" s="580">
        <v>31502</v>
      </c>
      <c r="G5" s="580">
        <v>33663</v>
      </c>
      <c r="H5" s="580">
        <v>34334</v>
      </c>
      <c r="I5" s="580">
        <v>34485</v>
      </c>
      <c r="J5" s="580">
        <v>36556</v>
      </c>
      <c r="K5" s="580">
        <v>36707</v>
      </c>
      <c r="L5" s="581">
        <f>'[1]נתוני יסוד'!B6</f>
        <v>45874.826249999998</v>
      </c>
    </row>
    <row r="6" spans="2:12" ht="13.5" thickBot="1">
      <c r="B6" s="571" t="s">
        <v>755</v>
      </c>
      <c r="C6" s="571">
        <v>1</v>
      </c>
      <c r="D6" s="582">
        <v>6753.35</v>
      </c>
      <c r="E6" s="576">
        <f>D6</f>
        <v>6753.35</v>
      </c>
      <c r="F6" s="576">
        <f>D6</f>
        <v>6753.35</v>
      </c>
      <c r="G6" s="576">
        <f>D6</f>
        <v>6753.35</v>
      </c>
      <c r="H6" s="576">
        <f>D6</f>
        <v>6753.35</v>
      </c>
      <c r="I6" s="576">
        <f>D6</f>
        <v>6753.35</v>
      </c>
      <c r="J6" s="576">
        <f>D6</f>
        <v>6753.35</v>
      </c>
      <c r="K6" s="576">
        <f>D6</f>
        <v>6753.35</v>
      </c>
      <c r="L6" s="576">
        <f>D6</f>
        <v>6753.35</v>
      </c>
    </row>
    <row r="7" spans="2:12" ht="13.5" thickBot="1">
      <c r="B7" s="571" t="s">
        <v>756</v>
      </c>
      <c r="C7" s="571">
        <v>14</v>
      </c>
      <c r="D7" s="583">
        <v>496.45</v>
      </c>
      <c r="E7" s="576">
        <f>D7</f>
        <v>496.45</v>
      </c>
      <c r="F7" s="576">
        <f t="shared" ref="F7:L8" si="0">E7</f>
        <v>496.45</v>
      </c>
      <c r="G7" s="576">
        <f t="shared" si="0"/>
        <v>496.45</v>
      </c>
      <c r="H7" s="576">
        <f t="shared" si="0"/>
        <v>496.45</v>
      </c>
      <c r="I7" s="576">
        <f t="shared" si="0"/>
        <v>496.45</v>
      </c>
      <c r="J7" s="576">
        <f t="shared" si="0"/>
        <v>496.45</v>
      </c>
      <c r="K7" s="576">
        <f t="shared" si="0"/>
        <v>496.45</v>
      </c>
      <c r="L7" s="576">
        <f t="shared" si="0"/>
        <v>496.45</v>
      </c>
    </row>
    <row r="8" spans="2:12" ht="13.5" thickBot="1">
      <c r="B8" s="571" t="s">
        <v>757</v>
      </c>
      <c r="C8" s="571">
        <v>24</v>
      </c>
      <c r="D8" s="583">
        <v>154.53</v>
      </c>
      <c r="E8" s="576">
        <f>D8</f>
        <v>154.53</v>
      </c>
      <c r="F8" s="576">
        <f t="shared" si="0"/>
        <v>154.53</v>
      </c>
      <c r="G8" s="576">
        <f t="shared" si="0"/>
        <v>154.53</v>
      </c>
      <c r="H8" s="576">
        <f t="shared" si="0"/>
        <v>154.53</v>
      </c>
      <c r="I8" s="576">
        <f t="shared" si="0"/>
        <v>154.53</v>
      </c>
      <c r="J8" s="576">
        <f t="shared" si="0"/>
        <v>154.53</v>
      </c>
      <c r="K8" s="576">
        <f t="shared" si="0"/>
        <v>154.53</v>
      </c>
      <c r="L8" s="576">
        <f t="shared" si="0"/>
        <v>154.53</v>
      </c>
    </row>
    <row r="9" spans="2:12" ht="13.5" thickBot="1">
      <c r="B9" s="571" t="s">
        <v>758</v>
      </c>
      <c r="C9" s="571">
        <v>25</v>
      </c>
      <c r="D9" s="583">
        <v>3077.34</v>
      </c>
      <c r="E9" s="584">
        <v>2553.79</v>
      </c>
      <c r="F9" s="576">
        <f>D9</f>
        <v>3077.34</v>
      </c>
      <c r="G9" s="576">
        <f>F9</f>
        <v>3077.34</v>
      </c>
      <c r="H9" s="576">
        <v>0</v>
      </c>
      <c r="I9" s="576">
        <v>0</v>
      </c>
      <c r="J9" s="576">
        <v>0</v>
      </c>
      <c r="K9" s="576">
        <v>0</v>
      </c>
      <c r="L9" s="576">
        <v>0</v>
      </c>
    </row>
    <row r="10" spans="2:12" ht="13.5" thickBot="1">
      <c r="B10" s="571" t="s">
        <v>759</v>
      </c>
      <c r="C10" s="571">
        <v>29</v>
      </c>
      <c r="D10" s="583">
        <v>4220.8500000000004</v>
      </c>
      <c r="E10" s="576">
        <f>D10</f>
        <v>4220.8500000000004</v>
      </c>
      <c r="F10" s="576">
        <f t="shared" ref="F10:L10" si="1">E10</f>
        <v>4220.8500000000004</v>
      </c>
      <c r="G10" s="576">
        <f t="shared" si="1"/>
        <v>4220.8500000000004</v>
      </c>
      <c r="H10" s="576">
        <f t="shared" si="1"/>
        <v>4220.8500000000004</v>
      </c>
      <c r="I10" s="576">
        <f t="shared" si="1"/>
        <v>4220.8500000000004</v>
      </c>
      <c r="J10" s="576">
        <f t="shared" si="1"/>
        <v>4220.8500000000004</v>
      </c>
      <c r="K10" s="576">
        <f t="shared" si="1"/>
        <v>4220.8500000000004</v>
      </c>
      <c r="L10" s="576">
        <f t="shared" si="1"/>
        <v>4220.8500000000004</v>
      </c>
    </row>
    <row r="11" spans="2:12" ht="13.5" thickBot="1">
      <c r="B11" s="571" t="s">
        <v>760</v>
      </c>
      <c r="C11" s="571">
        <v>50</v>
      </c>
      <c r="D11" s="583">
        <v>240.26</v>
      </c>
      <c r="E11" s="576">
        <f>D11</f>
        <v>240.26</v>
      </c>
      <c r="F11" s="576">
        <f>E11</f>
        <v>240.26</v>
      </c>
      <c r="G11" s="576">
        <f>F11</f>
        <v>240.26</v>
      </c>
      <c r="H11" s="576">
        <f>G11</f>
        <v>240.26</v>
      </c>
      <c r="I11" s="576">
        <v>0</v>
      </c>
      <c r="J11" s="576">
        <v>0</v>
      </c>
      <c r="K11" s="576">
        <v>0</v>
      </c>
      <c r="L11" s="576">
        <v>0</v>
      </c>
    </row>
    <row r="12" spans="2:12" ht="13.5" thickBot="1">
      <c r="B12" s="571" t="s">
        <v>761</v>
      </c>
      <c r="C12" s="571">
        <v>56</v>
      </c>
      <c r="D12" s="583">
        <v>4293.5</v>
      </c>
      <c r="E12" s="576">
        <f>D12</f>
        <v>4293.5</v>
      </c>
      <c r="F12" s="576">
        <f>E12</f>
        <v>4293.5</v>
      </c>
      <c r="G12" s="576">
        <v>0</v>
      </c>
      <c r="H12" s="576">
        <v>0</v>
      </c>
      <c r="I12" s="576">
        <v>0</v>
      </c>
      <c r="J12" s="576">
        <v>0</v>
      </c>
      <c r="K12" s="576">
        <v>0</v>
      </c>
      <c r="L12" s="576">
        <v>0</v>
      </c>
    </row>
    <row r="13" spans="2:12" ht="13.5" thickBot="1">
      <c r="B13" s="571" t="s">
        <v>762</v>
      </c>
      <c r="C13" s="571">
        <v>57</v>
      </c>
      <c r="D13" s="583">
        <v>858.7</v>
      </c>
      <c r="E13" s="576">
        <v>0</v>
      </c>
      <c r="F13" s="576">
        <f>D13</f>
        <v>858.7</v>
      </c>
      <c r="G13" s="576">
        <v>0</v>
      </c>
      <c r="H13" s="576">
        <v>0</v>
      </c>
      <c r="I13" s="576">
        <v>0</v>
      </c>
      <c r="J13" s="576">
        <v>0</v>
      </c>
      <c r="K13" s="576">
        <v>0</v>
      </c>
      <c r="L13" s="576">
        <v>0</v>
      </c>
    </row>
    <row r="14" spans="2:12" ht="13.5" thickBot="1">
      <c r="B14" s="571" t="s">
        <v>763</v>
      </c>
      <c r="C14" s="571">
        <v>61</v>
      </c>
      <c r="D14" s="583">
        <v>2373.09</v>
      </c>
      <c r="E14" s="576">
        <v>0</v>
      </c>
      <c r="F14" s="576">
        <f>D14</f>
        <v>2373.09</v>
      </c>
      <c r="G14" s="576">
        <f>D14</f>
        <v>2373.09</v>
      </c>
      <c r="H14" s="576">
        <f>F14</f>
        <v>2373.09</v>
      </c>
      <c r="I14" s="576">
        <f>G14</f>
        <v>2373.09</v>
      </c>
      <c r="J14" s="576">
        <f>H14</f>
        <v>2373.09</v>
      </c>
      <c r="K14" s="576">
        <v>0</v>
      </c>
      <c r="L14" s="576">
        <v>0</v>
      </c>
    </row>
    <row r="15" spans="2:12" ht="13.5" thickBot="1">
      <c r="B15" s="41"/>
      <c r="C15" s="41"/>
      <c r="D15" s="585"/>
      <c r="E15" s="584"/>
      <c r="F15" s="584"/>
      <c r="G15" s="584"/>
      <c r="H15" s="584"/>
      <c r="I15" s="584"/>
      <c r="J15" s="584"/>
      <c r="K15" s="584"/>
      <c r="L15" s="584"/>
    </row>
    <row r="16" spans="2:12" ht="13.5" thickBot="1">
      <c r="B16" s="41"/>
      <c r="C16" s="41"/>
      <c r="D16" s="585"/>
      <c r="E16" s="584"/>
      <c r="F16" s="584"/>
      <c r="G16" s="584"/>
      <c r="H16" s="584"/>
      <c r="I16" s="584"/>
      <c r="J16" s="584"/>
      <c r="K16" s="584"/>
      <c r="L16" s="584"/>
    </row>
    <row r="17" spans="2:19" ht="13.5" thickBot="1">
      <c r="B17" s="41"/>
      <c r="C17" s="41"/>
      <c r="D17" s="585"/>
      <c r="E17" s="584"/>
      <c r="F17" s="584"/>
      <c r="G17" s="584"/>
      <c r="H17" s="584"/>
      <c r="I17" s="584"/>
      <c r="J17" s="584"/>
      <c r="K17" s="584"/>
      <c r="L17" s="584"/>
    </row>
    <row r="18" spans="2:19" ht="13.5" thickBot="1">
      <c r="B18" s="41"/>
      <c r="C18" s="41"/>
      <c r="D18" s="585"/>
      <c r="E18" s="584"/>
      <c r="F18" s="584"/>
      <c r="G18" s="584"/>
      <c r="H18" s="584"/>
      <c r="I18" s="584"/>
      <c r="J18" s="584"/>
      <c r="K18" s="584"/>
      <c r="L18" s="584"/>
    </row>
    <row r="19" spans="2:19" ht="13.5" thickBot="1">
      <c r="B19" s="41"/>
      <c r="C19" s="41"/>
      <c r="D19" s="585"/>
      <c r="E19" s="584"/>
      <c r="F19" s="584"/>
      <c r="G19" s="584"/>
      <c r="H19" s="584"/>
      <c r="I19" s="584"/>
      <c r="J19" s="584"/>
      <c r="K19" s="584"/>
      <c r="L19" s="584"/>
    </row>
    <row r="20" spans="2:19" ht="13.5" thickBot="1">
      <c r="B20" s="571" t="s">
        <v>764</v>
      </c>
      <c r="C20" s="571">
        <v>68</v>
      </c>
      <c r="D20" s="583">
        <v>7999.07</v>
      </c>
      <c r="E20" s="576">
        <f>D20</f>
        <v>7999.07</v>
      </c>
      <c r="F20" s="576">
        <f>E20</f>
        <v>7999.07</v>
      </c>
      <c r="G20" s="576">
        <f>F20</f>
        <v>7999.07</v>
      </c>
      <c r="H20" s="576">
        <f>G20</f>
        <v>7999.07</v>
      </c>
      <c r="I20" s="576">
        <f>H20</f>
        <v>7999.07</v>
      </c>
      <c r="J20" s="576">
        <f>D20*0.536546123</f>
        <v>4291.86999610561</v>
      </c>
      <c r="K20" s="576">
        <f>E20*0.536546123</f>
        <v>4291.86999610561</v>
      </c>
      <c r="L20" s="576">
        <f>F20*0.536546123</f>
        <v>4291.86999610561</v>
      </c>
    </row>
    <row r="21" spans="2:19" ht="13.5" thickBot="1">
      <c r="B21" s="571" t="s">
        <v>765</v>
      </c>
      <c r="C21" s="571">
        <v>80</v>
      </c>
      <c r="D21" s="583">
        <v>2035.6</v>
      </c>
      <c r="E21" s="576">
        <f>D21</f>
        <v>2035.6</v>
      </c>
      <c r="F21" s="576">
        <v>0</v>
      </c>
      <c r="G21" s="576">
        <v>0</v>
      </c>
      <c r="H21" s="576">
        <v>0</v>
      </c>
      <c r="I21" s="576">
        <v>0</v>
      </c>
      <c r="J21" s="576">
        <v>0</v>
      </c>
      <c r="K21" s="576">
        <v>0</v>
      </c>
      <c r="L21" s="576">
        <v>0</v>
      </c>
    </row>
    <row r="22" spans="2:19" ht="13.5" thickBot="1">
      <c r="B22" s="571" t="s">
        <v>766</v>
      </c>
      <c r="C22" s="571">
        <v>227</v>
      </c>
      <c r="D22" s="583">
        <v>1000</v>
      </c>
      <c r="E22" s="576">
        <f>D22</f>
        <v>1000</v>
      </c>
      <c r="F22" s="576">
        <f t="shared" ref="F22:K22" si="2">E22</f>
        <v>1000</v>
      </c>
      <c r="G22" s="576">
        <f t="shared" si="2"/>
        <v>1000</v>
      </c>
      <c r="H22" s="576">
        <f t="shared" si="2"/>
        <v>1000</v>
      </c>
      <c r="I22" s="576">
        <f t="shared" si="2"/>
        <v>1000</v>
      </c>
      <c r="J22" s="576">
        <f t="shared" si="2"/>
        <v>1000</v>
      </c>
      <c r="K22" s="576">
        <f t="shared" si="2"/>
        <v>1000</v>
      </c>
      <c r="L22" s="576">
        <v>0</v>
      </c>
    </row>
    <row r="23" spans="2:19" ht="13.5" thickBot="1">
      <c r="B23" s="41"/>
      <c r="C23" s="586"/>
      <c r="D23" s="583"/>
      <c r="E23" s="584"/>
      <c r="F23" s="584"/>
      <c r="G23" s="584"/>
      <c r="H23" s="584"/>
      <c r="I23" s="584"/>
      <c r="J23" s="584"/>
      <c r="K23" s="584"/>
      <c r="L23" s="584"/>
    </row>
    <row r="24" spans="2:19" ht="13.5" thickBot="1">
      <c r="B24" s="41"/>
      <c r="C24" s="586"/>
      <c r="D24" s="583"/>
      <c r="E24" s="584"/>
      <c r="F24" s="584"/>
      <c r="G24" s="584"/>
      <c r="H24" s="584"/>
      <c r="I24" s="584"/>
      <c r="J24" s="584"/>
      <c r="K24" s="584"/>
      <c r="L24" s="584"/>
    </row>
    <row r="25" spans="2:19" ht="13.5" thickBot="1">
      <c r="B25" s="587"/>
      <c r="C25" s="588"/>
      <c r="D25" s="589"/>
      <c r="E25" s="584"/>
      <c r="F25" s="584"/>
      <c r="G25" s="584"/>
      <c r="H25" s="584"/>
      <c r="I25" s="584"/>
      <c r="J25" s="584"/>
      <c r="K25" s="584"/>
      <c r="L25" s="584"/>
    </row>
    <row r="26" spans="2:19">
      <c r="B26" s="571" t="s">
        <v>767</v>
      </c>
      <c r="D26" s="590">
        <f t="shared" ref="D26:L26" si="3">SUM(D6:D25)</f>
        <v>33502.74</v>
      </c>
      <c r="E26" s="590">
        <f t="shared" si="3"/>
        <v>29747.399999999998</v>
      </c>
      <c r="F26" s="590">
        <f t="shared" si="3"/>
        <v>31467.14</v>
      </c>
      <c r="G26" s="590">
        <f t="shared" si="3"/>
        <v>26314.940000000002</v>
      </c>
      <c r="H26" s="590">
        <f t="shared" si="3"/>
        <v>23237.599999999999</v>
      </c>
      <c r="I26" s="590">
        <f t="shared" si="3"/>
        <v>22997.34</v>
      </c>
      <c r="J26" s="590">
        <f t="shared" si="3"/>
        <v>19290.139996105609</v>
      </c>
      <c r="K26" s="590">
        <f t="shared" si="3"/>
        <v>16917.049996105612</v>
      </c>
      <c r="L26" s="590">
        <f t="shared" si="3"/>
        <v>15917.04999610561</v>
      </c>
    </row>
    <row r="28" spans="2:19">
      <c r="B28" s="571" t="s">
        <v>768</v>
      </c>
      <c r="C28" s="571">
        <v>135</v>
      </c>
      <c r="D28" s="41">
        <v>587.5</v>
      </c>
      <c r="E28" s="591">
        <v>587.5</v>
      </c>
      <c r="F28" s="591">
        <v>587.5</v>
      </c>
      <c r="G28" s="591">
        <v>587.5</v>
      </c>
      <c r="H28" s="591">
        <v>587.5</v>
      </c>
      <c r="I28" s="591">
        <v>587.5</v>
      </c>
      <c r="J28" s="591">
        <v>587.5</v>
      </c>
      <c r="K28" s="591">
        <v>587.5</v>
      </c>
      <c r="L28" s="591">
        <v>587.5</v>
      </c>
      <c r="R28" s="571" t="s">
        <v>769</v>
      </c>
      <c r="S28" s="576">
        <f>(S30-F4)/30.4375</f>
        <v>1201.0184804928131</v>
      </c>
    </row>
    <row r="29" spans="2:19" ht="13.5" thickBot="1"/>
    <row r="30" spans="2:19">
      <c r="B30" s="592" t="s">
        <v>238</v>
      </c>
      <c r="C30" s="592"/>
      <c r="D30" s="593">
        <f t="shared" ref="D30:L30" si="4">SUM(D26:D29)</f>
        <v>34090.239999999998</v>
      </c>
      <c r="E30" s="593">
        <f t="shared" si="4"/>
        <v>30334.899999999998</v>
      </c>
      <c r="F30" s="593">
        <f t="shared" si="4"/>
        <v>32054.639999999999</v>
      </c>
      <c r="G30" s="593">
        <f t="shared" si="4"/>
        <v>26902.440000000002</v>
      </c>
      <c r="H30" s="593">
        <f t="shared" si="4"/>
        <v>23825.1</v>
      </c>
      <c r="I30" s="593">
        <f t="shared" si="4"/>
        <v>23584.84</v>
      </c>
      <c r="J30" s="593">
        <f t="shared" si="4"/>
        <v>19877.639996105609</v>
      </c>
      <c r="K30" s="593">
        <f t="shared" si="4"/>
        <v>17504.549996105612</v>
      </c>
      <c r="L30" s="593">
        <f t="shared" si="4"/>
        <v>16504.549996105612</v>
      </c>
      <c r="R30" s="571" t="s">
        <v>770</v>
      </c>
      <c r="S30" s="35">
        <v>36556</v>
      </c>
    </row>
    <row r="31" spans="2:19">
      <c r="M31" s="571" t="s">
        <v>771</v>
      </c>
      <c r="R31" s="571">
        <v>2.5</v>
      </c>
      <c r="S31" s="576">
        <f>S28*2.5</f>
        <v>3002.5462012320327</v>
      </c>
    </row>
    <row r="32" spans="2:19" ht="25.5">
      <c r="B32" s="571" t="s">
        <v>772</v>
      </c>
      <c r="F32" s="594">
        <f>(F5-F4)</f>
        <v>31502</v>
      </c>
      <c r="G32" s="594">
        <f t="shared" ref="G32:L32" si="5">(G5-G4)</f>
        <v>2160</v>
      </c>
      <c r="H32" s="594">
        <f t="shared" si="5"/>
        <v>670</v>
      </c>
      <c r="I32" s="594">
        <f t="shared" si="5"/>
        <v>150</v>
      </c>
      <c r="J32" s="594">
        <f t="shared" si="5"/>
        <v>2070</v>
      </c>
      <c r="K32" s="594">
        <f t="shared" si="5"/>
        <v>150</v>
      </c>
      <c r="L32" s="594">
        <f t="shared" si="5"/>
        <v>9166.8262499999983</v>
      </c>
      <c r="M32" s="595">
        <f>SUM(F32:L32)/365.25</f>
        <v>125.58200205338808</v>
      </c>
      <c r="R32" s="571" t="s">
        <v>773</v>
      </c>
    </row>
    <row r="33" spans="2:20" ht="25.5">
      <c r="B33" s="571" t="s">
        <v>774</v>
      </c>
      <c r="F33" s="596">
        <v>531</v>
      </c>
      <c r="G33" s="596">
        <v>413</v>
      </c>
      <c r="H33" s="596"/>
      <c r="I33" s="596"/>
      <c r="J33" s="596">
        <v>31</v>
      </c>
      <c r="K33" s="596">
        <v>150</v>
      </c>
      <c r="L33" s="596">
        <v>540</v>
      </c>
      <c r="M33" s="595">
        <f>SUM(F33:L33)/365.25</f>
        <v>4.5585215605749489</v>
      </c>
      <c r="R33" s="576">
        <f>S31</f>
        <v>3002.5462012320327</v>
      </c>
      <c r="S33" s="571" t="s">
        <v>775</v>
      </c>
      <c r="T33" s="571" t="s">
        <v>776</v>
      </c>
    </row>
    <row r="34" spans="2:20" ht="25.5" customHeight="1">
      <c r="B34" s="571" t="s">
        <v>777</v>
      </c>
      <c r="F34" s="594">
        <f>F32-F33</f>
        <v>30971</v>
      </c>
      <c r="G34" s="594">
        <f t="shared" ref="G34:L34" si="6">G32-G33</f>
        <v>1747</v>
      </c>
      <c r="H34" s="594">
        <f t="shared" si="6"/>
        <v>670</v>
      </c>
      <c r="I34" s="594">
        <f t="shared" si="6"/>
        <v>150</v>
      </c>
      <c r="J34" s="594">
        <f t="shared" si="6"/>
        <v>2039</v>
      </c>
      <c r="K34" s="594">
        <f t="shared" si="6"/>
        <v>0</v>
      </c>
      <c r="L34" s="594">
        <f t="shared" si="6"/>
        <v>8626.8262499999983</v>
      </c>
      <c r="M34" s="595">
        <f>SUM(F34:L34)/365.25</f>
        <v>121.02348049281314</v>
      </c>
      <c r="R34" s="576">
        <f>SUM(F33:L33)/30.4375*2.5</f>
        <v>136.75564681724848</v>
      </c>
      <c r="S34" s="571" t="s">
        <v>778</v>
      </c>
      <c r="T34" s="571" t="s">
        <v>776</v>
      </c>
    </row>
    <row r="35" spans="2:20" ht="25.5" customHeight="1">
      <c r="B35" s="571" t="s">
        <v>779</v>
      </c>
      <c r="F35" s="597">
        <f>F34/365.25</f>
        <v>84.793976728268305</v>
      </c>
      <c r="G35" s="597">
        <f t="shared" ref="G35:L35" si="7">G34/365.25</f>
        <v>4.7830253251197812</v>
      </c>
      <c r="H35" s="597">
        <f t="shared" si="7"/>
        <v>1.8343600273785079</v>
      </c>
      <c r="I35" s="597">
        <f t="shared" si="7"/>
        <v>0.41067761806981518</v>
      </c>
      <c r="J35" s="597">
        <f t="shared" si="7"/>
        <v>5.5824777549623548</v>
      </c>
      <c r="K35" s="597">
        <f t="shared" si="7"/>
        <v>0</v>
      </c>
      <c r="L35" s="597">
        <f t="shared" si="7"/>
        <v>23.618963039014368</v>
      </c>
      <c r="M35" s="595">
        <f>SUM(F35:L35)</f>
        <v>121.02348049281312</v>
      </c>
      <c r="R35" s="576">
        <f>R33-R34</f>
        <v>2865.7905544147843</v>
      </c>
      <c r="S35" s="571" t="s">
        <v>780</v>
      </c>
      <c r="T35" s="571" t="s">
        <v>776</v>
      </c>
    </row>
    <row r="36" spans="2:20">
      <c r="B36" s="571" t="s">
        <v>781</v>
      </c>
      <c r="F36" s="571">
        <v>0.28000000000000003</v>
      </c>
      <c r="G36" s="571">
        <v>0.28000000000000003</v>
      </c>
      <c r="H36" s="571">
        <v>0.28000000000000003</v>
      </c>
      <c r="I36" s="571">
        <v>0.28000000000000003</v>
      </c>
      <c r="J36" s="571">
        <v>0.28000000000000003</v>
      </c>
      <c r="K36" s="571">
        <v>0.28000000000000003</v>
      </c>
      <c r="L36" s="571">
        <v>0.28000000000000003</v>
      </c>
      <c r="R36" s="422"/>
      <c r="S36" s="571" t="s">
        <v>452</v>
      </c>
    </row>
    <row r="37" spans="2:20">
      <c r="R37" s="576">
        <f>R35-R36</f>
        <v>2865.7905544147843</v>
      </c>
      <c r="S37" s="571" t="s">
        <v>782</v>
      </c>
    </row>
    <row r="38" spans="2:20">
      <c r="B38" s="571" t="s">
        <v>272</v>
      </c>
      <c r="F38" s="576">
        <f>F30*F35*F36</f>
        <v>761051.31149404531</v>
      </c>
      <c r="G38" s="576">
        <f t="shared" ref="G38:L38" si="8">G30*G35*G36</f>
        <v>36029.014511704321</v>
      </c>
      <c r="H38" s="576">
        <f t="shared" si="8"/>
        <v>12237.067104722792</v>
      </c>
      <c r="I38" s="576">
        <f t="shared" si="8"/>
        <v>2712.0144558521561</v>
      </c>
      <c r="J38" s="576">
        <f t="shared" si="8"/>
        <v>31070.615267834677</v>
      </c>
      <c r="K38" s="576">
        <f t="shared" si="8"/>
        <v>0</v>
      </c>
      <c r="L38" s="576">
        <f t="shared" si="8"/>
        <v>109149.69977340331</v>
      </c>
      <c r="M38" s="598">
        <f>SUM(F38:L38)</f>
        <v>952249.72260756255</v>
      </c>
    </row>
    <row r="40" spans="2:20">
      <c r="B40" s="571" t="s">
        <v>783</v>
      </c>
      <c r="D40" s="41">
        <v>887.59</v>
      </c>
      <c r="E40" s="599"/>
      <c r="M40" s="576">
        <f>(D40/30*D30)*0.32</f>
        <v>322753.66529706668</v>
      </c>
    </row>
    <row r="41" spans="2:20" ht="25.5">
      <c r="B41" s="571" t="s">
        <v>784</v>
      </c>
      <c r="D41" s="599"/>
      <c r="E41" s="41">
        <v>55.2</v>
      </c>
      <c r="M41" s="576">
        <f>(E41/30*E30)*0.32</f>
        <v>17861.189119999999</v>
      </c>
    </row>
    <row r="43" spans="2:20" ht="25.5">
      <c r="B43" s="571" t="s">
        <v>785</v>
      </c>
      <c r="M43" s="600">
        <f>SUM(M38:M42)</f>
        <v>1292864.5770246291</v>
      </c>
    </row>
    <row r="44" spans="2:20" ht="25.5">
      <c r="B44" s="571" t="s">
        <v>786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Worksheet______33"/>
  <dimension ref="B5:AJ247"/>
  <sheetViews>
    <sheetView rightToLeft="1" workbookViewId="0">
      <selection activeCell="B6" sqref="B6"/>
    </sheetView>
  </sheetViews>
  <sheetFormatPr defaultRowHeight="12.75"/>
  <sheetData>
    <row r="5" spans="2:36" ht="94.5">
      <c r="B5" s="994" t="s">
        <v>1102</v>
      </c>
      <c r="C5" s="4" t="s">
        <v>0</v>
      </c>
      <c r="D5" s="4" t="s">
        <v>1</v>
      </c>
      <c r="E5" s="4" t="s">
        <v>2</v>
      </c>
      <c r="F5" s="4" t="s">
        <v>37</v>
      </c>
      <c r="G5" s="4" t="s">
        <v>83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4" t="s">
        <v>103</v>
      </c>
      <c r="Q5" s="4" t="s">
        <v>11</v>
      </c>
      <c r="R5" s="4" t="s">
        <v>12</v>
      </c>
      <c r="S5" s="4" t="s">
        <v>349</v>
      </c>
      <c r="T5" s="4" t="s">
        <v>350</v>
      </c>
      <c r="U5" s="4" t="s">
        <v>351</v>
      </c>
      <c r="V5" s="4" t="s">
        <v>352</v>
      </c>
      <c r="W5" s="4" t="s">
        <v>353</v>
      </c>
      <c r="X5" s="4" t="s">
        <v>354</v>
      </c>
      <c r="Y5" s="4" t="s">
        <v>355</v>
      </c>
      <c r="Z5" s="4" t="s">
        <v>356</v>
      </c>
      <c r="AA5" s="4" t="s">
        <v>357</v>
      </c>
      <c r="AB5" s="4" t="s">
        <v>358</v>
      </c>
      <c r="AC5" s="4" t="s">
        <v>359</v>
      </c>
      <c r="AD5" s="4" t="s">
        <v>360</v>
      </c>
      <c r="AE5" s="4" t="s">
        <v>361</v>
      </c>
      <c r="AF5" s="4" t="s">
        <v>362</v>
      </c>
      <c r="AG5" s="4" t="s">
        <v>363</v>
      </c>
      <c r="AH5" s="4" t="s">
        <v>542</v>
      </c>
      <c r="AI5" s="4"/>
      <c r="AJ5" s="4" t="s">
        <v>170</v>
      </c>
    </row>
    <row r="6" spans="2:36">
      <c r="B6">
        <f>IF(C6&gt;0,1,0)</f>
        <v>0</v>
      </c>
    </row>
    <row r="7" spans="2:36">
      <c r="B7">
        <f>IF(C7&gt;0,B6+1,0)</f>
        <v>0</v>
      </c>
    </row>
    <row r="8" spans="2:36">
      <c r="B8">
        <f t="shared" ref="B8:B71" si="0">IF(C8&gt;0,B7+1,0)</f>
        <v>0</v>
      </c>
    </row>
    <row r="9" spans="2:36">
      <c r="B9">
        <f t="shared" si="0"/>
        <v>0</v>
      </c>
    </row>
    <row r="10" spans="2:36">
      <c r="B10">
        <f t="shared" si="0"/>
        <v>0</v>
      </c>
    </row>
    <row r="11" spans="2:36">
      <c r="B11">
        <f t="shared" si="0"/>
        <v>0</v>
      </c>
    </row>
    <row r="12" spans="2:36">
      <c r="B12">
        <f t="shared" si="0"/>
        <v>0</v>
      </c>
    </row>
    <row r="13" spans="2:36">
      <c r="B13">
        <f t="shared" si="0"/>
        <v>0</v>
      </c>
    </row>
    <row r="14" spans="2:36">
      <c r="B14">
        <f t="shared" si="0"/>
        <v>0</v>
      </c>
    </row>
    <row r="15" spans="2:36">
      <c r="B15">
        <f t="shared" si="0"/>
        <v>0</v>
      </c>
    </row>
    <row r="16" spans="2:36">
      <c r="B16">
        <f t="shared" si="0"/>
        <v>0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  <row r="39" spans="2:2">
      <c r="B39">
        <f t="shared" si="0"/>
        <v>0</v>
      </c>
    </row>
    <row r="40" spans="2:2">
      <c r="B40">
        <f t="shared" si="0"/>
        <v>0</v>
      </c>
    </row>
    <row r="41" spans="2:2">
      <c r="B41">
        <f t="shared" si="0"/>
        <v>0</v>
      </c>
    </row>
    <row r="42" spans="2:2">
      <c r="B42">
        <f t="shared" si="0"/>
        <v>0</v>
      </c>
    </row>
    <row r="43" spans="2:2">
      <c r="B43">
        <f t="shared" si="0"/>
        <v>0</v>
      </c>
    </row>
    <row r="44" spans="2:2">
      <c r="B44">
        <f t="shared" si="0"/>
        <v>0</v>
      </c>
    </row>
    <row r="45" spans="2:2">
      <c r="B45">
        <f t="shared" si="0"/>
        <v>0</v>
      </c>
    </row>
    <row r="46" spans="2:2">
      <c r="B46">
        <f t="shared" si="0"/>
        <v>0</v>
      </c>
    </row>
    <row r="47" spans="2:2">
      <c r="B47">
        <f t="shared" si="0"/>
        <v>0</v>
      </c>
    </row>
    <row r="48" spans="2:2">
      <c r="B48">
        <f t="shared" si="0"/>
        <v>0</v>
      </c>
    </row>
    <row r="49" spans="2:2">
      <c r="B49">
        <f t="shared" si="0"/>
        <v>0</v>
      </c>
    </row>
    <row r="50" spans="2:2">
      <c r="B50">
        <f t="shared" si="0"/>
        <v>0</v>
      </c>
    </row>
    <row r="51" spans="2:2">
      <c r="B51">
        <f t="shared" si="0"/>
        <v>0</v>
      </c>
    </row>
    <row r="52" spans="2:2">
      <c r="B52">
        <f t="shared" si="0"/>
        <v>0</v>
      </c>
    </row>
    <row r="53" spans="2:2">
      <c r="B53">
        <f t="shared" si="0"/>
        <v>0</v>
      </c>
    </row>
    <row r="54" spans="2:2">
      <c r="B54">
        <f t="shared" si="0"/>
        <v>0</v>
      </c>
    </row>
    <row r="55" spans="2:2">
      <c r="B55">
        <f t="shared" si="0"/>
        <v>0</v>
      </c>
    </row>
    <row r="56" spans="2:2">
      <c r="B56">
        <f t="shared" si="0"/>
        <v>0</v>
      </c>
    </row>
    <row r="57" spans="2:2">
      <c r="B57">
        <f t="shared" si="0"/>
        <v>0</v>
      </c>
    </row>
    <row r="58" spans="2:2">
      <c r="B58">
        <f t="shared" si="0"/>
        <v>0</v>
      </c>
    </row>
    <row r="59" spans="2:2">
      <c r="B59">
        <f t="shared" si="0"/>
        <v>0</v>
      </c>
    </row>
    <row r="60" spans="2:2">
      <c r="B60">
        <f t="shared" si="0"/>
        <v>0</v>
      </c>
    </row>
    <row r="61" spans="2:2">
      <c r="B61">
        <f t="shared" si="0"/>
        <v>0</v>
      </c>
    </row>
    <row r="62" spans="2:2">
      <c r="B62">
        <f t="shared" si="0"/>
        <v>0</v>
      </c>
    </row>
    <row r="63" spans="2:2">
      <c r="B63">
        <f t="shared" si="0"/>
        <v>0</v>
      </c>
    </row>
    <row r="64" spans="2:2">
      <c r="B64">
        <f t="shared" si="0"/>
        <v>0</v>
      </c>
    </row>
    <row r="65" spans="2:2">
      <c r="B65">
        <f t="shared" si="0"/>
        <v>0</v>
      </c>
    </row>
    <row r="66" spans="2:2">
      <c r="B66">
        <f t="shared" si="0"/>
        <v>0</v>
      </c>
    </row>
    <row r="67" spans="2:2">
      <c r="B67">
        <f t="shared" si="0"/>
        <v>0</v>
      </c>
    </row>
    <row r="68" spans="2:2">
      <c r="B68">
        <f t="shared" si="0"/>
        <v>0</v>
      </c>
    </row>
    <row r="69" spans="2:2">
      <c r="B69">
        <f t="shared" si="0"/>
        <v>0</v>
      </c>
    </row>
    <row r="70" spans="2:2">
      <c r="B70">
        <f t="shared" si="0"/>
        <v>0</v>
      </c>
    </row>
    <row r="71" spans="2:2">
      <c r="B71">
        <f t="shared" si="0"/>
        <v>0</v>
      </c>
    </row>
    <row r="72" spans="2:2">
      <c r="B72">
        <f t="shared" ref="B72:B135" si="1">IF(C72&gt;0,B71+1,0)</f>
        <v>0</v>
      </c>
    </row>
    <row r="73" spans="2:2">
      <c r="B73">
        <f t="shared" si="1"/>
        <v>0</v>
      </c>
    </row>
    <row r="74" spans="2:2">
      <c r="B74">
        <f t="shared" si="1"/>
        <v>0</v>
      </c>
    </row>
    <row r="75" spans="2:2">
      <c r="B75">
        <f t="shared" si="1"/>
        <v>0</v>
      </c>
    </row>
    <row r="76" spans="2:2">
      <c r="B76">
        <f t="shared" si="1"/>
        <v>0</v>
      </c>
    </row>
    <row r="77" spans="2:2">
      <c r="B77">
        <f t="shared" si="1"/>
        <v>0</v>
      </c>
    </row>
    <row r="78" spans="2:2">
      <c r="B78">
        <f t="shared" si="1"/>
        <v>0</v>
      </c>
    </row>
    <row r="79" spans="2:2">
      <c r="B79">
        <f t="shared" si="1"/>
        <v>0</v>
      </c>
    </row>
    <row r="80" spans="2:2">
      <c r="B80">
        <f t="shared" si="1"/>
        <v>0</v>
      </c>
    </row>
    <row r="81" spans="2:2">
      <c r="B81">
        <f t="shared" si="1"/>
        <v>0</v>
      </c>
    </row>
    <row r="82" spans="2:2">
      <c r="B82">
        <f t="shared" si="1"/>
        <v>0</v>
      </c>
    </row>
    <row r="83" spans="2:2">
      <c r="B83">
        <f t="shared" si="1"/>
        <v>0</v>
      </c>
    </row>
    <row r="84" spans="2:2">
      <c r="B84">
        <f t="shared" si="1"/>
        <v>0</v>
      </c>
    </row>
    <row r="85" spans="2:2">
      <c r="B85">
        <f t="shared" si="1"/>
        <v>0</v>
      </c>
    </row>
    <row r="86" spans="2:2">
      <c r="B86">
        <f t="shared" si="1"/>
        <v>0</v>
      </c>
    </row>
    <row r="87" spans="2:2">
      <c r="B87">
        <f t="shared" si="1"/>
        <v>0</v>
      </c>
    </row>
    <row r="88" spans="2:2">
      <c r="B88">
        <f t="shared" si="1"/>
        <v>0</v>
      </c>
    </row>
    <row r="89" spans="2:2">
      <c r="B89">
        <f t="shared" si="1"/>
        <v>0</v>
      </c>
    </row>
    <row r="90" spans="2:2">
      <c r="B90">
        <f t="shared" si="1"/>
        <v>0</v>
      </c>
    </row>
    <row r="91" spans="2:2">
      <c r="B91">
        <f t="shared" si="1"/>
        <v>0</v>
      </c>
    </row>
    <row r="92" spans="2:2">
      <c r="B92">
        <f t="shared" si="1"/>
        <v>0</v>
      </c>
    </row>
    <row r="93" spans="2:2">
      <c r="B93">
        <f t="shared" si="1"/>
        <v>0</v>
      </c>
    </row>
    <row r="94" spans="2:2">
      <c r="B94">
        <f t="shared" si="1"/>
        <v>0</v>
      </c>
    </row>
    <row r="95" spans="2:2">
      <c r="B95">
        <f t="shared" si="1"/>
        <v>0</v>
      </c>
    </row>
    <row r="96" spans="2:2">
      <c r="B96">
        <f t="shared" si="1"/>
        <v>0</v>
      </c>
    </row>
    <row r="97" spans="2:2">
      <c r="B97">
        <f t="shared" si="1"/>
        <v>0</v>
      </c>
    </row>
    <row r="98" spans="2:2">
      <c r="B98">
        <f t="shared" si="1"/>
        <v>0</v>
      </c>
    </row>
    <row r="99" spans="2:2">
      <c r="B99">
        <f t="shared" si="1"/>
        <v>0</v>
      </c>
    </row>
    <row r="100" spans="2:2">
      <c r="B100">
        <f t="shared" si="1"/>
        <v>0</v>
      </c>
    </row>
    <row r="101" spans="2:2">
      <c r="B101">
        <f t="shared" si="1"/>
        <v>0</v>
      </c>
    </row>
    <row r="102" spans="2:2">
      <c r="B102">
        <f t="shared" si="1"/>
        <v>0</v>
      </c>
    </row>
    <row r="103" spans="2:2">
      <c r="B103">
        <f t="shared" si="1"/>
        <v>0</v>
      </c>
    </row>
    <row r="104" spans="2:2">
      <c r="B104">
        <f t="shared" si="1"/>
        <v>0</v>
      </c>
    </row>
    <row r="105" spans="2:2">
      <c r="B105">
        <f t="shared" si="1"/>
        <v>0</v>
      </c>
    </row>
    <row r="106" spans="2:2">
      <c r="B106">
        <f t="shared" si="1"/>
        <v>0</v>
      </c>
    </row>
    <row r="107" spans="2:2">
      <c r="B107">
        <f t="shared" si="1"/>
        <v>0</v>
      </c>
    </row>
    <row r="108" spans="2:2">
      <c r="B108">
        <f t="shared" si="1"/>
        <v>0</v>
      </c>
    </row>
    <row r="109" spans="2:2">
      <c r="B109">
        <f t="shared" si="1"/>
        <v>0</v>
      </c>
    </row>
    <row r="110" spans="2:2">
      <c r="B110">
        <f t="shared" si="1"/>
        <v>0</v>
      </c>
    </row>
    <row r="111" spans="2:2">
      <c r="B111">
        <f t="shared" si="1"/>
        <v>0</v>
      </c>
    </row>
    <row r="112" spans="2:2">
      <c r="B112">
        <f t="shared" si="1"/>
        <v>0</v>
      </c>
    </row>
    <row r="113" spans="2:2">
      <c r="B113">
        <f t="shared" si="1"/>
        <v>0</v>
      </c>
    </row>
    <row r="114" spans="2:2">
      <c r="B114">
        <f t="shared" si="1"/>
        <v>0</v>
      </c>
    </row>
    <row r="115" spans="2:2">
      <c r="B115">
        <f t="shared" si="1"/>
        <v>0</v>
      </c>
    </row>
    <row r="116" spans="2:2">
      <c r="B116">
        <f t="shared" si="1"/>
        <v>0</v>
      </c>
    </row>
    <row r="117" spans="2:2">
      <c r="B117">
        <f t="shared" si="1"/>
        <v>0</v>
      </c>
    </row>
    <row r="118" spans="2:2">
      <c r="B118">
        <f t="shared" si="1"/>
        <v>0</v>
      </c>
    </row>
    <row r="119" spans="2:2">
      <c r="B119">
        <f t="shared" si="1"/>
        <v>0</v>
      </c>
    </row>
    <row r="120" spans="2:2">
      <c r="B120">
        <f t="shared" si="1"/>
        <v>0</v>
      </c>
    </row>
    <row r="121" spans="2:2">
      <c r="B121">
        <f t="shared" si="1"/>
        <v>0</v>
      </c>
    </row>
    <row r="122" spans="2:2">
      <c r="B122">
        <f t="shared" si="1"/>
        <v>0</v>
      </c>
    </row>
    <row r="123" spans="2:2">
      <c r="B123">
        <f t="shared" si="1"/>
        <v>0</v>
      </c>
    </row>
    <row r="124" spans="2:2">
      <c r="B124">
        <f t="shared" si="1"/>
        <v>0</v>
      </c>
    </row>
    <row r="125" spans="2:2">
      <c r="B125">
        <f t="shared" si="1"/>
        <v>0</v>
      </c>
    </row>
    <row r="126" spans="2:2">
      <c r="B126">
        <f t="shared" si="1"/>
        <v>0</v>
      </c>
    </row>
    <row r="127" spans="2:2">
      <c r="B127">
        <f t="shared" si="1"/>
        <v>0</v>
      </c>
    </row>
    <row r="128" spans="2:2">
      <c r="B128">
        <f t="shared" si="1"/>
        <v>0</v>
      </c>
    </row>
    <row r="129" spans="2:2">
      <c r="B129">
        <f t="shared" si="1"/>
        <v>0</v>
      </c>
    </row>
    <row r="130" spans="2:2">
      <c r="B130">
        <f t="shared" si="1"/>
        <v>0</v>
      </c>
    </row>
    <row r="131" spans="2:2">
      <c r="B131">
        <f t="shared" si="1"/>
        <v>0</v>
      </c>
    </row>
    <row r="132" spans="2:2">
      <c r="B132">
        <f t="shared" si="1"/>
        <v>0</v>
      </c>
    </row>
    <row r="133" spans="2:2">
      <c r="B133">
        <f t="shared" si="1"/>
        <v>0</v>
      </c>
    </row>
    <row r="134" spans="2:2">
      <c r="B134">
        <f t="shared" si="1"/>
        <v>0</v>
      </c>
    </row>
    <row r="135" spans="2:2">
      <c r="B135">
        <f t="shared" si="1"/>
        <v>0</v>
      </c>
    </row>
    <row r="136" spans="2:2">
      <c r="B136">
        <f t="shared" ref="B136:B199" si="2">IF(C136&gt;0,B135+1,0)</f>
        <v>0</v>
      </c>
    </row>
    <row r="137" spans="2:2">
      <c r="B137">
        <f t="shared" si="2"/>
        <v>0</v>
      </c>
    </row>
    <row r="138" spans="2:2">
      <c r="B138">
        <f t="shared" si="2"/>
        <v>0</v>
      </c>
    </row>
    <row r="139" spans="2:2">
      <c r="B139">
        <f t="shared" si="2"/>
        <v>0</v>
      </c>
    </row>
    <row r="140" spans="2:2">
      <c r="B140">
        <f t="shared" si="2"/>
        <v>0</v>
      </c>
    </row>
    <row r="141" spans="2:2">
      <c r="B141">
        <f t="shared" si="2"/>
        <v>0</v>
      </c>
    </row>
    <row r="142" spans="2:2">
      <c r="B142">
        <f t="shared" si="2"/>
        <v>0</v>
      </c>
    </row>
    <row r="143" spans="2:2">
      <c r="B143">
        <f t="shared" si="2"/>
        <v>0</v>
      </c>
    </row>
    <row r="144" spans="2:2">
      <c r="B144">
        <f t="shared" si="2"/>
        <v>0</v>
      </c>
    </row>
    <row r="145" spans="2:2">
      <c r="B145">
        <f t="shared" si="2"/>
        <v>0</v>
      </c>
    </row>
    <row r="146" spans="2:2">
      <c r="B146">
        <f t="shared" si="2"/>
        <v>0</v>
      </c>
    </row>
    <row r="147" spans="2:2">
      <c r="B147">
        <f t="shared" si="2"/>
        <v>0</v>
      </c>
    </row>
    <row r="148" spans="2:2">
      <c r="B148">
        <f t="shared" si="2"/>
        <v>0</v>
      </c>
    </row>
    <row r="149" spans="2:2">
      <c r="B149">
        <f t="shared" si="2"/>
        <v>0</v>
      </c>
    </row>
    <row r="150" spans="2:2">
      <c r="B150">
        <f t="shared" si="2"/>
        <v>0</v>
      </c>
    </row>
    <row r="151" spans="2:2">
      <c r="B151">
        <f t="shared" si="2"/>
        <v>0</v>
      </c>
    </row>
    <row r="152" spans="2:2">
      <c r="B152">
        <f t="shared" si="2"/>
        <v>0</v>
      </c>
    </row>
    <row r="153" spans="2:2">
      <c r="B153">
        <f t="shared" si="2"/>
        <v>0</v>
      </c>
    </row>
    <row r="154" spans="2:2">
      <c r="B154">
        <f t="shared" si="2"/>
        <v>0</v>
      </c>
    </row>
    <row r="155" spans="2:2">
      <c r="B155">
        <f t="shared" si="2"/>
        <v>0</v>
      </c>
    </row>
    <row r="156" spans="2:2">
      <c r="B156">
        <f t="shared" si="2"/>
        <v>0</v>
      </c>
    </row>
    <row r="157" spans="2:2">
      <c r="B157">
        <f t="shared" si="2"/>
        <v>0</v>
      </c>
    </row>
    <row r="158" spans="2:2">
      <c r="B158">
        <f t="shared" si="2"/>
        <v>0</v>
      </c>
    </row>
    <row r="159" spans="2:2">
      <c r="B159">
        <f t="shared" si="2"/>
        <v>0</v>
      </c>
    </row>
    <row r="160" spans="2:2">
      <c r="B160">
        <f t="shared" si="2"/>
        <v>0</v>
      </c>
    </row>
    <row r="161" spans="2:2">
      <c r="B161">
        <f t="shared" si="2"/>
        <v>0</v>
      </c>
    </row>
    <row r="162" spans="2:2">
      <c r="B162">
        <f t="shared" si="2"/>
        <v>0</v>
      </c>
    </row>
    <row r="163" spans="2:2">
      <c r="B163">
        <f t="shared" si="2"/>
        <v>0</v>
      </c>
    </row>
    <row r="164" spans="2:2">
      <c r="B164">
        <f t="shared" si="2"/>
        <v>0</v>
      </c>
    </row>
    <row r="165" spans="2:2">
      <c r="B165">
        <f t="shared" si="2"/>
        <v>0</v>
      </c>
    </row>
    <row r="166" spans="2:2">
      <c r="B166">
        <f t="shared" si="2"/>
        <v>0</v>
      </c>
    </row>
    <row r="167" spans="2:2">
      <c r="B167">
        <f t="shared" si="2"/>
        <v>0</v>
      </c>
    </row>
    <row r="168" spans="2:2">
      <c r="B168">
        <f t="shared" si="2"/>
        <v>0</v>
      </c>
    </row>
    <row r="169" spans="2:2">
      <c r="B169">
        <f t="shared" si="2"/>
        <v>0</v>
      </c>
    </row>
    <row r="170" spans="2:2">
      <c r="B170">
        <f t="shared" si="2"/>
        <v>0</v>
      </c>
    </row>
    <row r="171" spans="2:2">
      <c r="B171">
        <f t="shared" si="2"/>
        <v>0</v>
      </c>
    </row>
    <row r="172" spans="2:2">
      <c r="B172">
        <f t="shared" si="2"/>
        <v>0</v>
      </c>
    </row>
    <row r="173" spans="2:2">
      <c r="B173">
        <f t="shared" si="2"/>
        <v>0</v>
      </c>
    </row>
    <row r="174" spans="2:2">
      <c r="B174">
        <f t="shared" si="2"/>
        <v>0</v>
      </c>
    </row>
    <row r="175" spans="2:2">
      <c r="B175">
        <f t="shared" si="2"/>
        <v>0</v>
      </c>
    </row>
    <row r="176" spans="2:2">
      <c r="B176">
        <f t="shared" si="2"/>
        <v>0</v>
      </c>
    </row>
    <row r="177" spans="2:2">
      <c r="B177">
        <f t="shared" si="2"/>
        <v>0</v>
      </c>
    </row>
    <row r="178" spans="2:2">
      <c r="B178">
        <f t="shared" si="2"/>
        <v>0</v>
      </c>
    </row>
    <row r="179" spans="2:2">
      <c r="B179">
        <f t="shared" si="2"/>
        <v>0</v>
      </c>
    </row>
    <row r="180" spans="2:2">
      <c r="B180">
        <f t="shared" si="2"/>
        <v>0</v>
      </c>
    </row>
    <row r="181" spans="2:2">
      <c r="B181">
        <f t="shared" si="2"/>
        <v>0</v>
      </c>
    </row>
    <row r="182" spans="2:2">
      <c r="B182">
        <f t="shared" si="2"/>
        <v>0</v>
      </c>
    </row>
    <row r="183" spans="2:2">
      <c r="B183">
        <f t="shared" si="2"/>
        <v>0</v>
      </c>
    </row>
    <row r="184" spans="2:2">
      <c r="B184">
        <f t="shared" si="2"/>
        <v>0</v>
      </c>
    </row>
    <row r="185" spans="2:2">
      <c r="B185">
        <f t="shared" si="2"/>
        <v>0</v>
      </c>
    </row>
    <row r="186" spans="2:2">
      <c r="B186">
        <f t="shared" si="2"/>
        <v>0</v>
      </c>
    </row>
    <row r="187" spans="2:2">
      <c r="B187">
        <f t="shared" si="2"/>
        <v>0</v>
      </c>
    </row>
    <row r="188" spans="2:2">
      <c r="B188">
        <f t="shared" si="2"/>
        <v>0</v>
      </c>
    </row>
    <row r="189" spans="2:2">
      <c r="B189">
        <f t="shared" si="2"/>
        <v>0</v>
      </c>
    </row>
    <row r="190" spans="2:2">
      <c r="B190">
        <f t="shared" si="2"/>
        <v>0</v>
      </c>
    </row>
    <row r="191" spans="2:2">
      <c r="B191">
        <f t="shared" si="2"/>
        <v>0</v>
      </c>
    </row>
    <row r="192" spans="2:2">
      <c r="B192">
        <f t="shared" si="2"/>
        <v>0</v>
      </c>
    </row>
    <row r="193" spans="2:2">
      <c r="B193">
        <f t="shared" si="2"/>
        <v>0</v>
      </c>
    </row>
    <row r="194" spans="2:2">
      <c r="B194">
        <f t="shared" si="2"/>
        <v>0</v>
      </c>
    </row>
    <row r="195" spans="2:2">
      <c r="B195">
        <f t="shared" si="2"/>
        <v>0</v>
      </c>
    </row>
    <row r="196" spans="2:2">
      <c r="B196">
        <f t="shared" si="2"/>
        <v>0</v>
      </c>
    </row>
    <row r="197" spans="2:2">
      <c r="B197">
        <f t="shared" si="2"/>
        <v>0</v>
      </c>
    </row>
    <row r="198" spans="2:2">
      <c r="B198">
        <f t="shared" si="2"/>
        <v>0</v>
      </c>
    </row>
    <row r="199" spans="2:2">
      <c r="B199">
        <f t="shared" si="2"/>
        <v>0</v>
      </c>
    </row>
    <row r="200" spans="2:2">
      <c r="B200">
        <f t="shared" ref="B200:B247" si="3">IF(C200&gt;0,B199+1,0)</f>
        <v>0</v>
      </c>
    </row>
    <row r="201" spans="2:2">
      <c r="B201">
        <f t="shared" si="3"/>
        <v>0</v>
      </c>
    </row>
    <row r="202" spans="2:2">
      <c r="B202">
        <f t="shared" si="3"/>
        <v>0</v>
      </c>
    </row>
    <row r="203" spans="2:2">
      <c r="B203">
        <f t="shared" si="3"/>
        <v>0</v>
      </c>
    </row>
    <row r="204" spans="2:2">
      <c r="B204">
        <f t="shared" si="3"/>
        <v>0</v>
      </c>
    </row>
    <row r="205" spans="2:2">
      <c r="B205">
        <f t="shared" si="3"/>
        <v>0</v>
      </c>
    </row>
    <row r="206" spans="2:2">
      <c r="B206">
        <f t="shared" si="3"/>
        <v>0</v>
      </c>
    </row>
    <row r="207" spans="2:2">
      <c r="B207">
        <f t="shared" si="3"/>
        <v>0</v>
      </c>
    </row>
    <row r="208" spans="2:2">
      <c r="B208">
        <f t="shared" si="3"/>
        <v>0</v>
      </c>
    </row>
    <row r="209" spans="2:2">
      <c r="B209">
        <f t="shared" si="3"/>
        <v>0</v>
      </c>
    </row>
    <row r="210" spans="2:2">
      <c r="B210">
        <f t="shared" si="3"/>
        <v>0</v>
      </c>
    </row>
    <row r="211" spans="2:2">
      <c r="B211">
        <f t="shared" si="3"/>
        <v>0</v>
      </c>
    </row>
    <row r="212" spans="2:2">
      <c r="B212">
        <f t="shared" si="3"/>
        <v>0</v>
      </c>
    </row>
    <row r="213" spans="2:2">
      <c r="B213">
        <f t="shared" si="3"/>
        <v>0</v>
      </c>
    </row>
    <row r="214" spans="2:2">
      <c r="B214">
        <f t="shared" si="3"/>
        <v>0</v>
      </c>
    </row>
    <row r="215" spans="2:2">
      <c r="B215">
        <f t="shared" si="3"/>
        <v>0</v>
      </c>
    </row>
    <row r="216" spans="2:2">
      <c r="B216">
        <f t="shared" si="3"/>
        <v>0</v>
      </c>
    </row>
    <row r="217" spans="2:2">
      <c r="B217">
        <f t="shared" si="3"/>
        <v>0</v>
      </c>
    </row>
    <row r="218" spans="2:2">
      <c r="B218">
        <f t="shared" si="3"/>
        <v>0</v>
      </c>
    </row>
    <row r="219" spans="2:2">
      <c r="B219">
        <f t="shared" si="3"/>
        <v>0</v>
      </c>
    </row>
    <row r="220" spans="2:2">
      <c r="B220">
        <f t="shared" si="3"/>
        <v>0</v>
      </c>
    </row>
    <row r="221" spans="2:2">
      <c r="B221">
        <f t="shared" si="3"/>
        <v>0</v>
      </c>
    </row>
    <row r="222" spans="2:2">
      <c r="B222">
        <f t="shared" si="3"/>
        <v>0</v>
      </c>
    </row>
    <row r="223" spans="2:2">
      <c r="B223">
        <f t="shared" si="3"/>
        <v>0</v>
      </c>
    </row>
    <row r="224" spans="2:2">
      <c r="B224">
        <f t="shared" si="3"/>
        <v>0</v>
      </c>
    </row>
    <row r="225" spans="2:2">
      <c r="B225">
        <f t="shared" si="3"/>
        <v>0</v>
      </c>
    </row>
    <row r="226" spans="2:2">
      <c r="B226">
        <f t="shared" si="3"/>
        <v>0</v>
      </c>
    </row>
    <row r="227" spans="2:2">
      <c r="B227">
        <f t="shared" si="3"/>
        <v>0</v>
      </c>
    </row>
    <row r="228" spans="2:2">
      <c r="B228">
        <f t="shared" si="3"/>
        <v>0</v>
      </c>
    </row>
    <row r="229" spans="2:2">
      <c r="B229">
        <f t="shared" si="3"/>
        <v>0</v>
      </c>
    </row>
    <row r="230" spans="2:2">
      <c r="B230">
        <f t="shared" si="3"/>
        <v>0</v>
      </c>
    </row>
    <row r="231" spans="2:2">
      <c r="B231">
        <f t="shared" si="3"/>
        <v>0</v>
      </c>
    </row>
    <row r="232" spans="2:2">
      <c r="B232">
        <f t="shared" si="3"/>
        <v>0</v>
      </c>
    </row>
    <row r="233" spans="2:2">
      <c r="B233">
        <f t="shared" si="3"/>
        <v>0</v>
      </c>
    </row>
    <row r="234" spans="2:2">
      <c r="B234">
        <f t="shared" si="3"/>
        <v>0</v>
      </c>
    </row>
    <row r="235" spans="2:2">
      <c r="B235">
        <f t="shared" si="3"/>
        <v>0</v>
      </c>
    </row>
    <row r="236" spans="2:2">
      <c r="B236">
        <f t="shared" si="3"/>
        <v>0</v>
      </c>
    </row>
    <row r="237" spans="2:2">
      <c r="B237">
        <f t="shared" si="3"/>
        <v>0</v>
      </c>
    </row>
    <row r="238" spans="2:2">
      <c r="B238">
        <f t="shared" si="3"/>
        <v>0</v>
      </c>
    </row>
    <row r="239" spans="2:2">
      <c r="B239">
        <f t="shared" si="3"/>
        <v>0</v>
      </c>
    </row>
    <row r="240" spans="2:2">
      <c r="B240">
        <f t="shared" si="3"/>
        <v>0</v>
      </c>
    </row>
    <row r="241" spans="2:2">
      <c r="B241">
        <f t="shared" si="3"/>
        <v>0</v>
      </c>
    </row>
    <row r="242" spans="2:2">
      <c r="B242">
        <f t="shared" si="3"/>
        <v>0</v>
      </c>
    </row>
    <row r="243" spans="2:2">
      <c r="B243">
        <f t="shared" si="3"/>
        <v>0</v>
      </c>
    </row>
    <row r="244" spans="2:2">
      <c r="B244">
        <f t="shared" si="3"/>
        <v>0</v>
      </c>
    </row>
    <row r="245" spans="2:2">
      <c r="B245">
        <f t="shared" si="3"/>
        <v>0</v>
      </c>
    </row>
    <row r="246" spans="2:2">
      <c r="B246">
        <f t="shared" si="3"/>
        <v>0</v>
      </c>
    </row>
    <row r="247" spans="2:2">
      <c r="B247">
        <f t="shared" si="3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Worksheet______4"/>
  <dimension ref="C2:AQ45"/>
  <sheetViews>
    <sheetView rightToLeft="1" topLeftCell="Y1" workbookViewId="0">
      <selection activeCell="AQ13" sqref="AQ13"/>
    </sheetView>
  </sheetViews>
  <sheetFormatPr defaultRowHeight="12.75"/>
  <cols>
    <col min="4" max="4" width="10.85546875" customWidth="1"/>
    <col min="5" max="6" width="11.7109375" customWidth="1"/>
    <col min="8" max="8" width="11.7109375" customWidth="1"/>
    <col min="9" max="9" width="12.28515625" customWidth="1"/>
    <col min="10" max="10" width="12.5703125" customWidth="1"/>
    <col min="11" max="11" width="13.42578125" customWidth="1"/>
    <col min="12" max="12" width="23.28515625" customWidth="1"/>
    <col min="13" max="13" width="23.85546875" customWidth="1"/>
    <col min="16" max="16" width="11.42578125" customWidth="1"/>
    <col min="17" max="17" width="10.28515625" customWidth="1"/>
    <col min="18" max="18" width="13.140625" customWidth="1"/>
    <col min="19" max="19" width="26.28515625" customWidth="1"/>
    <col min="20" max="20" width="12.28515625" customWidth="1"/>
    <col min="21" max="21" width="9.140625" customWidth="1"/>
    <col min="28" max="28" width="12.7109375" customWidth="1"/>
    <col min="31" max="31" width="14.140625" customWidth="1"/>
  </cols>
  <sheetData>
    <row r="2" spans="3:43" ht="23.25">
      <c r="J2" s="10" t="s">
        <v>178</v>
      </c>
    </row>
    <row r="5" spans="3:43" ht="71.25" customHeight="1">
      <c r="C5" s="4" t="s">
        <v>0</v>
      </c>
      <c r="D5" s="4" t="s">
        <v>1</v>
      </c>
      <c r="E5" s="4" t="s">
        <v>2</v>
      </c>
      <c r="F5" s="4" t="s">
        <v>37</v>
      </c>
      <c r="G5" s="4" t="s">
        <v>83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4" t="s">
        <v>103</v>
      </c>
      <c r="Q5" s="4" t="s">
        <v>11</v>
      </c>
      <c r="R5" s="4" t="s">
        <v>12</v>
      </c>
      <c r="S5" s="4" t="s">
        <v>349</v>
      </c>
      <c r="T5" s="4" t="s">
        <v>350</v>
      </c>
      <c r="U5" s="4" t="s">
        <v>351</v>
      </c>
      <c r="V5" s="4" t="s">
        <v>352</v>
      </c>
      <c r="W5" s="4" t="s">
        <v>353</v>
      </c>
      <c r="X5" s="4" t="s">
        <v>354</v>
      </c>
      <c r="Y5" s="4" t="s">
        <v>355</v>
      </c>
      <c r="Z5" s="4" t="s">
        <v>356</v>
      </c>
      <c r="AA5" s="4" t="s">
        <v>357</v>
      </c>
      <c r="AB5" s="4" t="s">
        <v>358</v>
      </c>
      <c r="AC5" s="4" t="s">
        <v>359</v>
      </c>
      <c r="AD5" s="4" t="s">
        <v>360</v>
      </c>
      <c r="AE5" s="4" t="s">
        <v>361</v>
      </c>
      <c r="AF5" s="4" t="s">
        <v>362</v>
      </c>
      <c r="AG5" s="4" t="s">
        <v>363</v>
      </c>
      <c r="AH5" s="4" t="s">
        <v>542</v>
      </c>
      <c r="AI5" s="4"/>
      <c r="AJ5" s="4" t="s">
        <v>170</v>
      </c>
      <c r="AK5" s="4" t="s">
        <v>1057</v>
      </c>
      <c r="AL5" s="4" t="s">
        <v>1058</v>
      </c>
      <c r="AM5" s="4" t="s">
        <v>1076</v>
      </c>
      <c r="AQ5" s="4" t="s">
        <v>355</v>
      </c>
    </row>
    <row r="6" spans="3:43">
      <c r="AQ6" t="str">
        <f t="shared" ref="AQ6:AQ40" si="0">IF(Y6=1,"כן",IF(Y6=2,"לא"," "))</f>
        <v xml:space="preserve"> </v>
      </c>
    </row>
    <row r="7" spans="3:43">
      <c r="AQ7" t="str">
        <f t="shared" si="0"/>
        <v xml:space="preserve"> </v>
      </c>
    </row>
    <row r="8" spans="3:43">
      <c r="AQ8" t="str">
        <f t="shared" si="0"/>
        <v xml:space="preserve"> </v>
      </c>
    </row>
    <row r="9" spans="3:43">
      <c r="AQ9" t="str">
        <f t="shared" si="0"/>
        <v xml:space="preserve"> </v>
      </c>
    </row>
    <row r="10" spans="3:43">
      <c r="AQ10" t="str">
        <f t="shared" si="0"/>
        <v xml:space="preserve"> </v>
      </c>
    </row>
    <row r="11" spans="3:43">
      <c r="AQ11" t="str">
        <f t="shared" si="0"/>
        <v xml:space="preserve"> </v>
      </c>
    </row>
    <row r="12" spans="3:43">
      <c r="AQ12" t="str">
        <f t="shared" si="0"/>
        <v xml:space="preserve"> </v>
      </c>
    </row>
    <row r="13" spans="3:43">
      <c r="AQ13" t="str">
        <f t="shared" si="0"/>
        <v xml:space="preserve"> </v>
      </c>
    </row>
    <row r="14" spans="3:43">
      <c r="AQ14" t="str">
        <f t="shared" si="0"/>
        <v xml:space="preserve"> </v>
      </c>
    </row>
    <row r="15" spans="3:43">
      <c r="AQ15" t="str">
        <f t="shared" si="0"/>
        <v xml:space="preserve"> </v>
      </c>
    </row>
    <row r="16" spans="3:43">
      <c r="AQ16" t="str">
        <f t="shared" si="0"/>
        <v xml:space="preserve"> </v>
      </c>
    </row>
    <row r="17" spans="43:43">
      <c r="AQ17" t="str">
        <f t="shared" si="0"/>
        <v xml:space="preserve"> </v>
      </c>
    </row>
    <row r="18" spans="43:43">
      <c r="AQ18" t="str">
        <f t="shared" si="0"/>
        <v xml:space="preserve"> </v>
      </c>
    </row>
    <row r="19" spans="43:43">
      <c r="AQ19" t="str">
        <f t="shared" si="0"/>
        <v xml:space="preserve"> </v>
      </c>
    </row>
    <row r="20" spans="43:43">
      <c r="AQ20" t="str">
        <f t="shared" si="0"/>
        <v xml:space="preserve"> </v>
      </c>
    </row>
    <row r="21" spans="43:43">
      <c r="AQ21" t="str">
        <f t="shared" si="0"/>
        <v xml:space="preserve"> </v>
      </c>
    </row>
    <row r="22" spans="43:43">
      <c r="AQ22" t="str">
        <f t="shared" si="0"/>
        <v xml:space="preserve"> </v>
      </c>
    </row>
    <row r="23" spans="43:43">
      <c r="AQ23" t="str">
        <f t="shared" si="0"/>
        <v xml:space="preserve"> </v>
      </c>
    </row>
    <row r="24" spans="43:43">
      <c r="AQ24" t="str">
        <f t="shared" si="0"/>
        <v xml:space="preserve"> </v>
      </c>
    </row>
    <row r="25" spans="43:43">
      <c r="AQ25" t="str">
        <f t="shared" si="0"/>
        <v xml:space="preserve"> </v>
      </c>
    </row>
    <row r="26" spans="43:43">
      <c r="AQ26" t="str">
        <f t="shared" si="0"/>
        <v xml:space="preserve"> </v>
      </c>
    </row>
    <row r="27" spans="43:43">
      <c r="AQ27" t="str">
        <f t="shared" si="0"/>
        <v xml:space="preserve"> </v>
      </c>
    </row>
    <row r="28" spans="43:43">
      <c r="AQ28" t="str">
        <f t="shared" si="0"/>
        <v xml:space="preserve"> </v>
      </c>
    </row>
    <row r="29" spans="43:43">
      <c r="AQ29" t="str">
        <f t="shared" si="0"/>
        <v xml:space="preserve"> </v>
      </c>
    </row>
    <row r="30" spans="43:43">
      <c r="AQ30" t="str">
        <f t="shared" si="0"/>
        <v xml:space="preserve"> </v>
      </c>
    </row>
    <row r="31" spans="43:43">
      <c r="AQ31" t="str">
        <f t="shared" si="0"/>
        <v xml:space="preserve"> </v>
      </c>
    </row>
    <row r="32" spans="43:43">
      <c r="AQ32" t="str">
        <f t="shared" si="0"/>
        <v xml:space="preserve"> </v>
      </c>
    </row>
    <row r="33" spans="43:43">
      <c r="AQ33" t="str">
        <f t="shared" si="0"/>
        <v xml:space="preserve"> </v>
      </c>
    </row>
    <row r="34" spans="43:43">
      <c r="AQ34" t="str">
        <f t="shared" si="0"/>
        <v xml:space="preserve"> </v>
      </c>
    </row>
    <row r="35" spans="43:43">
      <c r="AQ35" t="str">
        <f t="shared" si="0"/>
        <v xml:space="preserve"> </v>
      </c>
    </row>
    <row r="36" spans="43:43">
      <c r="AQ36" t="str">
        <f t="shared" si="0"/>
        <v xml:space="preserve"> </v>
      </c>
    </row>
    <row r="37" spans="43:43">
      <c r="AQ37" t="str">
        <f t="shared" si="0"/>
        <v xml:space="preserve"> </v>
      </c>
    </row>
    <row r="38" spans="43:43">
      <c r="AQ38" t="str">
        <f t="shared" si="0"/>
        <v xml:space="preserve"> </v>
      </c>
    </row>
    <row r="39" spans="43:43">
      <c r="AQ39" t="str">
        <f t="shared" si="0"/>
        <v xml:space="preserve"> </v>
      </c>
    </row>
    <row r="40" spans="43:43">
      <c r="AQ40" t="str">
        <f t="shared" si="0"/>
        <v xml:space="preserve"> </v>
      </c>
    </row>
    <row r="41" spans="43:43">
      <c r="AQ41" t="str">
        <f>IF(Y42=1,"כן",IF(Y42=2,"לא"," "))</f>
        <v xml:space="preserve"> </v>
      </c>
    </row>
    <row r="42" spans="43:43">
      <c r="AQ42" t="str">
        <f>IF(Y43=1,"כן",IF(Y43=2,"לא"," "))</f>
        <v xml:space="preserve"> </v>
      </c>
    </row>
    <row r="43" spans="43:43">
      <c r="AQ43" t="str">
        <f>IF(Y44=1,"כן",IF(Y44=2,"לא"," "))</f>
        <v xml:space="preserve"> </v>
      </c>
    </row>
    <row r="44" spans="43:43">
      <c r="AQ44" t="str">
        <f>IF(Y45=1,"כן",IF(Y45=2,"לא"," "))</f>
        <v xml:space="preserve"> </v>
      </c>
    </row>
    <row r="45" spans="43:43">
      <c r="AQ45" t="str">
        <f>IF(Y46=1,"כן",IF(Y46=2,"לא"," "))</f>
        <v xml:space="preserve"> 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Worksheet______1"/>
  <dimension ref="C2:O5"/>
  <sheetViews>
    <sheetView rightToLeft="1" topLeftCell="C1" workbookViewId="0">
      <selection activeCell="G9" sqref="G9"/>
    </sheetView>
  </sheetViews>
  <sheetFormatPr defaultRowHeight="12.75"/>
  <cols>
    <col min="3" max="3" width="12.140625" customWidth="1"/>
    <col min="4" max="4" width="13.42578125" customWidth="1"/>
    <col min="5" max="5" width="14.7109375" customWidth="1"/>
    <col min="6" max="6" width="10.85546875" customWidth="1"/>
    <col min="7" max="7" width="27.42578125" customWidth="1"/>
    <col min="8" max="8" width="11.85546875" customWidth="1"/>
    <col min="9" max="9" width="12" customWidth="1"/>
    <col min="10" max="10" width="10.85546875" customWidth="1"/>
    <col min="11" max="11" width="11.5703125" customWidth="1"/>
    <col min="12" max="12" width="12.140625" customWidth="1"/>
    <col min="13" max="13" width="12.7109375" customWidth="1"/>
    <col min="14" max="14" width="12" customWidth="1"/>
    <col min="15" max="15" width="11.42578125" customWidth="1"/>
  </cols>
  <sheetData>
    <row r="2" spans="3:15" ht="23.25">
      <c r="I2" s="10" t="s">
        <v>179</v>
      </c>
    </row>
    <row r="5" spans="3:15" ht="31.5">
      <c r="C5" s="3" t="s">
        <v>1</v>
      </c>
      <c r="D5" s="3" t="s">
        <v>2</v>
      </c>
      <c r="E5" s="3" t="s">
        <v>24</v>
      </c>
      <c r="F5" s="3" t="s">
        <v>25</v>
      </c>
      <c r="G5" s="3" t="s">
        <v>26</v>
      </c>
      <c r="H5" s="3" t="s">
        <v>15</v>
      </c>
      <c r="I5" s="3" t="s">
        <v>16</v>
      </c>
      <c r="J5" s="3" t="s">
        <v>27</v>
      </c>
      <c r="K5" s="3" t="s">
        <v>17</v>
      </c>
      <c r="L5" s="3" t="s">
        <v>20</v>
      </c>
      <c r="M5" s="3" t="s">
        <v>19</v>
      </c>
      <c r="N5" s="3" t="s">
        <v>28</v>
      </c>
      <c r="O5" s="3" t="s">
        <v>21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Worksheet______6"/>
  <dimension ref="C2:AV9"/>
  <sheetViews>
    <sheetView rightToLeft="1" topLeftCell="AK5" workbookViewId="0">
      <selection activeCell="AM19" sqref="AM19"/>
    </sheetView>
  </sheetViews>
  <sheetFormatPr defaultRowHeight="12.75"/>
  <cols>
    <col min="32" max="32" width="18.85546875" bestFit="1" customWidth="1"/>
    <col min="33" max="33" width="16.140625" bestFit="1" customWidth="1"/>
    <col min="34" max="34" width="11" customWidth="1"/>
    <col min="35" max="35" width="11.28515625" customWidth="1"/>
    <col min="43" max="43" width="17.28515625" customWidth="1"/>
    <col min="46" max="46" width="17" customWidth="1"/>
    <col min="47" max="47" width="13.5703125" customWidth="1"/>
    <col min="48" max="48" width="8.42578125" customWidth="1"/>
  </cols>
  <sheetData>
    <row r="2" spans="3:48" ht="23.25">
      <c r="N2" s="10" t="s">
        <v>180</v>
      </c>
    </row>
    <row r="5" spans="3:48" ht="78.75">
      <c r="C5" s="4" t="s">
        <v>0</v>
      </c>
      <c r="D5" s="4" t="s">
        <v>2</v>
      </c>
      <c r="E5" s="4" t="s">
        <v>37</v>
      </c>
      <c r="F5" s="4" t="s">
        <v>62</v>
      </c>
      <c r="G5" s="4" t="s">
        <v>63</v>
      </c>
      <c r="H5" s="4" t="s">
        <v>64</v>
      </c>
      <c r="I5" s="4" t="s">
        <v>65</v>
      </c>
      <c r="J5" s="4" t="s">
        <v>66</v>
      </c>
      <c r="K5" s="4" t="s">
        <v>67</v>
      </c>
      <c r="L5" s="4" t="s">
        <v>68</v>
      </c>
      <c r="M5" s="4" t="s">
        <v>69</v>
      </c>
      <c r="N5" s="4" t="s">
        <v>70</v>
      </c>
      <c r="O5" s="4" t="s">
        <v>71</v>
      </c>
      <c r="P5" s="4" t="s">
        <v>72</v>
      </c>
      <c r="Q5" s="4" t="s">
        <v>73</v>
      </c>
      <c r="R5" s="4" t="s">
        <v>74</v>
      </c>
      <c r="S5" s="4" t="s">
        <v>75</v>
      </c>
      <c r="T5" s="4" t="s">
        <v>76</v>
      </c>
      <c r="U5" s="4" t="s">
        <v>77</v>
      </c>
      <c r="V5" s="4" t="s">
        <v>78</v>
      </c>
      <c r="W5" s="4" t="s">
        <v>85</v>
      </c>
      <c r="X5" s="3" t="s">
        <v>86</v>
      </c>
      <c r="Y5" s="4" t="s">
        <v>79</v>
      </c>
      <c r="Z5" s="4" t="s">
        <v>80</v>
      </c>
      <c r="AA5" s="4" t="s">
        <v>81</v>
      </c>
      <c r="AB5" s="4" t="s">
        <v>83</v>
      </c>
      <c r="AC5" s="4" t="s">
        <v>84</v>
      </c>
      <c r="AD5" s="4" t="s">
        <v>54</v>
      </c>
      <c r="AE5" s="4" t="s">
        <v>87</v>
      </c>
      <c r="AF5" s="4" t="s">
        <v>88</v>
      </c>
      <c r="AG5" s="4" t="s">
        <v>55</v>
      </c>
      <c r="AH5" s="4" t="s">
        <v>56</v>
      </c>
      <c r="AI5" s="4" t="s">
        <v>57</v>
      </c>
      <c r="AJ5" s="4" t="s">
        <v>58</v>
      </c>
      <c r="AK5" s="4" t="s">
        <v>1</v>
      </c>
      <c r="AL5" s="4" t="s">
        <v>3</v>
      </c>
      <c r="AM5" s="4" t="s">
        <v>59</v>
      </c>
      <c r="AN5" s="4" t="s">
        <v>60</v>
      </c>
      <c r="AO5" s="4" t="s">
        <v>61</v>
      </c>
      <c r="AP5" s="4" t="s">
        <v>89</v>
      </c>
      <c r="AQ5" s="4" t="s">
        <v>82</v>
      </c>
    </row>
    <row r="6" spans="3:48">
      <c r="AT6" s="28" t="s">
        <v>303</v>
      </c>
      <c r="AU6" s="28" t="s">
        <v>307</v>
      </c>
    </row>
    <row r="7" spans="3:48">
      <c r="AT7" s="28" t="s">
        <v>304</v>
      </c>
      <c r="AU7" t="s">
        <v>305</v>
      </c>
      <c r="AV7" t="s">
        <v>306</v>
      </c>
    </row>
    <row r="8" spans="3:48">
      <c r="AT8" s="29" t="s">
        <v>305</v>
      </c>
      <c r="AU8" s="27"/>
      <c r="AV8" s="27"/>
    </row>
    <row r="9" spans="3:48">
      <c r="AT9" s="29" t="s">
        <v>306</v>
      </c>
      <c r="AU9" s="27"/>
      <c r="AV9" s="2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Worksheet______11"/>
  <dimension ref="C2:Q5"/>
  <sheetViews>
    <sheetView rightToLeft="1" workbookViewId="0">
      <selection activeCell="J2" sqref="J2"/>
    </sheetView>
  </sheetViews>
  <sheetFormatPr defaultRowHeight="12.75"/>
  <cols>
    <col min="4" max="5" width="10.85546875" customWidth="1"/>
    <col min="7" max="7" width="12.5703125" customWidth="1"/>
    <col min="8" max="8" width="10.28515625" customWidth="1"/>
    <col min="9" max="9" width="11.140625" customWidth="1"/>
    <col min="10" max="10" width="14.85546875" customWidth="1"/>
    <col min="13" max="13" width="10.7109375" customWidth="1"/>
    <col min="15" max="15" width="10.85546875" customWidth="1"/>
  </cols>
  <sheetData>
    <row r="2" spans="3:17" ht="23.25">
      <c r="J2" s="10" t="s">
        <v>181</v>
      </c>
    </row>
    <row r="5" spans="3:17" ht="31.5">
      <c r="C5" s="3" t="s">
        <v>0</v>
      </c>
      <c r="D5" s="3" t="s">
        <v>2</v>
      </c>
      <c r="E5" s="3" t="s">
        <v>37</v>
      </c>
      <c r="F5" s="3" t="s">
        <v>83</v>
      </c>
      <c r="G5" s="3" t="s">
        <v>136</v>
      </c>
      <c r="H5" s="3" t="s">
        <v>137</v>
      </c>
      <c r="I5" s="3" t="s">
        <v>138</v>
      </c>
      <c r="J5" s="3" t="s">
        <v>139</v>
      </c>
      <c r="K5" s="3" t="s">
        <v>83</v>
      </c>
      <c r="L5" s="3" t="s">
        <v>83</v>
      </c>
      <c r="M5" s="3" t="s">
        <v>140</v>
      </c>
      <c r="N5" s="3" t="s">
        <v>1</v>
      </c>
      <c r="O5" s="3" t="s">
        <v>3</v>
      </c>
      <c r="P5" s="3" t="s">
        <v>83</v>
      </c>
      <c r="Q5" s="3" t="s"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Worksheet______21"/>
  <dimension ref="D2:T104"/>
  <sheetViews>
    <sheetView rightToLeft="1" topLeftCell="C1" workbookViewId="0">
      <selection activeCell="F18" sqref="F18"/>
    </sheetView>
  </sheetViews>
  <sheetFormatPr defaultRowHeight="12.75"/>
  <cols>
    <col min="15" max="15" width="14" customWidth="1"/>
    <col min="16" max="16" width="12.85546875" customWidth="1"/>
  </cols>
  <sheetData>
    <row r="2" spans="4:20" ht="15.75">
      <c r="H2" s="25" t="s">
        <v>509</v>
      </c>
    </row>
    <row r="5" spans="4:20" ht="36.75" customHeight="1">
      <c r="D5" s="3" t="s">
        <v>2</v>
      </c>
      <c r="E5" s="3"/>
      <c r="F5" s="3"/>
      <c r="G5" s="3"/>
      <c r="H5" s="3"/>
      <c r="I5" s="3" t="s">
        <v>16</v>
      </c>
      <c r="J5" s="3" t="s">
        <v>206</v>
      </c>
      <c r="K5" s="3" t="s">
        <v>207</v>
      </c>
      <c r="L5" s="3" t="s">
        <v>17</v>
      </c>
      <c r="M5" s="3" t="s">
        <v>18</v>
      </c>
      <c r="N5" s="3" t="s">
        <v>208</v>
      </c>
      <c r="O5" s="3" t="s">
        <v>209</v>
      </c>
      <c r="P5" s="3" t="s">
        <v>210</v>
      </c>
      <c r="Q5" s="3" t="s">
        <v>21</v>
      </c>
      <c r="S5" s="4" t="s">
        <v>301</v>
      </c>
      <c r="T5" s="4" t="s">
        <v>300</v>
      </c>
    </row>
    <row r="6" spans="4:20">
      <c r="S6">
        <f>K6+L6+M6+Q6</f>
        <v>0</v>
      </c>
      <c r="T6">
        <f t="shared" ref="T6:T37" si="0">J6+N6</f>
        <v>0</v>
      </c>
    </row>
    <row r="7" spans="4:20">
      <c r="S7">
        <f t="shared" ref="S7:S70" si="1">K7+L7+M7+Q7</f>
        <v>0</v>
      </c>
      <c r="T7">
        <f t="shared" si="0"/>
        <v>0</v>
      </c>
    </row>
    <row r="8" spans="4:20">
      <c r="S8">
        <f t="shared" si="1"/>
        <v>0</v>
      </c>
      <c r="T8">
        <f t="shared" si="0"/>
        <v>0</v>
      </c>
    </row>
    <row r="9" spans="4:20">
      <c r="S9">
        <f t="shared" si="1"/>
        <v>0</v>
      </c>
      <c r="T9">
        <f t="shared" si="0"/>
        <v>0</v>
      </c>
    </row>
    <row r="10" spans="4:20">
      <c r="S10">
        <f t="shared" si="1"/>
        <v>0</v>
      </c>
      <c r="T10">
        <f t="shared" si="0"/>
        <v>0</v>
      </c>
    </row>
    <row r="11" spans="4:20">
      <c r="S11">
        <f t="shared" si="1"/>
        <v>0</v>
      </c>
      <c r="T11">
        <f t="shared" si="0"/>
        <v>0</v>
      </c>
    </row>
    <row r="12" spans="4:20">
      <c r="S12">
        <f t="shared" si="1"/>
        <v>0</v>
      </c>
      <c r="T12">
        <f t="shared" si="0"/>
        <v>0</v>
      </c>
    </row>
    <row r="13" spans="4:20">
      <c r="S13">
        <f t="shared" si="1"/>
        <v>0</v>
      </c>
      <c r="T13">
        <f t="shared" si="0"/>
        <v>0</v>
      </c>
    </row>
    <row r="14" spans="4:20">
      <c r="S14">
        <f t="shared" si="1"/>
        <v>0</v>
      </c>
      <c r="T14">
        <f t="shared" si="0"/>
        <v>0</v>
      </c>
    </row>
    <row r="15" spans="4:20">
      <c r="S15">
        <f t="shared" si="1"/>
        <v>0</v>
      </c>
      <c r="T15">
        <f t="shared" si="0"/>
        <v>0</v>
      </c>
    </row>
    <row r="16" spans="4:20">
      <c r="S16">
        <f t="shared" si="1"/>
        <v>0</v>
      </c>
      <c r="T16">
        <f t="shared" si="0"/>
        <v>0</v>
      </c>
    </row>
    <row r="17" spans="19:20">
      <c r="S17">
        <f t="shared" si="1"/>
        <v>0</v>
      </c>
      <c r="T17">
        <f t="shared" si="0"/>
        <v>0</v>
      </c>
    </row>
    <row r="18" spans="19:20">
      <c r="S18">
        <f t="shared" si="1"/>
        <v>0</v>
      </c>
      <c r="T18">
        <f t="shared" si="0"/>
        <v>0</v>
      </c>
    </row>
    <row r="19" spans="19:20">
      <c r="S19">
        <f t="shared" si="1"/>
        <v>0</v>
      </c>
      <c r="T19">
        <f t="shared" si="0"/>
        <v>0</v>
      </c>
    </row>
    <row r="20" spans="19:20">
      <c r="S20">
        <f t="shared" si="1"/>
        <v>0</v>
      </c>
      <c r="T20">
        <f t="shared" si="0"/>
        <v>0</v>
      </c>
    </row>
    <row r="21" spans="19:20">
      <c r="S21">
        <f t="shared" si="1"/>
        <v>0</v>
      </c>
      <c r="T21">
        <f t="shared" si="0"/>
        <v>0</v>
      </c>
    </row>
    <row r="22" spans="19:20">
      <c r="S22">
        <f t="shared" si="1"/>
        <v>0</v>
      </c>
      <c r="T22">
        <f t="shared" si="0"/>
        <v>0</v>
      </c>
    </row>
    <row r="23" spans="19:20">
      <c r="S23">
        <f t="shared" si="1"/>
        <v>0</v>
      </c>
      <c r="T23">
        <f t="shared" si="0"/>
        <v>0</v>
      </c>
    </row>
    <row r="24" spans="19:20">
      <c r="S24">
        <f t="shared" si="1"/>
        <v>0</v>
      </c>
      <c r="T24">
        <f t="shared" si="0"/>
        <v>0</v>
      </c>
    </row>
    <row r="25" spans="19:20">
      <c r="S25">
        <f t="shared" si="1"/>
        <v>0</v>
      </c>
      <c r="T25">
        <f t="shared" si="0"/>
        <v>0</v>
      </c>
    </row>
    <row r="26" spans="19:20">
      <c r="S26">
        <f t="shared" si="1"/>
        <v>0</v>
      </c>
      <c r="T26">
        <f t="shared" si="0"/>
        <v>0</v>
      </c>
    </row>
    <row r="27" spans="19:20">
      <c r="S27">
        <f t="shared" si="1"/>
        <v>0</v>
      </c>
      <c r="T27">
        <f t="shared" si="0"/>
        <v>0</v>
      </c>
    </row>
    <row r="28" spans="19:20">
      <c r="S28">
        <f t="shared" si="1"/>
        <v>0</v>
      </c>
      <c r="T28">
        <f t="shared" si="0"/>
        <v>0</v>
      </c>
    </row>
    <row r="29" spans="19:20">
      <c r="S29">
        <f t="shared" si="1"/>
        <v>0</v>
      </c>
      <c r="T29">
        <f t="shared" si="0"/>
        <v>0</v>
      </c>
    </row>
    <row r="30" spans="19:20">
      <c r="S30">
        <f t="shared" si="1"/>
        <v>0</v>
      </c>
      <c r="T30">
        <f t="shared" si="0"/>
        <v>0</v>
      </c>
    </row>
    <row r="31" spans="19:20">
      <c r="S31">
        <f t="shared" si="1"/>
        <v>0</v>
      </c>
      <c r="T31">
        <f t="shared" si="0"/>
        <v>0</v>
      </c>
    </row>
    <row r="32" spans="19:20">
      <c r="S32">
        <f t="shared" si="1"/>
        <v>0</v>
      </c>
      <c r="T32">
        <f t="shared" si="0"/>
        <v>0</v>
      </c>
    </row>
    <row r="33" spans="19:20">
      <c r="S33">
        <f t="shared" si="1"/>
        <v>0</v>
      </c>
      <c r="T33">
        <f t="shared" si="0"/>
        <v>0</v>
      </c>
    </row>
    <row r="34" spans="19:20">
      <c r="S34">
        <f t="shared" si="1"/>
        <v>0</v>
      </c>
      <c r="T34">
        <f t="shared" si="0"/>
        <v>0</v>
      </c>
    </row>
    <row r="35" spans="19:20">
      <c r="S35">
        <f t="shared" si="1"/>
        <v>0</v>
      </c>
      <c r="T35">
        <f t="shared" si="0"/>
        <v>0</v>
      </c>
    </row>
    <row r="36" spans="19:20">
      <c r="S36">
        <f t="shared" si="1"/>
        <v>0</v>
      </c>
      <c r="T36">
        <f t="shared" si="0"/>
        <v>0</v>
      </c>
    </row>
    <row r="37" spans="19:20">
      <c r="S37">
        <f t="shared" si="1"/>
        <v>0</v>
      </c>
      <c r="T37">
        <f t="shared" si="0"/>
        <v>0</v>
      </c>
    </row>
    <row r="38" spans="19:20">
      <c r="S38">
        <f t="shared" si="1"/>
        <v>0</v>
      </c>
      <c r="T38">
        <f t="shared" ref="T38:T69" si="2">J38+N38</f>
        <v>0</v>
      </c>
    </row>
    <row r="39" spans="19:20">
      <c r="S39">
        <f t="shared" si="1"/>
        <v>0</v>
      </c>
      <c r="T39">
        <f t="shared" si="2"/>
        <v>0</v>
      </c>
    </row>
    <row r="40" spans="19:20">
      <c r="S40">
        <f t="shared" si="1"/>
        <v>0</v>
      </c>
      <c r="T40">
        <f t="shared" si="2"/>
        <v>0</v>
      </c>
    </row>
    <row r="41" spans="19:20">
      <c r="S41">
        <f t="shared" si="1"/>
        <v>0</v>
      </c>
      <c r="T41">
        <f t="shared" si="2"/>
        <v>0</v>
      </c>
    </row>
    <row r="42" spans="19:20">
      <c r="S42">
        <f t="shared" si="1"/>
        <v>0</v>
      </c>
      <c r="T42">
        <f t="shared" si="2"/>
        <v>0</v>
      </c>
    </row>
    <row r="43" spans="19:20">
      <c r="S43">
        <f t="shared" si="1"/>
        <v>0</v>
      </c>
      <c r="T43">
        <f t="shared" si="2"/>
        <v>0</v>
      </c>
    </row>
    <row r="44" spans="19:20">
      <c r="S44">
        <f t="shared" si="1"/>
        <v>0</v>
      </c>
      <c r="T44">
        <f t="shared" si="2"/>
        <v>0</v>
      </c>
    </row>
    <row r="45" spans="19:20">
      <c r="S45">
        <f t="shared" si="1"/>
        <v>0</v>
      </c>
      <c r="T45">
        <f t="shared" si="2"/>
        <v>0</v>
      </c>
    </row>
    <row r="46" spans="19:20">
      <c r="S46">
        <f t="shared" si="1"/>
        <v>0</v>
      </c>
      <c r="T46">
        <f t="shared" si="2"/>
        <v>0</v>
      </c>
    </row>
    <row r="47" spans="19:20">
      <c r="S47">
        <f t="shared" si="1"/>
        <v>0</v>
      </c>
      <c r="T47">
        <f t="shared" si="2"/>
        <v>0</v>
      </c>
    </row>
    <row r="48" spans="19:20">
      <c r="S48">
        <f t="shared" si="1"/>
        <v>0</v>
      </c>
      <c r="T48">
        <f t="shared" si="2"/>
        <v>0</v>
      </c>
    </row>
    <row r="49" spans="19:20">
      <c r="S49">
        <f t="shared" si="1"/>
        <v>0</v>
      </c>
      <c r="T49">
        <f t="shared" si="2"/>
        <v>0</v>
      </c>
    </row>
    <row r="50" spans="19:20">
      <c r="S50">
        <f t="shared" si="1"/>
        <v>0</v>
      </c>
      <c r="T50">
        <f t="shared" si="2"/>
        <v>0</v>
      </c>
    </row>
    <row r="51" spans="19:20">
      <c r="S51">
        <f t="shared" si="1"/>
        <v>0</v>
      </c>
      <c r="T51">
        <f t="shared" si="2"/>
        <v>0</v>
      </c>
    </row>
    <row r="52" spans="19:20">
      <c r="S52">
        <f t="shared" si="1"/>
        <v>0</v>
      </c>
      <c r="T52">
        <f t="shared" si="2"/>
        <v>0</v>
      </c>
    </row>
    <row r="53" spans="19:20">
      <c r="S53">
        <f t="shared" si="1"/>
        <v>0</v>
      </c>
      <c r="T53">
        <f t="shared" si="2"/>
        <v>0</v>
      </c>
    </row>
    <row r="54" spans="19:20">
      <c r="S54">
        <f t="shared" si="1"/>
        <v>0</v>
      </c>
      <c r="T54">
        <f t="shared" si="2"/>
        <v>0</v>
      </c>
    </row>
    <row r="55" spans="19:20">
      <c r="S55">
        <f t="shared" si="1"/>
        <v>0</v>
      </c>
      <c r="T55">
        <f t="shared" si="2"/>
        <v>0</v>
      </c>
    </row>
    <row r="56" spans="19:20">
      <c r="S56">
        <f t="shared" si="1"/>
        <v>0</v>
      </c>
      <c r="T56">
        <f t="shared" si="2"/>
        <v>0</v>
      </c>
    </row>
    <row r="57" spans="19:20">
      <c r="S57">
        <f t="shared" si="1"/>
        <v>0</v>
      </c>
      <c r="T57">
        <f t="shared" si="2"/>
        <v>0</v>
      </c>
    </row>
    <row r="58" spans="19:20">
      <c r="S58">
        <f t="shared" si="1"/>
        <v>0</v>
      </c>
      <c r="T58">
        <f t="shared" si="2"/>
        <v>0</v>
      </c>
    </row>
    <row r="59" spans="19:20">
      <c r="S59">
        <f t="shared" si="1"/>
        <v>0</v>
      </c>
      <c r="T59">
        <f t="shared" si="2"/>
        <v>0</v>
      </c>
    </row>
    <row r="60" spans="19:20">
      <c r="S60">
        <f t="shared" si="1"/>
        <v>0</v>
      </c>
      <c r="T60">
        <f t="shared" si="2"/>
        <v>0</v>
      </c>
    </row>
    <row r="61" spans="19:20">
      <c r="S61">
        <f t="shared" si="1"/>
        <v>0</v>
      </c>
      <c r="T61">
        <f t="shared" si="2"/>
        <v>0</v>
      </c>
    </row>
    <row r="62" spans="19:20">
      <c r="S62">
        <f t="shared" si="1"/>
        <v>0</v>
      </c>
      <c r="T62">
        <f t="shared" si="2"/>
        <v>0</v>
      </c>
    </row>
    <row r="63" spans="19:20">
      <c r="S63">
        <f t="shared" si="1"/>
        <v>0</v>
      </c>
      <c r="T63">
        <f t="shared" si="2"/>
        <v>0</v>
      </c>
    </row>
    <row r="64" spans="19:20">
      <c r="S64">
        <f t="shared" si="1"/>
        <v>0</v>
      </c>
      <c r="T64">
        <f t="shared" si="2"/>
        <v>0</v>
      </c>
    </row>
    <row r="65" spans="19:20">
      <c r="S65">
        <f t="shared" si="1"/>
        <v>0</v>
      </c>
      <c r="T65">
        <f t="shared" si="2"/>
        <v>0</v>
      </c>
    </row>
    <row r="66" spans="19:20">
      <c r="S66">
        <f t="shared" si="1"/>
        <v>0</v>
      </c>
      <c r="T66">
        <f t="shared" si="2"/>
        <v>0</v>
      </c>
    </row>
    <row r="67" spans="19:20">
      <c r="S67">
        <f t="shared" si="1"/>
        <v>0</v>
      </c>
      <c r="T67">
        <f t="shared" si="2"/>
        <v>0</v>
      </c>
    </row>
    <row r="68" spans="19:20">
      <c r="S68">
        <f t="shared" si="1"/>
        <v>0</v>
      </c>
      <c r="T68">
        <f t="shared" si="2"/>
        <v>0</v>
      </c>
    </row>
    <row r="69" spans="19:20">
      <c r="S69">
        <f t="shared" si="1"/>
        <v>0</v>
      </c>
      <c r="T69">
        <f t="shared" si="2"/>
        <v>0</v>
      </c>
    </row>
    <row r="70" spans="19:20">
      <c r="S70">
        <f t="shared" si="1"/>
        <v>0</v>
      </c>
      <c r="T70">
        <f t="shared" ref="T70:T104" si="3">J70+N70</f>
        <v>0</v>
      </c>
    </row>
    <row r="71" spans="19:20">
      <c r="S71">
        <f t="shared" ref="S71:S104" si="4">K71+L71+M71+Q71</f>
        <v>0</v>
      </c>
      <c r="T71">
        <f t="shared" si="3"/>
        <v>0</v>
      </c>
    </row>
    <row r="72" spans="19:20">
      <c r="S72">
        <f t="shared" si="4"/>
        <v>0</v>
      </c>
      <c r="T72">
        <f t="shared" si="3"/>
        <v>0</v>
      </c>
    </row>
    <row r="73" spans="19:20">
      <c r="S73">
        <f t="shared" si="4"/>
        <v>0</v>
      </c>
      <c r="T73">
        <f t="shared" si="3"/>
        <v>0</v>
      </c>
    </row>
    <row r="74" spans="19:20">
      <c r="S74">
        <f t="shared" si="4"/>
        <v>0</v>
      </c>
      <c r="T74">
        <f t="shared" si="3"/>
        <v>0</v>
      </c>
    </row>
    <row r="75" spans="19:20">
      <c r="S75">
        <f t="shared" si="4"/>
        <v>0</v>
      </c>
      <c r="T75">
        <f t="shared" si="3"/>
        <v>0</v>
      </c>
    </row>
    <row r="76" spans="19:20">
      <c r="S76">
        <f t="shared" si="4"/>
        <v>0</v>
      </c>
      <c r="T76">
        <f t="shared" si="3"/>
        <v>0</v>
      </c>
    </row>
    <row r="77" spans="19:20">
      <c r="S77">
        <f t="shared" si="4"/>
        <v>0</v>
      </c>
      <c r="T77">
        <f t="shared" si="3"/>
        <v>0</v>
      </c>
    </row>
    <row r="78" spans="19:20">
      <c r="S78">
        <f t="shared" si="4"/>
        <v>0</v>
      </c>
      <c r="T78">
        <f t="shared" si="3"/>
        <v>0</v>
      </c>
    </row>
    <row r="79" spans="19:20">
      <c r="S79">
        <f t="shared" si="4"/>
        <v>0</v>
      </c>
      <c r="T79">
        <f t="shared" si="3"/>
        <v>0</v>
      </c>
    </row>
    <row r="80" spans="19:20">
      <c r="S80">
        <f t="shared" si="4"/>
        <v>0</v>
      </c>
      <c r="T80">
        <f t="shared" si="3"/>
        <v>0</v>
      </c>
    </row>
    <row r="81" spans="19:20">
      <c r="S81">
        <f t="shared" si="4"/>
        <v>0</v>
      </c>
      <c r="T81">
        <f t="shared" si="3"/>
        <v>0</v>
      </c>
    </row>
    <row r="82" spans="19:20">
      <c r="S82">
        <f t="shared" si="4"/>
        <v>0</v>
      </c>
      <c r="T82">
        <f t="shared" si="3"/>
        <v>0</v>
      </c>
    </row>
    <row r="83" spans="19:20">
      <c r="S83">
        <f t="shared" si="4"/>
        <v>0</v>
      </c>
      <c r="T83">
        <f t="shared" si="3"/>
        <v>0</v>
      </c>
    </row>
    <row r="84" spans="19:20">
      <c r="S84">
        <f t="shared" si="4"/>
        <v>0</v>
      </c>
      <c r="T84">
        <f t="shared" si="3"/>
        <v>0</v>
      </c>
    </row>
    <row r="85" spans="19:20">
      <c r="S85">
        <f t="shared" si="4"/>
        <v>0</v>
      </c>
      <c r="T85">
        <f t="shared" si="3"/>
        <v>0</v>
      </c>
    </row>
    <row r="86" spans="19:20">
      <c r="S86">
        <f t="shared" si="4"/>
        <v>0</v>
      </c>
      <c r="T86">
        <f t="shared" si="3"/>
        <v>0</v>
      </c>
    </row>
    <row r="87" spans="19:20">
      <c r="S87">
        <f t="shared" si="4"/>
        <v>0</v>
      </c>
      <c r="T87">
        <f t="shared" si="3"/>
        <v>0</v>
      </c>
    </row>
    <row r="88" spans="19:20">
      <c r="S88">
        <f t="shared" si="4"/>
        <v>0</v>
      </c>
      <c r="T88">
        <f t="shared" si="3"/>
        <v>0</v>
      </c>
    </row>
    <row r="89" spans="19:20">
      <c r="S89">
        <f t="shared" si="4"/>
        <v>0</v>
      </c>
      <c r="T89">
        <f t="shared" si="3"/>
        <v>0</v>
      </c>
    </row>
    <row r="90" spans="19:20">
      <c r="S90">
        <f t="shared" si="4"/>
        <v>0</v>
      </c>
      <c r="T90">
        <f t="shared" si="3"/>
        <v>0</v>
      </c>
    </row>
    <row r="91" spans="19:20">
      <c r="S91">
        <f t="shared" si="4"/>
        <v>0</v>
      </c>
      <c r="T91">
        <f t="shared" si="3"/>
        <v>0</v>
      </c>
    </row>
    <row r="92" spans="19:20">
      <c r="S92">
        <f t="shared" si="4"/>
        <v>0</v>
      </c>
      <c r="T92">
        <f t="shared" si="3"/>
        <v>0</v>
      </c>
    </row>
    <row r="93" spans="19:20">
      <c r="S93">
        <f t="shared" si="4"/>
        <v>0</v>
      </c>
      <c r="T93">
        <f t="shared" si="3"/>
        <v>0</v>
      </c>
    </row>
    <row r="94" spans="19:20">
      <c r="S94">
        <f t="shared" si="4"/>
        <v>0</v>
      </c>
      <c r="T94">
        <f t="shared" si="3"/>
        <v>0</v>
      </c>
    </row>
    <row r="95" spans="19:20">
      <c r="S95">
        <f t="shared" si="4"/>
        <v>0</v>
      </c>
      <c r="T95">
        <f t="shared" si="3"/>
        <v>0</v>
      </c>
    </row>
    <row r="96" spans="19:20">
      <c r="S96">
        <f t="shared" si="4"/>
        <v>0</v>
      </c>
      <c r="T96">
        <f t="shared" si="3"/>
        <v>0</v>
      </c>
    </row>
    <row r="97" spans="19:20">
      <c r="S97">
        <f t="shared" si="4"/>
        <v>0</v>
      </c>
      <c r="T97">
        <f t="shared" si="3"/>
        <v>0</v>
      </c>
    </row>
    <row r="98" spans="19:20">
      <c r="S98">
        <f t="shared" si="4"/>
        <v>0</v>
      </c>
      <c r="T98">
        <f t="shared" si="3"/>
        <v>0</v>
      </c>
    </row>
    <row r="99" spans="19:20">
      <c r="S99">
        <f t="shared" si="4"/>
        <v>0</v>
      </c>
      <c r="T99">
        <f t="shared" si="3"/>
        <v>0</v>
      </c>
    </row>
    <row r="100" spans="19:20">
      <c r="S100">
        <f t="shared" si="4"/>
        <v>0</v>
      </c>
      <c r="T100">
        <f t="shared" si="3"/>
        <v>0</v>
      </c>
    </row>
    <row r="101" spans="19:20">
      <c r="S101">
        <f t="shared" si="4"/>
        <v>0</v>
      </c>
      <c r="T101">
        <f t="shared" si="3"/>
        <v>0</v>
      </c>
    </row>
    <row r="102" spans="19:20">
      <c r="S102">
        <f t="shared" si="4"/>
        <v>0</v>
      </c>
      <c r="T102">
        <f t="shared" si="3"/>
        <v>0</v>
      </c>
    </row>
    <row r="103" spans="19:20">
      <c r="S103">
        <f t="shared" si="4"/>
        <v>0</v>
      </c>
      <c r="T103">
        <f t="shared" si="3"/>
        <v>0</v>
      </c>
    </row>
    <row r="104" spans="19:20">
      <c r="S104">
        <f t="shared" si="4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Worksheet______22"/>
  <dimension ref="A1:EG102"/>
  <sheetViews>
    <sheetView rightToLeft="1" tabSelected="1" topLeftCell="AR5" workbookViewId="0">
      <selection activeCell="AZ9" sqref="AZ9"/>
    </sheetView>
  </sheetViews>
  <sheetFormatPr defaultRowHeight="12.75"/>
  <cols>
    <col min="1" max="1" width="10.42578125" customWidth="1"/>
    <col min="2" max="3" width="13.42578125" customWidth="1"/>
    <col min="4" max="4" width="12.85546875" customWidth="1"/>
    <col min="5" max="6" width="14.7109375" customWidth="1"/>
    <col min="7" max="8" width="16.85546875" customWidth="1"/>
    <col min="9" max="9" width="19.42578125" customWidth="1"/>
    <col min="10" max="10" width="9.85546875" style="6" customWidth="1"/>
    <col min="11" max="15" width="12.42578125" customWidth="1"/>
    <col min="16" max="16" width="27.28515625" customWidth="1"/>
    <col min="119" max="119" width="11.140625" customWidth="1"/>
    <col min="120" max="123" width="10.7109375" customWidth="1"/>
  </cols>
  <sheetData>
    <row r="1" spans="1:137">
      <c r="AB1" s="268" t="s">
        <v>163</v>
      </c>
      <c r="AC1" s="268">
        <f>'נתוני יסוד'!B5</f>
        <v>125.59842915811087</v>
      </c>
      <c r="AD1" s="268" t="s">
        <v>476</v>
      </c>
      <c r="AE1" s="269">
        <f>'נתוני יסוד'!E4</f>
        <v>0</v>
      </c>
      <c r="AG1" s="268" t="s">
        <v>234</v>
      </c>
      <c r="AH1" s="270">
        <f>'נתוני יסוד'!B23/100</f>
        <v>2.5000000000000001E-2</v>
      </c>
      <c r="BB1" s="268">
        <f>AV9*12</f>
        <v>0</v>
      </c>
      <c r="BC1" s="268"/>
      <c r="BD1" s="268"/>
      <c r="BE1" s="268"/>
      <c r="BF1" s="268"/>
      <c r="BG1" s="268"/>
      <c r="BH1" s="268"/>
      <c r="BI1" s="268"/>
      <c r="BJ1" s="268"/>
      <c r="BK1" s="268"/>
      <c r="BL1" s="268" t="s">
        <v>607</v>
      </c>
      <c r="BM1" s="271"/>
      <c r="BO1" s="268" t="s">
        <v>608</v>
      </c>
      <c r="BP1" s="268" t="s">
        <v>271</v>
      </c>
      <c r="BQ1" s="268" t="s">
        <v>609</v>
      </c>
      <c r="BR1" s="268" t="s">
        <v>610</v>
      </c>
      <c r="BU1" s="1010" t="s">
        <v>611</v>
      </c>
      <c r="BV1" s="1010"/>
      <c r="BW1" s="271">
        <f>BV2+BV3+BY2+BY3</f>
        <v>0</v>
      </c>
      <c r="BX1" s="271"/>
      <c r="BY1" s="268"/>
      <c r="CB1" s="1010" t="s">
        <v>612</v>
      </c>
      <c r="CC1" s="1010"/>
      <c r="CD1" s="271">
        <f>BU6+CI6</f>
        <v>0</v>
      </c>
      <c r="CE1" s="268"/>
      <c r="CF1" s="268" t="s">
        <v>613</v>
      </c>
      <c r="CG1" s="271">
        <f>CK6+CD6+BW6+BQ6</f>
        <v>0</v>
      </c>
    </row>
    <row r="2" spans="1:137">
      <c r="AB2" s="268"/>
      <c r="AD2" s="268" t="s">
        <v>614</v>
      </c>
      <c r="AE2" s="269">
        <f>'נתוני יסוד'!B16</f>
        <v>125.59842915811087</v>
      </c>
      <c r="BB2" s="272">
        <f>(-1)*FV(AH1,AE2,BB1,AH9,1)</f>
        <v>0</v>
      </c>
      <c r="BC2" s="271">
        <v>1</v>
      </c>
      <c r="BD2" s="271">
        <v>1.5</v>
      </c>
      <c r="BE2" s="271">
        <v>2</v>
      </c>
      <c r="BF2" s="271"/>
      <c r="BG2" s="271">
        <v>2.5</v>
      </c>
      <c r="BH2" s="271">
        <v>3</v>
      </c>
      <c r="BI2" s="271">
        <v>3.5</v>
      </c>
      <c r="BJ2" s="271">
        <v>4</v>
      </c>
      <c r="BK2" s="271">
        <v>4.18</v>
      </c>
      <c r="BL2" s="271">
        <v>4.25</v>
      </c>
      <c r="BM2" s="271">
        <v>0</v>
      </c>
      <c r="BO2" s="268"/>
      <c r="BP2" s="268" t="s">
        <v>615</v>
      </c>
      <c r="BQ2" s="268"/>
      <c r="BR2" s="268" t="s">
        <v>616</v>
      </c>
      <c r="BU2" s="268" t="str">
        <f>BR8</f>
        <v>קצבה מת' מע עד</v>
      </c>
      <c r="BV2" s="271">
        <f>BR6</f>
        <v>0</v>
      </c>
      <c r="BW2" s="268"/>
      <c r="BX2" s="268" t="str">
        <f>CE8</f>
        <v>קצבה מת' עובד עד</v>
      </c>
      <c r="BY2" s="271">
        <f>CE6</f>
        <v>0</v>
      </c>
      <c r="CB2" s="268"/>
      <c r="CC2" s="268"/>
      <c r="CD2" s="268"/>
      <c r="CE2" s="268"/>
      <c r="CF2" s="268"/>
      <c r="CG2" s="268"/>
    </row>
    <row r="3" spans="1:137">
      <c r="AB3" s="1010" t="s">
        <v>617</v>
      </c>
      <c r="AC3" s="1010"/>
      <c r="AD3" s="268"/>
      <c r="AE3" s="268"/>
      <c r="BO3" s="268"/>
      <c r="BP3" s="268" t="s">
        <v>618</v>
      </c>
      <c r="BQ3" s="268"/>
      <c r="BR3" s="268" t="s">
        <v>619</v>
      </c>
      <c r="BU3" s="268">
        <f>BW8</f>
        <v>0</v>
      </c>
      <c r="BV3" s="271">
        <f>BW6</f>
        <v>0</v>
      </c>
      <c r="BW3" s="268"/>
      <c r="BX3" s="268">
        <f>CK8</f>
        <v>0</v>
      </c>
      <c r="BY3" s="271">
        <f>CK6</f>
        <v>0</v>
      </c>
      <c r="CB3" s="1010" t="s">
        <v>620</v>
      </c>
      <c r="CC3" s="1010"/>
      <c r="CD3" s="271">
        <f>CB6+BO6</f>
        <v>0</v>
      </c>
      <c r="CE3" s="268"/>
      <c r="CF3" s="268" t="s">
        <v>621</v>
      </c>
      <c r="CG3" s="271">
        <f>CL6+BX6</f>
        <v>0</v>
      </c>
      <c r="DW3" s="5"/>
    </row>
    <row r="4" spans="1:137">
      <c r="BO4" s="268"/>
      <c r="BP4" s="268" t="s">
        <v>622</v>
      </c>
      <c r="BQ4" s="268"/>
      <c r="BR4" s="268" t="s">
        <v>623</v>
      </c>
      <c r="CB4" s="268"/>
      <c r="CC4" s="268"/>
      <c r="CD4" s="268"/>
      <c r="CE4" s="268"/>
      <c r="CF4" s="268" t="s">
        <v>624</v>
      </c>
      <c r="CG4" s="268"/>
    </row>
    <row r="5" spans="1:137">
      <c r="BO5" s="268"/>
      <c r="BP5" s="268" t="s">
        <v>625</v>
      </c>
      <c r="BQ5" s="268"/>
      <c r="BR5" s="268"/>
    </row>
    <row r="6" spans="1:137">
      <c r="A6" s="273" t="s">
        <v>238</v>
      </c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>
        <f>SUM(X9:X55)</f>
        <v>0</v>
      </c>
      <c r="Y6" s="273"/>
      <c r="Z6" s="273">
        <f>SUM(Z9:Z55)</f>
        <v>0</v>
      </c>
      <c r="AA6" s="273"/>
      <c r="AB6" s="273">
        <f t="shared" ref="AB6:BE6" si="0">SUM(AB9:AB55)</f>
        <v>0</v>
      </c>
      <c r="AC6" s="273">
        <f t="shared" si="0"/>
        <v>0</v>
      </c>
      <c r="AD6" s="273">
        <f t="shared" si="0"/>
        <v>0</v>
      </c>
      <c r="AE6" s="273">
        <f t="shared" si="0"/>
        <v>0</v>
      </c>
      <c r="AF6" s="273">
        <f t="shared" si="0"/>
        <v>0</v>
      </c>
      <c r="AG6" s="273">
        <f t="shared" si="0"/>
        <v>0</v>
      </c>
      <c r="AH6" s="273">
        <f t="shared" si="0"/>
        <v>0</v>
      </c>
      <c r="AI6" s="273"/>
      <c r="AJ6" s="273"/>
      <c r="AK6" s="273"/>
      <c r="AL6" s="273"/>
      <c r="AM6" s="273"/>
      <c r="AN6" s="273"/>
      <c r="AO6" s="273"/>
      <c r="AP6" s="273"/>
      <c r="AQ6" s="273"/>
      <c r="AR6" s="273"/>
      <c r="AS6" s="273"/>
      <c r="AT6" s="273">
        <f t="shared" si="0"/>
        <v>0</v>
      </c>
      <c r="AU6" s="273">
        <f t="shared" si="0"/>
        <v>0</v>
      </c>
      <c r="AV6" s="273">
        <f t="shared" si="0"/>
        <v>0</v>
      </c>
      <c r="AW6" s="273">
        <f t="shared" si="0"/>
        <v>0</v>
      </c>
      <c r="AX6" s="273">
        <f t="shared" si="0"/>
        <v>0</v>
      </c>
      <c r="AY6" s="273">
        <f t="shared" si="0"/>
        <v>0</v>
      </c>
      <c r="AZ6" s="273">
        <f t="shared" si="0"/>
        <v>0</v>
      </c>
      <c r="BA6" s="273">
        <f t="shared" si="0"/>
        <v>0</v>
      </c>
      <c r="BB6" s="273">
        <f t="shared" si="0"/>
        <v>0</v>
      </c>
      <c r="BC6" s="273">
        <f t="shared" si="0"/>
        <v>0</v>
      </c>
      <c r="BD6" s="273">
        <f t="shared" si="0"/>
        <v>0</v>
      </c>
      <c r="BE6" s="273">
        <f t="shared" si="0"/>
        <v>0</v>
      </c>
      <c r="BF6" s="273"/>
      <c r="BG6" s="273"/>
      <c r="BH6" s="273">
        <f>SUM(BH9:BH55)</f>
        <v>0</v>
      </c>
      <c r="BI6" s="273">
        <f>SUM(BI9:BI55)</f>
        <v>0</v>
      </c>
      <c r="BJ6" s="273">
        <f>SUM(BJ9:BJ55)</f>
        <v>0</v>
      </c>
      <c r="BK6" s="273">
        <f>SUM(BK9:BK55)</f>
        <v>0</v>
      </c>
      <c r="BL6" s="274">
        <f>SUM(BL9:BL55)</f>
        <v>0</v>
      </c>
      <c r="BM6" s="273"/>
      <c r="BN6" s="273"/>
      <c r="BO6" s="273">
        <f>SUM(BO9:BO55)</f>
        <v>0</v>
      </c>
      <c r="BP6" s="273">
        <f>SUM(BP9:BP55)</f>
        <v>0</v>
      </c>
      <c r="BQ6" s="273">
        <f>SUM(BQ9:BQ55)</f>
        <v>0</v>
      </c>
      <c r="BR6" s="273">
        <f>SUM(BR9:BR55)</f>
        <v>0</v>
      </c>
      <c r="BS6" s="274">
        <f>SUM(BS9:BS55)</f>
        <v>0</v>
      </c>
      <c r="BT6" s="273"/>
      <c r="BU6" s="273">
        <f>SUM(BU9:BU55)</f>
        <v>0</v>
      </c>
      <c r="BV6" s="273">
        <f>SUM(BV9:BV55)</f>
        <v>0</v>
      </c>
      <c r="BW6" s="273">
        <f>SUM(BW9:BW55)</f>
        <v>0</v>
      </c>
      <c r="BX6" s="273">
        <f>SUM(BX9:BX55)</f>
        <v>0</v>
      </c>
      <c r="BY6" s="275">
        <f>SUM(BY9:BY55)</f>
        <v>0</v>
      </c>
      <c r="BZ6" s="273"/>
      <c r="CA6" s="273"/>
      <c r="CB6" s="273">
        <f>SUM(CB9:CB55)</f>
        <v>0</v>
      </c>
      <c r="CC6" s="273">
        <f>SUM(CC9:CC55)</f>
        <v>0</v>
      </c>
      <c r="CD6" s="273">
        <f>SUM(CD9:CD55)</f>
        <v>0</v>
      </c>
      <c r="CE6" s="273">
        <f>SUM(CE9:CE55)</f>
        <v>0</v>
      </c>
      <c r="CF6" s="274">
        <f>SUM(CF9:CF55)</f>
        <v>0</v>
      </c>
      <c r="CG6" s="273"/>
      <c r="CH6" s="273"/>
      <c r="CI6" s="273">
        <f>SUM(CI9:CI55)</f>
        <v>0</v>
      </c>
      <c r="CJ6" s="273">
        <f>SUM(CJ9:CJ55)</f>
        <v>0</v>
      </c>
      <c r="CK6" s="273">
        <f>SUM(CK9:CK55)</f>
        <v>0</v>
      </c>
      <c r="CL6" s="273">
        <f>SUM(CL9:CL55)</f>
        <v>0</v>
      </c>
      <c r="CM6" s="275">
        <f>SUM(CM9:CM55)</f>
        <v>0</v>
      </c>
      <c r="CN6" s="273"/>
      <c r="CO6" s="273"/>
      <c r="CP6" s="273"/>
      <c r="CQ6" s="273"/>
      <c r="CR6" s="273"/>
      <c r="CS6" s="273"/>
      <c r="CT6" s="273"/>
      <c r="CU6" s="273"/>
      <c r="CV6" s="273"/>
      <c r="CW6" s="273"/>
      <c r="CX6" s="273"/>
      <c r="CY6" s="273"/>
      <c r="CZ6" s="273"/>
      <c r="DA6" s="273"/>
      <c r="DB6" s="273"/>
      <c r="DC6" s="273"/>
      <c r="DD6" s="273"/>
      <c r="DE6" s="273"/>
      <c r="DF6" s="273"/>
      <c r="DG6" s="273"/>
      <c r="DH6" s="273"/>
      <c r="DI6" s="273"/>
      <c r="DJ6" s="273"/>
      <c r="DK6" s="273"/>
      <c r="DL6" s="273"/>
      <c r="DM6" s="273"/>
      <c r="DN6" s="273"/>
      <c r="DO6" s="273"/>
    </row>
    <row r="7" spans="1:137" ht="20.25">
      <c r="A7" s="23"/>
      <c r="B7" s="1018"/>
      <c r="C7" s="1018"/>
      <c r="D7" s="1018"/>
      <c r="E7" s="1018"/>
      <c r="F7" s="1018"/>
      <c r="G7" s="1018"/>
      <c r="H7" s="1018"/>
      <c r="I7" s="1018"/>
      <c r="J7" s="1018"/>
      <c r="K7" s="23"/>
      <c r="L7" s="987"/>
      <c r="M7" s="987"/>
      <c r="N7" s="987"/>
      <c r="O7" s="932"/>
      <c r="P7" s="26"/>
      <c r="Q7" s="23">
        <v>2</v>
      </c>
      <c r="R7" s="23"/>
      <c r="S7" s="12" t="s">
        <v>217</v>
      </c>
      <c r="T7" s="13">
        <v>67</v>
      </c>
      <c r="U7" s="13"/>
      <c r="V7" s="1019" t="s">
        <v>218</v>
      </c>
      <c r="W7" s="1019"/>
      <c r="X7" s="1019"/>
      <c r="Y7" s="1019"/>
      <c r="Z7" s="12"/>
      <c r="AA7" s="12"/>
      <c r="AB7" s="12"/>
      <c r="AC7" s="12"/>
      <c r="AD7" s="12"/>
      <c r="AE7" s="12"/>
      <c r="AF7" s="1020" t="s">
        <v>219</v>
      </c>
      <c r="AG7" s="1021"/>
      <c r="AH7" s="1021"/>
      <c r="AI7" s="1021"/>
      <c r="AJ7" s="1022"/>
      <c r="AK7" s="14"/>
      <c r="AL7" s="1023" t="s">
        <v>220</v>
      </c>
      <c r="AM7" s="1024"/>
      <c r="AN7" s="1023" t="s">
        <v>221</v>
      </c>
      <c r="AO7" s="1024"/>
      <c r="AP7" s="15"/>
      <c r="AQ7" s="15"/>
      <c r="AR7" s="15"/>
      <c r="AS7" s="15"/>
      <c r="AT7" s="15"/>
      <c r="AU7" s="15"/>
      <c r="AV7" s="15"/>
      <c r="AW7" s="1012" t="s">
        <v>222</v>
      </c>
      <c r="AX7" s="1012"/>
      <c r="AY7" s="1012"/>
      <c r="AZ7" s="1013" t="s">
        <v>223</v>
      </c>
      <c r="BA7" s="1013"/>
      <c r="BB7" s="1013"/>
      <c r="BC7" s="1013"/>
      <c r="BD7" s="1013"/>
      <c r="BE7" s="12"/>
      <c r="BF7" s="12"/>
      <c r="BG7" s="12"/>
      <c r="BH7" s="12"/>
      <c r="BI7" s="12"/>
      <c r="BJ7" s="12"/>
      <c r="BK7" s="1014" t="s">
        <v>224</v>
      </c>
      <c r="BL7" s="1014"/>
      <c r="BM7" s="1014"/>
      <c r="BN7" s="1014"/>
      <c r="BO7" s="1014"/>
      <c r="BP7" s="12"/>
      <c r="BQ7" s="12"/>
      <c r="BR7" s="1015" t="s">
        <v>225</v>
      </c>
      <c r="BS7" s="1015"/>
      <c r="BT7" s="1015"/>
      <c r="BU7" s="1015"/>
      <c r="BV7" s="1015"/>
      <c r="BW7" s="12"/>
      <c r="BX7" s="1016" t="s">
        <v>226</v>
      </c>
      <c r="BY7" s="1016"/>
      <c r="BZ7" s="1016"/>
      <c r="CA7" s="1016"/>
      <c r="CB7" s="1016"/>
      <c r="CC7" s="12"/>
      <c r="CD7" s="12"/>
      <c r="CE7" s="1017" t="s">
        <v>227</v>
      </c>
      <c r="CF7" s="1017"/>
      <c r="CG7" s="1017"/>
      <c r="CH7" s="1017"/>
      <c r="CI7" s="1017"/>
      <c r="CJ7" s="12"/>
      <c r="CK7" s="12"/>
      <c r="CL7" s="1011" t="s">
        <v>228</v>
      </c>
      <c r="CM7" s="1011"/>
      <c r="CN7" s="1011"/>
      <c r="CO7" s="1011"/>
      <c r="CP7" s="1011"/>
      <c r="CX7" s="32" t="s">
        <v>344</v>
      </c>
      <c r="DF7" s="32" t="s">
        <v>345</v>
      </c>
      <c r="DW7" s="32" t="s">
        <v>618</v>
      </c>
      <c r="EE7" s="32" t="s">
        <v>1085</v>
      </c>
    </row>
    <row r="8" spans="1:137" s="18" customFormat="1" ht="110.25">
      <c r="A8" s="16" t="s">
        <v>229</v>
      </c>
      <c r="B8" s="17" t="s">
        <v>230</v>
      </c>
      <c r="C8" s="17" t="s">
        <v>1059</v>
      </c>
      <c r="D8" s="17" t="s">
        <v>231</v>
      </c>
      <c r="E8" s="17" t="s">
        <v>12</v>
      </c>
      <c r="F8" s="17" t="s">
        <v>1024</v>
      </c>
      <c r="G8" s="17" t="s">
        <v>516</v>
      </c>
      <c r="H8" s="17" t="s">
        <v>1022</v>
      </c>
      <c r="I8" s="17" t="s">
        <v>7</v>
      </c>
      <c r="J8" s="17" t="s">
        <v>517</v>
      </c>
      <c r="K8" s="17" t="s">
        <v>139</v>
      </c>
      <c r="L8" s="17" t="s">
        <v>1077</v>
      </c>
      <c r="M8" s="17" t="s">
        <v>1078</v>
      </c>
      <c r="N8" s="17" t="s">
        <v>355</v>
      </c>
      <c r="O8" s="17" t="s">
        <v>1024</v>
      </c>
      <c r="P8" s="17" t="s">
        <v>302</v>
      </c>
      <c r="Q8" s="17" t="s">
        <v>232</v>
      </c>
      <c r="R8" s="17" t="s">
        <v>233</v>
      </c>
      <c r="S8" s="17" t="s">
        <v>234</v>
      </c>
      <c r="T8" s="17" t="s">
        <v>235</v>
      </c>
      <c r="U8" s="17" t="s">
        <v>236</v>
      </c>
      <c r="V8" s="17" t="s">
        <v>237</v>
      </c>
      <c r="W8" s="17" t="s">
        <v>22</v>
      </c>
      <c r="X8" s="17" t="s">
        <v>23</v>
      </c>
      <c r="Y8" s="24" t="s">
        <v>238</v>
      </c>
      <c r="Z8" s="17" t="s">
        <v>239</v>
      </c>
      <c r="AA8" s="24" t="s">
        <v>240</v>
      </c>
      <c r="AB8" s="16" t="s">
        <v>299</v>
      </c>
      <c r="AC8" s="17" t="s">
        <v>241</v>
      </c>
      <c r="AD8" s="24" t="s">
        <v>242</v>
      </c>
      <c r="AE8" s="999" t="s">
        <v>243</v>
      </c>
      <c r="AF8" s="17" t="s">
        <v>16</v>
      </c>
      <c r="AG8" s="17" t="s">
        <v>244</v>
      </c>
      <c r="AH8" s="17" t="s">
        <v>245</v>
      </c>
      <c r="AI8" s="17" t="s">
        <v>246</v>
      </c>
      <c r="AJ8" s="17" t="s">
        <v>247</v>
      </c>
      <c r="AK8" s="24" t="s">
        <v>248</v>
      </c>
      <c r="AL8" s="16" t="s">
        <v>249</v>
      </c>
      <c r="AM8" s="24" t="s">
        <v>250</v>
      </c>
      <c r="AN8" s="16" t="s">
        <v>251</v>
      </c>
      <c r="AO8" s="24" t="s">
        <v>252</v>
      </c>
      <c r="AP8" s="16" t="s">
        <v>253</v>
      </c>
      <c r="AQ8" s="16" t="s">
        <v>254</v>
      </c>
      <c r="AR8" s="16" t="s">
        <v>255</v>
      </c>
      <c r="AS8" s="16" t="s">
        <v>256</v>
      </c>
      <c r="AT8" s="16" t="s">
        <v>257</v>
      </c>
      <c r="AU8" s="16" t="s">
        <v>258</v>
      </c>
      <c r="AV8" s="24" t="s">
        <v>259</v>
      </c>
      <c r="AW8" s="1167" t="s">
        <v>16</v>
      </c>
      <c r="AX8" s="1167" t="s">
        <v>22</v>
      </c>
      <c r="AY8" s="1167" t="s">
        <v>23</v>
      </c>
      <c r="AZ8" s="24" t="s">
        <v>16</v>
      </c>
      <c r="BA8" s="24" t="s">
        <v>260</v>
      </c>
      <c r="BB8" s="24" t="s">
        <v>261</v>
      </c>
      <c r="BC8" s="24" t="s">
        <v>262</v>
      </c>
      <c r="BD8" s="24" t="s">
        <v>263</v>
      </c>
      <c r="BE8" s="24" t="s">
        <v>264</v>
      </c>
      <c r="BF8" s="1001" t="s">
        <v>265</v>
      </c>
      <c r="BG8" s="1001" t="s">
        <v>266</v>
      </c>
      <c r="BH8" s="1001" t="s">
        <v>267</v>
      </c>
      <c r="BI8" s="1001" t="s">
        <v>268</v>
      </c>
      <c r="BJ8" s="24"/>
      <c r="BK8" s="24" t="s">
        <v>269</v>
      </c>
      <c r="BL8" s="24" t="s">
        <v>270</v>
      </c>
      <c r="BM8" s="24" t="s">
        <v>271</v>
      </c>
      <c r="BN8" s="24" t="s">
        <v>272</v>
      </c>
      <c r="BO8" s="24" t="s">
        <v>273</v>
      </c>
      <c r="BP8" s="24"/>
      <c r="BQ8" s="24"/>
      <c r="BR8" s="24" t="s">
        <v>274</v>
      </c>
      <c r="BS8" s="24" t="s">
        <v>275</v>
      </c>
      <c r="BT8" s="24" t="s">
        <v>276</v>
      </c>
      <c r="BU8" s="24" t="s">
        <v>277</v>
      </c>
      <c r="BV8" s="24" t="s">
        <v>273</v>
      </c>
      <c r="BW8" s="24"/>
      <c r="BX8" s="24" t="s">
        <v>278</v>
      </c>
      <c r="BY8" s="24" t="s">
        <v>279</v>
      </c>
      <c r="BZ8" s="24" t="s">
        <v>280</v>
      </c>
      <c r="CA8" s="24" t="s">
        <v>281</v>
      </c>
      <c r="CB8" s="24" t="s">
        <v>273</v>
      </c>
      <c r="CC8" s="24"/>
      <c r="CD8" s="24"/>
      <c r="CE8" s="24" t="s">
        <v>282</v>
      </c>
      <c r="CF8" s="24" t="s">
        <v>283</v>
      </c>
      <c r="CG8" s="24" t="s">
        <v>284</v>
      </c>
      <c r="CH8" s="24" t="s">
        <v>285</v>
      </c>
      <c r="CI8" s="24" t="s">
        <v>273</v>
      </c>
      <c r="CJ8" s="24"/>
      <c r="CK8" s="24"/>
      <c r="CL8" s="24" t="s">
        <v>286</v>
      </c>
      <c r="CM8" s="24" t="s">
        <v>287</v>
      </c>
      <c r="CN8" s="24" t="s">
        <v>288</v>
      </c>
      <c r="CO8" s="24" t="s">
        <v>289</v>
      </c>
      <c r="CP8" s="24" t="s">
        <v>273</v>
      </c>
      <c r="CQ8" s="3" t="s">
        <v>331</v>
      </c>
      <c r="CR8" s="3" t="s">
        <v>319</v>
      </c>
      <c r="CS8" s="3" t="s">
        <v>309</v>
      </c>
      <c r="CT8" s="3" t="s">
        <v>310</v>
      </c>
      <c r="CU8" s="3" t="s">
        <v>311</v>
      </c>
      <c r="CV8" s="3" t="s">
        <v>320</v>
      </c>
      <c r="CW8" s="3" t="s">
        <v>321</v>
      </c>
      <c r="CX8" s="3" t="s">
        <v>314</v>
      </c>
      <c r="CY8" s="3" t="s">
        <v>322</v>
      </c>
      <c r="CZ8" s="3" t="s">
        <v>316</v>
      </c>
      <c r="DA8" s="3" t="s">
        <v>317</v>
      </c>
      <c r="DB8" s="31" t="s">
        <v>319</v>
      </c>
      <c r="DC8" s="31" t="s">
        <v>309</v>
      </c>
      <c r="DD8" s="31" t="s">
        <v>310</v>
      </c>
      <c r="DE8" s="31" t="s">
        <v>311</v>
      </c>
      <c r="DF8" s="31" t="s">
        <v>320</v>
      </c>
      <c r="DG8" s="31" t="s">
        <v>321</v>
      </c>
      <c r="DH8" s="31" t="s">
        <v>314</v>
      </c>
      <c r="DI8" s="31" t="s">
        <v>322</v>
      </c>
      <c r="DJ8" s="31" t="s">
        <v>316</v>
      </c>
      <c r="DK8" s="31" t="s">
        <v>317</v>
      </c>
      <c r="DL8" s="31" t="s">
        <v>506</v>
      </c>
      <c r="DM8" s="31" t="s">
        <v>1079</v>
      </c>
      <c r="DN8" s="31" t="s">
        <v>1080</v>
      </c>
      <c r="DO8" s="31" t="s">
        <v>508</v>
      </c>
      <c r="DP8" s="31" t="s">
        <v>507</v>
      </c>
      <c r="DQ8" s="995" t="s">
        <v>1109</v>
      </c>
      <c r="DR8" s="995" t="s">
        <v>1110</v>
      </c>
      <c r="DS8" s="995" t="s">
        <v>1111</v>
      </c>
      <c r="DT8" s="981" t="s">
        <v>1065</v>
      </c>
      <c r="DU8" s="981" t="s">
        <v>1066</v>
      </c>
      <c r="DV8" s="981" t="s">
        <v>1028</v>
      </c>
      <c r="DW8" s="981" t="s">
        <v>1067</v>
      </c>
      <c r="DX8" s="981" t="s">
        <v>1068</v>
      </c>
      <c r="DY8" s="981" t="s">
        <v>1069</v>
      </c>
      <c r="DZ8" s="981" t="s">
        <v>1048</v>
      </c>
      <c r="EA8" s="981" t="s">
        <v>1052</v>
      </c>
      <c r="EB8" s="981" t="s">
        <v>1053</v>
      </c>
      <c r="EC8" s="4" t="s">
        <v>1070</v>
      </c>
      <c r="ED8" s="4"/>
      <c r="EE8" s="991" t="s">
        <v>1086</v>
      </c>
      <c r="EF8" s="991" t="s">
        <v>1087</v>
      </c>
      <c r="EG8" s="1000" t="s">
        <v>1132</v>
      </c>
    </row>
    <row r="9" spans="1:137">
      <c r="A9">
        <f>IF(B9&gt;0,1,0)</f>
        <v>0</v>
      </c>
      <c r="B9" s="20">
        <f>RicusPolice!E6</f>
        <v>0</v>
      </c>
      <c r="C9" s="20">
        <f>RicusPolice!AL6</f>
        <v>0</v>
      </c>
      <c r="D9" s="20">
        <f>RicusPolice!F6</f>
        <v>0</v>
      </c>
      <c r="E9" s="20">
        <f>RicusPolice!R6</f>
        <v>0</v>
      </c>
      <c r="F9" s="20">
        <f>RicusPolice!N6</f>
        <v>0</v>
      </c>
      <c r="G9" s="20">
        <f>IFERROR(VLOOKUP($B9,PerutYitrot!$D$6:$P$100,4,FALSE),0)</f>
        <v>0</v>
      </c>
      <c r="H9" s="20">
        <f>IF(G9="קצבה לא משלמת","ריסק/חיסכון",IF(G9="הון","ריסק/חיסכון",IF(G9="קצבה","ריסק/פנסיה",G9)))</f>
        <v>0</v>
      </c>
      <c r="I9" s="20">
        <f>RicusPolice!L6</f>
        <v>0</v>
      </c>
      <c r="J9" s="179">
        <f>IFERROR(VLOOKUP(TRIM(K9),MyData!$J$43:$K$49,2,FALSE),0)</f>
        <v>0</v>
      </c>
      <c r="K9" s="20">
        <f>RicusPolice!M6</f>
        <v>0</v>
      </c>
      <c r="L9" s="20">
        <f>RicusPolice!AM6</f>
        <v>0</v>
      </c>
      <c r="M9" s="20" t="str">
        <f>IF(B9&gt;0,RicusPolice!Y6," ")</f>
        <v xml:space="preserve"> </v>
      </c>
      <c r="N9" s="20" t="str">
        <f>IF(B9&gt;0,IF(OR(M9=1,M9="1"),"מבטיח תשאוה","משתתף ברווחים"),"")</f>
        <v/>
      </c>
      <c r="O9" s="20">
        <f>RicusPolice!N6</f>
        <v>0</v>
      </c>
      <c r="P9" s="20">
        <f>IFERROR(VLOOKUP(B9,PerutMasluleiHashkaa!$D$6:$R$100,4,FALSE),0)</f>
        <v>0</v>
      </c>
      <c r="Q9" s="19"/>
      <c r="R9" s="20">
        <f>RicusPolice!P6</f>
        <v>0</v>
      </c>
      <c r="S9" s="20"/>
      <c r="T9" s="21">
        <f>'נתונים ידניים'!H9</f>
        <v>0</v>
      </c>
      <c r="U9" s="21"/>
      <c r="V9" s="20">
        <f>PerutHafrashotLePolisa!E6</f>
        <v>0</v>
      </c>
      <c r="W9" s="20">
        <f>PerutHafrashotLePolisa!F6</f>
        <v>0</v>
      </c>
      <c r="X9" s="20">
        <f>PerutHafrashotLePolisa!G6</f>
        <v>0</v>
      </c>
      <c r="Y9">
        <f>SUM(V9:X9)</f>
        <v>0</v>
      </c>
      <c r="Z9">
        <f>IFERROR(VLOOKUP(B9,PirteiHaasaka!$D$6:$R$100,5,FALSE),0)</f>
        <v>0</v>
      </c>
      <c r="AB9">
        <f>IFERROR(VLOOKUP(B9,HafkadotMetchilatShanaAverages!$D$6:$E$100,2,FALSE),0)</f>
        <v>0</v>
      </c>
      <c r="AF9">
        <f>IFERROR(VLOOKUP(B9,CrossTabYitraLeTkufa_till_2000!$D$6:$AB$100,6,FALSE),0)+IFERROR(VLOOKUP(B9,CrossTabYitraLeTkufa_after_2000!$D$6:$AB$100,6,FALSE),0)</f>
        <v>0</v>
      </c>
      <c r="AG9">
        <f>IFERROR(VLOOKUP(B9,CrossTabYitraLeTkufa_till_2000!$D$6:$AB$100,16,FALSE),0)</f>
        <v>0</v>
      </c>
      <c r="AH9">
        <f>IFERROR(VLOOKUP(B9,CrossTabYitraLeTkufa_after_2000!$D$6:$AB$100,16,FALSE),0)</f>
        <v>0</v>
      </c>
      <c r="AI9">
        <f>IFERROR(VLOOKUP(B9,CrossTabYitraLeTkufa_till_2000!$D$6:$AB$100,17,FALSE),0)</f>
        <v>0</v>
      </c>
      <c r="AJ9">
        <f>IFERROR(VLOOKUP(B9,CrossTabYitraLeTkufa_after_2000!$D$6:$AB$100,17,FALSE),0)</f>
        <v>0</v>
      </c>
      <c r="AK9" s="5">
        <f>SUM(AF9:AJ9)</f>
        <v>0</v>
      </c>
      <c r="AN9">
        <f>IFERROR(VLOOKUP(B9,PirteiKisuiBeMutzar_procerur!$C$6:$AA$100,2,FALSE),0)</f>
        <v>0</v>
      </c>
      <c r="AP9">
        <f>IFERROR(VLOOKUP($B9,PirteiKisuiBeMutzar_procerur!$C$6:$AA$100,5,FALSE),0)</f>
        <v>0</v>
      </c>
      <c r="AQ9">
        <f>IFERROR(VLOOKUP($B9,PirteiKisuiBeMutzar_procerur!$C$6:$AA$100,3,FALSE),0)</f>
        <v>0</v>
      </c>
      <c r="AR9">
        <f>IFERROR(VLOOKUP($B9,PirteiKisuiBeMutzar_procerur!$C$6:$AA$100,6,FALSE),0)</f>
        <v>0</v>
      </c>
      <c r="AS9">
        <f>IFERROR(VLOOKUP($B9,PirteiKisuiBeMutzar_procerur!$C$6:$AA$100,7,FALSE),0)</f>
        <v>0</v>
      </c>
      <c r="AW9">
        <f>IFERROR(V9/Y9*AE9,0)</f>
        <v>0</v>
      </c>
      <c r="AX9">
        <f>IFERROR(W9/Y9*AE9,0)</f>
        <v>0</v>
      </c>
      <c r="AY9">
        <f>IFERROR(X9/Y9*AE9,0)</f>
        <v>0</v>
      </c>
      <c r="AZ9">
        <f>IFERROR(FV(S9/100/12,$X$2*12,AW9,AF9)*(-1),0)</f>
        <v>0</v>
      </c>
      <c r="BA9">
        <f>IFERROR(FV(S9/100/12,$X$2*12,0,AG9)*(-1),0)</f>
        <v>0</v>
      </c>
      <c r="BB9">
        <f>IFERROR(FV(S9/100/12,$X$2*12,AX9,AH9)*(-1),0)</f>
        <v>0</v>
      </c>
      <c r="BC9">
        <f>IFERROR(FV(S9/100/12,$X$2*12,0,AI9)*(-1),0)</f>
        <v>0</v>
      </c>
      <c r="BD9">
        <f>IFERROR(FV(S9/100/12,$X$2*12,AY9,AJ9)*(-1),0)</f>
        <v>0</v>
      </c>
      <c r="BE9">
        <f>IFERROR(FV(S9/100/12,$X$2*12,AE9,AK9)*(-1),0)</f>
        <v>0</v>
      </c>
      <c r="BF9">
        <f>IF(EG9=2,BE9,0)</f>
        <v>0</v>
      </c>
      <c r="BG9">
        <f>IFERROR(IF(AND(EG9=1,BE9/T9&lt;350),BE9,0),0)</f>
        <v>0</v>
      </c>
      <c r="BH9">
        <f>IFERROR(IF(AND(EG9=1,BE9/T9&gt;350),BE9/T9,0),0)</f>
        <v>0</v>
      </c>
      <c r="BI9">
        <f>IFERROR(IF( ED9=1,IF(BH9&gt;0,EB9/U9,0),IF(C9="קרן פנסיה",BH9,0)),0)</f>
        <v>0</v>
      </c>
      <c r="BK9">
        <f>IFERROR(BL9/T9,0)</f>
        <v>0</v>
      </c>
      <c r="BL9">
        <f>IF(EG9=1,AZ9,0)</f>
        <v>0</v>
      </c>
      <c r="BM9">
        <f>IF(EG9=2,AZ9,0)</f>
        <v>0</v>
      </c>
      <c r="BN9">
        <f>BL9+BM9</f>
        <v>0</v>
      </c>
      <c r="BO9">
        <f>BE9-BN9</f>
        <v>0</v>
      </c>
      <c r="BR9">
        <f>IFERROR(BS9/T9,0)</f>
        <v>0</v>
      </c>
      <c r="BS9">
        <f>IF(EG9=1,BA9,0)</f>
        <v>0</v>
      </c>
      <c r="BT9">
        <f>IF(EG9=2,BA9,0)</f>
        <v>0</v>
      </c>
      <c r="BU9">
        <f>BT9+BS9</f>
        <v>0</v>
      </c>
      <c r="BV9">
        <f>BA9-BU9</f>
        <v>0</v>
      </c>
      <c r="BX9">
        <f>IFERROR(BY9/T9,0)</f>
        <v>0</v>
      </c>
      <c r="BY9">
        <f>IF(EG9=1,BB9,0)</f>
        <v>0</v>
      </c>
      <c r="BZ9">
        <f>IF(EG9=2,BB9,0)</f>
        <v>0</v>
      </c>
      <c r="CA9">
        <f>BZ9+BY9</f>
        <v>0</v>
      </c>
      <c r="CB9">
        <f>BB9-CA9</f>
        <v>0</v>
      </c>
      <c r="CE9">
        <f>IFERROR(CF9/T9,0)</f>
        <v>0</v>
      </c>
      <c r="CF9">
        <f>IF(EG9=1,BC9,0)</f>
        <v>0</v>
      </c>
      <c r="CG9">
        <f>IF(EG9=1,BC9,0)</f>
        <v>0</v>
      </c>
      <c r="CH9">
        <f>CG9+CF9</f>
        <v>0</v>
      </c>
      <c r="CI9">
        <f>BB9-CH9</f>
        <v>0</v>
      </c>
      <c r="CL9">
        <f>IFERROR(CM9/T9,0)</f>
        <v>0</v>
      </c>
      <c r="CM9">
        <f>IF(EG9=1,BD9,0)</f>
        <v>0</v>
      </c>
      <c r="CN9">
        <f>IF(EG9=1,BD9,0)</f>
        <v>0</v>
      </c>
      <c r="CO9">
        <f>CN9+CM9</f>
        <v>0</v>
      </c>
      <c r="CP9">
        <f>BD9-CO9</f>
        <v>0</v>
      </c>
      <c r="CQ9">
        <f>IFERROR(VLOOKUP($B9,SchumeiBituahYesodi!$C$6:$AA$100,8,FALSE),0)</f>
        <v>0</v>
      </c>
      <c r="CR9">
        <f>IFERROR(VLOOKUP($B9,PirteiKisuiBeMutzar_procerur!$C$6:$AA$100,2,FALSE),0)</f>
        <v>0</v>
      </c>
      <c r="CS9">
        <f>IFERROR(VLOOKUP($B9,PirteiKisuiBeMutzar_procerur!$C$6:$AA$100,3,FALSE),0)</f>
        <v>0</v>
      </c>
      <c r="CT9">
        <f>IFERROR(VLOOKUP($B9,PirteiKisuiBeMutzar_procerur!$C$6:$AA$100,4,FALSE),0)</f>
        <v>0</v>
      </c>
      <c r="CU9">
        <f>IFERROR(VLOOKUP($B9,PirteiKisuiBeMutzar_procerur!$C$6:$AA$100,5,FALSE),0)</f>
        <v>0</v>
      </c>
      <c r="CV9">
        <f>IFERROR(VLOOKUP($B9,PirteiKisuiBeMutzar_procerur!$C$6:$AA$100,6,FALSE),0)</f>
        <v>0</v>
      </c>
      <c r="CW9">
        <f>IFERROR(VLOOKUP($B9,PirteiKisuiBeMutzar_procerur!$C$6:$AA$100,7,FALSE),0)</f>
        <v>0</v>
      </c>
      <c r="CX9">
        <f>IFERROR(VLOOKUP($B9,PirteiKisuiBeMutzar_procerur!$C$6:$AA$100,8,FALSE),0)</f>
        <v>0</v>
      </c>
      <c r="CY9">
        <f>IFERROR(VLOOKUP($B9,PirteiKisuiBeMutzar_procerur!$C$6:$AA$100,9,FALSE),0)</f>
        <v>0</v>
      </c>
      <c r="CZ9">
        <f>IFERROR(VLOOKUP($B9,PirteiKisuiBeMutzar_procerur!$C$6:$AA$100,10,FALSE),0)</f>
        <v>0</v>
      </c>
      <c r="DA9">
        <f>IFERROR(VLOOKUP($B9,PirteiKisuiBeMutzar_procerur!$C$6:$AA$100,11,FALSE),0)</f>
        <v>0</v>
      </c>
      <c r="DB9">
        <f>IFERROR(VLOOKUP($B9,PirteiKisuiBeMutzarPrmia!$C$6:$AA$100,2,FALSE),0)</f>
        <v>0</v>
      </c>
      <c r="DC9">
        <f>IFERROR(VLOOKUP($B9,PirteiKisuiBeMutzarPrmia!$C$6:$AA$100,3,FALSE),0)</f>
        <v>0</v>
      </c>
      <c r="DD9">
        <f>IFERROR(VLOOKUP($B9,PirteiKisuiBeMutzarPrmia!$C$6:$AA$100,4,FALSE),0)</f>
        <v>0</v>
      </c>
      <c r="DE9">
        <f>IFERROR(VLOOKUP($B9,PirteiKisuiBeMutzarPrmia!$C$6:$AA$100,5,FALSE),0)</f>
        <v>0</v>
      </c>
      <c r="DF9">
        <f>IFERROR(VLOOKUP($B9,PirteiKisuiBeMutzarPrmia!$C$6:$AA$100,6,FALSE),0)</f>
        <v>0</v>
      </c>
      <c r="DG9">
        <f>IFERROR(VLOOKUP($B9,PirteiKisuiBeMutzarPrmia!$C$6:$AA$100,7,FALSE),0)</f>
        <v>0</v>
      </c>
      <c r="DH9">
        <f>IFERROR(VLOOKUP($B9,PirteiKisuiBeMutzarPrmia!$C$6:$AA$100,8,FALSE),0)</f>
        <v>0</v>
      </c>
      <c r="DI9">
        <f>IFERROR(VLOOKUP($B9,PirteiKisuiBeMutzarPrmia!$C$6:$AA$100,9,FALSE),0)</f>
        <v>0</v>
      </c>
      <c r="DJ9">
        <f>IFERROR(VLOOKUP($B9,PirteiKisuiBeMutzarPrmia!$C$6:$AA$100,10,FALSE),0)</f>
        <v>0</v>
      </c>
      <c r="DK9">
        <f>IFERROR(VLOOKUP($B9,PirteiKisuiBeMutzarPrmia!$C$6:$AA$100,11,FALSE),0)</f>
        <v>0</v>
      </c>
      <c r="DL9">
        <f t="shared" ref="DL9:DL50" si="1">SUM(DB9:DK9)</f>
        <v>0</v>
      </c>
      <c r="DM9">
        <f>IF(OR(L9=1,L9=3),DL9,0)</f>
        <v>0</v>
      </c>
      <c r="DN9">
        <f>IF(OR(L9=2,L9=4,,L9=5),DL9,0)</f>
        <v>0</v>
      </c>
      <c r="DO9">
        <f t="shared" ref="DO9:DO50" si="2">AG9+AH9+AI9+AJ9</f>
        <v>0</v>
      </c>
      <c r="DP9">
        <f t="shared" ref="DP9:DP40" si="3">DO9+AF9</f>
        <v>0</v>
      </c>
      <c r="DQ9">
        <f>IF(OR(L9=1,L9=3),IFERROR(VLOOKUP($B9,PerutHafkadotMetchilatShanaAvgM!$C$6:$G$100,3,FALSE),0),0)</f>
        <v>0</v>
      </c>
      <c r="DR9">
        <f>IF(OR(L9=2,L9=4),IFERROR(VLOOKUP($B9,PerutHafkadotMetchilatShanaAvgM!$C$6:$G$100,3,FALSE),0),0)</f>
        <v>0</v>
      </c>
      <c r="DS9">
        <f>IFERROR(VLOOKUP($B9,PerutHafkadotMetchilatShanaAvgM!$C$6:$G$100,4,FALSE),0)</f>
        <v>0</v>
      </c>
      <c r="DT9">
        <f>IFERROR(VLOOKUP($B9,Kupa!$D$6:$AA$100,5,FALSE),0)</f>
        <v>0</v>
      </c>
      <c r="DU9">
        <f>IFERROR(VLOOKUP($B9,Kupa!$D$6:$AA$100,6,FALSE),0)</f>
        <v>0</v>
      </c>
      <c r="DV9">
        <f>IFERROR(VLOOKUP($B9,KisuiBKerenPensiaDBWithParams!$D$6:$AP$100,9,FALSE),0)</f>
        <v>0</v>
      </c>
      <c r="DW9">
        <f>IFERROR(VLOOKUP($B9,KisuiBKerenPensiaDBWithParams!$D$6:$AP$100,12,FALSE),0)</f>
        <v>0</v>
      </c>
      <c r="DX9">
        <f>IFERROR(VLOOKUP($B9,KisuiBKerenPensiaDBWithParams!$D$6:$AP$100,13,FALSE),0)</f>
        <v>0</v>
      </c>
      <c r="DY9">
        <f>IFERROR(VLOOKUP($B9,KisuiBKerenPensiaDBWithParams!$D$6:$AP$100,7,FALSE),0)</f>
        <v>0</v>
      </c>
      <c r="DZ9">
        <f>IFERROR(VLOOKUP($B9,KisuiBKerenPensiaDBWithParams!$D$6:$AP$100,17,FALSE),0)</f>
        <v>0</v>
      </c>
      <c r="EA9">
        <f>IFERROR(VLOOKUP($B9,KisuiBKerenPensiaDBWithParams!$D$6:$AP$100,20,FALSE),0)</f>
        <v>0</v>
      </c>
      <c r="EB9">
        <f>IFERROR(VLOOKUP($B9,KisuiBKerenPensiaDBWithParams!$D$6:$AP$100,21,FALSE),0)</f>
        <v>0</v>
      </c>
      <c r="EC9">
        <f>DV9+CV9</f>
        <v>0</v>
      </c>
      <c r="EE9">
        <f>IFERROR(VLOOKUP($B9,KisuiBKerenPensiaDBWithParams!$D$6:$AP$100,21,FALSE),0)</f>
        <v>0</v>
      </c>
      <c r="EF9">
        <f>IFERROR(VLOOKUP($B9,KisuiBKerenPensiaDBWithParams!$D$6:$AP$100,21,FALSE),0)</f>
        <v>0</v>
      </c>
      <c r="EG9">
        <f>IF(OR(G9=MyData!$J$50,G9=MyData!$J$51,G9=MyData!$J$52),1,IF(G9=MyData!$J$49,2,0))</f>
        <v>0</v>
      </c>
    </row>
    <row r="10" spans="1:137">
      <c r="A10">
        <f>IF(B10&gt;0,A9+1,0)</f>
        <v>0</v>
      </c>
      <c r="B10" s="20">
        <f>RicusPolice!E7</f>
        <v>0</v>
      </c>
      <c r="C10" s="20">
        <f>RicusPolice!AL7</f>
        <v>0</v>
      </c>
      <c r="D10" s="20">
        <f>RicusPolice!F7</f>
        <v>0</v>
      </c>
      <c r="E10" s="20">
        <f>RicusPolice!R7</f>
        <v>0</v>
      </c>
      <c r="F10" s="20">
        <f>RicusPolice!N7</f>
        <v>0</v>
      </c>
      <c r="G10" s="20">
        <f>IFERROR(VLOOKUP($B10,PerutYitrot!$D$6:$P$100,4,FALSE),0)</f>
        <v>0</v>
      </c>
      <c r="H10" s="20">
        <f t="shared" ref="H10:H73" si="4">IF(G10="קצבה לא משלמת","ריסק/חיסכון",IF(G10="הון","ריסק/חיסכון",IF(G10="קצבה","ריסק/פנסיה",G10)))</f>
        <v>0</v>
      </c>
      <c r="I10" s="20">
        <f>RicusPolice!L7</f>
        <v>0</v>
      </c>
      <c r="J10" s="179">
        <f>IFERROR(VLOOKUP(TRIM(K10),MyData!$J$43:$K$49,2,FALSE),0)</f>
        <v>0</v>
      </c>
      <c r="K10" s="20">
        <f>RicusPolice!M7</f>
        <v>0</v>
      </c>
      <c r="L10" s="20">
        <f>RicusPolice!AM7</f>
        <v>0</v>
      </c>
      <c r="M10" s="20" t="str">
        <f>IF(B10&gt;0,RicusPolice!Y7," ")</f>
        <v xml:space="preserve"> </v>
      </c>
      <c r="N10" s="20" t="str">
        <f t="shared" ref="N10:N73" si="5">IF(B10&gt;0,IF(OR(M10=1,M10="1"),"מבטיח תשאוה","משתתף ברווחים"),"")</f>
        <v/>
      </c>
      <c r="O10" s="20">
        <f>RicusPolice!N7</f>
        <v>0</v>
      </c>
      <c r="P10" s="20">
        <f>IFERROR(VLOOKUP(B10,PerutMasluleiHashkaa!$D$6:$R$100,4,FALSE),0)</f>
        <v>0</v>
      </c>
      <c r="Q10" s="19"/>
      <c r="R10" s="20">
        <f>RicusPolice!P7</f>
        <v>0</v>
      </c>
      <c r="S10" s="20"/>
      <c r="T10" s="21">
        <f>'נתונים ידניים'!H10</f>
        <v>0</v>
      </c>
      <c r="U10" s="21"/>
      <c r="V10" s="20">
        <f>PerutHafrashotLePolisa!E7</f>
        <v>0</v>
      </c>
      <c r="W10" s="20">
        <f>PerutHafrashotLePolisa!F7</f>
        <v>0</v>
      </c>
      <c r="X10" s="20">
        <f>PerutHafrashotLePolisa!G7</f>
        <v>0</v>
      </c>
      <c r="Y10">
        <f t="shared" ref="Y10:Y73" si="6">SUM(V10:X10)</f>
        <v>0</v>
      </c>
      <c r="Z10">
        <f>IFERROR(VLOOKUP(B10,PirteiHaasaka!$D$6:$R$100,5,FALSE),0)</f>
        <v>0</v>
      </c>
      <c r="AB10">
        <f>IFERROR(VLOOKUP(B10,HafkadotMetchilatShanaAverages!$D$6:$E$100,2,FALSE),0)</f>
        <v>0</v>
      </c>
      <c r="AF10">
        <f>IFERROR(VLOOKUP(B10,CrossTabYitraLeTkufa_till_2000!$D$6:$AB$100,6,FALSE),0)+IFERROR(VLOOKUP(B10,CrossTabYitraLeTkufa_after_2000!$D$6:$AB$100,6,FALSE),0)</f>
        <v>0</v>
      </c>
      <c r="AG10">
        <f>IFERROR(VLOOKUP(B10,CrossTabYitraLeTkufa_till_2000!$D$6:$AB$100,16,FALSE),0)</f>
        <v>0</v>
      </c>
      <c r="AH10">
        <f>IFERROR(VLOOKUP(B10,CrossTabYitraLeTkufa_after_2000!$D$6:$AB$100,16,FALSE),0)</f>
        <v>0</v>
      </c>
      <c r="AI10">
        <f>IFERROR(VLOOKUP(B10,CrossTabYitraLeTkufa_till_2000!$D$6:$AB$100,17,FALSE),0)</f>
        <v>0</v>
      </c>
      <c r="AJ10">
        <f>IFERROR(VLOOKUP(B10,CrossTabYitraLeTkufa_after_2000!$D$6:$AB$100,17,FALSE),0)</f>
        <v>0</v>
      </c>
      <c r="AK10" s="5">
        <f t="shared" ref="AK10:AK73" si="7">SUM(AF10:AJ10)</f>
        <v>0</v>
      </c>
      <c r="AN10">
        <f>IFERROR(VLOOKUP(B10,PirteiKisuiBeMutzar_procerur!$C$6:$AA$100,2,FALSE),0)</f>
        <v>0</v>
      </c>
      <c r="AP10">
        <f>IFERROR(VLOOKUP($B10,PirteiKisuiBeMutzar_procerur!$C$6:$AA$100,5,FALSE),0)</f>
        <v>0</v>
      </c>
      <c r="AQ10">
        <f>IFERROR(VLOOKUP($B10,PirteiKisuiBeMutzar_procerur!$C$6:$AA$100,3,FALSE),0)</f>
        <v>0</v>
      </c>
      <c r="AR10">
        <f>IFERROR(VLOOKUP($B10,PirteiKisuiBeMutzar_procerur!$C$6:$AA$100,6,FALSE),0)</f>
        <v>0</v>
      </c>
      <c r="AS10">
        <f>IFERROR(VLOOKUP($B10,PirteiKisuiBeMutzar_procerur!$C$6:$AA$100,7,FALSE),0)</f>
        <v>0</v>
      </c>
      <c r="AW10">
        <f t="shared" ref="AW10:AW73" si="8">IFERROR(V10/Y10*AE10,0)</f>
        <v>0</v>
      </c>
      <c r="AX10">
        <f t="shared" ref="AX10:AX73" si="9">IFERROR(W10/Y10*AE10,0)</f>
        <v>0</v>
      </c>
      <c r="AY10">
        <f t="shared" ref="AY10:AY73" si="10">IFERROR(X10/Y10*AE10,0)</f>
        <v>0</v>
      </c>
      <c r="AZ10">
        <f t="shared" ref="AZ10:AZ73" si="11">IFERROR(FV(S10/100/12,$X$2*12,AW10,AF10)*(-1),0)</f>
        <v>0</v>
      </c>
      <c r="BA10">
        <f t="shared" ref="BA10:BA73" si="12">IFERROR(FV(S10/100/12,$X$2*12,0,AG10)*(-1),0)</f>
        <v>0</v>
      </c>
      <c r="BB10">
        <f t="shared" ref="BB10:BB73" si="13">IFERROR(FV(S10/100/12,$X$2*12,AX10,AH10)*(-1),0)</f>
        <v>0</v>
      </c>
      <c r="BC10">
        <f t="shared" ref="BC10:BC73" si="14">IFERROR(FV(S10/100/12,$X$2*12,0,AI10)*(-1),0)</f>
        <v>0</v>
      </c>
      <c r="BD10">
        <f t="shared" ref="BD10:BD73" si="15">IFERROR(FV(S10/100/12,$X$2*12,AY10,AJ10)*(-1),0)</f>
        <v>0</v>
      </c>
      <c r="BE10">
        <f t="shared" ref="BE10:BE73" si="16">FV(S10/100/12,$X$2*12,AE10,AK10)*(-1)</f>
        <v>0</v>
      </c>
      <c r="BG10">
        <f t="shared" ref="BG10:BG73" si="17">IFERROR(IF(AND(EG10=1,BE10/T10&lt;350),BE10,0),0)</f>
        <v>0</v>
      </c>
      <c r="BH10">
        <f t="shared" ref="BH10:BH73" si="18">IFERROR(IF(AND(EG10=1,BE10/T10&gt;350),BE10/T10,0),0)</f>
        <v>0</v>
      </c>
      <c r="BI10">
        <f t="shared" ref="BI10:BI73" si="19">IFERROR(IF( ED10=1,IF(BH10&gt;0,EB10/U10,0),IF(C10="קרן פנסיה",BH10,0)),0)</f>
        <v>0</v>
      </c>
      <c r="BK10">
        <f t="shared" ref="BK10:BK73" si="20">IFERROR(BL10/T10,0)</f>
        <v>0</v>
      </c>
      <c r="BL10">
        <f t="shared" ref="BL10:BL73" si="21">IF(EG10=1,AZ10,0)</f>
        <v>0</v>
      </c>
      <c r="BM10">
        <f t="shared" ref="BM10:BM73" si="22">IF(EG10=2,AZ10,0)</f>
        <v>0</v>
      </c>
      <c r="BN10">
        <f t="shared" ref="BN10:BN73" si="23">BL10+BM10</f>
        <v>0</v>
      </c>
      <c r="BO10">
        <f t="shared" ref="BO10:BO73" si="24">BE10-BN10</f>
        <v>0</v>
      </c>
      <c r="BR10">
        <f t="shared" ref="BR10:BR73" si="25">IFERROR(BS10/T10,0)</f>
        <v>0</v>
      </c>
      <c r="BS10">
        <f t="shared" ref="BS10:BS73" si="26">IF(EG10=1,BA10,0)</f>
        <v>0</v>
      </c>
      <c r="BT10">
        <f t="shared" ref="BT10:BT73" si="27">IF(EG10=2,BA10,0)</f>
        <v>0</v>
      </c>
      <c r="BU10">
        <f t="shared" ref="BU10:BU73" si="28">BT10+BS10</f>
        <v>0</v>
      </c>
      <c r="BV10">
        <f t="shared" ref="BV10:BV73" si="29">BA10-BU10</f>
        <v>0</v>
      </c>
      <c r="BX10">
        <f t="shared" ref="BX10:BX73" si="30">IFERROR(BY10/T10,0)</f>
        <v>0</v>
      </c>
      <c r="BY10">
        <f t="shared" ref="BY10:BY73" si="31">IF(EG10=1,BB10,0)</f>
        <v>0</v>
      </c>
      <c r="BZ10">
        <f t="shared" ref="BZ10:BZ73" si="32">IF(EG10=2,BB10,0)</f>
        <v>0</v>
      </c>
      <c r="CA10">
        <f t="shared" ref="CA10:CA73" si="33">BZ10+BY10</f>
        <v>0</v>
      </c>
      <c r="CB10">
        <f t="shared" ref="CB10:CB73" si="34">BB10-CA10</f>
        <v>0</v>
      </c>
      <c r="CE10">
        <f t="shared" ref="CE10:CE73" si="35">IFERROR(CF10/T10,0)</f>
        <v>0</v>
      </c>
      <c r="CF10">
        <f t="shared" ref="CF10:CF73" si="36">IF(EG10=1,BC10,0)</f>
        <v>0</v>
      </c>
      <c r="CG10">
        <f t="shared" ref="CG10:CG73" si="37">IF(EG10=1,BC10,0)</f>
        <v>0</v>
      </c>
      <c r="CH10">
        <f t="shared" ref="CH10:CH73" si="38">CG10+CF10</f>
        <v>0</v>
      </c>
      <c r="CI10">
        <f t="shared" ref="CI10:CI73" si="39">BB10-CH10</f>
        <v>0</v>
      </c>
      <c r="CL10">
        <f t="shared" ref="CL10:CL73" si="40">IFERROR(CM10/T10,0)</f>
        <v>0</v>
      </c>
      <c r="CM10">
        <f t="shared" ref="CM10:CM73" si="41">IF(EG10=1,BD10,0)</f>
        <v>0</v>
      </c>
      <c r="CN10">
        <f t="shared" ref="CN10:CN73" si="42">IF(EG10=1,BD10,0)</f>
        <v>0</v>
      </c>
      <c r="CO10">
        <f t="shared" ref="CO10:CO73" si="43">CN10+CM10</f>
        <v>0</v>
      </c>
      <c r="CP10">
        <f t="shared" ref="CP10:CP73" si="44">BD10-CO10</f>
        <v>0</v>
      </c>
      <c r="CQ10">
        <f>IFERROR(VLOOKUP($B10,SchumeiBituahYesodi!$C$6:$AA$100,8,FALSE),0)</f>
        <v>0</v>
      </c>
      <c r="CR10">
        <f>IFERROR(VLOOKUP($B10,PirteiKisuiBeMutzar_procerur!$C$6:$AA$100,2,FALSE),0)</f>
        <v>0</v>
      </c>
      <c r="CS10">
        <f>IFERROR(VLOOKUP($B10,PirteiKisuiBeMutzar_procerur!$C$6:$AA$100,3,FALSE),0)</f>
        <v>0</v>
      </c>
      <c r="CT10">
        <f>IFERROR(VLOOKUP($B10,PirteiKisuiBeMutzar_procerur!$C$6:$AA$100,4,FALSE),0)</f>
        <v>0</v>
      </c>
      <c r="CU10">
        <f>IFERROR(VLOOKUP($B10,PirteiKisuiBeMutzar_procerur!$C$6:$AA$100,5,FALSE),0)</f>
        <v>0</v>
      </c>
      <c r="CV10">
        <f>IFERROR(VLOOKUP($B10,PirteiKisuiBeMutzar_procerur!$C$6:$AA$100,6,FALSE),0)</f>
        <v>0</v>
      </c>
      <c r="CW10">
        <f>IFERROR(VLOOKUP($B10,PirteiKisuiBeMutzar_procerur!$C$6:$AA$100,7,FALSE),0)</f>
        <v>0</v>
      </c>
      <c r="CX10">
        <f>IFERROR(VLOOKUP($B10,PirteiKisuiBeMutzar_procerur!$C$6:$AA$100,8,FALSE),0)</f>
        <v>0</v>
      </c>
      <c r="CY10">
        <f>IFERROR(VLOOKUP($B10,PirteiKisuiBeMutzar_procerur!$C$6:$AA$100,9,FALSE),0)</f>
        <v>0</v>
      </c>
      <c r="CZ10">
        <f>IFERROR(VLOOKUP($B10,PirteiKisuiBeMutzar_procerur!$C$6:$AA$100,10,FALSE),0)</f>
        <v>0</v>
      </c>
      <c r="DA10">
        <f>IFERROR(VLOOKUP($B10,PirteiKisuiBeMutzar_procerur!$C$6:$AA$100,11,FALSE),0)</f>
        <v>0</v>
      </c>
      <c r="DB10">
        <f>IFERROR(VLOOKUP($B10,PirteiKisuiBeMutzarPrmia!$C$6:$AA$100,2,FALSE),0)</f>
        <v>0</v>
      </c>
      <c r="DC10">
        <f>IFERROR(VLOOKUP($B10,PirteiKisuiBeMutzarPrmia!$C$6:$AA$100,3,FALSE),0)</f>
        <v>0</v>
      </c>
      <c r="DD10">
        <f>IFERROR(VLOOKUP($B10,PirteiKisuiBeMutzarPrmia!$C$6:$AA$100,4,FALSE),0)</f>
        <v>0</v>
      </c>
      <c r="DE10">
        <f>IFERROR(VLOOKUP($B10,PirteiKisuiBeMutzarPrmia!$C$6:$AA$100,5,FALSE),0)</f>
        <v>0</v>
      </c>
      <c r="DF10">
        <f>IFERROR(VLOOKUP($B10,PirteiKisuiBeMutzarPrmia!$C$6:$AA$100,6,FALSE),0)</f>
        <v>0</v>
      </c>
      <c r="DG10">
        <f>IFERROR(VLOOKUP($B10,PirteiKisuiBeMutzarPrmia!$C$6:$AA$100,7,FALSE),0)</f>
        <v>0</v>
      </c>
      <c r="DH10">
        <f>IFERROR(VLOOKUP($B10,PirteiKisuiBeMutzarPrmia!$C$6:$AA$100,8,FALSE),0)</f>
        <v>0</v>
      </c>
      <c r="DI10">
        <f>IFERROR(VLOOKUP($B10,PirteiKisuiBeMutzarPrmia!$C$6:$AA$100,9,FALSE),0)</f>
        <v>0</v>
      </c>
      <c r="DJ10">
        <f>IFERROR(VLOOKUP($B10,PirteiKisuiBeMutzarPrmia!$C$6:$AA$100,10,FALSE),0)</f>
        <v>0</v>
      </c>
      <c r="DK10">
        <f>IFERROR(VLOOKUP($B10,PirteiKisuiBeMutzarPrmia!$C$6:$AA$100,11,FALSE),0)</f>
        <v>0</v>
      </c>
      <c r="DL10">
        <f t="shared" si="1"/>
        <v>0</v>
      </c>
      <c r="DM10">
        <f t="shared" ref="DM10:DM73" si="45">IF(OR(L10=1,L10=3),DL10,0)</f>
        <v>0</v>
      </c>
      <c r="DN10">
        <f t="shared" ref="DN10:DN73" si="46">IF(OR(L10=2,L10=4,,L10=5),DL10,0)</f>
        <v>0</v>
      </c>
      <c r="DO10">
        <f t="shared" si="2"/>
        <v>0</v>
      </c>
      <c r="DP10">
        <f t="shared" si="3"/>
        <v>0</v>
      </c>
      <c r="DQ10">
        <f>IF(OR(L10=1,L10=3),IFERROR(VLOOKUP($B10,PerutHafkadotMetchilatShanaAvgM!$C$6:$G$100,3,FALSE),0),0)</f>
        <v>0</v>
      </c>
      <c r="DR10">
        <f>IF(OR(L10=2,L10=4),IFERROR(VLOOKUP($B10,PerutHafkadotMetchilatShanaAvgM!$C$6:$G$100,3,FALSE),0),0)</f>
        <v>0</v>
      </c>
      <c r="DS10">
        <f>IFERROR(VLOOKUP($B10,PerutHafkadotMetchilatShanaAvgM!$C$6:$G$100,4,FALSE),0)</f>
        <v>0</v>
      </c>
      <c r="DT10">
        <f>IFERROR(VLOOKUP($B10,Kupa!$D$6:$AA$100,5,FALSE),0)</f>
        <v>0</v>
      </c>
      <c r="DU10">
        <f>IFERROR(VLOOKUP($B10,Kupa!$D$6:$AA$100,6,FALSE),0)</f>
        <v>0</v>
      </c>
      <c r="DV10">
        <f>IFERROR(VLOOKUP($B10,KisuiBKerenPensiaDBWithParams!$D$6:$AP$100,9,FALSE),0)</f>
        <v>0</v>
      </c>
      <c r="DW10">
        <f>IFERROR(VLOOKUP($B10,KisuiBKerenPensiaDBWithParams!$D$6:$AP$100,12,FALSE),0)</f>
        <v>0</v>
      </c>
      <c r="DX10">
        <f>IFERROR(VLOOKUP($B10,KisuiBKerenPensiaDBWithParams!$D$6:$AP$100,13,FALSE),0)</f>
        <v>0</v>
      </c>
      <c r="DY10">
        <f>IFERROR(VLOOKUP($B10,KisuiBKerenPensiaDBWithParams!$D$6:$AP$100,7,FALSE),0)</f>
        <v>0</v>
      </c>
      <c r="DZ10">
        <f>IFERROR(VLOOKUP($B10,KisuiBKerenPensiaDBWithParams!$D$6:$AP$100,17,FALSE),0)</f>
        <v>0</v>
      </c>
      <c r="EA10">
        <f>IFERROR(VLOOKUP($B10,KisuiBKerenPensiaDBWithParams!$D$6:$AP$100,20,FALSE),0)</f>
        <v>0</v>
      </c>
      <c r="EB10">
        <f>IFERROR(VLOOKUP($B10,KisuiBKerenPensiaDBWithParams!$D$6:$AP$100,21,FALSE),0)</f>
        <v>0</v>
      </c>
      <c r="EC10">
        <f t="shared" ref="EC10:EC73" si="47">DV10+CV10</f>
        <v>0</v>
      </c>
      <c r="EG10">
        <f>IF(OR(G10=MyData!$J$50,G10=MyData!$J$51,G10=MyData!$J$52),1,IF(G10=MyData!$J$49,2,0))</f>
        <v>0</v>
      </c>
    </row>
    <row r="11" spans="1:137">
      <c r="A11">
        <f t="shared" ref="A11:A74" si="48">IF(B11&gt;0,A10+1,0)</f>
        <v>0</v>
      </c>
      <c r="B11" s="20">
        <f>RicusPolice!E8</f>
        <v>0</v>
      </c>
      <c r="C11" s="20">
        <f>RicusPolice!AL8</f>
        <v>0</v>
      </c>
      <c r="D11" s="20">
        <f>RicusPolice!F8</f>
        <v>0</v>
      </c>
      <c r="E11" s="20">
        <f>RicusPolice!R8</f>
        <v>0</v>
      </c>
      <c r="F11" s="20">
        <f>RicusPolice!N8</f>
        <v>0</v>
      </c>
      <c r="G11" s="20">
        <f>IFERROR(VLOOKUP($B11,PerutYitrot!$D$6:$P$100,4,FALSE),0)</f>
        <v>0</v>
      </c>
      <c r="H11" s="20">
        <f t="shared" si="4"/>
        <v>0</v>
      </c>
      <c r="I11" s="20">
        <f>RicusPolice!L8</f>
        <v>0</v>
      </c>
      <c r="J11" s="179">
        <f>IFERROR(VLOOKUP(TRIM(K11),MyData!$J$43:$K$49,2,FALSE),0)</f>
        <v>0</v>
      </c>
      <c r="K11" s="20">
        <f>RicusPolice!M8</f>
        <v>0</v>
      </c>
      <c r="L11" s="20">
        <f>RicusPolice!AM8</f>
        <v>0</v>
      </c>
      <c r="M11" s="20" t="str">
        <f>IF(B11&gt;0,RicusPolice!Y8," ")</f>
        <v xml:space="preserve"> </v>
      </c>
      <c r="N11" s="20" t="str">
        <f t="shared" si="5"/>
        <v/>
      </c>
      <c r="O11" s="20">
        <f>RicusPolice!N8</f>
        <v>0</v>
      </c>
      <c r="P11" s="20">
        <f>IFERROR(VLOOKUP(B11,PerutMasluleiHashkaa!$D$6:$R$100,4,FALSE),0)</f>
        <v>0</v>
      </c>
      <c r="Q11" s="19"/>
      <c r="R11" s="20">
        <f>RicusPolice!P8</f>
        <v>0</v>
      </c>
      <c r="S11" s="20"/>
      <c r="T11" s="21">
        <f>'נתונים ידניים'!H11</f>
        <v>0</v>
      </c>
      <c r="U11" s="21"/>
      <c r="V11" s="20">
        <f>PerutHafrashotLePolisa!E8</f>
        <v>0</v>
      </c>
      <c r="W11" s="20">
        <f>PerutHafrashotLePolisa!F8</f>
        <v>0</v>
      </c>
      <c r="X11" s="20">
        <f>PerutHafrashotLePolisa!G8</f>
        <v>0</v>
      </c>
      <c r="Y11">
        <f t="shared" si="6"/>
        <v>0</v>
      </c>
      <c r="Z11">
        <f>IFERROR(VLOOKUP(B11,PirteiHaasaka!$D$6:$R$100,5,FALSE),0)</f>
        <v>0</v>
      </c>
      <c r="AB11">
        <f>IFERROR(VLOOKUP(B11,HafkadotMetchilatShanaAverages!$D$6:$E$100,2,FALSE),0)</f>
        <v>0</v>
      </c>
      <c r="AF11">
        <f>IFERROR(VLOOKUP(B11,CrossTabYitraLeTkufa_till_2000!$D$6:$AB$100,6,FALSE),0)+IFERROR(VLOOKUP(B11,CrossTabYitraLeTkufa_after_2000!$D$6:$AB$100,6,FALSE),0)</f>
        <v>0</v>
      </c>
      <c r="AG11">
        <f>IFERROR(VLOOKUP(B11,CrossTabYitraLeTkufa_till_2000!$D$6:$AB$100,16,FALSE),0)</f>
        <v>0</v>
      </c>
      <c r="AH11">
        <f>IFERROR(VLOOKUP(B11,CrossTabYitraLeTkufa_after_2000!$D$6:$AB$100,16,FALSE),0)</f>
        <v>0</v>
      </c>
      <c r="AI11">
        <f>IFERROR(VLOOKUP(B11,CrossTabYitraLeTkufa_till_2000!$D$6:$AB$100,17,FALSE),0)</f>
        <v>0</v>
      </c>
      <c r="AJ11">
        <f>IFERROR(VLOOKUP(B11,CrossTabYitraLeTkufa_after_2000!$D$6:$AB$100,17,FALSE),0)</f>
        <v>0</v>
      </c>
      <c r="AK11" s="5">
        <f t="shared" si="7"/>
        <v>0</v>
      </c>
      <c r="AN11">
        <f>IFERROR(VLOOKUP(B11,PirteiKisuiBeMutzar_procerur!$C$6:$AA$100,2,FALSE),0)</f>
        <v>0</v>
      </c>
      <c r="AP11">
        <f>IFERROR(VLOOKUP($B11,PirteiKisuiBeMutzar_procerur!$C$6:$AA$100,5,FALSE),0)</f>
        <v>0</v>
      </c>
      <c r="AQ11">
        <f>IFERROR(VLOOKUP($B11,PirteiKisuiBeMutzar_procerur!$C$6:$AA$100,3,FALSE),0)</f>
        <v>0</v>
      </c>
      <c r="AR11">
        <f>IFERROR(VLOOKUP($B11,PirteiKisuiBeMutzar_procerur!$C$6:$AA$100,6,FALSE),0)</f>
        <v>0</v>
      </c>
      <c r="AS11">
        <f>IFERROR(VLOOKUP($B11,PirteiKisuiBeMutzar_procerur!$C$6:$AA$100,7,FALSE),0)</f>
        <v>0</v>
      </c>
      <c r="AW11">
        <f t="shared" si="8"/>
        <v>0</v>
      </c>
      <c r="AX11">
        <f t="shared" si="9"/>
        <v>0</v>
      </c>
      <c r="AY11">
        <f t="shared" si="10"/>
        <v>0</v>
      </c>
      <c r="AZ11">
        <f t="shared" si="11"/>
        <v>0</v>
      </c>
      <c r="BA11">
        <f t="shared" si="12"/>
        <v>0</v>
      </c>
      <c r="BB11">
        <f t="shared" si="13"/>
        <v>0</v>
      </c>
      <c r="BC11">
        <f t="shared" si="14"/>
        <v>0</v>
      </c>
      <c r="BD11">
        <f t="shared" si="15"/>
        <v>0</v>
      </c>
      <c r="BE11">
        <f t="shared" si="16"/>
        <v>0</v>
      </c>
      <c r="BF11">
        <f t="shared" ref="BF11:BF73" si="49">IF(G11="הון",AU11,0)</f>
        <v>0</v>
      </c>
      <c r="BG11">
        <f t="shared" si="17"/>
        <v>0</v>
      </c>
      <c r="BH11">
        <f t="shared" si="18"/>
        <v>0</v>
      </c>
      <c r="BI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0</v>
      </c>
      <c r="BN11">
        <f t="shared" si="23"/>
        <v>0</v>
      </c>
      <c r="BO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0</v>
      </c>
      <c r="BV11">
        <f t="shared" si="29"/>
        <v>0</v>
      </c>
      <c r="BX11">
        <f t="shared" si="30"/>
        <v>0</v>
      </c>
      <c r="BY11">
        <f t="shared" si="31"/>
        <v>0</v>
      </c>
      <c r="BZ11">
        <f t="shared" si="32"/>
        <v>0</v>
      </c>
      <c r="CA11">
        <f t="shared" si="33"/>
        <v>0</v>
      </c>
      <c r="CB11">
        <f t="shared" si="34"/>
        <v>0</v>
      </c>
      <c r="CE11">
        <f t="shared" si="35"/>
        <v>0</v>
      </c>
      <c r="CF11">
        <f t="shared" si="36"/>
        <v>0</v>
      </c>
      <c r="CG11">
        <f t="shared" si="37"/>
        <v>0</v>
      </c>
      <c r="CH11">
        <f t="shared" si="38"/>
        <v>0</v>
      </c>
      <c r="CI11">
        <f t="shared" si="39"/>
        <v>0</v>
      </c>
      <c r="CL11">
        <f t="shared" si="40"/>
        <v>0</v>
      </c>
      <c r="CM11">
        <f t="shared" si="41"/>
        <v>0</v>
      </c>
      <c r="CN11">
        <f t="shared" si="42"/>
        <v>0</v>
      </c>
      <c r="CO11">
        <f t="shared" si="43"/>
        <v>0</v>
      </c>
      <c r="CP11">
        <f t="shared" si="44"/>
        <v>0</v>
      </c>
      <c r="CQ11">
        <f>IFERROR(VLOOKUP($B11,SchumeiBituahYesodi!$C$6:$AA$100,8,FALSE),0)</f>
        <v>0</v>
      </c>
      <c r="CR11">
        <f>IFERROR(VLOOKUP($B11,PirteiKisuiBeMutzar_procerur!$C$6:$AA$100,2,FALSE),0)</f>
        <v>0</v>
      </c>
      <c r="CS11">
        <f>IFERROR(VLOOKUP($B11,PirteiKisuiBeMutzar_procerur!$C$6:$AA$100,3,FALSE),0)</f>
        <v>0</v>
      </c>
      <c r="CT11">
        <f>IFERROR(VLOOKUP($B11,PirteiKisuiBeMutzar_procerur!$C$6:$AA$100,4,FALSE),0)</f>
        <v>0</v>
      </c>
      <c r="CU11">
        <f>IFERROR(VLOOKUP($B11,PirteiKisuiBeMutzar_procerur!$C$6:$AA$100,5,FALSE),0)</f>
        <v>0</v>
      </c>
      <c r="CV11">
        <f>IFERROR(VLOOKUP($B11,PirteiKisuiBeMutzar_procerur!$C$6:$AA$100,6,FALSE),0)</f>
        <v>0</v>
      </c>
      <c r="CW11">
        <f>IFERROR(VLOOKUP($B11,PirteiKisuiBeMutzar_procerur!$C$6:$AA$100,7,FALSE),0)</f>
        <v>0</v>
      </c>
      <c r="CX11">
        <f>IFERROR(VLOOKUP($B11,PirteiKisuiBeMutzar_procerur!$C$6:$AA$100,8,FALSE),0)</f>
        <v>0</v>
      </c>
      <c r="CY11">
        <f>IFERROR(VLOOKUP($B11,PirteiKisuiBeMutzar_procerur!$C$6:$AA$100,9,FALSE),0)</f>
        <v>0</v>
      </c>
      <c r="CZ11">
        <f>IFERROR(VLOOKUP($B11,PirteiKisuiBeMutzar_procerur!$C$6:$AA$100,10,FALSE),0)</f>
        <v>0</v>
      </c>
      <c r="DA11">
        <f>IFERROR(VLOOKUP($B11,PirteiKisuiBeMutzar_procerur!$C$6:$AA$100,11,FALSE),0)</f>
        <v>0</v>
      </c>
      <c r="DB11">
        <f>IFERROR(VLOOKUP($B11,PirteiKisuiBeMutzarPrmia!$C$6:$AA$100,2,FALSE),0)</f>
        <v>0</v>
      </c>
      <c r="DC11">
        <f>IFERROR(VLOOKUP($B11,PirteiKisuiBeMutzarPrmia!$C$6:$AA$100,3,FALSE),0)</f>
        <v>0</v>
      </c>
      <c r="DD11">
        <f>IFERROR(VLOOKUP($B11,PirteiKisuiBeMutzarPrmia!$C$6:$AA$100,4,FALSE),0)</f>
        <v>0</v>
      </c>
      <c r="DE11">
        <f>IFERROR(VLOOKUP($B11,PirteiKisuiBeMutzarPrmia!$C$6:$AA$100,5,FALSE),0)</f>
        <v>0</v>
      </c>
      <c r="DF11">
        <f>IFERROR(VLOOKUP($B11,PirteiKisuiBeMutzarPrmia!$C$6:$AA$100,6,FALSE),0)</f>
        <v>0</v>
      </c>
      <c r="DG11">
        <f>IFERROR(VLOOKUP($B11,PirteiKisuiBeMutzarPrmia!$C$6:$AA$100,7,FALSE),0)</f>
        <v>0</v>
      </c>
      <c r="DH11">
        <f>IFERROR(VLOOKUP($B11,PirteiKisuiBeMutzarPrmia!$C$6:$AA$100,8,FALSE),0)</f>
        <v>0</v>
      </c>
      <c r="DI11">
        <f>IFERROR(VLOOKUP($B11,PirteiKisuiBeMutzarPrmia!$C$6:$AA$100,9,FALSE),0)</f>
        <v>0</v>
      </c>
      <c r="DJ11">
        <f>IFERROR(VLOOKUP($B11,PirteiKisuiBeMutzarPrmia!$C$6:$AA$100,10,FALSE),0)</f>
        <v>0</v>
      </c>
      <c r="DK11">
        <f>IFERROR(VLOOKUP($B11,PirteiKisuiBeMutzarPrmia!$C$6:$AA$100,11,FALSE),0)</f>
        <v>0</v>
      </c>
      <c r="DL11">
        <f t="shared" si="1"/>
        <v>0</v>
      </c>
      <c r="DM11">
        <f t="shared" si="45"/>
        <v>0</v>
      </c>
      <c r="DN11">
        <f t="shared" si="46"/>
        <v>0</v>
      </c>
      <c r="DO11">
        <f t="shared" si="2"/>
        <v>0</v>
      </c>
      <c r="DP11">
        <f t="shared" si="3"/>
        <v>0</v>
      </c>
      <c r="DQ11">
        <f>IF(OR(L11=1,L11=3),IFERROR(VLOOKUP($B11,PerutHafkadotMetchilatShanaAvgM!$C$6:$G$100,3,FALSE),0),0)</f>
        <v>0</v>
      </c>
      <c r="DR11">
        <f>IF(OR(L11=2,L11=4),IFERROR(VLOOKUP($B11,PerutHafkadotMetchilatShanaAvgM!$C$6:$G$100,3,FALSE),0),0)</f>
        <v>0</v>
      </c>
      <c r="DS11">
        <f>IFERROR(VLOOKUP($B11,PerutHafkadotMetchilatShanaAvgM!$C$6:$G$100,4,FALSE),0)</f>
        <v>0</v>
      </c>
      <c r="DT11">
        <f>IFERROR(VLOOKUP($B11,Kupa!$D$6:$AA$100,5,FALSE),0)</f>
        <v>0</v>
      </c>
      <c r="DU11">
        <f>IFERROR(VLOOKUP($B11,Kupa!$D$6:$AA$100,6,FALSE),0)</f>
        <v>0</v>
      </c>
      <c r="DV11">
        <f>IFERROR(VLOOKUP($B11,KisuiBKerenPensiaDBWithParams!$D$6:$AP$100,9,FALSE),0)</f>
        <v>0</v>
      </c>
      <c r="DW11">
        <f>IFERROR(VLOOKUP($B11,KisuiBKerenPensiaDBWithParams!$D$6:$AP$100,12,FALSE),0)</f>
        <v>0</v>
      </c>
      <c r="DX11">
        <f>IFERROR(VLOOKUP($B11,KisuiBKerenPensiaDBWithParams!$D$6:$AP$100,13,FALSE),0)</f>
        <v>0</v>
      </c>
      <c r="DY11">
        <f>IFERROR(VLOOKUP($B11,KisuiBKerenPensiaDBWithParams!$D$6:$AP$100,7,FALSE),0)</f>
        <v>0</v>
      </c>
      <c r="DZ11">
        <f>IFERROR(VLOOKUP($B11,KisuiBKerenPensiaDBWithParams!$D$6:$AP$100,17,FALSE),0)</f>
        <v>0</v>
      </c>
      <c r="EA11">
        <f>IFERROR(VLOOKUP($B11,KisuiBKerenPensiaDBWithParams!$D$6:$AP$100,20,FALSE),0)</f>
        <v>0</v>
      </c>
      <c r="EB11">
        <f>IFERROR(VLOOKUP($B11,KisuiBKerenPensiaDBWithParams!$D$6:$AP$100,21,FALSE),0)</f>
        <v>0</v>
      </c>
      <c r="EC11">
        <f t="shared" si="47"/>
        <v>0</v>
      </c>
      <c r="EG11">
        <f>IF(OR(G11=MyData!$J$50,G11=MyData!$J$51,G11=MyData!$J$52),1,IF(G11=MyData!$J$49,2,0))</f>
        <v>0</v>
      </c>
    </row>
    <row r="12" spans="1:137">
      <c r="A12">
        <f t="shared" si="48"/>
        <v>0</v>
      </c>
      <c r="B12" s="20">
        <f>RicusPolice!E9</f>
        <v>0</v>
      </c>
      <c r="C12" s="20">
        <f>RicusPolice!AL9</f>
        <v>0</v>
      </c>
      <c r="D12" s="20">
        <f>RicusPolice!F9</f>
        <v>0</v>
      </c>
      <c r="E12" s="20">
        <f>RicusPolice!R9</f>
        <v>0</v>
      </c>
      <c r="F12" s="20">
        <f>RicusPolice!N9</f>
        <v>0</v>
      </c>
      <c r="G12" s="20">
        <f>IFERROR(VLOOKUP($B12,PerutYitrot!$D$6:$P$100,4,FALSE),0)</f>
        <v>0</v>
      </c>
      <c r="H12" s="20">
        <f t="shared" si="4"/>
        <v>0</v>
      </c>
      <c r="I12" s="20">
        <f>RicusPolice!L9</f>
        <v>0</v>
      </c>
      <c r="J12" s="179">
        <f>IFERROR(VLOOKUP(TRIM(K12),MyData!$J$43:$K$49,2,FALSE),0)</f>
        <v>0</v>
      </c>
      <c r="K12" s="20">
        <f>RicusPolice!M9</f>
        <v>0</v>
      </c>
      <c r="L12" s="20">
        <f>RicusPolice!AM9</f>
        <v>0</v>
      </c>
      <c r="M12" s="20" t="str">
        <f>IF(B12&gt;0,RicusPolice!Y9," ")</f>
        <v xml:space="preserve"> </v>
      </c>
      <c r="N12" s="20" t="str">
        <f t="shared" si="5"/>
        <v/>
      </c>
      <c r="O12" s="20">
        <f>RicusPolice!N9</f>
        <v>0</v>
      </c>
      <c r="P12" s="20">
        <f>IFERROR(VLOOKUP(B12,PerutMasluleiHashkaa!$D$6:$R$100,4,FALSE),0)</f>
        <v>0</v>
      </c>
      <c r="Q12" s="19"/>
      <c r="R12" s="20">
        <f>RicusPolice!P9</f>
        <v>0</v>
      </c>
      <c r="S12" s="20"/>
      <c r="T12" s="21">
        <f>'נתונים ידניים'!H12</f>
        <v>0</v>
      </c>
      <c r="U12" s="21"/>
      <c r="V12" s="20">
        <f>PerutHafrashotLePolisa!E9</f>
        <v>0</v>
      </c>
      <c r="W12" s="20">
        <f>PerutHafrashotLePolisa!F9</f>
        <v>0</v>
      </c>
      <c r="X12" s="20">
        <f>PerutHafrashotLePolisa!G9</f>
        <v>0</v>
      </c>
      <c r="Y12">
        <f t="shared" si="6"/>
        <v>0</v>
      </c>
      <c r="Z12">
        <f>IFERROR(VLOOKUP(B12,PirteiHaasaka!$D$6:$R$100,5,FALSE),0)</f>
        <v>0</v>
      </c>
      <c r="AB12">
        <f>IFERROR(VLOOKUP(B12,HafkadotMetchilatShanaAverages!$D$6:$E$100,2,FALSE),0)</f>
        <v>0</v>
      </c>
      <c r="AF12">
        <f>IFERROR(VLOOKUP(B12,CrossTabYitraLeTkufa_till_2000!$D$6:$AB$100,6,FALSE),0)+IFERROR(VLOOKUP(B12,CrossTabYitraLeTkufa_after_2000!$D$6:$AB$100,6,FALSE),0)</f>
        <v>0</v>
      </c>
      <c r="AG12">
        <f>IFERROR(VLOOKUP(B12,CrossTabYitraLeTkufa_till_2000!$D$6:$AB$100,16,FALSE),0)</f>
        <v>0</v>
      </c>
      <c r="AH12">
        <f>IFERROR(VLOOKUP(B12,CrossTabYitraLeTkufa_after_2000!$D$6:$AB$100,16,FALSE),0)</f>
        <v>0</v>
      </c>
      <c r="AI12">
        <f>IFERROR(VLOOKUP(B12,CrossTabYitraLeTkufa_till_2000!$D$6:$AB$100,17,FALSE),0)</f>
        <v>0</v>
      </c>
      <c r="AJ12">
        <f>IFERROR(VLOOKUP(B12,CrossTabYitraLeTkufa_after_2000!$D$6:$AB$100,17,FALSE),0)</f>
        <v>0</v>
      </c>
      <c r="AK12" s="5">
        <f t="shared" si="7"/>
        <v>0</v>
      </c>
      <c r="AN12">
        <f>IFERROR(VLOOKUP(B12,PirteiKisuiBeMutzar_procerur!$C$6:$AA$100,2,FALSE),0)</f>
        <v>0</v>
      </c>
      <c r="AP12">
        <f>IFERROR(VLOOKUP($B12,PirteiKisuiBeMutzar_procerur!$C$6:$AA$100,5,FALSE),0)</f>
        <v>0</v>
      </c>
      <c r="AQ12">
        <f>IFERROR(VLOOKUP($B12,PirteiKisuiBeMutzar_procerur!$C$6:$AA$100,3,FALSE),0)</f>
        <v>0</v>
      </c>
      <c r="AR12">
        <f>IFERROR(VLOOKUP($B12,PirteiKisuiBeMutzar_procerur!$C$6:$AA$100,6,FALSE),0)</f>
        <v>0</v>
      </c>
      <c r="AS12">
        <f>IFERROR(VLOOKUP($B12,PirteiKisuiBeMutzar_procerur!$C$6:$AA$100,7,FALSE),0)</f>
        <v>0</v>
      </c>
      <c r="AW12">
        <f t="shared" si="8"/>
        <v>0</v>
      </c>
      <c r="AX12">
        <f t="shared" si="9"/>
        <v>0</v>
      </c>
      <c r="AY12">
        <f t="shared" si="10"/>
        <v>0</v>
      </c>
      <c r="AZ12">
        <f t="shared" si="11"/>
        <v>0</v>
      </c>
      <c r="BA12">
        <f t="shared" si="12"/>
        <v>0</v>
      </c>
      <c r="BB12">
        <f t="shared" si="13"/>
        <v>0</v>
      </c>
      <c r="BC12">
        <f t="shared" si="14"/>
        <v>0</v>
      </c>
      <c r="BD12">
        <f t="shared" si="15"/>
        <v>0</v>
      </c>
      <c r="BE12">
        <f t="shared" si="16"/>
        <v>0</v>
      </c>
      <c r="BF12">
        <f t="shared" si="49"/>
        <v>0</v>
      </c>
      <c r="BG12">
        <f t="shared" si="17"/>
        <v>0</v>
      </c>
      <c r="BH12">
        <f t="shared" si="18"/>
        <v>0</v>
      </c>
      <c r="BI12">
        <f t="shared" si="19"/>
        <v>0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0</v>
      </c>
      <c r="BO12">
        <f t="shared" si="24"/>
        <v>0</v>
      </c>
      <c r="BR12">
        <f t="shared" si="25"/>
        <v>0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0</v>
      </c>
      <c r="BX12">
        <f t="shared" si="30"/>
        <v>0</v>
      </c>
      <c r="BY12">
        <f t="shared" si="31"/>
        <v>0</v>
      </c>
      <c r="BZ12">
        <f t="shared" si="32"/>
        <v>0</v>
      </c>
      <c r="CA12">
        <f t="shared" si="33"/>
        <v>0</v>
      </c>
      <c r="CB12">
        <f t="shared" si="34"/>
        <v>0</v>
      </c>
      <c r="CE12">
        <f t="shared" si="35"/>
        <v>0</v>
      </c>
      <c r="CF12">
        <f t="shared" si="36"/>
        <v>0</v>
      </c>
      <c r="CG12">
        <f t="shared" si="37"/>
        <v>0</v>
      </c>
      <c r="CH12">
        <f t="shared" si="38"/>
        <v>0</v>
      </c>
      <c r="CI12">
        <f t="shared" si="39"/>
        <v>0</v>
      </c>
      <c r="CL12">
        <f t="shared" si="40"/>
        <v>0</v>
      </c>
      <c r="CM12">
        <f t="shared" si="41"/>
        <v>0</v>
      </c>
      <c r="CN12">
        <f t="shared" si="42"/>
        <v>0</v>
      </c>
      <c r="CO12">
        <f t="shared" si="43"/>
        <v>0</v>
      </c>
      <c r="CP12">
        <f t="shared" si="44"/>
        <v>0</v>
      </c>
      <c r="CQ12">
        <f>IFERROR(VLOOKUP($B12,SchumeiBituahYesodi!$C$6:$AA$100,8,FALSE),0)</f>
        <v>0</v>
      </c>
      <c r="CR12">
        <f>IFERROR(VLOOKUP($B12,PirteiKisuiBeMutzar_procerur!$C$6:$AA$100,2,FALSE),0)</f>
        <v>0</v>
      </c>
      <c r="CS12">
        <f>IFERROR(VLOOKUP($B12,PirteiKisuiBeMutzar_procerur!$C$6:$AA$100,3,FALSE),0)</f>
        <v>0</v>
      </c>
      <c r="CT12">
        <f>IFERROR(VLOOKUP($B12,PirteiKisuiBeMutzar_procerur!$C$6:$AA$100,4,FALSE),0)</f>
        <v>0</v>
      </c>
      <c r="CU12">
        <f>IFERROR(VLOOKUP($B12,PirteiKisuiBeMutzar_procerur!$C$6:$AA$100,5,FALSE),0)</f>
        <v>0</v>
      </c>
      <c r="CV12">
        <f>IFERROR(VLOOKUP($B12,PirteiKisuiBeMutzar_procerur!$C$6:$AA$100,6,FALSE),0)</f>
        <v>0</v>
      </c>
      <c r="CW12">
        <f>IFERROR(VLOOKUP($B12,PirteiKisuiBeMutzar_procerur!$C$6:$AA$100,7,FALSE),0)</f>
        <v>0</v>
      </c>
      <c r="CX12">
        <f>IFERROR(VLOOKUP($B12,PirteiKisuiBeMutzar_procerur!$C$6:$AA$100,8,FALSE),0)</f>
        <v>0</v>
      </c>
      <c r="CY12">
        <f>IFERROR(VLOOKUP($B12,PirteiKisuiBeMutzar_procerur!$C$6:$AA$100,9,FALSE),0)</f>
        <v>0</v>
      </c>
      <c r="CZ12">
        <f>IFERROR(VLOOKUP($B12,PirteiKisuiBeMutzar_procerur!$C$6:$AA$100,10,FALSE),0)</f>
        <v>0</v>
      </c>
      <c r="DA12">
        <f>IFERROR(VLOOKUP($B12,PirteiKisuiBeMutzar_procerur!$C$6:$AA$100,11,FALSE),0)</f>
        <v>0</v>
      </c>
      <c r="DB12">
        <f>IFERROR(VLOOKUP($B12,PirteiKisuiBeMutzarPrmia!$C$6:$AA$100,2,FALSE),0)</f>
        <v>0</v>
      </c>
      <c r="DC12">
        <f>IFERROR(VLOOKUP($B12,PirteiKisuiBeMutzarPrmia!$C$6:$AA$100,3,FALSE),0)</f>
        <v>0</v>
      </c>
      <c r="DD12">
        <f>IFERROR(VLOOKUP($B12,PirteiKisuiBeMutzarPrmia!$C$6:$AA$100,4,FALSE),0)</f>
        <v>0</v>
      </c>
      <c r="DE12">
        <f>IFERROR(VLOOKUP($B12,PirteiKisuiBeMutzarPrmia!$C$6:$AA$100,5,FALSE),0)</f>
        <v>0</v>
      </c>
      <c r="DF12">
        <f>IFERROR(VLOOKUP($B12,PirteiKisuiBeMutzarPrmia!$C$6:$AA$100,6,FALSE),0)</f>
        <v>0</v>
      </c>
      <c r="DG12">
        <f>IFERROR(VLOOKUP($B12,PirteiKisuiBeMutzarPrmia!$C$6:$AA$100,7,FALSE),0)</f>
        <v>0</v>
      </c>
      <c r="DH12">
        <f>IFERROR(VLOOKUP($B12,PirteiKisuiBeMutzarPrmia!$C$6:$AA$100,8,FALSE),0)</f>
        <v>0</v>
      </c>
      <c r="DI12">
        <f>IFERROR(VLOOKUP($B12,PirteiKisuiBeMutzarPrmia!$C$6:$AA$100,9,FALSE),0)</f>
        <v>0</v>
      </c>
      <c r="DJ12">
        <f>IFERROR(VLOOKUP($B12,PirteiKisuiBeMutzarPrmia!$C$6:$AA$100,10,FALSE),0)</f>
        <v>0</v>
      </c>
      <c r="DK12">
        <f>IFERROR(VLOOKUP($B12,PirteiKisuiBeMutzarPrmia!$C$6:$AA$100,11,FALSE),0)</f>
        <v>0</v>
      </c>
      <c r="DL12">
        <f t="shared" si="1"/>
        <v>0</v>
      </c>
      <c r="DM12">
        <f t="shared" si="45"/>
        <v>0</v>
      </c>
      <c r="DN12">
        <f t="shared" si="46"/>
        <v>0</v>
      </c>
      <c r="DO12">
        <f t="shared" si="2"/>
        <v>0</v>
      </c>
      <c r="DP12">
        <f t="shared" si="3"/>
        <v>0</v>
      </c>
      <c r="DQ12">
        <f>IF(OR(L12=1,L12=3),IFERROR(VLOOKUP($B12,PerutHafkadotMetchilatShanaAvgM!$C$6:$G$100,3,FALSE),0),0)</f>
        <v>0</v>
      </c>
      <c r="DR12">
        <f>IF(OR(L12=2,L12=4),IFERROR(VLOOKUP($B12,PerutHafkadotMetchilatShanaAvgM!$C$6:$G$100,3,FALSE),0),0)</f>
        <v>0</v>
      </c>
      <c r="DS12">
        <f>IFERROR(VLOOKUP($B12,PerutHafkadotMetchilatShanaAvgM!$C$6:$G$100,4,FALSE),0)</f>
        <v>0</v>
      </c>
      <c r="DT12">
        <f>IFERROR(VLOOKUP($B12,Kupa!$D$6:$AA$100,5,FALSE),0)</f>
        <v>0</v>
      </c>
      <c r="DU12">
        <f>IFERROR(VLOOKUP($B12,Kupa!$D$6:$AA$100,6,FALSE),0)</f>
        <v>0</v>
      </c>
      <c r="DV12">
        <f>IFERROR(VLOOKUP($B12,KisuiBKerenPensiaDBWithParams!$D$6:$AP$100,9,FALSE),0)</f>
        <v>0</v>
      </c>
      <c r="DW12">
        <f>IFERROR(VLOOKUP($B12,KisuiBKerenPensiaDBWithParams!$D$6:$AP$100,12,FALSE),0)</f>
        <v>0</v>
      </c>
      <c r="DX12">
        <f>IFERROR(VLOOKUP($B12,KisuiBKerenPensiaDBWithParams!$D$6:$AP$100,13,FALSE),0)</f>
        <v>0</v>
      </c>
      <c r="DY12">
        <f>IFERROR(VLOOKUP($B12,KisuiBKerenPensiaDBWithParams!$D$6:$AP$100,7,FALSE),0)</f>
        <v>0</v>
      </c>
      <c r="DZ12">
        <f>IFERROR(VLOOKUP($B12,KisuiBKerenPensiaDBWithParams!$D$6:$AP$100,17,FALSE),0)</f>
        <v>0</v>
      </c>
      <c r="EA12">
        <f>IFERROR(VLOOKUP($B12,KisuiBKerenPensiaDBWithParams!$D$6:$AP$100,20,FALSE),0)</f>
        <v>0</v>
      </c>
      <c r="EB12">
        <f>IFERROR(VLOOKUP($B12,KisuiBKerenPensiaDBWithParams!$D$6:$AP$100,21,FALSE),0)</f>
        <v>0</v>
      </c>
      <c r="EC12">
        <f t="shared" si="47"/>
        <v>0</v>
      </c>
      <c r="EG12">
        <f>IF(OR(G12=MyData!$J$50,G12=MyData!$J$51,G12=MyData!$J$52),1,IF(G12=MyData!$J$49,2,0))</f>
        <v>0</v>
      </c>
    </row>
    <row r="13" spans="1:137">
      <c r="A13">
        <f t="shared" si="48"/>
        <v>0</v>
      </c>
      <c r="B13" s="20">
        <f>RicusPolice!E10</f>
        <v>0</v>
      </c>
      <c r="C13" s="20">
        <f>RicusPolice!AL10</f>
        <v>0</v>
      </c>
      <c r="D13" s="20">
        <f>RicusPolice!F10</f>
        <v>0</v>
      </c>
      <c r="E13" s="20">
        <f>RicusPolice!R10</f>
        <v>0</v>
      </c>
      <c r="F13" s="20">
        <f>RicusPolice!N10</f>
        <v>0</v>
      </c>
      <c r="G13" s="20">
        <f>IFERROR(VLOOKUP($B13,PerutYitrot!$D$6:$P$100,4,FALSE),0)</f>
        <v>0</v>
      </c>
      <c r="H13" s="20">
        <f t="shared" si="4"/>
        <v>0</v>
      </c>
      <c r="I13" s="20">
        <f>RicusPolice!L10</f>
        <v>0</v>
      </c>
      <c r="J13" s="179">
        <f>IFERROR(VLOOKUP(TRIM(K13),MyData!$J$43:$K$49,2,FALSE),0)</f>
        <v>0</v>
      </c>
      <c r="K13" s="20">
        <f>RicusPolice!M10</f>
        <v>0</v>
      </c>
      <c r="L13" s="20">
        <f>RicusPolice!AM10</f>
        <v>0</v>
      </c>
      <c r="M13" s="20" t="str">
        <f>IF(B13&gt;0,RicusPolice!Y10," ")</f>
        <v xml:space="preserve"> </v>
      </c>
      <c r="N13" s="20" t="str">
        <f t="shared" si="5"/>
        <v/>
      </c>
      <c r="O13" s="20">
        <f>RicusPolice!N10</f>
        <v>0</v>
      </c>
      <c r="P13" s="20">
        <f>IFERROR(VLOOKUP(B13,PerutMasluleiHashkaa!$D$6:$R$100,4,FALSE),0)</f>
        <v>0</v>
      </c>
      <c r="Q13" s="19"/>
      <c r="R13" s="20">
        <f>RicusPolice!P10</f>
        <v>0</v>
      </c>
      <c r="S13" s="20"/>
      <c r="T13" s="21">
        <f>'נתונים ידניים'!H13</f>
        <v>0</v>
      </c>
      <c r="U13" s="21"/>
      <c r="V13" s="20">
        <f>PerutHafrashotLePolisa!E10</f>
        <v>0</v>
      </c>
      <c r="W13" s="20">
        <f>PerutHafrashotLePolisa!F10</f>
        <v>0</v>
      </c>
      <c r="X13" s="20">
        <f>PerutHafrashotLePolisa!G10</f>
        <v>0</v>
      </c>
      <c r="Y13">
        <f t="shared" si="6"/>
        <v>0</v>
      </c>
      <c r="Z13">
        <f>IFERROR(VLOOKUP(B13,PirteiHaasaka!$D$6:$R$100,5,FALSE),0)</f>
        <v>0</v>
      </c>
      <c r="AB13">
        <f>IFERROR(VLOOKUP(B13,HafkadotMetchilatShanaAverages!$D$6:$E$100,2,FALSE),0)</f>
        <v>0</v>
      </c>
      <c r="AF13">
        <f>IFERROR(VLOOKUP(B13,CrossTabYitraLeTkufa_till_2000!$D$6:$AB$100,6,FALSE),0)+IFERROR(VLOOKUP(B13,CrossTabYitraLeTkufa_after_2000!$D$6:$AB$100,6,FALSE),0)</f>
        <v>0</v>
      </c>
      <c r="AG13">
        <f>IFERROR(VLOOKUP(B13,CrossTabYitraLeTkufa_till_2000!$D$6:$AB$100,16,FALSE),0)</f>
        <v>0</v>
      </c>
      <c r="AH13">
        <f>IFERROR(VLOOKUP(B13,CrossTabYitraLeTkufa_after_2000!$D$6:$AB$100,16,FALSE),0)</f>
        <v>0</v>
      </c>
      <c r="AI13">
        <f>IFERROR(VLOOKUP(B13,CrossTabYitraLeTkufa_till_2000!$D$6:$AB$100,17,FALSE),0)</f>
        <v>0</v>
      </c>
      <c r="AJ13">
        <f>IFERROR(VLOOKUP(B13,CrossTabYitraLeTkufa_after_2000!$D$6:$AB$100,17,FALSE),0)</f>
        <v>0</v>
      </c>
      <c r="AK13" s="5">
        <f t="shared" si="7"/>
        <v>0</v>
      </c>
      <c r="AN13">
        <f>IFERROR(VLOOKUP(B13,PirteiKisuiBeMutzar_procerur!$C$6:$AA$100,2,FALSE),0)</f>
        <v>0</v>
      </c>
      <c r="AP13">
        <f>IFERROR(VLOOKUP($B13,PirteiKisuiBeMutzar_procerur!$C$6:$AA$100,5,FALSE),0)</f>
        <v>0</v>
      </c>
      <c r="AQ13">
        <f>IFERROR(VLOOKUP($B13,PirteiKisuiBeMutzar_procerur!$C$6:$AA$100,3,FALSE),0)</f>
        <v>0</v>
      </c>
      <c r="AR13">
        <f>IFERROR(VLOOKUP($B13,PirteiKisuiBeMutzar_procerur!$C$6:$AA$100,6,FALSE),0)</f>
        <v>0</v>
      </c>
      <c r="AS13">
        <f>IFERROR(VLOOKUP($B13,PirteiKisuiBeMutzar_procerur!$C$6:$AA$100,7,FALSE),0)</f>
        <v>0</v>
      </c>
      <c r="AW13">
        <f t="shared" si="8"/>
        <v>0</v>
      </c>
      <c r="AX13">
        <f t="shared" si="9"/>
        <v>0</v>
      </c>
      <c r="AY13">
        <f t="shared" si="10"/>
        <v>0</v>
      </c>
      <c r="AZ13">
        <f t="shared" si="11"/>
        <v>0</v>
      </c>
      <c r="BA13">
        <f t="shared" si="12"/>
        <v>0</v>
      </c>
      <c r="BB13">
        <f t="shared" si="13"/>
        <v>0</v>
      </c>
      <c r="BC13">
        <f t="shared" si="14"/>
        <v>0</v>
      </c>
      <c r="BD13">
        <f t="shared" si="15"/>
        <v>0</v>
      </c>
      <c r="BE13">
        <f t="shared" si="16"/>
        <v>0</v>
      </c>
      <c r="BF13">
        <f t="shared" si="49"/>
        <v>0</v>
      </c>
      <c r="BG13">
        <f t="shared" si="17"/>
        <v>0</v>
      </c>
      <c r="BH13">
        <f t="shared" si="18"/>
        <v>0</v>
      </c>
      <c r="BI13">
        <f t="shared" si="19"/>
        <v>0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0</v>
      </c>
      <c r="BO13">
        <f t="shared" si="24"/>
        <v>0</v>
      </c>
      <c r="BR13">
        <f t="shared" si="25"/>
        <v>0</v>
      </c>
      <c r="BS13">
        <f t="shared" si="26"/>
        <v>0</v>
      </c>
      <c r="BT13">
        <f t="shared" si="27"/>
        <v>0</v>
      </c>
      <c r="BU13">
        <f t="shared" si="28"/>
        <v>0</v>
      </c>
      <c r="BV13">
        <f t="shared" si="29"/>
        <v>0</v>
      </c>
      <c r="BX13">
        <f t="shared" si="30"/>
        <v>0</v>
      </c>
      <c r="BY13">
        <f t="shared" si="31"/>
        <v>0</v>
      </c>
      <c r="BZ13">
        <f t="shared" si="32"/>
        <v>0</v>
      </c>
      <c r="CA13">
        <f t="shared" si="33"/>
        <v>0</v>
      </c>
      <c r="CB13">
        <f t="shared" si="34"/>
        <v>0</v>
      </c>
      <c r="CE13">
        <f t="shared" si="35"/>
        <v>0</v>
      </c>
      <c r="CF13">
        <f t="shared" si="36"/>
        <v>0</v>
      </c>
      <c r="CG13">
        <f t="shared" si="37"/>
        <v>0</v>
      </c>
      <c r="CH13">
        <f t="shared" si="38"/>
        <v>0</v>
      </c>
      <c r="CI13">
        <f t="shared" si="39"/>
        <v>0</v>
      </c>
      <c r="CL13">
        <f t="shared" si="40"/>
        <v>0</v>
      </c>
      <c r="CM13">
        <f t="shared" si="41"/>
        <v>0</v>
      </c>
      <c r="CN13">
        <f t="shared" si="42"/>
        <v>0</v>
      </c>
      <c r="CO13">
        <f t="shared" si="43"/>
        <v>0</v>
      </c>
      <c r="CP13">
        <f t="shared" si="44"/>
        <v>0</v>
      </c>
      <c r="CQ13">
        <f>IFERROR(VLOOKUP($B13,SchumeiBituahYesodi!$C$6:$AA$100,8,FALSE),0)</f>
        <v>0</v>
      </c>
      <c r="CR13">
        <f>IFERROR(VLOOKUP($B13,PirteiKisuiBeMutzar_procerur!$C$6:$AA$100,2,FALSE),0)</f>
        <v>0</v>
      </c>
      <c r="CS13">
        <f>IFERROR(VLOOKUP($B13,PirteiKisuiBeMutzar_procerur!$C$6:$AA$100,3,FALSE),0)</f>
        <v>0</v>
      </c>
      <c r="CT13">
        <f>IFERROR(VLOOKUP($B13,PirteiKisuiBeMutzar_procerur!$C$6:$AA$100,4,FALSE),0)</f>
        <v>0</v>
      </c>
      <c r="CU13">
        <f>IFERROR(VLOOKUP($B13,PirteiKisuiBeMutzar_procerur!$C$6:$AA$100,5,FALSE),0)</f>
        <v>0</v>
      </c>
      <c r="CV13">
        <f>IFERROR(VLOOKUP($B13,PirteiKisuiBeMutzar_procerur!$C$6:$AA$100,6,FALSE),0)</f>
        <v>0</v>
      </c>
      <c r="CW13">
        <f>IFERROR(VLOOKUP($B13,PirteiKisuiBeMutzar_procerur!$C$6:$AA$100,7,FALSE),0)</f>
        <v>0</v>
      </c>
      <c r="CX13">
        <f>IFERROR(VLOOKUP($B13,PirteiKisuiBeMutzar_procerur!$C$6:$AA$100,8,FALSE),0)</f>
        <v>0</v>
      </c>
      <c r="CY13">
        <f>IFERROR(VLOOKUP($B13,PirteiKisuiBeMutzar_procerur!$C$6:$AA$100,9,FALSE),0)</f>
        <v>0</v>
      </c>
      <c r="CZ13">
        <f>IFERROR(VLOOKUP($B13,PirteiKisuiBeMutzar_procerur!$C$6:$AA$100,10,FALSE),0)</f>
        <v>0</v>
      </c>
      <c r="DA13">
        <f>IFERROR(VLOOKUP($B13,PirteiKisuiBeMutzar_procerur!$C$6:$AA$100,11,FALSE),0)</f>
        <v>0</v>
      </c>
      <c r="DB13">
        <f>IFERROR(VLOOKUP($B13,PirteiKisuiBeMutzarPrmia!$C$6:$AA$100,2,FALSE),0)</f>
        <v>0</v>
      </c>
      <c r="DC13">
        <f>IFERROR(VLOOKUP($B13,PirteiKisuiBeMutzarPrmia!$C$6:$AA$100,3,FALSE),0)</f>
        <v>0</v>
      </c>
      <c r="DD13">
        <f>IFERROR(VLOOKUP($B13,PirteiKisuiBeMutzarPrmia!$C$6:$AA$100,4,FALSE),0)</f>
        <v>0</v>
      </c>
      <c r="DE13">
        <f>IFERROR(VLOOKUP($B13,PirteiKisuiBeMutzarPrmia!$C$6:$AA$100,5,FALSE),0)</f>
        <v>0</v>
      </c>
      <c r="DF13">
        <f>IFERROR(VLOOKUP($B13,PirteiKisuiBeMutzarPrmia!$C$6:$AA$100,6,FALSE),0)</f>
        <v>0</v>
      </c>
      <c r="DG13">
        <f>IFERROR(VLOOKUP($B13,PirteiKisuiBeMutzarPrmia!$C$6:$AA$100,7,FALSE),0)</f>
        <v>0</v>
      </c>
      <c r="DH13">
        <f>IFERROR(VLOOKUP($B13,PirteiKisuiBeMutzarPrmia!$C$6:$AA$100,8,FALSE),0)</f>
        <v>0</v>
      </c>
      <c r="DI13">
        <f>IFERROR(VLOOKUP($B13,PirteiKisuiBeMutzarPrmia!$C$6:$AA$100,9,FALSE),0)</f>
        <v>0</v>
      </c>
      <c r="DJ13">
        <f>IFERROR(VLOOKUP($B13,PirteiKisuiBeMutzarPrmia!$C$6:$AA$100,10,FALSE),0)</f>
        <v>0</v>
      </c>
      <c r="DK13">
        <f>IFERROR(VLOOKUP($B13,PirteiKisuiBeMutzarPrmia!$C$6:$AA$100,11,FALSE),0)</f>
        <v>0</v>
      </c>
      <c r="DL13">
        <f t="shared" si="1"/>
        <v>0</v>
      </c>
      <c r="DM13">
        <f t="shared" si="45"/>
        <v>0</v>
      </c>
      <c r="DN13">
        <f t="shared" si="46"/>
        <v>0</v>
      </c>
      <c r="DO13">
        <f t="shared" si="2"/>
        <v>0</v>
      </c>
      <c r="DP13">
        <f t="shared" si="3"/>
        <v>0</v>
      </c>
      <c r="DQ13">
        <f>IF(OR(L13=1,L13=3),IFERROR(VLOOKUP($B13,PerutHafkadotMetchilatShanaAvgM!$C$6:$G$100,3,FALSE),0),0)</f>
        <v>0</v>
      </c>
      <c r="DR13">
        <f>IF(OR(L13=2,L13=4),IFERROR(VLOOKUP($B13,PerutHafkadotMetchilatShanaAvgM!$C$6:$G$100,3,FALSE),0),0)</f>
        <v>0</v>
      </c>
      <c r="DS13">
        <f>IFERROR(VLOOKUP($B13,PerutHafkadotMetchilatShanaAvgM!$C$6:$G$100,4,FALSE),0)</f>
        <v>0</v>
      </c>
      <c r="DT13">
        <f>IFERROR(VLOOKUP($B13,Kupa!$D$6:$AA$100,5,FALSE),0)</f>
        <v>0</v>
      </c>
      <c r="DU13">
        <f>IFERROR(VLOOKUP($B13,Kupa!$D$6:$AA$100,6,FALSE),0)</f>
        <v>0</v>
      </c>
      <c r="DV13">
        <f>IFERROR(VLOOKUP($B13,KisuiBKerenPensiaDBWithParams!$D$6:$AP$100,9,FALSE),0)</f>
        <v>0</v>
      </c>
      <c r="DW13">
        <f>IFERROR(VLOOKUP($B13,KisuiBKerenPensiaDBWithParams!$D$6:$AP$100,12,FALSE),0)</f>
        <v>0</v>
      </c>
      <c r="DX13">
        <f>IFERROR(VLOOKUP($B13,KisuiBKerenPensiaDBWithParams!$D$6:$AP$100,13,FALSE),0)</f>
        <v>0</v>
      </c>
      <c r="DY13">
        <f>IFERROR(VLOOKUP($B13,KisuiBKerenPensiaDBWithParams!$D$6:$AP$100,7,FALSE),0)</f>
        <v>0</v>
      </c>
      <c r="DZ13">
        <f>IFERROR(VLOOKUP($B13,KisuiBKerenPensiaDBWithParams!$D$6:$AP$100,17,FALSE),0)</f>
        <v>0</v>
      </c>
      <c r="EA13">
        <f>IFERROR(VLOOKUP($B13,KisuiBKerenPensiaDBWithParams!$D$6:$AP$100,20,FALSE),0)</f>
        <v>0</v>
      </c>
      <c r="EB13">
        <f>IFERROR(VLOOKUP($B13,KisuiBKerenPensiaDBWithParams!$D$6:$AP$100,21,FALSE),0)</f>
        <v>0</v>
      </c>
      <c r="EC13">
        <f t="shared" si="47"/>
        <v>0</v>
      </c>
      <c r="EG13">
        <f>IF(OR(G13=MyData!$J$50,G13=MyData!$J$51,G13=MyData!$J$52),1,IF(G13=MyData!$J$49,2,0))</f>
        <v>0</v>
      </c>
    </row>
    <row r="14" spans="1:137">
      <c r="A14">
        <f t="shared" si="48"/>
        <v>0</v>
      </c>
      <c r="B14" s="20">
        <f>RicusPolice!E11</f>
        <v>0</v>
      </c>
      <c r="C14" s="20">
        <f>RicusPolice!AL11</f>
        <v>0</v>
      </c>
      <c r="D14" s="20">
        <f>RicusPolice!F11</f>
        <v>0</v>
      </c>
      <c r="E14" s="20">
        <f>RicusPolice!R11</f>
        <v>0</v>
      </c>
      <c r="F14" s="20">
        <f>RicusPolice!N11</f>
        <v>0</v>
      </c>
      <c r="G14" s="20">
        <f>IFERROR(VLOOKUP($B14,PerutYitrot!$D$6:$P$100,4,FALSE),0)</f>
        <v>0</v>
      </c>
      <c r="H14" s="20">
        <f t="shared" si="4"/>
        <v>0</v>
      </c>
      <c r="I14" s="20">
        <f>RicusPolice!L11</f>
        <v>0</v>
      </c>
      <c r="J14" s="179">
        <f>IFERROR(VLOOKUP(TRIM(K14),MyData!$J$43:$K$49,2,FALSE),0)</f>
        <v>0</v>
      </c>
      <c r="K14" s="20">
        <f>RicusPolice!M11</f>
        <v>0</v>
      </c>
      <c r="L14" s="20">
        <f>RicusPolice!AM11</f>
        <v>0</v>
      </c>
      <c r="M14" s="20" t="str">
        <f>IF(B14&gt;0,RicusPolice!Y11," ")</f>
        <v xml:space="preserve"> </v>
      </c>
      <c r="N14" s="20" t="str">
        <f t="shared" si="5"/>
        <v/>
      </c>
      <c r="O14" s="20">
        <f>RicusPolice!N11</f>
        <v>0</v>
      </c>
      <c r="P14" s="20">
        <f>IFERROR(VLOOKUP(B14,PerutMasluleiHashkaa!$D$6:$R$100,4,FALSE),0)</f>
        <v>0</v>
      </c>
      <c r="Q14" s="19"/>
      <c r="R14" s="20">
        <f>RicusPolice!P11</f>
        <v>0</v>
      </c>
      <c r="S14" s="20"/>
      <c r="T14" s="21">
        <f>'נתונים ידניים'!H14</f>
        <v>0</v>
      </c>
      <c r="U14" s="21"/>
      <c r="V14" s="20">
        <f>PerutHafrashotLePolisa!E11</f>
        <v>0</v>
      </c>
      <c r="W14" s="20">
        <f>PerutHafrashotLePolisa!F11</f>
        <v>0</v>
      </c>
      <c r="X14" s="20">
        <f>PerutHafrashotLePolisa!G11</f>
        <v>0</v>
      </c>
      <c r="Y14">
        <f t="shared" si="6"/>
        <v>0</v>
      </c>
      <c r="Z14">
        <f>IFERROR(VLOOKUP(B14,PirteiHaasaka!$D$6:$R$100,5,FALSE),0)</f>
        <v>0</v>
      </c>
      <c r="AB14">
        <f>IFERROR(VLOOKUP(B14,HafkadotMetchilatShanaAverages!$D$6:$E$100,2,FALSE),0)</f>
        <v>0</v>
      </c>
      <c r="AF14">
        <f>IFERROR(VLOOKUP(B14,CrossTabYitraLeTkufa_till_2000!$D$6:$AB$100,6,FALSE),0)+IFERROR(VLOOKUP(B14,CrossTabYitraLeTkufa_after_2000!$D$6:$AB$100,6,FALSE),0)</f>
        <v>0</v>
      </c>
      <c r="AG14">
        <f>IFERROR(VLOOKUP(B14,CrossTabYitraLeTkufa_till_2000!$D$6:$AB$100,16,FALSE),0)</f>
        <v>0</v>
      </c>
      <c r="AH14">
        <f>IFERROR(VLOOKUP(B14,CrossTabYitraLeTkufa_after_2000!$D$6:$AB$100,16,FALSE),0)</f>
        <v>0</v>
      </c>
      <c r="AI14">
        <f>IFERROR(VLOOKUP(B14,CrossTabYitraLeTkufa_till_2000!$D$6:$AB$100,17,FALSE),0)</f>
        <v>0</v>
      </c>
      <c r="AJ14">
        <f>IFERROR(VLOOKUP(B14,CrossTabYitraLeTkufa_after_2000!$D$6:$AB$100,17,FALSE),0)</f>
        <v>0</v>
      </c>
      <c r="AK14" s="5">
        <f t="shared" si="7"/>
        <v>0</v>
      </c>
      <c r="AN14">
        <f>IFERROR(VLOOKUP(B14,PirteiKisuiBeMutzar_procerur!$C$6:$AA$100,2,FALSE),0)</f>
        <v>0</v>
      </c>
      <c r="AP14">
        <f>IFERROR(VLOOKUP($B14,PirteiKisuiBeMutzar_procerur!$C$6:$AA$100,5,FALSE),0)</f>
        <v>0</v>
      </c>
      <c r="AQ14">
        <f>IFERROR(VLOOKUP($B14,PirteiKisuiBeMutzar_procerur!$C$6:$AA$100,3,FALSE),0)</f>
        <v>0</v>
      </c>
      <c r="AR14">
        <f>IFERROR(VLOOKUP($B14,PirteiKisuiBeMutzar_procerur!$C$6:$AA$100,6,FALSE),0)</f>
        <v>0</v>
      </c>
      <c r="AS14">
        <f>IFERROR(VLOOKUP($B14,PirteiKisuiBeMutzar_procerur!$C$6:$AA$100,7,FALSE),0)</f>
        <v>0</v>
      </c>
      <c r="AW14">
        <f t="shared" si="8"/>
        <v>0</v>
      </c>
      <c r="AX14">
        <f t="shared" si="9"/>
        <v>0</v>
      </c>
      <c r="AY14">
        <f t="shared" si="10"/>
        <v>0</v>
      </c>
      <c r="AZ14">
        <f t="shared" si="11"/>
        <v>0</v>
      </c>
      <c r="BA14">
        <f t="shared" si="12"/>
        <v>0</v>
      </c>
      <c r="BB14">
        <f t="shared" si="13"/>
        <v>0</v>
      </c>
      <c r="BC14">
        <f t="shared" si="14"/>
        <v>0</v>
      </c>
      <c r="BD14">
        <f t="shared" si="15"/>
        <v>0</v>
      </c>
      <c r="BE14">
        <f t="shared" si="16"/>
        <v>0</v>
      </c>
      <c r="BF14">
        <f t="shared" si="49"/>
        <v>0</v>
      </c>
      <c r="BG14">
        <f t="shared" si="17"/>
        <v>0</v>
      </c>
      <c r="BH14">
        <f t="shared" si="18"/>
        <v>0</v>
      </c>
      <c r="BI14">
        <f t="shared" si="19"/>
        <v>0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0</v>
      </c>
      <c r="BO14">
        <f t="shared" si="24"/>
        <v>0</v>
      </c>
      <c r="BR14">
        <f t="shared" si="25"/>
        <v>0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0</v>
      </c>
      <c r="BX14">
        <f t="shared" si="30"/>
        <v>0</v>
      </c>
      <c r="BY14">
        <f t="shared" si="31"/>
        <v>0</v>
      </c>
      <c r="BZ14">
        <f t="shared" si="32"/>
        <v>0</v>
      </c>
      <c r="CA14">
        <f t="shared" si="33"/>
        <v>0</v>
      </c>
      <c r="CB14">
        <f t="shared" si="34"/>
        <v>0</v>
      </c>
      <c r="CE14">
        <f t="shared" si="35"/>
        <v>0</v>
      </c>
      <c r="CF14">
        <f t="shared" si="36"/>
        <v>0</v>
      </c>
      <c r="CG14">
        <f t="shared" si="37"/>
        <v>0</v>
      </c>
      <c r="CH14">
        <f t="shared" si="38"/>
        <v>0</v>
      </c>
      <c r="CI14">
        <f t="shared" si="39"/>
        <v>0</v>
      </c>
      <c r="CL14">
        <f t="shared" si="40"/>
        <v>0</v>
      </c>
      <c r="CM14">
        <f t="shared" si="41"/>
        <v>0</v>
      </c>
      <c r="CN14">
        <f t="shared" si="42"/>
        <v>0</v>
      </c>
      <c r="CO14">
        <f t="shared" si="43"/>
        <v>0</v>
      </c>
      <c r="CP14">
        <f t="shared" si="44"/>
        <v>0</v>
      </c>
      <c r="CQ14">
        <f>IFERROR(VLOOKUP($B14,SchumeiBituahYesodi!$C$6:$AA$100,8,FALSE),0)</f>
        <v>0</v>
      </c>
      <c r="CR14">
        <f>IFERROR(VLOOKUP($B14,PirteiKisuiBeMutzar_procerur!$C$6:$AA$100,2,FALSE),0)</f>
        <v>0</v>
      </c>
      <c r="CS14">
        <f>IFERROR(VLOOKUP($B14,PirteiKisuiBeMutzar_procerur!$C$6:$AA$100,3,FALSE),0)</f>
        <v>0</v>
      </c>
      <c r="CT14">
        <f>IFERROR(VLOOKUP($B14,PirteiKisuiBeMutzar_procerur!$C$6:$AA$100,4,FALSE),0)</f>
        <v>0</v>
      </c>
      <c r="CU14">
        <f>IFERROR(VLOOKUP($B14,PirteiKisuiBeMutzar_procerur!$C$6:$AA$100,5,FALSE),0)</f>
        <v>0</v>
      </c>
      <c r="CV14">
        <f>IFERROR(VLOOKUP($B14,PirteiKisuiBeMutzar_procerur!$C$6:$AA$100,6,FALSE),0)</f>
        <v>0</v>
      </c>
      <c r="CW14">
        <f>IFERROR(VLOOKUP($B14,PirteiKisuiBeMutzar_procerur!$C$6:$AA$100,7,FALSE),0)</f>
        <v>0</v>
      </c>
      <c r="CX14">
        <f>IFERROR(VLOOKUP($B14,PirteiKisuiBeMutzar_procerur!$C$6:$AA$100,8,FALSE),0)</f>
        <v>0</v>
      </c>
      <c r="CY14">
        <f>IFERROR(VLOOKUP($B14,PirteiKisuiBeMutzar_procerur!$C$6:$AA$100,9,FALSE),0)</f>
        <v>0</v>
      </c>
      <c r="CZ14">
        <f>IFERROR(VLOOKUP($B14,PirteiKisuiBeMutzar_procerur!$C$6:$AA$100,10,FALSE),0)</f>
        <v>0</v>
      </c>
      <c r="DA14">
        <f>IFERROR(VLOOKUP($B14,PirteiKisuiBeMutzar_procerur!$C$6:$AA$100,11,FALSE),0)</f>
        <v>0</v>
      </c>
      <c r="DB14">
        <f>IFERROR(VLOOKUP($B14,PirteiKisuiBeMutzarPrmia!$C$6:$AA$100,2,FALSE),0)</f>
        <v>0</v>
      </c>
      <c r="DC14">
        <f>IFERROR(VLOOKUP($B14,PirteiKisuiBeMutzarPrmia!$C$6:$AA$100,3,FALSE),0)</f>
        <v>0</v>
      </c>
      <c r="DD14">
        <f>IFERROR(VLOOKUP($B14,PirteiKisuiBeMutzarPrmia!$C$6:$AA$100,4,FALSE),0)</f>
        <v>0</v>
      </c>
      <c r="DE14">
        <f>IFERROR(VLOOKUP($B14,PirteiKisuiBeMutzarPrmia!$C$6:$AA$100,5,FALSE),0)</f>
        <v>0</v>
      </c>
      <c r="DF14">
        <f>IFERROR(VLOOKUP($B14,PirteiKisuiBeMutzarPrmia!$C$6:$AA$100,6,FALSE),0)</f>
        <v>0</v>
      </c>
      <c r="DG14">
        <f>IFERROR(VLOOKUP($B14,PirteiKisuiBeMutzarPrmia!$C$6:$AA$100,7,FALSE),0)</f>
        <v>0</v>
      </c>
      <c r="DH14">
        <f>IFERROR(VLOOKUP($B14,PirteiKisuiBeMutzarPrmia!$C$6:$AA$100,8,FALSE),0)</f>
        <v>0</v>
      </c>
      <c r="DI14">
        <f>IFERROR(VLOOKUP($B14,PirteiKisuiBeMutzarPrmia!$C$6:$AA$100,9,FALSE),0)</f>
        <v>0</v>
      </c>
      <c r="DJ14">
        <f>IFERROR(VLOOKUP($B14,PirteiKisuiBeMutzarPrmia!$C$6:$AA$100,10,FALSE),0)</f>
        <v>0</v>
      </c>
      <c r="DK14">
        <f>IFERROR(VLOOKUP($B14,PirteiKisuiBeMutzarPrmia!$C$6:$AA$100,11,FALSE),0)</f>
        <v>0</v>
      </c>
      <c r="DL14">
        <f t="shared" si="1"/>
        <v>0</v>
      </c>
      <c r="DM14">
        <f t="shared" si="45"/>
        <v>0</v>
      </c>
      <c r="DN14">
        <f t="shared" si="46"/>
        <v>0</v>
      </c>
      <c r="DO14">
        <f t="shared" si="2"/>
        <v>0</v>
      </c>
      <c r="DP14">
        <f t="shared" si="3"/>
        <v>0</v>
      </c>
      <c r="DQ14">
        <f>IF(OR(L14=1,L14=3),IFERROR(VLOOKUP($B14,PerutHafkadotMetchilatShanaAvgM!$C$6:$G$100,3,FALSE),0),0)</f>
        <v>0</v>
      </c>
      <c r="DR14">
        <f>IF(OR(L14=2,L14=4),IFERROR(VLOOKUP($B14,PerutHafkadotMetchilatShanaAvgM!$C$6:$G$100,3,FALSE),0),0)</f>
        <v>0</v>
      </c>
      <c r="DS14">
        <f>IFERROR(VLOOKUP($B14,PerutHafkadotMetchilatShanaAvgM!$C$6:$G$100,4,FALSE),0)</f>
        <v>0</v>
      </c>
      <c r="DT14">
        <f>IFERROR(VLOOKUP($B14,Kupa!$D$6:$AA$100,5,FALSE),0)</f>
        <v>0</v>
      </c>
      <c r="DU14">
        <f>IFERROR(VLOOKUP($B14,Kupa!$D$6:$AA$100,6,FALSE),0)</f>
        <v>0</v>
      </c>
      <c r="DV14">
        <f>IFERROR(VLOOKUP($B14,KisuiBKerenPensiaDBWithParams!$D$6:$AP$100,9,FALSE),0)</f>
        <v>0</v>
      </c>
      <c r="DW14">
        <f>IFERROR(VLOOKUP($B14,KisuiBKerenPensiaDBWithParams!$D$6:$AP$100,12,FALSE),0)</f>
        <v>0</v>
      </c>
      <c r="DX14">
        <f>IFERROR(VLOOKUP($B14,KisuiBKerenPensiaDBWithParams!$D$6:$AP$100,13,FALSE),0)</f>
        <v>0</v>
      </c>
      <c r="DY14">
        <f>IFERROR(VLOOKUP($B14,KisuiBKerenPensiaDBWithParams!$D$6:$AP$100,7,FALSE),0)</f>
        <v>0</v>
      </c>
      <c r="DZ14">
        <f>IFERROR(VLOOKUP($B14,KisuiBKerenPensiaDBWithParams!$D$6:$AP$100,17,FALSE),0)</f>
        <v>0</v>
      </c>
      <c r="EA14">
        <f>IFERROR(VLOOKUP($B14,KisuiBKerenPensiaDBWithParams!$D$6:$AP$100,20,FALSE),0)</f>
        <v>0</v>
      </c>
      <c r="EB14">
        <f>IFERROR(VLOOKUP($B14,KisuiBKerenPensiaDBWithParams!$D$6:$AP$100,21,FALSE),0)</f>
        <v>0</v>
      </c>
      <c r="EC14">
        <f t="shared" si="47"/>
        <v>0</v>
      </c>
      <c r="EG14">
        <f>IF(OR(G14=MyData!$J$50,G14=MyData!$J$51,G14=MyData!$J$52),1,IF(G14=MyData!$J$49,2,0))</f>
        <v>0</v>
      </c>
    </row>
    <row r="15" spans="1:137">
      <c r="A15">
        <f t="shared" si="48"/>
        <v>0</v>
      </c>
      <c r="B15" s="20">
        <f>RicusPolice!E12</f>
        <v>0</v>
      </c>
      <c r="C15" s="20">
        <f>RicusPolice!AL12</f>
        <v>0</v>
      </c>
      <c r="D15" s="20">
        <f>RicusPolice!F12</f>
        <v>0</v>
      </c>
      <c r="E15" s="20">
        <f>RicusPolice!R12</f>
        <v>0</v>
      </c>
      <c r="F15" s="20">
        <f>RicusPolice!N12</f>
        <v>0</v>
      </c>
      <c r="G15" s="20">
        <f>IFERROR(VLOOKUP($B15,PerutYitrot!$D$6:$P$100,4,FALSE),0)</f>
        <v>0</v>
      </c>
      <c r="H15" s="20">
        <f t="shared" si="4"/>
        <v>0</v>
      </c>
      <c r="I15" s="20">
        <f>RicusPolice!L12</f>
        <v>0</v>
      </c>
      <c r="J15" s="179">
        <f>IFERROR(VLOOKUP(TRIM(K15),MyData!$J$43:$K$49,2,FALSE),0)</f>
        <v>0</v>
      </c>
      <c r="K15" s="20">
        <f>RicusPolice!M12</f>
        <v>0</v>
      </c>
      <c r="L15" s="20">
        <f>RicusPolice!AM12</f>
        <v>0</v>
      </c>
      <c r="M15" s="20" t="str">
        <f>IF(B15&gt;0,RicusPolice!Y12," ")</f>
        <v xml:space="preserve"> </v>
      </c>
      <c r="N15" s="20" t="str">
        <f t="shared" si="5"/>
        <v/>
      </c>
      <c r="O15" s="20">
        <f>RicusPolice!N12</f>
        <v>0</v>
      </c>
      <c r="P15" s="20">
        <f>IFERROR(VLOOKUP(B15,PerutMasluleiHashkaa!$D$6:$R$100,4,FALSE),0)</f>
        <v>0</v>
      </c>
      <c r="Q15" s="19"/>
      <c r="R15" s="20">
        <f>RicusPolice!P12</f>
        <v>0</v>
      </c>
      <c r="S15" s="20"/>
      <c r="T15" s="21">
        <f>'נתונים ידניים'!H15</f>
        <v>0</v>
      </c>
      <c r="U15" s="21"/>
      <c r="V15" s="20">
        <f>PerutHafrashotLePolisa!E12</f>
        <v>0</v>
      </c>
      <c r="W15" s="20">
        <f>PerutHafrashotLePolisa!F12</f>
        <v>0</v>
      </c>
      <c r="X15" s="20">
        <f>PerutHafrashotLePolisa!G12</f>
        <v>0</v>
      </c>
      <c r="Y15">
        <f t="shared" si="6"/>
        <v>0</v>
      </c>
      <c r="Z15">
        <f>IFERROR(VLOOKUP(B15,PirteiHaasaka!$D$6:$R$100,5,FALSE),0)</f>
        <v>0</v>
      </c>
      <c r="AB15">
        <f>IFERROR(VLOOKUP(B15,HafkadotMetchilatShanaAverages!$D$6:$E$100,2,FALSE),0)</f>
        <v>0</v>
      </c>
      <c r="AF15">
        <f>IFERROR(VLOOKUP(B15,CrossTabYitraLeTkufa_till_2000!$D$6:$AB$100,6,FALSE),0)+IFERROR(VLOOKUP(B15,CrossTabYitraLeTkufa_after_2000!$D$6:$AB$100,6,FALSE),0)</f>
        <v>0</v>
      </c>
      <c r="AG15">
        <f>IFERROR(VLOOKUP(B15,CrossTabYitraLeTkufa_till_2000!$D$6:$AB$100,16,FALSE),0)</f>
        <v>0</v>
      </c>
      <c r="AH15">
        <f>IFERROR(VLOOKUP(B15,CrossTabYitraLeTkufa_after_2000!$D$6:$AB$100,16,FALSE),0)</f>
        <v>0</v>
      </c>
      <c r="AI15">
        <f>IFERROR(VLOOKUP(B15,CrossTabYitraLeTkufa_till_2000!$D$6:$AB$100,17,FALSE),0)</f>
        <v>0</v>
      </c>
      <c r="AJ15">
        <f>IFERROR(VLOOKUP(B15,CrossTabYitraLeTkufa_after_2000!$D$6:$AB$100,17,FALSE),0)</f>
        <v>0</v>
      </c>
      <c r="AK15" s="5">
        <f t="shared" si="7"/>
        <v>0</v>
      </c>
      <c r="AN15">
        <f>IFERROR(VLOOKUP(B15,PirteiKisuiBeMutzar_procerur!$C$6:$AA$100,2,FALSE),0)</f>
        <v>0</v>
      </c>
      <c r="AP15">
        <f>IFERROR(VLOOKUP($B15,PirteiKisuiBeMutzar_procerur!$C$6:$AA$100,5,FALSE),0)</f>
        <v>0</v>
      </c>
      <c r="AQ15">
        <f>IFERROR(VLOOKUP($B15,PirteiKisuiBeMutzar_procerur!$C$6:$AA$100,3,FALSE),0)</f>
        <v>0</v>
      </c>
      <c r="AR15">
        <f>IFERROR(VLOOKUP($B15,PirteiKisuiBeMutzar_procerur!$C$6:$AA$100,6,FALSE),0)</f>
        <v>0</v>
      </c>
      <c r="AS15">
        <f>IFERROR(VLOOKUP($B15,PirteiKisuiBeMutzar_procerur!$C$6:$AA$100,7,FALSE),0)</f>
        <v>0</v>
      </c>
      <c r="AW15">
        <f t="shared" si="8"/>
        <v>0</v>
      </c>
      <c r="AX15">
        <f t="shared" si="9"/>
        <v>0</v>
      </c>
      <c r="AY15">
        <f t="shared" si="10"/>
        <v>0</v>
      </c>
      <c r="AZ15">
        <f t="shared" si="11"/>
        <v>0</v>
      </c>
      <c r="BA15">
        <f t="shared" si="12"/>
        <v>0</v>
      </c>
      <c r="BB15">
        <f t="shared" si="13"/>
        <v>0</v>
      </c>
      <c r="BC15">
        <f t="shared" si="14"/>
        <v>0</v>
      </c>
      <c r="BD15">
        <f t="shared" si="15"/>
        <v>0</v>
      </c>
      <c r="BE15">
        <f t="shared" si="16"/>
        <v>0</v>
      </c>
      <c r="BF15">
        <f t="shared" si="49"/>
        <v>0</v>
      </c>
      <c r="BG15">
        <f t="shared" si="17"/>
        <v>0</v>
      </c>
      <c r="BH15">
        <f t="shared" si="18"/>
        <v>0</v>
      </c>
      <c r="BI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X15">
        <f t="shared" si="30"/>
        <v>0</v>
      </c>
      <c r="BY15">
        <f t="shared" si="31"/>
        <v>0</v>
      </c>
      <c r="BZ15">
        <f t="shared" si="32"/>
        <v>0</v>
      </c>
      <c r="CA15">
        <f t="shared" si="33"/>
        <v>0</v>
      </c>
      <c r="CB15">
        <f t="shared" si="34"/>
        <v>0</v>
      </c>
      <c r="CE15">
        <f t="shared" si="35"/>
        <v>0</v>
      </c>
      <c r="CF15">
        <f t="shared" si="36"/>
        <v>0</v>
      </c>
      <c r="CG15">
        <f t="shared" si="37"/>
        <v>0</v>
      </c>
      <c r="CH15">
        <f t="shared" si="38"/>
        <v>0</v>
      </c>
      <c r="CI15">
        <f t="shared" si="39"/>
        <v>0</v>
      </c>
      <c r="CL15">
        <f t="shared" si="40"/>
        <v>0</v>
      </c>
      <c r="CM15">
        <f t="shared" si="41"/>
        <v>0</v>
      </c>
      <c r="CN15">
        <f t="shared" si="42"/>
        <v>0</v>
      </c>
      <c r="CO15">
        <f t="shared" si="43"/>
        <v>0</v>
      </c>
      <c r="CP15">
        <f t="shared" si="44"/>
        <v>0</v>
      </c>
      <c r="CQ15">
        <f>IFERROR(VLOOKUP($B15,SchumeiBituahYesodi!$C$6:$AA$100,8,FALSE),0)</f>
        <v>0</v>
      </c>
      <c r="CR15">
        <f>IFERROR(VLOOKUP($B15,PirteiKisuiBeMutzar_procerur!$C$6:$AA$100,2,FALSE),0)</f>
        <v>0</v>
      </c>
      <c r="CS15">
        <f>IFERROR(VLOOKUP($B15,PirteiKisuiBeMutzar_procerur!$C$6:$AA$100,3,FALSE),0)</f>
        <v>0</v>
      </c>
      <c r="CT15">
        <f>IFERROR(VLOOKUP($B15,PirteiKisuiBeMutzar_procerur!$C$6:$AA$100,4,FALSE),0)</f>
        <v>0</v>
      </c>
      <c r="CU15">
        <f>IFERROR(VLOOKUP($B15,PirteiKisuiBeMutzar_procerur!$C$6:$AA$100,5,FALSE),0)</f>
        <v>0</v>
      </c>
      <c r="CV15">
        <f>IFERROR(VLOOKUP($B15,PirteiKisuiBeMutzar_procerur!$C$6:$AA$100,6,FALSE),0)</f>
        <v>0</v>
      </c>
      <c r="CW15">
        <f>IFERROR(VLOOKUP($B15,PirteiKisuiBeMutzar_procerur!$C$6:$AA$100,7,FALSE),0)</f>
        <v>0</v>
      </c>
      <c r="CX15">
        <f>IFERROR(VLOOKUP($B15,PirteiKisuiBeMutzar_procerur!$C$6:$AA$100,8,FALSE),0)</f>
        <v>0</v>
      </c>
      <c r="CY15">
        <f>IFERROR(VLOOKUP($B15,PirteiKisuiBeMutzar_procerur!$C$6:$AA$100,9,FALSE),0)</f>
        <v>0</v>
      </c>
      <c r="CZ15">
        <f>IFERROR(VLOOKUP($B15,PirteiKisuiBeMutzar_procerur!$C$6:$AA$100,10,FALSE),0)</f>
        <v>0</v>
      </c>
      <c r="DA15">
        <f>IFERROR(VLOOKUP($B15,PirteiKisuiBeMutzar_procerur!$C$6:$AA$100,11,FALSE),0)</f>
        <v>0</v>
      </c>
      <c r="DB15">
        <f>IFERROR(VLOOKUP($B15,PirteiKisuiBeMutzarPrmia!$C$6:$AA$100,2,FALSE),0)</f>
        <v>0</v>
      </c>
      <c r="DC15">
        <f>IFERROR(VLOOKUP($B15,PirteiKisuiBeMutzarPrmia!$C$6:$AA$100,3,FALSE),0)</f>
        <v>0</v>
      </c>
      <c r="DD15">
        <f>IFERROR(VLOOKUP($B15,PirteiKisuiBeMutzarPrmia!$C$6:$AA$100,4,FALSE),0)</f>
        <v>0</v>
      </c>
      <c r="DE15">
        <f>IFERROR(VLOOKUP($B15,PirteiKisuiBeMutzarPrmia!$C$6:$AA$100,5,FALSE),0)</f>
        <v>0</v>
      </c>
      <c r="DF15">
        <f>IFERROR(VLOOKUP($B15,PirteiKisuiBeMutzarPrmia!$C$6:$AA$100,6,FALSE),0)</f>
        <v>0</v>
      </c>
      <c r="DG15">
        <f>IFERROR(VLOOKUP($B15,PirteiKisuiBeMutzarPrmia!$C$6:$AA$100,7,FALSE),0)</f>
        <v>0</v>
      </c>
      <c r="DH15">
        <f>IFERROR(VLOOKUP($B15,PirteiKisuiBeMutzarPrmia!$C$6:$AA$100,8,FALSE),0)</f>
        <v>0</v>
      </c>
      <c r="DI15">
        <f>IFERROR(VLOOKUP($B15,PirteiKisuiBeMutzarPrmia!$C$6:$AA$100,9,FALSE),0)</f>
        <v>0</v>
      </c>
      <c r="DJ15">
        <f>IFERROR(VLOOKUP($B15,PirteiKisuiBeMutzarPrmia!$C$6:$AA$100,10,FALSE),0)</f>
        <v>0</v>
      </c>
      <c r="DK15">
        <f>IFERROR(VLOOKUP($B15,PirteiKisuiBeMutzarPrmia!$C$6:$AA$100,11,FALSE),0)</f>
        <v>0</v>
      </c>
      <c r="DL15">
        <f t="shared" si="1"/>
        <v>0</v>
      </c>
      <c r="DM15">
        <f t="shared" si="45"/>
        <v>0</v>
      </c>
      <c r="DN15">
        <f t="shared" si="46"/>
        <v>0</v>
      </c>
      <c r="DO15">
        <f t="shared" si="2"/>
        <v>0</v>
      </c>
      <c r="DP15">
        <f t="shared" si="3"/>
        <v>0</v>
      </c>
      <c r="DQ15">
        <f>IF(OR(L15=1,L15=3),IFERROR(VLOOKUP($B15,PerutHafkadotMetchilatShanaAvgM!$C$6:$G$100,3,FALSE),0),0)</f>
        <v>0</v>
      </c>
      <c r="DR15">
        <f>IF(OR(L15=2,L15=4),IFERROR(VLOOKUP($B15,PerutHafkadotMetchilatShanaAvgM!$C$6:$G$100,3,FALSE),0),0)</f>
        <v>0</v>
      </c>
      <c r="DS15">
        <f>IFERROR(VLOOKUP($B15,PerutHafkadotMetchilatShanaAvgM!$C$6:$G$100,4,FALSE),0)</f>
        <v>0</v>
      </c>
      <c r="DT15">
        <f>IFERROR(VLOOKUP($B15,Kupa!$D$6:$AA$100,5,FALSE),0)</f>
        <v>0</v>
      </c>
      <c r="DU15">
        <f>IFERROR(VLOOKUP($B15,Kupa!$D$6:$AA$100,6,FALSE),0)</f>
        <v>0</v>
      </c>
      <c r="DV15">
        <f>IFERROR(VLOOKUP($B15,KisuiBKerenPensiaDBWithParams!$D$6:$AP$100,9,FALSE),0)</f>
        <v>0</v>
      </c>
      <c r="DW15">
        <f>IFERROR(VLOOKUP($B15,KisuiBKerenPensiaDBWithParams!$D$6:$AP$100,12,FALSE),0)</f>
        <v>0</v>
      </c>
      <c r="DX15">
        <f>IFERROR(VLOOKUP($B15,KisuiBKerenPensiaDBWithParams!$D$6:$AP$100,13,FALSE),0)</f>
        <v>0</v>
      </c>
      <c r="DY15">
        <f>IFERROR(VLOOKUP($B15,KisuiBKerenPensiaDBWithParams!$D$6:$AP$100,7,FALSE),0)</f>
        <v>0</v>
      </c>
      <c r="DZ15">
        <f>IFERROR(VLOOKUP($B15,KisuiBKerenPensiaDBWithParams!$D$6:$AP$100,17,FALSE),0)</f>
        <v>0</v>
      </c>
      <c r="EA15">
        <f>IFERROR(VLOOKUP($B15,KisuiBKerenPensiaDBWithParams!$D$6:$AP$100,20,FALSE),0)</f>
        <v>0</v>
      </c>
      <c r="EB15">
        <f>IFERROR(VLOOKUP($B15,KisuiBKerenPensiaDBWithParams!$D$6:$AP$100,21,FALSE),0)</f>
        <v>0</v>
      </c>
      <c r="EC15">
        <f t="shared" si="47"/>
        <v>0</v>
      </c>
      <c r="EG15">
        <f>IF(OR(G15=MyData!$J$50,G15=MyData!$J$51,G15=MyData!$J$52),1,IF(G15=MyData!$J$49,2,0))</f>
        <v>0</v>
      </c>
    </row>
    <row r="16" spans="1:137">
      <c r="A16">
        <f t="shared" si="48"/>
        <v>0</v>
      </c>
      <c r="B16" s="20">
        <f>RicusPolice!E13</f>
        <v>0</v>
      </c>
      <c r="C16" s="20">
        <f>RicusPolice!AL13</f>
        <v>0</v>
      </c>
      <c r="D16" s="20">
        <f>RicusPolice!F13</f>
        <v>0</v>
      </c>
      <c r="E16" s="20">
        <f>RicusPolice!R13</f>
        <v>0</v>
      </c>
      <c r="F16" s="20">
        <f>RicusPolice!N13</f>
        <v>0</v>
      </c>
      <c r="G16" s="20">
        <f>IFERROR(VLOOKUP($B16,PerutYitrot!$D$6:$P$100,4,FALSE),0)</f>
        <v>0</v>
      </c>
      <c r="H16" s="20">
        <f t="shared" si="4"/>
        <v>0</v>
      </c>
      <c r="I16" s="20">
        <f>RicusPolice!L13</f>
        <v>0</v>
      </c>
      <c r="J16" s="179">
        <f>IFERROR(VLOOKUP(TRIM(K16),MyData!$J$43:$K$49,2,FALSE),0)</f>
        <v>0</v>
      </c>
      <c r="K16" s="20">
        <f>RicusPolice!M13</f>
        <v>0</v>
      </c>
      <c r="L16" s="20">
        <f>RicusPolice!AM13</f>
        <v>0</v>
      </c>
      <c r="M16" s="20" t="str">
        <f>IF(B16&gt;0,RicusPolice!Y13," ")</f>
        <v xml:space="preserve"> </v>
      </c>
      <c r="N16" s="20" t="str">
        <f t="shared" si="5"/>
        <v/>
      </c>
      <c r="O16" s="20">
        <f>RicusPolice!N13</f>
        <v>0</v>
      </c>
      <c r="P16" s="20">
        <f>IFERROR(VLOOKUP(B16,PerutMasluleiHashkaa!$D$6:$R$100,4,FALSE),0)</f>
        <v>0</v>
      </c>
      <c r="Q16" s="19"/>
      <c r="R16" s="20">
        <f>RicusPolice!P13</f>
        <v>0</v>
      </c>
      <c r="S16" s="20"/>
      <c r="T16" s="21">
        <f>'נתונים ידניים'!H16</f>
        <v>0</v>
      </c>
      <c r="U16" s="21"/>
      <c r="V16" s="20">
        <f>PerutHafrashotLePolisa!E13</f>
        <v>0</v>
      </c>
      <c r="W16" s="20">
        <f>PerutHafrashotLePolisa!F13</f>
        <v>0</v>
      </c>
      <c r="X16" s="20">
        <f>PerutHafrashotLePolisa!G13</f>
        <v>0</v>
      </c>
      <c r="Y16">
        <f t="shared" si="6"/>
        <v>0</v>
      </c>
      <c r="Z16">
        <f>IFERROR(VLOOKUP(B16,PirteiHaasaka!$D$6:$R$100,5,FALSE),0)</f>
        <v>0</v>
      </c>
      <c r="AB16">
        <f>IFERROR(VLOOKUP(B16,HafkadotMetchilatShanaAverages!$D$6:$E$100,2,FALSE),0)</f>
        <v>0</v>
      </c>
      <c r="AF16">
        <f>IFERROR(VLOOKUP(B16,CrossTabYitraLeTkufa_till_2000!$D$6:$AB$100,6,FALSE),0)+IFERROR(VLOOKUP(B16,CrossTabYitraLeTkufa_after_2000!$D$6:$AB$100,6,FALSE),0)</f>
        <v>0</v>
      </c>
      <c r="AG16">
        <f>IFERROR(VLOOKUP(B16,CrossTabYitraLeTkufa_till_2000!$D$6:$AB$100,16,FALSE),0)</f>
        <v>0</v>
      </c>
      <c r="AH16">
        <f>IFERROR(VLOOKUP(B16,CrossTabYitraLeTkufa_after_2000!$D$6:$AB$100,16,FALSE),0)</f>
        <v>0</v>
      </c>
      <c r="AI16">
        <f>IFERROR(VLOOKUP(B16,CrossTabYitraLeTkufa_till_2000!$D$6:$AB$100,17,FALSE),0)</f>
        <v>0</v>
      </c>
      <c r="AJ16">
        <f>IFERROR(VLOOKUP(B16,CrossTabYitraLeTkufa_after_2000!$D$6:$AB$100,17,FALSE),0)</f>
        <v>0</v>
      </c>
      <c r="AK16" s="5">
        <f t="shared" si="7"/>
        <v>0</v>
      </c>
      <c r="AN16">
        <f>IFERROR(VLOOKUP(B16,PirteiKisuiBeMutzar_procerur!$C$6:$AA$100,2,FALSE),0)</f>
        <v>0</v>
      </c>
      <c r="AP16">
        <f>IFERROR(VLOOKUP($B16,PirteiKisuiBeMutzar_procerur!$C$6:$AA$100,5,FALSE),0)</f>
        <v>0</v>
      </c>
      <c r="AQ16">
        <f>IFERROR(VLOOKUP($B16,PirteiKisuiBeMutzar_procerur!$C$6:$AA$100,3,FALSE),0)</f>
        <v>0</v>
      </c>
      <c r="AR16">
        <f>IFERROR(VLOOKUP($B16,PirteiKisuiBeMutzar_procerur!$C$6:$AA$100,6,FALSE),0)</f>
        <v>0</v>
      </c>
      <c r="AS16">
        <f>IFERROR(VLOOKUP($B16,PirteiKisuiBeMutzar_procerur!$C$6:$AA$100,7,FALSE),0)</f>
        <v>0</v>
      </c>
      <c r="AW16">
        <f t="shared" si="8"/>
        <v>0</v>
      </c>
      <c r="AX16">
        <f t="shared" si="9"/>
        <v>0</v>
      </c>
      <c r="AY16">
        <f t="shared" si="10"/>
        <v>0</v>
      </c>
      <c r="AZ16">
        <f t="shared" si="11"/>
        <v>0</v>
      </c>
      <c r="BA16">
        <f t="shared" si="12"/>
        <v>0</v>
      </c>
      <c r="BB16">
        <f t="shared" si="13"/>
        <v>0</v>
      </c>
      <c r="BC16">
        <f t="shared" si="14"/>
        <v>0</v>
      </c>
      <c r="BD16">
        <f t="shared" si="15"/>
        <v>0</v>
      </c>
      <c r="BE16">
        <f t="shared" si="16"/>
        <v>0</v>
      </c>
      <c r="BF16">
        <f t="shared" si="49"/>
        <v>0</v>
      </c>
      <c r="BG16">
        <f t="shared" si="17"/>
        <v>0</v>
      </c>
      <c r="BH16">
        <f t="shared" si="18"/>
        <v>0</v>
      </c>
      <c r="BI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0</v>
      </c>
      <c r="BO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0</v>
      </c>
      <c r="BX16">
        <f t="shared" si="30"/>
        <v>0</v>
      </c>
      <c r="BY16">
        <f t="shared" si="31"/>
        <v>0</v>
      </c>
      <c r="BZ16">
        <f t="shared" si="32"/>
        <v>0</v>
      </c>
      <c r="CA16">
        <f t="shared" si="33"/>
        <v>0</v>
      </c>
      <c r="CB16">
        <f t="shared" si="34"/>
        <v>0</v>
      </c>
      <c r="CE16">
        <f t="shared" si="35"/>
        <v>0</v>
      </c>
      <c r="CF16">
        <f t="shared" si="36"/>
        <v>0</v>
      </c>
      <c r="CG16">
        <f t="shared" si="37"/>
        <v>0</v>
      </c>
      <c r="CH16">
        <f t="shared" si="38"/>
        <v>0</v>
      </c>
      <c r="CI16">
        <f t="shared" si="39"/>
        <v>0</v>
      </c>
      <c r="CL16">
        <f t="shared" si="40"/>
        <v>0</v>
      </c>
      <c r="CM16">
        <f t="shared" si="41"/>
        <v>0</v>
      </c>
      <c r="CN16">
        <f t="shared" si="42"/>
        <v>0</v>
      </c>
      <c r="CO16">
        <f t="shared" si="43"/>
        <v>0</v>
      </c>
      <c r="CP16">
        <f t="shared" si="44"/>
        <v>0</v>
      </c>
      <c r="CQ16">
        <f>IFERROR(VLOOKUP($B16,SchumeiBituahYesodi!$C$6:$AA$100,8,FALSE),0)</f>
        <v>0</v>
      </c>
      <c r="CR16">
        <f>IFERROR(VLOOKUP($B16,PirteiKisuiBeMutzar_procerur!$C$6:$AA$100,2,FALSE),0)</f>
        <v>0</v>
      </c>
      <c r="CS16">
        <f>IFERROR(VLOOKUP($B16,PirteiKisuiBeMutzar_procerur!$C$6:$AA$100,3,FALSE),0)</f>
        <v>0</v>
      </c>
      <c r="CT16">
        <f>IFERROR(VLOOKUP($B16,PirteiKisuiBeMutzar_procerur!$C$6:$AA$100,4,FALSE),0)</f>
        <v>0</v>
      </c>
      <c r="CU16">
        <f>IFERROR(VLOOKUP($B16,PirteiKisuiBeMutzar_procerur!$C$6:$AA$100,5,FALSE),0)</f>
        <v>0</v>
      </c>
      <c r="CV16">
        <f>IFERROR(VLOOKUP($B16,PirteiKisuiBeMutzar_procerur!$C$6:$AA$100,6,FALSE),0)</f>
        <v>0</v>
      </c>
      <c r="CW16">
        <f>IFERROR(VLOOKUP($B16,PirteiKisuiBeMutzar_procerur!$C$6:$AA$100,7,FALSE),0)</f>
        <v>0</v>
      </c>
      <c r="CX16">
        <f>IFERROR(VLOOKUP($B16,PirteiKisuiBeMutzar_procerur!$C$6:$AA$100,8,FALSE),0)</f>
        <v>0</v>
      </c>
      <c r="CY16">
        <f>IFERROR(VLOOKUP($B16,PirteiKisuiBeMutzar_procerur!$C$6:$AA$100,9,FALSE),0)</f>
        <v>0</v>
      </c>
      <c r="CZ16">
        <f>IFERROR(VLOOKUP($B16,PirteiKisuiBeMutzar_procerur!$C$6:$AA$100,10,FALSE),0)</f>
        <v>0</v>
      </c>
      <c r="DA16">
        <f>IFERROR(VLOOKUP($B16,PirteiKisuiBeMutzar_procerur!$C$6:$AA$100,11,FALSE),0)</f>
        <v>0</v>
      </c>
      <c r="DB16">
        <f>IFERROR(VLOOKUP($B16,PirteiKisuiBeMutzarPrmia!$C$6:$AA$100,2,FALSE),0)</f>
        <v>0</v>
      </c>
      <c r="DC16">
        <f>IFERROR(VLOOKUP($B16,PirteiKisuiBeMutzarPrmia!$C$6:$AA$100,3,FALSE),0)</f>
        <v>0</v>
      </c>
      <c r="DD16">
        <f>IFERROR(VLOOKUP($B16,PirteiKisuiBeMutzarPrmia!$C$6:$AA$100,4,FALSE),0)</f>
        <v>0</v>
      </c>
      <c r="DE16">
        <f>IFERROR(VLOOKUP($B16,PirteiKisuiBeMutzarPrmia!$C$6:$AA$100,5,FALSE),0)</f>
        <v>0</v>
      </c>
      <c r="DF16">
        <f>IFERROR(VLOOKUP($B16,PirteiKisuiBeMutzarPrmia!$C$6:$AA$100,6,FALSE),0)</f>
        <v>0</v>
      </c>
      <c r="DG16">
        <f>IFERROR(VLOOKUP($B16,PirteiKisuiBeMutzarPrmia!$C$6:$AA$100,7,FALSE),0)</f>
        <v>0</v>
      </c>
      <c r="DH16">
        <f>IFERROR(VLOOKUP($B16,PirteiKisuiBeMutzarPrmia!$C$6:$AA$100,8,FALSE),0)</f>
        <v>0</v>
      </c>
      <c r="DI16">
        <f>IFERROR(VLOOKUP($B16,PirteiKisuiBeMutzarPrmia!$C$6:$AA$100,9,FALSE),0)</f>
        <v>0</v>
      </c>
      <c r="DJ16">
        <f>IFERROR(VLOOKUP($B16,PirteiKisuiBeMutzarPrmia!$C$6:$AA$100,10,FALSE),0)</f>
        <v>0</v>
      </c>
      <c r="DK16">
        <f>IFERROR(VLOOKUP($B16,PirteiKisuiBeMutzarPrmia!$C$6:$AA$100,11,FALSE),0)</f>
        <v>0</v>
      </c>
      <c r="DL16">
        <f t="shared" si="1"/>
        <v>0</v>
      </c>
      <c r="DM16">
        <f t="shared" si="45"/>
        <v>0</v>
      </c>
      <c r="DN16">
        <f t="shared" si="46"/>
        <v>0</v>
      </c>
      <c r="DO16">
        <f t="shared" si="2"/>
        <v>0</v>
      </c>
      <c r="DP16">
        <f t="shared" si="3"/>
        <v>0</v>
      </c>
      <c r="DQ16">
        <f>IF(OR(L16=1,L16=3),IFERROR(VLOOKUP($B16,PerutHafkadotMetchilatShanaAvgM!$C$6:$G$100,3,FALSE),0),0)</f>
        <v>0</v>
      </c>
      <c r="DR16">
        <f>IF(OR(L16=2,L16=4),IFERROR(VLOOKUP($B16,PerutHafkadotMetchilatShanaAvgM!$C$6:$G$100,3,FALSE),0),0)</f>
        <v>0</v>
      </c>
      <c r="DS16">
        <f>IFERROR(VLOOKUP($B16,PerutHafkadotMetchilatShanaAvgM!$C$6:$G$100,4,FALSE),0)</f>
        <v>0</v>
      </c>
      <c r="DT16">
        <f>IFERROR(VLOOKUP($B16,Kupa!$D$6:$AA$100,5,FALSE),0)</f>
        <v>0</v>
      </c>
      <c r="DU16">
        <f>IFERROR(VLOOKUP($B16,Kupa!$D$6:$AA$100,6,FALSE),0)</f>
        <v>0</v>
      </c>
      <c r="DV16">
        <f>IFERROR(VLOOKUP($B16,KisuiBKerenPensiaDBWithParams!$D$6:$AP$100,9,FALSE),0)</f>
        <v>0</v>
      </c>
      <c r="DW16">
        <f>IFERROR(VLOOKUP($B16,KisuiBKerenPensiaDBWithParams!$D$6:$AP$100,12,FALSE),0)</f>
        <v>0</v>
      </c>
      <c r="DX16">
        <f>IFERROR(VLOOKUP($B16,KisuiBKerenPensiaDBWithParams!$D$6:$AP$100,13,FALSE),0)</f>
        <v>0</v>
      </c>
      <c r="DY16">
        <f>IFERROR(VLOOKUP($B16,KisuiBKerenPensiaDBWithParams!$D$6:$AP$100,7,FALSE),0)</f>
        <v>0</v>
      </c>
      <c r="DZ16">
        <f>IFERROR(VLOOKUP($B16,KisuiBKerenPensiaDBWithParams!$D$6:$AP$100,17,FALSE),0)</f>
        <v>0</v>
      </c>
      <c r="EA16">
        <f>IFERROR(VLOOKUP($B16,KisuiBKerenPensiaDBWithParams!$D$6:$AP$100,20,FALSE),0)</f>
        <v>0</v>
      </c>
      <c r="EB16">
        <f>IFERROR(VLOOKUP($B16,KisuiBKerenPensiaDBWithParams!$D$6:$AP$100,21,FALSE),0)</f>
        <v>0</v>
      </c>
      <c r="EC16">
        <f t="shared" si="47"/>
        <v>0</v>
      </c>
      <c r="EG16">
        <f>IF(OR(G16=MyData!$J$50,G16=MyData!$J$51,G16=MyData!$J$52),1,IF(G16=MyData!$J$49,2,0))</f>
        <v>0</v>
      </c>
    </row>
    <row r="17" spans="1:137">
      <c r="A17">
        <f t="shared" si="48"/>
        <v>0</v>
      </c>
      <c r="B17" s="20">
        <f>RicusPolice!E14</f>
        <v>0</v>
      </c>
      <c r="C17" s="20">
        <f>RicusPolice!AL14</f>
        <v>0</v>
      </c>
      <c r="D17" s="20">
        <f>RicusPolice!F14</f>
        <v>0</v>
      </c>
      <c r="E17" s="20">
        <f>RicusPolice!R14</f>
        <v>0</v>
      </c>
      <c r="F17" s="20">
        <f>RicusPolice!N14</f>
        <v>0</v>
      </c>
      <c r="G17" s="20">
        <f>IFERROR(VLOOKUP($B17,PerutYitrot!$D$6:$P$100,4,FALSE),0)</f>
        <v>0</v>
      </c>
      <c r="H17" s="20">
        <f t="shared" si="4"/>
        <v>0</v>
      </c>
      <c r="I17" s="20">
        <f>RicusPolice!L14</f>
        <v>0</v>
      </c>
      <c r="J17" s="179">
        <f>IFERROR(VLOOKUP(TRIM(K17),MyData!$J$43:$K$49,2,FALSE),0)</f>
        <v>0</v>
      </c>
      <c r="K17" s="20">
        <f>RicusPolice!M14</f>
        <v>0</v>
      </c>
      <c r="L17" s="20">
        <f>RicusPolice!AM14</f>
        <v>0</v>
      </c>
      <c r="M17" s="20" t="str">
        <f>IF(B17&gt;0,RicusPolice!Y14," ")</f>
        <v xml:space="preserve"> </v>
      </c>
      <c r="N17" s="20" t="str">
        <f t="shared" si="5"/>
        <v/>
      </c>
      <c r="O17" s="20">
        <f>RicusPolice!N14</f>
        <v>0</v>
      </c>
      <c r="P17" s="20">
        <f>IFERROR(VLOOKUP(B17,PerutMasluleiHashkaa!$D$6:$R$100,4,FALSE),0)</f>
        <v>0</v>
      </c>
      <c r="Q17" s="19"/>
      <c r="R17" s="20">
        <f>RicusPolice!P14</f>
        <v>0</v>
      </c>
      <c r="S17" s="20"/>
      <c r="T17" s="21">
        <f>'נתונים ידניים'!H17</f>
        <v>0</v>
      </c>
      <c r="U17" s="21"/>
      <c r="V17" s="20">
        <f>PerutHafrashotLePolisa!E14</f>
        <v>0</v>
      </c>
      <c r="W17" s="20">
        <f>PerutHafrashotLePolisa!F14</f>
        <v>0</v>
      </c>
      <c r="X17" s="20">
        <f>PerutHafrashotLePolisa!G14</f>
        <v>0</v>
      </c>
      <c r="Y17">
        <f t="shared" si="6"/>
        <v>0</v>
      </c>
      <c r="Z17">
        <f>IFERROR(VLOOKUP(B17,PirteiHaasaka!$D$6:$R$100,5,FALSE),0)</f>
        <v>0</v>
      </c>
      <c r="AB17">
        <f>IFERROR(VLOOKUP(B17,HafkadotMetchilatShanaAverages!$D$6:$E$100,2,FALSE),0)</f>
        <v>0</v>
      </c>
      <c r="AF17">
        <f>IFERROR(VLOOKUP(B17,CrossTabYitraLeTkufa_till_2000!$D$6:$AB$100,6,FALSE),0)+IFERROR(VLOOKUP(B17,CrossTabYitraLeTkufa_after_2000!$D$6:$AB$100,6,FALSE),0)</f>
        <v>0</v>
      </c>
      <c r="AG17">
        <f>IFERROR(VLOOKUP(B17,CrossTabYitraLeTkufa_till_2000!$D$6:$AB$100,16,FALSE),0)</f>
        <v>0</v>
      </c>
      <c r="AH17">
        <f>IFERROR(VLOOKUP(B17,CrossTabYitraLeTkufa_after_2000!$D$6:$AB$100,16,FALSE),0)</f>
        <v>0</v>
      </c>
      <c r="AI17">
        <f>IFERROR(VLOOKUP(B17,CrossTabYitraLeTkufa_till_2000!$D$6:$AB$100,17,FALSE),0)</f>
        <v>0</v>
      </c>
      <c r="AJ17">
        <f>IFERROR(VLOOKUP(B17,CrossTabYitraLeTkufa_after_2000!$D$6:$AB$100,17,FALSE),0)</f>
        <v>0</v>
      </c>
      <c r="AK17" s="5">
        <f t="shared" si="7"/>
        <v>0</v>
      </c>
      <c r="AN17">
        <f>IFERROR(VLOOKUP(B17,PirteiKisuiBeMutzar_procerur!$C$6:$AA$100,2,FALSE),0)</f>
        <v>0</v>
      </c>
      <c r="AP17">
        <f>IFERROR(VLOOKUP($B17,PirteiKisuiBeMutzar_procerur!$C$6:$AA$100,5,FALSE),0)</f>
        <v>0</v>
      </c>
      <c r="AQ17">
        <f>IFERROR(VLOOKUP($B17,PirteiKisuiBeMutzar_procerur!$C$6:$AA$100,3,FALSE),0)</f>
        <v>0</v>
      </c>
      <c r="AR17">
        <f>IFERROR(VLOOKUP($B17,PirteiKisuiBeMutzar_procerur!$C$6:$AA$100,6,FALSE),0)</f>
        <v>0</v>
      </c>
      <c r="AS17">
        <f>IFERROR(VLOOKUP($B17,PirteiKisuiBeMutzar_procerur!$C$6:$AA$100,7,FALSE),0)</f>
        <v>0</v>
      </c>
      <c r="AW17">
        <f t="shared" si="8"/>
        <v>0</v>
      </c>
      <c r="AX17">
        <f t="shared" si="9"/>
        <v>0</v>
      </c>
      <c r="AY17">
        <f t="shared" si="10"/>
        <v>0</v>
      </c>
      <c r="AZ17">
        <f t="shared" si="11"/>
        <v>0</v>
      </c>
      <c r="BA17">
        <f t="shared" si="12"/>
        <v>0</v>
      </c>
      <c r="BB17">
        <f t="shared" si="13"/>
        <v>0</v>
      </c>
      <c r="BC17">
        <f t="shared" si="14"/>
        <v>0</v>
      </c>
      <c r="BD17">
        <f t="shared" si="15"/>
        <v>0</v>
      </c>
      <c r="BE17">
        <f t="shared" si="16"/>
        <v>0</v>
      </c>
      <c r="BF17">
        <f t="shared" si="49"/>
        <v>0</v>
      </c>
      <c r="BG17">
        <f t="shared" si="17"/>
        <v>0</v>
      </c>
      <c r="BH17">
        <f t="shared" si="18"/>
        <v>0</v>
      </c>
      <c r="BI17">
        <f t="shared" si="19"/>
        <v>0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0</v>
      </c>
      <c r="BO17">
        <f t="shared" si="24"/>
        <v>0</v>
      </c>
      <c r="BR17">
        <f t="shared" si="25"/>
        <v>0</v>
      </c>
      <c r="BS17">
        <f t="shared" si="26"/>
        <v>0</v>
      </c>
      <c r="BT17">
        <f t="shared" si="27"/>
        <v>0</v>
      </c>
      <c r="BU17">
        <f t="shared" si="28"/>
        <v>0</v>
      </c>
      <c r="BV17">
        <f t="shared" si="29"/>
        <v>0</v>
      </c>
      <c r="BX17">
        <f t="shared" si="30"/>
        <v>0</v>
      </c>
      <c r="BY17">
        <f t="shared" si="31"/>
        <v>0</v>
      </c>
      <c r="BZ17">
        <f t="shared" si="32"/>
        <v>0</v>
      </c>
      <c r="CA17">
        <f t="shared" si="33"/>
        <v>0</v>
      </c>
      <c r="CB17">
        <f t="shared" si="34"/>
        <v>0</v>
      </c>
      <c r="CE17">
        <f t="shared" si="35"/>
        <v>0</v>
      </c>
      <c r="CF17">
        <f t="shared" si="36"/>
        <v>0</v>
      </c>
      <c r="CG17">
        <f t="shared" si="37"/>
        <v>0</v>
      </c>
      <c r="CH17">
        <f t="shared" si="38"/>
        <v>0</v>
      </c>
      <c r="CI17">
        <f t="shared" si="39"/>
        <v>0</v>
      </c>
      <c r="CL17">
        <f t="shared" si="40"/>
        <v>0</v>
      </c>
      <c r="CM17">
        <f t="shared" si="41"/>
        <v>0</v>
      </c>
      <c r="CN17">
        <f t="shared" si="42"/>
        <v>0</v>
      </c>
      <c r="CO17">
        <f t="shared" si="43"/>
        <v>0</v>
      </c>
      <c r="CP17">
        <f t="shared" si="44"/>
        <v>0</v>
      </c>
      <c r="CQ17">
        <f>IFERROR(VLOOKUP($B17,SchumeiBituahYesodi!$C$6:$AA$100,8,FALSE),0)</f>
        <v>0</v>
      </c>
      <c r="CR17">
        <f>IFERROR(VLOOKUP($B17,PirteiKisuiBeMutzar_procerur!$C$6:$AA$100,2,FALSE),0)</f>
        <v>0</v>
      </c>
      <c r="CS17">
        <f>IFERROR(VLOOKUP($B17,PirteiKisuiBeMutzar_procerur!$C$6:$AA$100,3,FALSE),0)</f>
        <v>0</v>
      </c>
      <c r="CT17">
        <f>IFERROR(VLOOKUP($B17,PirteiKisuiBeMutzar_procerur!$C$6:$AA$100,4,FALSE),0)</f>
        <v>0</v>
      </c>
      <c r="CU17">
        <f>IFERROR(VLOOKUP($B17,PirteiKisuiBeMutzar_procerur!$C$6:$AA$100,5,FALSE),0)</f>
        <v>0</v>
      </c>
      <c r="CV17">
        <f>IFERROR(VLOOKUP($B17,PirteiKisuiBeMutzar_procerur!$C$6:$AA$100,6,FALSE),0)</f>
        <v>0</v>
      </c>
      <c r="CW17">
        <f>IFERROR(VLOOKUP($B17,PirteiKisuiBeMutzar_procerur!$C$6:$AA$100,7,FALSE),0)</f>
        <v>0</v>
      </c>
      <c r="CX17">
        <f>IFERROR(VLOOKUP($B17,PirteiKisuiBeMutzar_procerur!$C$6:$AA$100,8,FALSE),0)</f>
        <v>0</v>
      </c>
      <c r="CY17">
        <f>IFERROR(VLOOKUP($B17,PirteiKisuiBeMutzar_procerur!$C$6:$AA$100,9,FALSE),0)</f>
        <v>0</v>
      </c>
      <c r="CZ17">
        <f>IFERROR(VLOOKUP($B17,PirteiKisuiBeMutzar_procerur!$C$6:$AA$100,10,FALSE),0)</f>
        <v>0</v>
      </c>
      <c r="DA17">
        <f>IFERROR(VLOOKUP($B17,PirteiKisuiBeMutzar_procerur!$C$6:$AA$100,11,FALSE),0)</f>
        <v>0</v>
      </c>
      <c r="DB17">
        <f>IFERROR(VLOOKUP($B17,PirteiKisuiBeMutzarPrmia!$C$6:$AA$100,2,FALSE),0)</f>
        <v>0</v>
      </c>
      <c r="DC17">
        <f>IFERROR(VLOOKUP($B17,PirteiKisuiBeMutzarPrmia!$C$6:$AA$100,3,FALSE),0)</f>
        <v>0</v>
      </c>
      <c r="DD17">
        <f>IFERROR(VLOOKUP($B17,PirteiKisuiBeMutzarPrmia!$C$6:$AA$100,4,FALSE),0)</f>
        <v>0</v>
      </c>
      <c r="DE17">
        <f>IFERROR(VLOOKUP($B17,PirteiKisuiBeMutzarPrmia!$C$6:$AA$100,5,FALSE),0)</f>
        <v>0</v>
      </c>
      <c r="DF17">
        <f>IFERROR(VLOOKUP($B17,PirteiKisuiBeMutzarPrmia!$C$6:$AA$100,6,FALSE),0)</f>
        <v>0</v>
      </c>
      <c r="DG17">
        <f>IFERROR(VLOOKUP($B17,PirteiKisuiBeMutzarPrmia!$C$6:$AA$100,7,FALSE),0)</f>
        <v>0</v>
      </c>
      <c r="DH17">
        <f>IFERROR(VLOOKUP($B17,PirteiKisuiBeMutzarPrmia!$C$6:$AA$100,8,FALSE),0)</f>
        <v>0</v>
      </c>
      <c r="DI17">
        <f>IFERROR(VLOOKUP($B17,PirteiKisuiBeMutzarPrmia!$C$6:$AA$100,9,FALSE),0)</f>
        <v>0</v>
      </c>
      <c r="DJ17">
        <f>IFERROR(VLOOKUP($B17,PirteiKisuiBeMutzarPrmia!$C$6:$AA$100,10,FALSE),0)</f>
        <v>0</v>
      </c>
      <c r="DK17">
        <f>IFERROR(VLOOKUP($B17,PirteiKisuiBeMutzarPrmia!$C$6:$AA$100,11,FALSE),0)</f>
        <v>0</v>
      </c>
      <c r="DL17">
        <f t="shared" si="1"/>
        <v>0</v>
      </c>
      <c r="DM17">
        <f t="shared" si="45"/>
        <v>0</v>
      </c>
      <c r="DN17">
        <f t="shared" si="46"/>
        <v>0</v>
      </c>
      <c r="DO17">
        <f t="shared" si="2"/>
        <v>0</v>
      </c>
      <c r="DP17">
        <f t="shared" si="3"/>
        <v>0</v>
      </c>
      <c r="DQ17">
        <f>IF(OR(L17=1,L17=3),IFERROR(VLOOKUP($B17,PerutHafkadotMetchilatShanaAvgM!$C$6:$G$100,3,FALSE),0),0)</f>
        <v>0</v>
      </c>
      <c r="DR17">
        <f>IF(OR(L17=2,L17=4),IFERROR(VLOOKUP($B17,PerutHafkadotMetchilatShanaAvgM!$C$6:$G$100,3,FALSE),0),0)</f>
        <v>0</v>
      </c>
      <c r="DS17">
        <f>IFERROR(VLOOKUP($B17,PerutHafkadotMetchilatShanaAvgM!$C$6:$G$100,4,FALSE),0)</f>
        <v>0</v>
      </c>
      <c r="DT17">
        <f>IFERROR(VLOOKUP($B17,Kupa!$D$6:$AA$100,5,FALSE),0)</f>
        <v>0</v>
      </c>
      <c r="DU17">
        <f>IFERROR(VLOOKUP($B17,Kupa!$D$6:$AA$100,6,FALSE),0)</f>
        <v>0</v>
      </c>
      <c r="DV17">
        <f>IFERROR(VLOOKUP($B17,KisuiBKerenPensiaDBWithParams!$D$6:$AP$100,9,FALSE),0)</f>
        <v>0</v>
      </c>
      <c r="DW17">
        <f>IFERROR(VLOOKUP($B17,KisuiBKerenPensiaDBWithParams!$D$6:$AP$100,12,FALSE),0)</f>
        <v>0</v>
      </c>
      <c r="DX17">
        <f>IFERROR(VLOOKUP($B17,KisuiBKerenPensiaDBWithParams!$D$6:$AP$100,13,FALSE),0)</f>
        <v>0</v>
      </c>
      <c r="DY17">
        <f>IFERROR(VLOOKUP($B17,KisuiBKerenPensiaDBWithParams!$D$6:$AP$100,7,FALSE),0)</f>
        <v>0</v>
      </c>
      <c r="DZ17">
        <f>IFERROR(VLOOKUP($B17,KisuiBKerenPensiaDBWithParams!$D$6:$AP$100,17,FALSE),0)</f>
        <v>0</v>
      </c>
      <c r="EA17">
        <f>IFERROR(VLOOKUP($B17,KisuiBKerenPensiaDBWithParams!$D$6:$AP$100,20,FALSE),0)</f>
        <v>0</v>
      </c>
      <c r="EB17">
        <f>IFERROR(VLOOKUP($B17,KisuiBKerenPensiaDBWithParams!$D$6:$AP$100,21,FALSE),0)</f>
        <v>0</v>
      </c>
      <c r="EC17">
        <f t="shared" si="47"/>
        <v>0</v>
      </c>
      <c r="EG17">
        <f>IF(OR(G17=MyData!$J$50,G17=MyData!$J$51,G17=MyData!$J$52),1,IF(G17=MyData!$J$49,2,0))</f>
        <v>0</v>
      </c>
    </row>
    <row r="18" spans="1:137">
      <c r="A18">
        <f t="shared" si="48"/>
        <v>0</v>
      </c>
      <c r="B18" s="20">
        <f>RicusPolice!E15</f>
        <v>0</v>
      </c>
      <c r="C18" s="20">
        <f>RicusPolice!AL15</f>
        <v>0</v>
      </c>
      <c r="D18" s="20">
        <f>RicusPolice!F15</f>
        <v>0</v>
      </c>
      <c r="E18" s="20">
        <f>RicusPolice!R15</f>
        <v>0</v>
      </c>
      <c r="F18" s="20">
        <f>RicusPolice!N15</f>
        <v>0</v>
      </c>
      <c r="G18" s="20">
        <f>IFERROR(VLOOKUP($B18,PerutYitrot!$D$6:$P$100,4,FALSE),0)</f>
        <v>0</v>
      </c>
      <c r="H18" s="20">
        <f t="shared" si="4"/>
        <v>0</v>
      </c>
      <c r="I18" s="20">
        <f>RicusPolice!L15</f>
        <v>0</v>
      </c>
      <c r="J18" s="179">
        <f>IFERROR(VLOOKUP(TRIM(K18),MyData!$J$43:$K$49,2,FALSE),0)</f>
        <v>0</v>
      </c>
      <c r="K18" s="20">
        <f>RicusPolice!M15</f>
        <v>0</v>
      </c>
      <c r="L18" s="20">
        <f>RicusPolice!AM15</f>
        <v>0</v>
      </c>
      <c r="M18" s="20" t="str">
        <f>IF(B18&gt;0,RicusPolice!Y15," ")</f>
        <v xml:space="preserve"> </v>
      </c>
      <c r="N18" s="20" t="str">
        <f t="shared" si="5"/>
        <v/>
      </c>
      <c r="O18" s="20">
        <f>RicusPolice!N15</f>
        <v>0</v>
      </c>
      <c r="P18" s="20">
        <f>IFERROR(VLOOKUP(B18,PerutMasluleiHashkaa!$D$6:$R$100,4,FALSE),0)</f>
        <v>0</v>
      </c>
      <c r="Q18" s="19"/>
      <c r="R18" s="20">
        <f>RicusPolice!P15</f>
        <v>0</v>
      </c>
      <c r="S18" s="20"/>
      <c r="T18" s="21">
        <f>'נתונים ידניים'!H18</f>
        <v>0</v>
      </c>
      <c r="U18" s="21"/>
      <c r="V18" s="20">
        <f>PerutHafrashotLePolisa!E15</f>
        <v>0</v>
      </c>
      <c r="W18" s="20">
        <f>PerutHafrashotLePolisa!F15</f>
        <v>0</v>
      </c>
      <c r="X18" s="20">
        <f>PerutHafrashotLePolisa!G15</f>
        <v>0</v>
      </c>
      <c r="Y18">
        <f t="shared" si="6"/>
        <v>0</v>
      </c>
      <c r="Z18">
        <f>IFERROR(VLOOKUP(B18,PirteiHaasaka!$D$6:$R$100,5,FALSE),0)</f>
        <v>0</v>
      </c>
      <c r="AB18">
        <f>IFERROR(VLOOKUP(B18,HafkadotMetchilatShanaAverages!$D$6:$E$100,2,FALSE),0)</f>
        <v>0</v>
      </c>
      <c r="AF18">
        <f>IFERROR(VLOOKUP(B18,CrossTabYitraLeTkufa_till_2000!$D$6:$AB$100,6,FALSE),0)+IFERROR(VLOOKUP(B18,CrossTabYitraLeTkufa_after_2000!$D$6:$AB$100,6,FALSE),0)</f>
        <v>0</v>
      </c>
      <c r="AG18">
        <f>IFERROR(VLOOKUP(B18,CrossTabYitraLeTkufa_till_2000!$D$6:$AB$100,16,FALSE),0)</f>
        <v>0</v>
      </c>
      <c r="AH18">
        <f>IFERROR(VLOOKUP(B18,CrossTabYitraLeTkufa_after_2000!$D$6:$AB$100,16,FALSE),0)</f>
        <v>0</v>
      </c>
      <c r="AI18">
        <f>IFERROR(VLOOKUP(B18,CrossTabYitraLeTkufa_till_2000!$D$6:$AB$100,17,FALSE),0)</f>
        <v>0</v>
      </c>
      <c r="AJ18">
        <f>IFERROR(VLOOKUP(B18,CrossTabYitraLeTkufa_after_2000!$D$6:$AB$100,17,FALSE),0)</f>
        <v>0</v>
      </c>
      <c r="AK18" s="5">
        <f t="shared" si="7"/>
        <v>0</v>
      </c>
      <c r="AN18">
        <f>IFERROR(VLOOKUP(B18,PirteiKisuiBeMutzar_procerur!$C$6:$AA$100,2,FALSE),0)</f>
        <v>0</v>
      </c>
      <c r="AP18">
        <f>IFERROR(VLOOKUP($B18,PirteiKisuiBeMutzar_procerur!$C$6:$AA$100,5,FALSE),0)</f>
        <v>0</v>
      </c>
      <c r="AQ18">
        <f>IFERROR(VLOOKUP($B18,PirteiKisuiBeMutzar_procerur!$C$6:$AA$100,3,FALSE),0)</f>
        <v>0</v>
      </c>
      <c r="AR18">
        <f>IFERROR(VLOOKUP($B18,PirteiKisuiBeMutzar_procerur!$C$6:$AA$100,6,FALSE),0)</f>
        <v>0</v>
      </c>
      <c r="AS18">
        <f>IFERROR(VLOOKUP($B18,PirteiKisuiBeMutzar_procerur!$C$6:$AA$100,7,FALSE),0)</f>
        <v>0</v>
      </c>
      <c r="AW18">
        <f t="shared" si="8"/>
        <v>0</v>
      </c>
      <c r="AX18">
        <f t="shared" si="9"/>
        <v>0</v>
      </c>
      <c r="AY18">
        <f t="shared" si="10"/>
        <v>0</v>
      </c>
      <c r="AZ18">
        <f t="shared" si="11"/>
        <v>0</v>
      </c>
      <c r="BA18">
        <f t="shared" si="12"/>
        <v>0</v>
      </c>
      <c r="BB18">
        <f t="shared" si="13"/>
        <v>0</v>
      </c>
      <c r="BC18">
        <f t="shared" si="14"/>
        <v>0</v>
      </c>
      <c r="BD18">
        <f t="shared" si="15"/>
        <v>0</v>
      </c>
      <c r="BE18">
        <f t="shared" si="16"/>
        <v>0</v>
      </c>
      <c r="BF18">
        <f t="shared" si="49"/>
        <v>0</v>
      </c>
      <c r="BG18">
        <f t="shared" si="17"/>
        <v>0</v>
      </c>
      <c r="BH18">
        <f t="shared" si="18"/>
        <v>0</v>
      </c>
      <c r="BI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0</v>
      </c>
      <c r="BO18">
        <f t="shared" si="24"/>
        <v>0</v>
      </c>
      <c r="BR18">
        <f t="shared" si="25"/>
        <v>0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0</v>
      </c>
      <c r="BX18">
        <f t="shared" si="30"/>
        <v>0</v>
      </c>
      <c r="BY18">
        <f t="shared" si="31"/>
        <v>0</v>
      </c>
      <c r="BZ18">
        <f t="shared" si="32"/>
        <v>0</v>
      </c>
      <c r="CA18">
        <f t="shared" si="33"/>
        <v>0</v>
      </c>
      <c r="CB18">
        <f t="shared" si="34"/>
        <v>0</v>
      </c>
      <c r="CE18">
        <f t="shared" si="35"/>
        <v>0</v>
      </c>
      <c r="CF18">
        <f t="shared" si="36"/>
        <v>0</v>
      </c>
      <c r="CG18">
        <f t="shared" si="37"/>
        <v>0</v>
      </c>
      <c r="CH18">
        <f t="shared" si="38"/>
        <v>0</v>
      </c>
      <c r="CI18">
        <f t="shared" si="39"/>
        <v>0</v>
      </c>
      <c r="CL18">
        <f t="shared" si="40"/>
        <v>0</v>
      </c>
      <c r="CM18">
        <f t="shared" si="41"/>
        <v>0</v>
      </c>
      <c r="CN18">
        <f t="shared" si="42"/>
        <v>0</v>
      </c>
      <c r="CO18">
        <f t="shared" si="43"/>
        <v>0</v>
      </c>
      <c r="CP18">
        <f t="shared" si="44"/>
        <v>0</v>
      </c>
      <c r="CQ18">
        <f>IFERROR(VLOOKUP($B18,SchumeiBituahYesodi!$C$6:$AA$100,8,FALSE),0)</f>
        <v>0</v>
      </c>
      <c r="CR18">
        <f>IFERROR(VLOOKUP($B18,PirteiKisuiBeMutzar_procerur!$C$6:$AA$100,2,FALSE),0)</f>
        <v>0</v>
      </c>
      <c r="CS18">
        <f>IFERROR(VLOOKUP($B18,PirteiKisuiBeMutzar_procerur!$C$6:$AA$100,3,FALSE),0)</f>
        <v>0</v>
      </c>
      <c r="CT18">
        <f>IFERROR(VLOOKUP($B18,PirteiKisuiBeMutzar_procerur!$C$6:$AA$100,4,FALSE),0)</f>
        <v>0</v>
      </c>
      <c r="CU18">
        <f>IFERROR(VLOOKUP($B18,PirteiKisuiBeMutzar_procerur!$C$6:$AA$100,5,FALSE),0)</f>
        <v>0</v>
      </c>
      <c r="CV18">
        <f>IFERROR(VLOOKUP($B18,PirteiKisuiBeMutzar_procerur!$C$6:$AA$100,6,FALSE),0)</f>
        <v>0</v>
      </c>
      <c r="CW18">
        <f>IFERROR(VLOOKUP($B18,PirteiKisuiBeMutzar_procerur!$C$6:$AA$100,7,FALSE),0)</f>
        <v>0</v>
      </c>
      <c r="CX18">
        <f>IFERROR(VLOOKUP($B18,PirteiKisuiBeMutzar_procerur!$C$6:$AA$100,8,FALSE),0)</f>
        <v>0</v>
      </c>
      <c r="CY18">
        <f>IFERROR(VLOOKUP($B18,PirteiKisuiBeMutzar_procerur!$C$6:$AA$100,9,FALSE),0)</f>
        <v>0</v>
      </c>
      <c r="CZ18">
        <f>IFERROR(VLOOKUP($B18,PirteiKisuiBeMutzar_procerur!$C$6:$AA$100,10,FALSE),0)</f>
        <v>0</v>
      </c>
      <c r="DA18">
        <f>IFERROR(VLOOKUP($B18,PirteiKisuiBeMutzar_procerur!$C$6:$AA$100,11,FALSE),0)</f>
        <v>0</v>
      </c>
      <c r="DB18">
        <f>IFERROR(VLOOKUP($B18,PirteiKisuiBeMutzarPrmia!$C$6:$AA$100,2,FALSE),0)</f>
        <v>0</v>
      </c>
      <c r="DC18">
        <f>IFERROR(VLOOKUP($B18,PirteiKisuiBeMutzarPrmia!$C$6:$AA$100,3,FALSE),0)</f>
        <v>0</v>
      </c>
      <c r="DD18">
        <f>IFERROR(VLOOKUP($B18,PirteiKisuiBeMutzarPrmia!$C$6:$AA$100,4,FALSE),0)</f>
        <v>0</v>
      </c>
      <c r="DE18">
        <f>IFERROR(VLOOKUP($B18,PirteiKisuiBeMutzarPrmia!$C$6:$AA$100,5,FALSE),0)</f>
        <v>0</v>
      </c>
      <c r="DF18">
        <f>IFERROR(VLOOKUP($B18,PirteiKisuiBeMutzarPrmia!$C$6:$AA$100,6,FALSE),0)</f>
        <v>0</v>
      </c>
      <c r="DG18">
        <f>IFERROR(VLOOKUP($B18,PirteiKisuiBeMutzarPrmia!$C$6:$AA$100,7,FALSE),0)</f>
        <v>0</v>
      </c>
      <c r="DH18">
        <f>IFERROR(VLOOKUP($B18,PirteiKisuiBeMutzarPrmia!$C$6:$AA$100,8,FALSE),0)</f>
        <v>0</v>
      </c>
      <c r="DI18">
        <f>IFERROR(VLOOKUP($B18,PirteiKisuiBeMutzarPrmia!$C$6:$AA$100,9,FALSE),0)</f>
        <v>0</v>
      </c>
      <c r="DJ18">
        <f>IFERROR(VLOOKUP($B18,PirteiKisuiBeMutzarPrmia!$C$6:$AA$100,10,FALSE),0)</f>
        <v>0</v>
      </c>
      <c r="DK18">
        <f>IFERROR(VLOOKUP($B18,PirteiKisuiBeMutzarPrmia!$C$6:$AA$100,11,FALSE),0)</f>
        <v>0</v>
      </c>
      <c r="DL18">
        <f t="shared" si="1"/>
        <v>0</v>
      </c>
      <c r="DM18">
        <f t="shared" si="45"/>
        <v>0</v>
      </c>
      <c r="DN18">
        <f t="shared" si="46"/>
        <v>0</v>
      </c>
      <c r="DO18">
        <f t="shared" si="2"/>
        <v>0</v>
      </c>
      <c r="DP18">
        <f t="shared" si="3"/>
        <v>0</v>
      </c>
      <c r="DQ18">
        <f>IF(OR(L18=1,L18=3),IFERROR(VLOOKUP($B18,PerutHafkadotMetchilatShanaAvgM!$C$6:$G$100,3,FALSE),0),0)</f>
        <v>0</v>
      </c>
      <c r="DR18">
        <f>IF(OR(L18=2,L18=4),IFERROR(VLOOKUP($B18,PerutHafkadotMetchilatShanaAvgM!$C$6:$G$100,3,FALSE),0),0)</f>
        <v>0</v>
      </c>
      <c r="DS18">
        <f>IFERROR(VLOOKUP($B18,PerutHafkadotMetchilatShanaAvgM!$C$6:$G$100,4,FALSE),0)</f>
        <v>0</v>
      </c>
      <c r="DT18">
        <f>IFERROR(VLOOKUP($B18,Kupa!$D$6:$AA$100,5,FALSE),0)</f>
        <v>0</v>
      </c>
      <c r="DU18">
        <f>IFERROR(VLOOKUP($B18,Kupa!$D$6:$AA$100,6,FALSE),0)</f>
        <v>0</v>
      </c>
      <c r="DV18">
        <f>IFERROR(VLOOKUP($B18,KisuiBKerenPensiaDBWithParams!$D$6:$AP$100,9,FALSE),0)</f>
        <v>0</v>
      </c>
      <c r="DW18">
        <f>IFERROR(VLOOKUP($B18,KisuiBKerenPensiaDBWithParams!$D$6:$AP$100,12,FALSE),0)</f>
        <v>0</v>
      </c>
      <c r="DX18">
        <f>IFERROR(VLOOKUP($B18,KisuiBKerenPensiaDBWithParams!$D$6:$AP$100,13,FALSE),0)</f>
        <v>0</v>
      </c>
      <c r="DY18">
        <f>IFERROR(VLOOKUP($B18,KisuiBKerenPensiaDBWithParams!$D$6:$AP$100,7,FALSE),0)</f>
        <v>0</v>
      </c>
      <c r="DZ18">
        <f>IFERROR(VLOOKUP($B18,KisuiBKerenPensiaDBWithParams!$D$6:$AP$100,17,FALSE),0)</f>
        <v>0</v>
      </c>
      <c r="EA18">
        <f>IFERROR(VLOOKUP($B18,KisuiBKerenPensiaDBWithParams!$D$6:$AP$100,20,FALSE),0)</f>
        <v>0</v>
      </c>
      <c r="EB18">
        <f>IFERROR(VLOOKUP($B18,KisuiBKerenPensiaDBWithParams!$D$6:$AP$100,21,FALSE),0)</f>
        <v>0</v>
      </c>
      <c r="EC18">
        <f t="shared" si="47"/>
        <v>0</v>
      </c>
      <c r="EG18">
        <f>IF(OR(G18=MyData!$J$50,G18=MyData!$J$51,G18=MyData!$J$52),1,IF(G18=MyData!$J$49,2,0))</f>
        <v>0</v>
      </c>
    </row>
    <row r="19" spans="1:137">
      <c r="A19">
        <f t="shared" si="48"/>
        <v>0</v>
      </c>
      <c r="B19" s="20">
        <f>RicusPolice!E16</f>
        <v>0</v>
      </c>
      <c r="C19" s="20">
        <f>RicusPolice!AL16</f>
        <v>0</v>
      </c>
      <c r="D19" s="20">
        <f>RicusPolice!F16</f>
        <v>0</v>
      </c>
      <c r="E19" s="20">
        <f>RicusPolice!R16</f>
        <v>0</v>
      </c>
      <c r="F19" s="20">
        <f>RicusPolice!N16</f>
        <v>0</v>
      </c>
      <c r="G19" s="20">
        <f>IFERROR(VLOOKUP($B19,PerutYitrot!$D$6:$P$100,4,FALSE),0)</f>
        <v>0</v>
      </c>
      <c r="H19" s="20">
        <f t="shared" si="4"/>
        <v>0</v>
      </c>
      <c r="I19" s="20">
        <f>RicusPolice!L16</f>
        <v>0</v>
      </c>
      <c r="J19" s="179">
        <f>IFERROR(VLOOKUP(TRIM(K19),MyData!$J$43:$K$49,2,FALSE),0)</f>
        <v>0</v>
      </c>
      <c r="K19" s="20">
        <f>RicusPolice!M16</f>
        <v>0</v>
      </c>
      <c r="L19" s="20">
        <f>RicusPolice!AM16</f>
        <v>0</v>
      </c>
      <c r="M19" s="20" t="str">
        <f>IF(B19&gt;0,RicusPolice!Y16," ")</f>
        <v xml:space="preserve"> </v>
      </c>
      <c r="N19" s="20" t="str">
        <f t="shared" si="5"/>
        <v/>
      </c>
      <c r="O19" s="20">
        <f>RicusPolice!N16</f>
        <v>0</v>
      </c>
      <c r="P19" s="20">
        <f>IFERROR(VLOOKUP(B19,PerutMasluleiHashkaa!$D$6:$R$100,4,FALSE),0)</f>
        <v>0</v>
      </c>
      <c r="Q19" s="19"/>
      <c r="R19" s="20">
        <f>RicusPolice!P16</f>
        <v>0</v>
      </c>
      <c r="S19" s="20"/>
      <c r="T19" s="21">
        <f>'נתונים ידניים'!H19</f>
        <v>0</v>
      </c>
      <c r="U19" s="21"/>
      <c r="V19" s="20">
        <f>PerutHafrashotLePolisa!E16</f>
        <v>0</v>
      </c>
      <c r="W19" s="20">
        <f>PerutHafrashotLePolisa!F16</f>
        <v>0</v>
      </c>
      <c r="X19" s="20">
        <f>PerutHafrashotLePolisa!G16</f>
        <v>0</v>
      </c>
      <c r="Y19">
        <f t="shared" si="6"/>
        <v>0</v>
      </c>
      <c r="Z19">
        <f>IFERROR(VLOOKUP(B19,PirteiHaasaka!$D$6:$R$100,5,FALSE),0)</f>
        <v>0</v>
      </c>
      <c r="AB19">
        <f>IFERROR(VLOOKUP(B19,HafkadotMetchilatShanaAverages!$D$6:$E$100,2,FALSE),0)</f>
        <v>0</v>
      </c>
      <c r="AF19">
        <f>IFERROR(VLOOKUP(B19,CrossTabYitraLeTkufa_till_2000!$D$6:$AB$100,6,FALSE),0)+IFERROR(VLOOKUP(B19,CrossTabYitraLeTkufa_after_2000!$D$6:$AB$100,6,FALSE),0)</f>
        <v>0</v>
      </c>
      <c r="AG19">
        <f>IFERROR(VLOOKUP(B19,CrossTabYitraLeTkufa_till_2000!$D$6:$AB$100,16,FALSE),0)</f>
        <v>0</v>
      </c>
      <c r="AH19">
        <f>IFERROR(VLOOKUP(B19,CrossTabYitraLeTkufa_after_2000!$D$6:$AB$100,16,FALSE),0)</f>
        <v>0</v>
      </c>
      <c r="AI19">
        <f>IFERROR(VLOOKUP(B19,CrossTabYitraLeTkufa_till_2000!$D$6:$AB$100,17,FALSE),0)</f>
        <v>0</v>
      </c>
      <c r="AJ19">
        <f>IFERROR(VLOOKUP(B19,CrossTabYitraLeTkufa_after_2000!$D$6:$AB$100,17,FALSE),0)</f>
        <v>0</v>
      </c>
      <c r="AK19" s="5">
        <f t="shared" si="7"/>
        <v>0</v>
      </c>
      <c r="AN19">
        <f>IFERROR(VLOOKUP(B19,PirteiKisuiBeMutzar_procerur!$C$6:$AA$100,2,FALSE),0)</f>
        <v>0</v>
      </c>
      <c r="AP19">
        <f>IFERROR(VLOOKUP($B19,PirteiKisuiBeMutzar_procerur!$C$6:$AA$100,5,FALSE),0)</f>
        <v>0</v>
      </c>
      <c r="AQ19">
        <f>IFERROR(VLOOKUP($B19,PirteiKisuiBeMutzar_procerur!$C$6:$AA$100,3,FALSE),0)</f>
        <v>0</v>
      </c>
      <c r="AR19">
        <f>IFERROR(VLOOKUP($B19,PirteiKisuiBeMutzar_procerur!$C$6:$AA$100,6,FALSE),0)</f>
        <v>0</v>
      </c>
      <c r="AS19">
        <f>IFERROR(VLOOKUP($B19,PirteiKisuiBeMutzar_procerur!$C$6:$AA$100,7,FALSE),0)</f>
        <v>0</v>
      </c>
      <c r="AW19">
        <f t="shared" si="8"/>
        <v>0</v>
      </c>
      <c r="AX19">
        <f t="shared" si="9"/>
        <v>0</v>
      </c>
      <c r="AY19">
        <f t="shared" si="10"/>
        <v>0</v>
      </c>
      <c r="AZ19">
        <f t="shared" si="11"/>
        <v>0</v>
      </c>
      <c r="BA19">
        <f t="shared" si="12"/>
        <v>0</v>
      </c>
      <c r="BB19">
        <f t="shared" si="13"/>
        <v>0</v>
      </c>
      <c r="BC19">
        <f t="shared" si="14"/>
        <v>0</v>
      </c>
      <c r="BD19">
        <f t="shared" si="15"/>
        <v>0</v>
      </c>
      <c r="BE19">
        <f t="shared" si="16"/>
        <v>0</v>
      </c>
      <c r="BF19">
        <f t="shared" si="49"/>
        <v>0</v>
      </c>
      <c r="BG19">
        <f t="shared" si="17"/>
        <v>0</v>
      </c>
      <c r="BH19">
        <f t="shared" si="18"/>
        <v>0</v>
      </c>
      <c r="BI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0</v>
      </c>
      <c r="BO19">
        <f t="shared" si="24"/>
        <v>0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0</v>
      </c>
      <c r="BX19">
        <f t="shared" si="30"/>
        <v>0</v>
      </c>
      <c r="BY19">
        <f t="shared" si="31"/>
        <v>0</v>
      </c>
      <c r="BZ19">
        <f t="shared" si="32"/>
        <v>0</v>
      </c>
      <c r="CA19">
        <f t="shared" si="33"/>
        <v>0</v>
      </c>
      <c r="CB19">
        <f t="shared" si="34"/>
        <v>0</v>
      </c>
      <c r="CE19">
        <f t="shared" si="35"/>
        <v>0</v>
      </c>
      <c r="CF19">
        <f t="shared" si="36"/>
        <v>0</v>
      </c>
      <c r="CG19">
        <f t="shared" si="37"/>
        <v>0</v>
      </c>
      <c r="CH19">
        <f t="shared" si="38"/>
        <v>0</v>
      </c>
      <c r="CI19">
        <f t="shared" si="39"/>
        <v>0</v>
      </c>
      <c r="CL19">
        <f t="shared" si="40"/>
        <v>0</v>
      </c>
      <c r="CM19">
        <f t="shared" si="41"/>
        <v>0</v>
      </c>
      <c r="CN19">
        <f t="shared" si="42"/>
        <v>0</v>
      </c>
      <c r="CO19">
        <f t="shared" si="43"/>
        <v>0</v>
      </c>
      <c r="CP19">
        <f t="shared" si="44"/>
        <v>0</v>
      </c>
      <c r="CQ19">
        <f>IFERROR(VLOOKUP($B19,SchumeiBituahYesodi!$C$6:$AA$100,8,FALSE),0)</f>
        <v>0</v>
      </c>
      <c r="CR19">
        <f>IFERROR(VLOOKUP($B19,PirteiKisuiBeMutzar_procerur!$C$6:$AA$100,2,FALSE),0)</f>
        <v>0</v>
      </c>
      <c r="CS19">
        <f>IFERROR(VLOOKUP($B19,PirteiKisuiBeMutzar_procerur!$C$6:$AA$100,3,FALSE),0)</f>
        <v>0</v>
      </c>
      <c r="CT19">
        <f>IFERROR(VLOOKUP($B19,PirteiKisuiBeMutzar_procerur!$C$6:$AA$100,4,FALSE),0)</f>
        <v>0</v>
      </c>
      <c r="CU19">
        <f>IFERROR(VLOOKUP($B19,PirteiKisuiBeMutzar_procerur!$C$6:$AA$100,5,FALSE),0)</f>
        <v>0</v>
      </c>
      <c r="CV19">
        <f>IFERROR(VLOOKUP($B19,PirteiKisuiBeMutzar_procerur!$C$6:$AA$100,6,FALSE),0)</f>
        <v>0</v>
      </c>
      <c r="CW19">
        <f>IFERROR(VLOOKUP($B19,PirteiKisuiBeMutzar_procerur!$C$6:$AA$100,7,FALSE),0)</f>
        <v>0</v>
      </c>
      <c r="CX19">
        <f>IFERROR(VLOOKUP($B19,PirteiKisuiBeMutzar_procerur!$C$6:$AA$100,8,FALSE),0)</f>
        <v>0</v>
      </c>
      <c r="CY19">
        <f>IFERROR(VLOOKUP($B19,PirteiKisuiBeMutzar_procerur!$C$6:$AA$100,9,FALSE),0)</f>
        <v>0</v>
      </c>
      <c r="CZ19">
        <f>IFERROR(VLOOKUP($B19,PirteiKisuiBeMutzar_procerur!$C$6:$AA$100,10,FALSE),0)</f>
        <v>0</v>
      </c>
      <c r="DA19">
        <f>IFERROR(VLOOKUP($B19,PirteiKisuiBeMutzar_procerur!$C$6:$AA$100,11,FALSE),0)</f>
        <v>0</v>
      </c>
      <c r="DB19">
        <f>IFERROR(VLOOKUP($B19,PirteiKisuiBeMutzarPrmia!$C$6:$AA$100,2,FALSE),0)</f>
        <v>0</v>
      </c>
      <c r="DC19">
        <f>IFERROR(VLOOKUP($B19,PirteiKisuiBeMutzarPrmia!$C$6:$AA$100,3,FALSE),0)</f>
        <v>0</v>
      </c>
      <c r="DD19">
        <f>IFERROR(VLOOKUP($B19,PirteiKisuiBeMutzarPrmia!$C$6:$AA$100,4,FALSE),0)</f>
        <v>0</v>
      </c>
      <c r="DE19">
        <f>IFERROR(VLOOKUP($B19,PirteiKisuiBeMutzarPrmia!$C$6:$AA$100,5,FALSE),0)</f>
        <v>0</v>
      </c>
      <c r="DF19">
        <f>IFERROR(VLOOKUP($B19,PirteiKisuiBeMutzarPrmia!$C$6:$AA$100,6,FALSE),0)</f>
        <v>0</v>
      </c>
      <c r="DG19">
        <f>IFERROR(VLOOKUP($B19,PirteiKisuiBeMutzarPrmia!$C$6:$AA$100,7,FALSE),0)</f>
        <v>0</v>
      </c>
      <c r="DH19">
        <f>IFERROR(VLOOKUP($B19,PirteiKisuiBeMutzarPrmia!$C$6:$AA$100,8,FALSE),0)</f>
        <v>0</v>
      </c>
      <c r="DI19">
        <f>IFERROR(VLOOKUP($B19,PirteiKisuiBeMutzarPrmia!$C$6:$AA$100,9,FALSE),0)</f>
        <v>0</v>
      </c>
      <c r="DJ19">
        <f>IFERROR(VLOOKUP($B19,PirteiKisuiBeMutzarPrmia!$C$6:$AA$100,10,FALSE),0)</f>
        <v>0</v>
      </c>
      <c r="DK19">
        <f>IFERROR(VLOOKUP($B19,PirteiKisuiBeMutzarPrmia!$C$6:$AA$100,11,FALSE),0)</f>
        <v>0</v>
      </c>
      <c r="DL19">
        <f t="shared" si="1"/>
        <v>0</v>
      </c>
      <c r="DM19">
        <f t="shared" si="45"/>
        <v>0</v>
      </c>
      <c r="DN19">
        <f t="shared" si="46"/>
        <v>0</v>
      </c>
      <c r="DO19">
        <f t="shared" si="2"/>
        <v>0</v>
      </c>
      <c r="DP19">
        <f t="shared" si="3"/>
        <v>0</v>
      </c>
      <c r="DQ19">
        <f>IF(OR(L19=1,L19=3),IFERROR(VLOOKUP($B19,PerutHafkadotMetchilatShanaAvgM!$C$6:$G$100,3,FALSE),0),0)</f>
        <v>0</v>
      </c>
      <c r="DR19">
        <f>IF(OR(L19=2,L19=4),IFERROR(VLOOKUP($B19,PerutHafkadotMetchilatShanaAvgM!$C$6:$G$100,3,FALSE),0),0)</f>
        <v>0</v>
      </c>
      <c r="DS19">
        <f>IFERROR(VLOOKUP($B19,PerutHafkadotMetchilatShanaAvgM!$C$6:$G$100,4,FALSE),0)</f>
        <v>0</v>
      </c>
      <c r="DT19">
        <f>IFERROR(VLOOKUP($B19,Kupa!$D$6:$AA$100,5,FALSE),0)</f>
        <v>0</v>
      </c>
      <c r="DU19">
        <f>IFERROR(VLOOKUP($B19,Kupa!$D$6:$AA$100,6,FALSE),0)</f>
        <v>0</v>
      </c>
      <c r="DV19">
        <f>IFERROR(VLOOKUP($B19,KisuiBKerenPensiaDBWithParams!$D$6:$AP$100,9,FALSE),0)</f>
        <v>0</v>
      </c>
      <c r="DW19">
        <f>IFERROR(VLOOKUP($B19,KisuiBKerenPensiaDBWithParams!$D$6:$AP$100,12,FALSE),0)</f>
        <v>0</v>
      </c>
      <c r="DX19">
        <f>IFERROR(VLOOKUP($B19,KisuiBKerenPensiaDBWithParams!$D$6:$AP$100,13,FALSE),0)</f>
        <v>0</v>
      </c>
      <c r="DY19">
        <f>IFERROR(VLOOKUP($B19,KisuiBKerenPensiaDBWithParams!$D$6:$AP$100,7,FALSE),0)</f>
        <v>0</v>
      </c>
      <c r="DZ19">
        <f>IFERROR(VLOOKUP($B19,KisuiBKerenPensiaDBWithParams!$D$6:$AP$100,17,FALSE),0)</f>
        <v>0</v>
      </c>
      <c r="EA19">
        <f>IFERROR(VLOOKUP($B19,KisuiBKerenPensiaDBWithParams!$D$6:$AP$100,20,FALSE),0)</f>
        <v>0</v>
      </c>
      <c r="EB19">
        <f>IFERROR(VLOOKUP($B19,KisuiBKerenPensiaDBWithParams!$D$6:$AP$100,21,FALSE),0)</f>
        <v>0</v>
      </c>
      <c r="EC19">
        <f t="shared" si="47"/>
        <v>0</v>
      </c>
      <c r="EG19">
        <f>IF(OR(G19=MyData!$J$50,G19=MyData!$J$51,G19=MyData!$J$52),1,IF(G19=MyData!$J$49,2,0))</f>
        <v>0</v>
      </c>
    </row>
    <row r="20" spans="1:137">
      <c r="A20">
        <f t="shared" si="48"/>
        <v>0</v>
      </c>
      <c r="B20" s="20">
        <f>RicusPolice!E17</f>
        <v>0</v>
      </c>
      <c r="C20" s="20">
        <f>RicusPolice!AL17</f>
        <v>0</v>
      </c>
      <c r="D20" s="20">
        <f>RicusPolice!F17</f>
        <v>0</v>
      </c>
      <c r="E20" s="20">
        <f>RicusPolice!R17</f>
        <v>0</v>
      </c>
      <c r="F20" s="20">
        <f>RicusPolice!N17</f>
        <v>0</v>
      </c>
      <c r="G20" s="20">
        <f>IFERROR(VLOOKUP($B20,PerutYitrot!$D$6:$P$100,4,FALSE),0)</f>
        <v>0</v>
      </c>
      <c r="H20" s="20">
        <f t="shared" si="4"/>
        <v>0</v>
      </c>
      <c r="I20" s="20">
        <f>RicusPolice!L17</f>
        <v>0</v>
      </c>
      <c r="J20" s="179">
        <f>IFERROR(VLOOKUP(TRIM(K20),MyData!$J$43:$K$49,2,FALSE),0)</f>
        <v>0</v>
      </c>
      <c r="K20" s="20">
        <f>RicusPolice!M17</f>
        <v>0</v>
      </c>
      <c r="L20" s="20">
        <f>RicusPolice!AM17</f>
        <v>0</v>
      </c>
      <c r="M20" s="20" t="str">
        <f>IF(B20&gt;0,RicusPolice!Y17," ")</f>
        <v xml:space="preserve"> </v>
      </c>
      <c r="N20" s="20" t="str">
        <f t="shared" si="5"/>
        <v/>
      </c>
      <c r="O20" s="20">
        <f>RicusPolice!N17</f>
        <v>0</v>
      </c>
      <c r="P20" s="20">
        <f>IFERROR(VLOOKUP(B20,PerutMasluleiHashkaa!$D$6:$R$100,4,FALSE),0)</f>
        <v>0</v>
      </c>
      <c r="Q20" s="19"/>
      <c r="R20" s="20">
        <f>RicusPolice!P17</f>
        <v>0</v>
      </c>
      <c r="S20" s="20"/>
      <c r="T20" s="21">
        <f>'נתונים ידניים'!H20</f>
        <v>0</v>
      </c>
      <c r="U20" s="21"/>
      <c r="V20" s="20">
        <f>PerutHafrashotLePolisa!E17</f>
        <v>0</v>
      </c>
      <c r="W20" s="20">
        <f>PerutHafrashotLePolisa!F17</f>
        <v>0</v>
      </c>
      <c r="X20" s="20">
        <f>PerutHafrashotLePolisa!G17</f>
        <v>0</v>
      </c>
      <c r="Y20">
        <f t="shared" si="6"/>
        <v>0</v>
      </c>
      <c r="Z20">
        <f>IFERROR(VLOOKUP(B20,PirteiHaasaka!$D$6:$R$100,5,FALSE),0)</f>
        <v>0</v>
      </c>
      <c r="AB20">
        <f>IFERROR(VLOOKUP(B20,HafkadotMetchilatShanaAverages!$D$6:$E$100,2,FALSE),0)</f>
        <v>0</v>
      </c>
      <c r="AF20">
        <f>IFERROR(VLOOKUP(B20,CrossTabYitraLeTkufa_till_2000!$D$6:$AB$100,6,FALSE),0)+IFERROR(VLOOKUP(B20,CrossTabYitraLeTkufa_after_2000!$D$6:$AB$100,6,FALSE),0)</f>
        <v>0</v>
      </c>
      <c r="AG20">
        <f>IFERROR(VLOOKUP(B20,CrossTabYitraLeTkufa_till_2000!$D$6:$AB$100,16,FALSE),0)</f>
        <v>0</v>
      </c>
      <c r="AH20">
        <f>IFERROR(VLOOKUP(B20,CrossTabYitraLeTkufa_after_2000!$D$6:$AB$100,16,FALSE),0)</f>
        <v>0</v>
      </c>
      <c r="AI20">
        <f>IFERROR(VLOOKUP(B20,CrossTabYitraLeTkufa_till_2000!$D$6:$AB$100,17,FALSE),0)</f>
        <v>0</v>
      </c>
      <c r="AJ20">
        <f>IFERROR(VLOOKUP(B20,CrossTabYitraLeTkufa_after_2000!$D$6:$AB$100,17,FALSE),0)</f>
        <v>0</v>
      </c>
      <c r="AK20" s="5">
        <f t="shared" si="7"/>
        <v>0</v>
      </c>
      <c r="AN20">
        <f>IFERROR(VLOOKUP(B20,PirteiKisuiBeMutzar_procerur!$C$6:$AA$100,2,FALSE),0)</f>
        <v>0</v>
      </c>
      <c r="AP20">
        <f>IFERROR(VLOOKUP($B20,PirteiKisuiBeMutzar_procerur!$C$6:$AA$100,5,FALSE),0)</f>
        <v>0</v>
      </c>
      <c r="AQ20">
        <f>IFERROR(VLOOKUP($B20,PirteiKisuiBeMutzar_procerur!$C$6:$AA$100,3,FALSE),0)</f>
        <v>0</v>
      </c>
      <c r="AR20">
        <f>IFERROR(VLOOKUP($B20,PirteiKisuiBeMutzar_procerur!$C$6:$AA$100,6,FALSE),0)</f>
        <v>0</v>
      </c>
      <c r="AS20">
        <f>IFERROR(VLOOKUP($B20,PirteiKisuiBeMutzar_procerur!$C$6:$AA$100,7,FALSE),0)</f>
        <v>0</v>
      </c>
      <c r="AW20">
        <f t="shared" si="8"/>
        <v>0</v>
      </c>
      <c r="AX20">
        <f t="shared" si="9"/>
        <v>0</v>
      </c>
      <c r="AY20">
        <f t="shared" si="10"/>
        <v>0</v>
      </c>
      <c r="AZ20">
        <f t="shared" si="11"/>
        <v>0</v>
      </c>
      <c r="BA20">
        <f t="shared" si="12"/>
        <v>0</v>
      </c>
      <c r="BB20">
        <f t="shared" si="13"/>
        <v>0</v>
      </c>
      <c r="BC20">
        <f t="shared" si="14"/>
        <v>0</v>
      </c>
      <c r="BD20">
        <f t="shared" si="15"/>
        <v>0</v>
      </c>
      <c r="BE20">
        <f t="shared" si="16"/>
        <v>0</v>
      </c>
      <c r="BF20">
        <f t="shared" si="49"/>
        <v>0</v>
      </c>
      <c r="BG20">
        <f t="shared" si="17"/>
        <v>0</v>
      </c>
      <c r="BH20">
        <f t="shared" si="18"/>
        <v>0</v>
      </c>
      <c r="BI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X20">
        <f t="shared" si="30"/>
        <v>0</v>
      </c>
      <c r="BY20">
        <f t="shared" si="31"/>
        <v>0</v>
      </c>
      <c r="BZ20">
        <f t="shared" si="32"/>
        <v>0</v>
      </c>
      <c r="CA20">
        <f t="shared" si="33"/>
        <v>0</v>
      </c>
      <c r="CB20">
        <f t="shared" si="34"/>
        <v>0</v>
      </c>
      <c r="CE20">
        <f t="shared" si="35"/>
        <v>0</v>
      </c>
      <c r="CF20">
        <f t="shared" si="36"/>
        <v>0</v>
      </c>
      <c r="CG20">
        <f t="shared" si="37"/>
        <v>0</v>
      </c>
      <c r="CH20">
        <f t="shared" si="38"/>
        <v>0</v>
      </c>
      <c r="CI20">
        <f t="shared" si="39"/>
        <v>0</v>
      </c>
      <c r="CL20">
        <f t="shared" si="40"/>
        <v>0</v>
      </c>
      <c r="CM20">
        <f t="shared" si="41"/>
        <v>0</v>
      </c>
      <c r="CN20">
        <f t="shared" si="42"/>
        <v>0</v>
      </c>
      <c r="CO20">
        <f t="shared" si="43"/>
        <v>0</v>
      </c>
      <c r="CP20">
        <f t="shared" si="44"/>
        <v>0</v>
      </c>
      <c r="CQ20">
        <f>IFERROR(VLOOKUP($B20,SchumeiBituahYesodi!$C$6:$AA$100,8,FALSE),0)</f>
        <v>0</v>
      </c>
      <c r="CR20">
        <f>IFERROR(VLOOKUP($B20,PirteiKisuiBeMutzar_procerur!$C$6:$AA$100,2,FALSE),0)</f>
        <v>0</v>
      </c>
      <c r="CS20">
        <f>IFERROR(VLOOKUP($B20,PirteiKisuiBeMutzar_procerur!$C$6:$AA$100,3,FALSE),0)</f>
        <v>0</v>
      </c>
      <c r="CT20">
        <f>IFERROR(VLOOKUP($B20,PirteiKisuiBeMutzar_procerur!$C$6:$AA$100,4,FALSE),0)</f>
        <v>0</v>
      </c>
      <c r="CU20">
        <f>IFERROR(VLOOKUP($B20,PirteiKisuiBeMutzar_procerur!$C$6:$AA$100,5,FALSE),0)</f>
        <v>0</v>
      </c>
      <c r="CV20">
        <f>IFERROR(VLOOKUP($B20,PirteiKisuiBeMutzar_procerur!$C$6:$AA$100,6,FALSE),0)</f>
        <v>0</v>
      </c>
      <c r="CW20">
        <f>IFERROR(VLOOKUP($B20,PirteiKisuiBeMutzar_procerur!$C$6:$AA$100,7,FALSE),0)</f>
        <v>0</v>
      </c>
      <c r="CX20">
        <f>IFERROR(VLOOKUP($B20,PirteiKisuiBeMutzar_procerur!$C$6:$AA$100,8,FALSE),0)</f>
        <v>0</v>
      </c>
      <c r="CY20">
        <f>IFERROR(VLOOKUP($B20,PirteiKisuiBeMutzar_procerur!$C$6:$AA$100,9,FALSE),0)</f>
        <v>0</v>
      </c>
      <c r="CZ20">
        <f>IFERROR(VLOOKUP($B20,PirteiKisuiBeMutzar_procerur!$C$6:$AA$100,10,FALSE),0)</f>
        <v>0</v>
      </c>
      <c r="DA20">
        <f>IFERROR(VLOOKUP($B20,PirteiKisuiBeMutzar_procerur!$C$6:$AA$100,11,FALSE),0)</f>
        <v>0</v>
      </c>
      <c r="DB20">
        <f>IFERROR(VLOOKUP($B20,PirteiKisuiBeMutzarPrmia!$C$6:$AA$100,2,FALSE),0)</f>
        <v>0</v>
      </c>
      <c r="DC20">
        <f>IFERROR(VLOOKUP($B20,PirteiKisuiBeMutzarPrmia!$C$6:$AA$100,3,FALSE),0)</f>
        <v>0</v>
      </c>
      <c r="DD20">
        <f>IFERROR(VLOOKUP($B20,PirteiKisuiBeMutzarPrmia!$C$6:$AA$100,4,FALSE),0)</f>
        <v>0</v>
      </c>
      <c r="DE20">
        <f>IFERROR(VLOOKUP($B20,PirteiKisuiBeMutzarPrmia!$C$6:$AA$100,5,FALSE),0)</f>
        <v>0</v>
      </c>
      <c r="DF20">
        <f>IFERROR(VLOOKUP($B20,PirteiKisuiBeMutzarPrmia!$C$6:$AA$100,6,FALSE),0)</f>
        <v>0</v>
      </c>
      <c r="DG20">
        <f>IFERROR(VLOOKUP($B20,PirteiKisuiBeMutzarPrmia!$C$6:$AA$100,7,FALSE),0)</f>
        <v>0</v>
      </c>
      <c r="DH20">
        <f>IFERROR(VLOOKUP($B20,PirteiKisuiBeMutzarPrmia!$C$6:$AA$100,8,FALSE),0)</f>
        <v>0</v>
      </c>
      <c r="DI20">
        <f>IFERROR(VLOOKUP($B20,PirteiKisuiBeMutzarPrmia!$C$6:$AA$100,9,FALSE),0)</f>
        <v>0</v>
      </c>
      <c r="DJ20">
        <f>IFERROR(VLOOKUP($B20,PirteiKisuiBeMutzarPrmia!$C$6:$AA$100,10,FALSE),0)</f>
        <v>0</v>
      </c>
      <c r="DK20">
        <f>IFERROR(VLOOKUP($B20,PirteiKisuiBeMutzarPrmia!$C$6:$AA$100,11,FALSE),0)</f>
        <v>0</v>
      </c>
      <c r="DL20">
        <f t="shared" si="1"/>
        <v>0</v>
      </c>
      <c r="DM20">
        <f t="shared" si="45"/>
        <v>0</v>
      </c>
      <c r="DN20">
        <f t="shared" si="46"/>
        <v>0</v>
      </c>
      <c r="DO20">
        <f t="shared" si="2"/>
        <v>0</v>
      </c>
      <c r="DP20">
        <f t="shared" si="3"/>
        <v>0</v>
      </c>
      <c r="DQ20">
        <f>IF(OR(L20=1,L20=3),IFERROR(VLOOKUP($B20,PerutHafkadotMetchilatShanaAvgM!$C$6:$G$100,3,FALSE),0),0)</f>
        <v>0</v>
      </c>
      <c r="DR20">
        <f>IF(OR(L20=2,L20=4),IFERROR(VLOOKUP($B20,PerutHafkadotMetchilatShanaAvgM!$C$6:$G$100,3,FALSE),0),0)</f>
        <v>0</v>
      </c>
      <c r="DS20">
        <f>IFERROR(VLOOKUP($B20,PerutHafkadotMetchilatShanaAvgM!$C$6:$G$100,4,FALSE),0)</f>
        <v>0</v>
      </c>
      <c r="DT20">
        <f>IFERROR(VLOOKUP($B20,Kupa!$D$6:$AA$100,5,FALSE),0)</f>
        <v>0</v>
      </c>
      <c r="DU20">
        <f>IFERROR(VLOOKUP($B20,Kupa!$D$6:$AA$100,6,FALSE),0)</f>
        <v>0</v>
      </c>
      <c r="DV20">
        <f>IFERROR(VLOOKUP($B20,KisuiBKerenPensiaDBWithParams!$D$6:$AP$100,9,FALSE),0)</f>
        <v>0</v>
      </c>
      <c r="DW20">
        <f>IFERROR(VLOOKUP($B20,KisuiBKerenPensiaDBWithParams!$D$6:$AP$100,12,FALSE),0)</f>
        <v>0</v>
      </c>
      <c r="DX20">
        <f>IFERROR(VLOOKUP($B20,KisuiBKerenPensiaDBWithParams!$D$6:$AP$100,13,FALSE),0)</f>
        <v>0</v>
      </c>
      <c r="DY20">
        <f>IFERROR(VLOOKUP($B20,KisuiBKerenPensiaDBWithParams!$D$6:$AP$100,7,FALSE),0)</f>
        <v>0</v>
      </c>
      <c r="DZ20">
        <f>IFERROR(VLOOKUP($B20,KisuiBKerenPensiaDBWithParams!$D$6:$AP$100,17,FALSE),0)</f>
        <v>0</v>
      </c>
      <c r="EA20">
        <f>IFERROR(VLOOKUP($B20,KisuiBKerenPensiaDBWithParams!$D$6:$AP$100,20,FALSE),0)</f>
        <v>0</v>
      </c>
      <c r="EB20">
        <f>IFERROR(VLOOKUP($B20,KisuiBKerenPensiaDBWithParams!$D$6:$AP$100,21,FALSE),0)</f>
        <v>0</v>
      </c>
      <c r="EC20">
        <f t="shared" si="47"/>
        <v>0</v>
      </c>
      <c r="EG20">
        <f>IF(OR(G20=MyData!$J$50,G20=MyData!$J$51,G20=MyData!$J$52),1,IF(G20=MyData!$J$49,2,0))</f>
        <v>0</v>
      </c>
    </row>
    <row r="21" spans="1:137">
      <c r="A21">
        <f t="shared" si="48"/>
        <v>0</v>
      </c>
      <c r="B21" s="20">
        <f>RicusPolice!E18</f>
        <v>0</v>
      </c>
      <c r="C21" s="20">
        <f>RicusPolice!AL18</f>
        <v>0</v>
      </c>
      <c r="D21" s="20">
        <f>RicusPolice!F18</f>
        <v>0</v>
      </c>
      <c r="E21" s="20">
        <f>RicusPolice!R18</f>
        <v>0</v>
      </c>
      <c r="F21" s="20">
        <f>RicusPolice!N18</f>
        <v>0</v>
      </c>
      <c r="G21" s="20">
        <f>IFERROR(VLOOKUP($B21,PerutYitrot!$D$6:$P$100,4,FALSE),0)</f>
        <v>0</v>
      </c>
      <c r="H21" s="20">
        <f t="shared" si="4"/>
        <v>0</v>
      </c>
      <c r="I21" s="20">
        <f>RicusPolice!L18</f>
        <v>0</v>
      </c>
      <c r="J21" s="179">
        <f>IFERROR(VLOOKUP(TRIM(K21),MyData!$J$43:$K$49,2,FALSE),0)</f>
        <v>0</v>
      </c>
      <c r="K21" s="20">
        <f>RicusPolice!M18</f>
        <v>0</v>
      </c>
      <c r="L21" s="20">
        <f>RicusPolice!AM18</f>
        <v>0</v>
      </c>
      <c r="M21" s="20" t="str">
        <f>IF(B21&gt;0,RicusPolice!Y18," ")</f>
        <v xml:space="preserve"> </v>
      </c>
      <c r="N21" s="20" t="str">
        <f t="shared" si="5"/>
        <v/>
      </c>
      <c r="O21" s="20">
        <f>RicusPolice!N18</f>
        <v>0</v>
      </c>
      <c r="P21" s="20">
        <f>IFERROR(VLOOKUP(B21,PerutMasluleiHashkaa!$D$6:$R$100,4,FALSE),0)</f>
        <v>0</v>
      </c>
      <c r="Q21" s="19"/>
      <c r="R21" s="20">
        <f>RicusPolice!P18</f>
        <v>0</v>
      </c>
      <c r="S21" s="20"/>
      <c r="T21" s="21">
        <f>'נתונים ידניים'!H21</f>
        <v>0</v>
      </c>
      <c r="U21" s="21"/>
      <c r="V21" s="20">
        <f>PerutHafrashotLePolisa!E18</f>
        <v>0</v>
      </c>
      <c r="W21" s="20">
        <f>PerutHafrashotLePolisa!F18</f>
        <v>0</v>
      </c>
      <c r="X21" s="20">
        <f>PerutHafrashotLePolisa!G18</f>
        <v>0</v>
      </c>
      <c r="Y21">
        <f t="shared" si="6"/>
        <v>0</v>
      </c>
      <c r="Z21">
        <f>IFERROR(VLOOKUP(B21,PirteiHaasaka!$D$6:$R$100,5,FALSE),0)</f>
        <v>0</v>
      </c>
      <c r="AB21">
        <f>IFERROR(VLOOKUP(B21,HafkadotMetchilatShanaAverages!$D$6:$E$100,2,FALSE),0)</f>
        <v>0</v>
      </c>
      <c r="AF21">
        <f>IFERROR(VLOOKUP(B21,CrossTabYitraLeTkufa_till_2000!$D$6:$AB$100,6,FALSE),0)+IFERROR(VLOOKUP(B21,CrossTabYitraLeTkufa_after_2000!$D$6:$AB$100,6,FALSE),0)</f>
        <v>0</v>
      </c>
      <c r="AG21">
        <f>IFERROR(VLOOKUP(B21,CrossTabYitraLeTkufa_till_2000!$D$6:$AB$100,16,FALSE),0)</f>
        <v>0</v>
      </c>
      <c r="AH21">
        <f>IFERROR(VLOOKUP(B21,CrossTabYitraLeTkufa_after_2000!$D$6:$AB$100,16,FALSE),0)</f>
        <v>0</v>
      </c>
      <c r="AI21">
        <f>IFERROR(VLOOKUP(B21,CrossTabYitraLeTkufa_till_2000!$D$6:$AB$100,17,FALSE),0)</f>
        <v>0</v>
      </c>
      <c r="AJ21">
        <f>IFERROR(VLOOKUP(B21,CrossTabYitraLeTkufa_after_2000!$D$6:$AB$100,17,FALSE),0)</f>
        <v>0</v>
      </c>
      <c r="AK21" s="5">
        <f t="shared" si="7"/>
        <v>0</v>
      </c>
      <c r="AN21">
        <f>IFERROR(VLOOKUP(B21,PirteiKisuiBeMutzar_procerur!$C$6:$AA$100,2,FALSE),0)</f>
        <v>0</v>
      </c>
      <c r="AP21">
        <f>IFERROR(VLOOKUP($B21,PirteiKisuiBeMutzar_procerur!$C$6:$AA$100,5,FALSE),0)</f>
        <v>0</v>
      </c>
      <c r="AQ21">
        <f>IFERROR(VLOOKUP($B21,PirteiKisuiBeMutzar_procerur!$C$6:$AA$100,3,FALSE),0)</f>
        <v>0</v>
      </c>
      <c r="AR21">
        <f>IFERROR(VLOOKUP($B21,PirteiKisuiBeMutzar_procerur!$C$6:$AA$100,6,FALSE),0)</f>
        <v>0</v>
      </c>
      <c r="AS21">
        <f>IFERROR(VLOOKUP($B21,PirteiKisuiBeMutzar_procerur!$C$6:$AA$100,7,FALSE),0)</f>
        <v>0</v>
      </c>
      <c r="AW21">
        <f t="shared" si="8"/>
        <v>0</v>
      </c>
      <c r="AX21">
        <f t="shared" si="9"/>
        <v>0</v>
      </c>
      <c r="AY21">
        <f t="shared" si="10"/>
        <v>0</v>
      </c>
      <c r="AZ21">
        <f t="shared" si="11"/>
        <v>0</v>
      </c>
      <c r="BA21">
        <f t="shared" si="12"/>
        <v>0</v>
      </c>
      <c r="BB21">
        <f t="shared" si="13"/>
        <v>0</v>
      </c>
      <c r="BC21">
        <f t="shared" si="14"/>
        <v>0</v>
      </c>
      <c r="BD21">
        <f t="shared" si="15"/>
        <v>0</v>
      </c>
      <c r="BE21">
        <f t="shared" si="16"/>
        <v>0</v>
      </c>
      <c r="BF21">
        <f t="shared" si="49"/>
        <v>0</v>
      </c>
      <c r="BG21">
        <f t="shared" si="17"/>
        <v>0</v>
      </c>
      <c r="BH21">
        <f t="shared" si="18"/>
        <v>0</v>
      </c>
      <c r="BI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0</v>
      </c>
      <c r="BO21">
        <f t="shared" si="24"/>
        <v>0</v>
      </c>
      <c r="BR21">
        <f t="shared" si="25"/>
        <v>0</v>
      </c>
      <c r="BS21">
        <f t="shared" si="26"/>
        <v>0</v>
      </c>
      <c r="BT21">
        <f t="shared" si="27"/>
        <v>0</v>
      </c>
      <c r="BU21">
        <f t="shared" si="28"/>
        <v>0</v>
      </c>
      <c r="BV21">
        <f t="shared" si="29"/>
        <v>0</v>
      </c>
      <c r="BX21">
        <f t="shared" si="30"/>
        <v>0</v>
      </c>
      <c r="BY21">
        <f t="shared" si="31"/>
        <v>0</v>
      </c>
      <c r="BZ21">
        <f t="shared" si="32"/>
        <v>0</v>
      </c>
      <c r="CA21">
        <f t="shared" si="33"/>
        <v>0</v>
      </c>
      <c r="CB21">
        <f t="shared" si="34"/>
        <v>0</v>
      </c>
      <c r="CE21">
        <f t="shared" si="35"/>
        <v>0</v>
      </c>
      <c r="CF21">
        <f t="shared" si="36"/>
        <v>0</v>
      </c>
      <c r="CG21">
        <f t="shared" si="37"/>
        <v>0</v>
      </c>
      <c r="CH21">
        <f t="shared" si="38"/>
        <v>0</v>
      </c>
      <c r="CI21">
        <f t="shared" si="39"/>
        <v>0</v>
      </c>
      <c r="CL21">
        <f t="shared" si="40"/>
        <v>0</v>
      </c>
      <c r="CM21">
        <f t="shared" si="41"/>
        <v>0</v>
      </c>
      <c r="CN21">
        <f t="shared" si="42"/>
        <v>0</v>
      </c>
      <c r="CO21">
        <f t="shared" si="43"/>
        <v>0</v>
      </c>
      <c r="CP21">
        <f t="shared" si="44"/>
        <v>0</v>
      </c>
      <c r="CQ21">
        <f>IFERROR(VLOOKUP($B21,SchumeiBituahYesodi!$C$6:$AA$100,8,FALSE),0)</f>
        <v>0</v>
      </c>
      <c r="CR21">
        <f>IFERROR(VLOOKUP($B21,PirteiKisuiBeMutzar_procerur!$C$6:$AA$100,2,FALSE),0)</f>
        <v>0</v>
      </c>
      <c r="CS21">
        <f>IFERROR(VLOOKUP($B21,PirteiKisuiBeMutzar_procerur!$C$6:$AA$100,3,FALSE),0)</f>
        <v>0</v>
      </c>
      <c r="CT21">
        <f>IFERROR(VLOOKUP($B21,PirteiKisuiBeMutzar_procerur!$C$6:$AA$100,4,FALSE),0)</f>
        <v>0</v>
      </c>
      <c r="CU21">
        <f>IFERROR(VLOOKUP($B21,PirteiKisuiBeMutzar_procerur!$C$6:$AA$100,5,FALSE),0)</f>
        <v>0</v>
      </c>
      <c r="CV21">
        <f>IFERROR(VLOOKUP($B21,PirteiKisuiBeMutzar_procerur!$C$6:$AA$100,6,FALSE),0)</f>
        <v>0</v>
      </c>
      <c r="CW21">
        <f>IFERROR(VLOOKUP($B21,PirteiKisuiBeMutzar_procerur!$C$6:$AA$100,7,FALSE),0)</f>
        <v>0</v>
      </c>
      <c r="CX21">
        <f>IFERROR(VLOOKUP($B21,PirteiKisuiBeMutzar_procerur!$C$6:$AA$100,8,FALSE),0)</f>
        <v>0</v>
      </c>
      <c r="CY21">
        <f>IFERROR(VLOOKUP($B21,PirteiKisuiBeMutzar_procerur!$C$6:$AA$100,9,FALSE),0)</f>
        <v>0</v>
      </c>
      <c r="CZ21">
        <f>IFERROR(VLOOKUP($B21,PirteiKisuiBeMutzar_procerur!$C$6:$AA$100,10,FALSE),0)</f>
        <v>0</v>
      </c>
      <c r="DA21">
        <f>IFERROR(VLOOKUP($B21,PirteiKisuiBeMutzar_procerur!$C$6:$AA$100,11,FALSE),0)</f>
        <v>0</v>
      </c>
      <c r="DB21">
        <f>IFERROR(VLOOKUP($B21,PirteiKisuiBeMutzarPrmia!$C$6:$AA$100,2,FALSE),0)</f>
        <v>0</v>
      </c>
      <c r="DC21">
        <f>IFERROR(VLOOKUP($B21,PirteiKisuiBeMutzarPrmia!$C$6:$AA$100,3,FALSE),0)</f>
        <v>0</v>
      </c>
      <c r="DD21">
        <f>IFERROR(VLOOKUP($B21,PirteiKisuiBeMutzarPrmia!$C$6:$AA$100,4,FALSE),0)</f>
        <v>0</v>
      </c>
      <c r="DE21">
        <f>IFERROR(VLOOKUP($B21,PirteiKisuiBeMutzarPrmia!$C$6:$AA$100,5,FALSE),0)</f>
        <v>0</v>
      </c>
      <c r="DF21">
        <f>IFERROR(VLOOKUP($B21,PirteiKisuiBeMutzarPrmia!$C$6:$AA$100,6,FALSE),0)</f>
        <v>0</v>
      </c>
      <c r="DG21">
        <f>IFERROR(VLOOKUP($B21,PirteiKisuiBeMutzarPrmia!$C$6:$AA$100,7,FALSE),0)</f>
        <v>0</v>
      </c>
      <c r="DH21">
        <f>IFERROR(VLOOKUP($B21,PirteiKisuiBeMutzarPrmia!$C$6:$AA$100,8,FALSE),0)</f>
        <v>0</v>
      </c>
      <c r="DI21">
        <f>IFERROR(VLOOKUP($B21,PirteiKisuiBeMutzarPrmia!$C$6:$AA$100,9,FALSE),0)</f>
        <v>0</v>
      </c>
      <c r="DJ21">
        <f>IFERROR(VLOOKUP($B21,PirteiKisuiBeMutzarPrmia!$C$6:$AA$100,10,FALSE),0)</f>
        <v>0</v>
      </c>
      <c r="DK21">
        <f>IFERROR(VLOOKUP($B21,PirteiKisuiBeMutzarPrmia!$C$6:$AA$100,11,FALSE),0)</f>
        <v>0</v>
      </c>
      <c r="DL21">
        <f t="shared" si="1"/>
        <v>0</v>
      </c>
      <c r="DM21">
        <f t="shared" si="45"/>
        <v>0</v>
      </c>
      <c r="DN21">
        <f t="shared" si="46"/>
        <v>0</v>
      </c>
      <c r="DO21">
        <f t="shared" si="2"/>
        <v>0</v>
      </c>
      <c r="DP21">
        <f t="shared" si="3"/>
        <v>0</v>
      </c>
      <c r="DQ21">
        <f>IF(OR(L21=1,L21=3),IFERROR(VLOOKUP($B21,PerutHafkadotMetchilatShanaAvgM!$C$6:$G$100,3,FALSE),0),0)</f>
        <v>0</v>
      </c>
      <c r="DR21">
        <f>IF(OR(L21=2,L21=4),IFERROR(VLOOKUP($B21,PerutHafkadotMetchilatShanaAvgM!$C$6:$G$100,3,FALSE),0),0)</f>
        <v>0</v>
      </c>
      <c r="DS21">
        <f>IFERROR(VLOOKUP($B21,PerutHafkadotMetchilatShanaAvgM!$C$6:$G$100,4,FALSE),0)</f>
        <v>0</v>
      </c>
      <c r="DT21">
        <f>IFERROR(VLOOKUP($B21,Kupa!$D$6:$AA$100,5,FALSE),0)</f>
        <v>0</v>
      </c>
      <c r="DU21">
        <f>IFERROR(VLOOKUP($B21,Kupa!$D$6:$AA$100,6,FALSE),0)</f>
        <v>0</v>
      </c>
      <c r="DV21">
        <f>IFERROR(VLOOKUP($B21,KisuiBKerenPensiaDBWithParams!$D$6:$AP$100,9,FALSE),0)</f>
        <v>0</v>
      </c>
      <c r="DW21">
        <f>IFERROR(VLOOKUP($B21,KisuiBKerenPensiaDBWithParams!$D$6:$AP$100,12,FALSE),0)</f>
        <v>0</v>
      </c>
      <c r="DX21">
        <f>IFERROR(VLOOKUP($B21,KisuiBKerenPensiaDBWithParams!$D$6:$AP$100,13,FALSE),0)</f>
        <v>0</v>
      </c>
      <c r="DY21">
        <f>IFERROR(VLOOKUP($B21,KisuiBKerenPensiaDBWithParams!$D$6:$AP$100,7,FALSE),0)</f>
        <v>0</v>
      </c>
      <c r="DZ21">
        <f>IFERROR(VLOOKUP($B21,KisuiBKerenPensiaDBWithParams!$D$6:$AP$100,17,FALSE),0)</f>
        <v>0</v>
      </c>
      <c r="EA21">
        <f>IFERROR(VLOOKUP($B21,KisuiBKerenPensiaDBWithParams!$D$6:$AP$100,20,FALSE),0)</f>
        <v>0</v>
      </c>
      <c r="EB21">
        <f>IFERROR(VLOOKUP($B21,KisuiBKerenPensiaDBWithParams!$D$6:$AP$100,21,FALSE),0)</f>
        <v>0</v>
      </c>
      <c r="EC21">
        <f t="shared" si="47"/>
        <v>0</v>
      </c>
      <c r="EG21">
        <f>IF(OR(G21=MyData!$J$50,G21=MyData!$J$51,G21=MyData!$J$52),1,IF(G21=MyData!$J$49,2,0))</f>
        <v>0</v>
      </c>
    </row>
    <row r="22" spans="1:137">
      <c r="A22">
        <f t="shared" si="48"/>
        <v>0</v>
      </c>
      <c r="B22" s="20">
        <f>RicusPolice!E19</f>
        <v>0</v>
      </c>
      <c r="C22" s="20">
        <f>RicusPolice!AL19</f>
        <v>0</v>
      </c>
      <c r="D22" s="20">
        <f>RicusPolice!F19</f>
        <v>0</v>
      </c>
      <c r="E22" s="20">
        <f>RicusPolice!R19</f>
        <v>0</v>
      </c>
      <c r="F22" s="20">
        <f>RicusPolice!N19</f>
        <v>0</v>
      </c>
      <c r="G22" s="20">
        <f>IFERROR(VLOOKUP($B22,PerutYitrot!$D$6:$P$100,4,FALSE),0)</f>
        <v>0</v>
      </c>
      <c r="H22" s="20">
        <f t="shared" si="4"/>
        <v>0</v>
      </c>
      <c r="I22" s="20">
        <f>RicusPolice!L19</f>
        <v>0</v>
      </c>
      <c r="J22" s="179">
        <f>IFERROR(VLOOKUP(TRIM(K22),MyData!$J$43:$K$49,2,FALSE),0)</f>
        <v>0</v>
      </c>
      <c r="K22" s="20">
        <f>RicusPolice!M19</f>
        <v>0</v>
      </c>
      <c r="L22" s="20">
        <f>RicusPolice!AM19</f>
        <v>0</v>
      </c>
      <c r="M22" s="20" t="str">
        <f>IF(B22&gt;0,RicusPolice!Y19," ")</f>
        <v xml:space="preserve"> </v>
      </c>
      <c r="N22" s="20" t="str">
        <f t="shared" si="5"/>
        <v/>
      </c>
      <c r="O22" s="20">
        <f>RicusPolice!N19</f>
        <v>0</v>
      </c>
      <c r="P22" s="20">
        <f>IFERROR(VLOOKUP(B22,PerutMasluleiHashkaa!$D$6:$R$100,4,FALSE),0)</f>
        <v>0</v>
      </c>
      <c r="Q22" s="19"/>
      <c r="R22" s="20">
        <f>RicusPolice!P19</f>
        <v>0</v>
      </c>
      <c r="S22" s="20"/>
      <c r="T22" s="21">
        <f>'נתונים ידניים'!H22</f>
        <v>0</v>
      </c>
      <c r="U22" s="21"/>
      <c r="V22" s="20">
        <f>PerutHafrashotLePolisa!E19</f>
        <v>0</v>
      </c>
      <c r="W22" s="20">
        <f>PerutHafrashotLePolisa!F19</f>
        <v>0</v>
      </c>
      <c r="X22" s="20">
        <f>PerutHafrashotLePolisa!G19</f>
        <v>0</v>
      </c>
      <c r="Y22">
        <f t="shared" si="6"/>
        <v>0</v>
      </c>
      <c r="Z22">
        <f>IFERROR(VLOOKUP(B22,PirteiHaasaka!$D$6:$R$100,5,FALSE),0)</f>
        <v>0</v>
      </c>
      <c r="AB22">
        <f>IFERROR(VLOOKUP(B22,HafkadotMetchilatShanaAverages!$D$6:$E$100,2,FALSE),0)</f>
        <v>0</v>
      </c>
      <c r="AF22">
        <f>IFERROR(VLOOKUP(B22,CrossTabYitraLeTkufa_till_2000!$D$6:$AB$100,6,FALSE),0)+IFERROR(VLOOKUP(B22,CrossTabYitraLeTkufa_after_2000!$D$6:$AB$100,6,FALSE),0)</f>
        <v>0</v>
      </c>
      <c r="AG22">
        <f>IFERROR(VLOOKUP(B22,CrossTabYitraLeTkufa_till_2000!$D$6:$AB$100,16,FALSE),0)</f>
        <v>0</v>
      </c>
      <c r="AH22">
        <f>IFERROR(VLOOKUP(B22,CrossTabYitraLeTkufa_after_2000!$D$6:$AB$100,16,FALSE),0)</f>
        <v>0</v>
      </c>
      <c r="AI22">
        <f>IFERROR(VLOOKUP(B22,CrossTabYitraLeTkufa_till_2000!$D$6:$AB$100,17,FALSE),0)</f>
        <v>0</v>
      </c>
      <c r="AJ22">
        <f>IFERROR(VLOOKUP(B22,CrossTabYitraLeTkufa_after_2000!$D$6:$AB$100,17,FALSE),0)</f>
        <v>0</v>
      </c>
      <c r="AK22" s="5">
        <f t="shared" si="7"/>
        <v>0</v>
      </c>
      <c r="AN22">
        <f>IFERROR(VLOOKUP(B22,PirteiKisuiBeMutzar_procerur!$C$6:$AA$100,2,FALSE),0)</f>
        <v>0</v>
      </c>
      <c r="AP22">
        <f>IFERROR(VLOOKUP($B22,PirteiKisuiBeMutzar_procerur!$C$6:$AA$100,5,FALSE),0)</f>
        <v>0</v>
      </c>
      <c r="AQ22">
        <f>IFERROR(VLOOKUP($B22,PirteiKisuiBeMutzar_procerur!$C$6:$AA$100,3,FALSE),0)</f>
        <v>0</v>
      </c>
      <c r="AR22">
        <f>IFERROR(VLOOKUP($B22,PirteiKisuiBeMutzar_procerur!$C$6:$AA$100,6,FALSE),0)</f>
        <v>0</v>
      </c>
      <c r="AS22">
        <f>IFERROR(VLOOKUP($B22,PirteiKisuiBeMutzar_procerur!$C$6:$AA$100,7,FALSE),0)</f>
        <v>0</v>
      </c>
      <c r="AW22">
        <f t="shared" si="8"/>
        <v>0</v>
      </c>
      <c r="AX22">
        <f t="shared" si="9"/>
        <v>0</v>
      </c>
      <c r="AY22">
        <f t="shared" si="10"/>
        <v>0</v>
      </c>
      <c r="AZ22">
        <f t="shared" si="11"/>
        <v>0</v>
      </c>
      <c r="BA22">
        <f t="shared" si="12"/>
        <v>0</v>
      </c>
      <c r="BB22">
        <f t="shared" si="13"/>
        <v>0</v>
      </c>
      <c r="BC22">
        <f t="shared" si="14"/>
        <v>0</v>
      </c>
      <c r="BD22">
        <f t="shared" si="15"/>
        <v>0</v>
      </c>
      <c r="BE22">
        <f t="shared" si="16"/>
        <v>0</v>
      </c>
      <c r="BF22">
        <f t="shared" si="49"/>
        <v>0</v>
      </c>
      <c r="BG22">
        <f t="shared" si="17"/>
        <v>0</v>
      </c>
      <c r="BH22">
        <f t="shared" si="18"/>
        <v>0</v>
      </c>
      <c r="BI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0</v>
      </c>
      <c r="BO22">
        <f t="shared" si="24"/>
        <v>0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0</v>
      </c>
      <c r="BX22">
        <f t="shared" si="30"/>
        <v>0</v>
      </c>
      <c r="BY22">
        <f t="shared" si="31"/>
        <v>0</v>
      </c>
      <c r="BZ22">
        <f t="shared" si="32"/>
        <v>0</v>
      </c>
      <c r="CA22">
        <f t="shared" si="33"/>
        <v>0</v>
      </c>
      <c r="CB22">
        <f t="shared" si="34"/>
        <v>0</v>
      </c>
      <c r="CE22">
        <f t="shared" si="35"/>
        <v>0</v>
      </c>
      <c r="CF22">
        <f t="shared" si="36"/>
        <v>0</v>
      </c>
      <c r="CG22">
        <f t="shared" si="37"/>
        <v>0</v>
      </c>
      <c r="CH22">
        <f t="shared" si="38"/>
        <v>0</v>
      </c>
      <c r="CI22">
        <f t="shared" si="39"/>
        <v>0</v>
      </c>
      <c r="CL22">
        <f t="shared" si="40"/>
        <v>0</v>
      </c>
      <c r="CM22">
        <f t="shared" si="41"/>
        <v>0</v>
      </c>
      <c r="CN22">
        <f t="shared" si="42"/>
        <v>0</v>
      </c>
      <c r="CO22">
        <f t="shared" si="43"/>
        <v>0</v>
      </c>
      <c r="CP22">
        <f t="shared" si="44"/>
        <v>0</v>
      </c>
      <c r="CQ22">
        <f>IFERROR(VLOOKUP($B22,SchumeiBituahYesodi!$C$6:$AA$100,8,FALSE),0)</f>
        <v>0</v>
      </c>
      <c r="CR22">
        <f>IFERROR(VLOOKUP($B22,PirteiKisuiBeMutzar_procerur!$C$6:$AA$100,2,FALSE),0)</f>
        <v>0</v>
      </c>
      <c r="CS22">
        <f>IFERROR(VLOOKUP($B22,PirteiKisuiBeMutzar_procerur!$C$6:$AA$100,3,FALSE),0)</f>
        <v>0</v>
      </c>
      <c r="CT22">
        <f>IFERROR(VLOOKUP($B22,PirteiKisuiBeMutzar_procerur!$C$6:$AA$100,4,FALSE),0)</f>
        <v>0</v>
      </c>
      <c r="CU22">
        <f>IFERROR(VLOOKUP($B22,PirteiKisuiBeMutzar_procerur!$C$6:$AA$100,5,FALSE),0)</f>
        <v>0</v>
      </c>
      <c r="CV22">
        <f>IFERROR(VLOOKUP($B22,PirteiKisuiBeMutzar_procerur!$C$6:$AA$100,6,FALSE),0)</f>
        <v>0</v>
      </c>
      <c r="CW22">
        <f>IFERROR(VLOOKUP($B22,PirteiKisuiBeMutzar_procerur!$C$6:$AA$100,7,FALSE),0)</f>
        <v>0</v>
      </c>
      <c r="CX22">
        <f>IFERROR(VLOOKUP($B22,PirteiKisuiBeMutzar_procerur!$C$6:$AA$100,8,FALSE),0)</f>
        <v>0</v>
      </c>
      <c r="CY22">
        <f>IFERROR(VLOOKUP($B22,PirteiKisuiBeMutzar_procerur!$C$6:$AA$100,9,FALSE),0)</f>
        <v>0</v>
      </c>
      <c r="CZ22">
        <f>IFERROR(VLOOKUP($B22,PirteiKisuiBeMutzar_procerur!$C$6:$AA$100,10,FALSE),0)</f>
        <v>0</v>
      </c>
      <c r="DA22">
        <f>IFERROR(VLOOKUP($B22,PirteiKisuiBeMutzar_procerur!$C$6:$AA$100,11,FALSE),0)</f>
        <v>0</v>
      </c>
      <c r="DB22">
        <f>IFERROR(VLOOKUP($B22,PirteiKisuiBeMutzarPrmia!$C$6:$AA$100,2,FALSE),0)</f>
        <v>0</v>
      </c>
      <c r="DC22">
        <f>IFERROR(VLOOKUP($B22,PirteiKisuiBeMutzarPrmia!$C$6:$AA$100,3,FALSE),0)</f>
        <v>0</v>
      </c>
      <c r="DD22">
        <f>IFERROR(VLOOKUP($B22,PirteiKisuiBeMutzarPrmia!$C$6:$AA$100,4,FALSE),0)</f>
        <v>0</v>
      </c>
      <c r="DE22">
        <f>IFERROR(VLOOKUP($B22,PirteiKisuiBeMutzarPrmia!$C$6:$AA$100,5,FALSE),0)</f>
        <v>0</v>
      </c>
      <c r="DF22">
        <f>IFERROR(VLOOKUP($B22,PirteiKisuiBeMutzarPrmia!$C$6:$AA$100,6,FALSE),0)</f>
        <v>0</v>
      </c>
      <c r="DG22">
        <f>IFERROR(VLOOKUP($B22,PirteiKisuiBeMutzarPrmia!$C$6:$AA$100,7,FALSE),0)</f>
        <v>0</v>
      </c>
      <c r="DH22">
        <f>IFERROR(VLOOKUP($B22,PirteiKisuiBeMutzarPrmia!$C$6:$AA$100,8,FALSE),0)</f>
        <v>0</v>
      </c>
      <c r="DI22">
        <f>IFERROR(VLOOKUP($B22,PirteiKisuiBeMutzarPrmia!$C$6:$AA$100,9,FALSE),0)</f>
        <v>0</v>
      </c>
      <c r="DJ22">
        <f>IFERROR(VLOOKUP($B22,PirteiKisuiBeMutzarPrmia!$C$6:$AA$100,10,FALSE),0)</f>
        <v>0</v>
      </c>
      <c r="DK22">
        <f>IFERROR(VLOOKUP($B22,PirteiKisuiBeMutzarPrmia!$C$6:$AA$100,11,FALSE),0)</f>
        <v>0</v>
      </c>
      <c r="DL22">
        <f t="shared" si="1"/>
        <v>0</v>
      </c>
      <c r="DM22">
        <f t="shared" si="45"/>
        <v>0</v>
      </c>
      <c r="DN22">
        <f t="shared" si="46"/>
        <v>0</v>
      </c>
      <c r="DO22">
        <f t="shared" si="2"/>
        <v>0</v>
      </c>
      <c r="DP22">
        <f t="shared" si="3"/>
        <v>0</v>
      </c>
      <c r="DQ22">
        <f>IF(OR(L22=1,L22=3),IFERROR(VLOOKUP($B22,PerutHafkadotMetchilatShanaAvgM!$C$6:$G$100,3,FALSE),0),0)</f>
        <v>0</v>
      </c>
      <c r="DR22">
        <f>IF(OR(L22=2,L22=4),IFERROR(VLOOKUP($B22,PerutHafkadotMetchilatShanaAvgM!$C$6:$G$100,3,FALSE),0),0)</f>
        <v>0</v>
      </c>
      <c r="DS22">
        <f>IFERROR(VLOOKUP($B22,PerutHafkadotMetchilatShanaAvgM!$C$6:$G$100,4,FALSE),0)</f>
        <v>0</v>
      </c>
      <c r="DT22">
        <f>IFERROR(VLOOKUP($B22,Kupa!$D$6:$AA$100,5,FALSE),0)</f>
        <v>0</v>
      </c>
      <c r="DU22">
        <f>IFERROR(VLOOKUP($B22,Kupa!$D$6:$AA$100,6,FALSE),0)</f>
        <v>0</v>
      </c>
      <c r="DV22">
        <f>IFERROR(VLOOKUP($B22,KisuiBKerenPensiaDBWithParams!$D$6:$AP$100,9,FALSE),0)</f>
        <v>0</v>
      </c>
      <c r="DW22">
        <f>IFERROR(VLOOKUP($B22,KisuiBKerenPensiaDBWithParams!$D$6:$AP$100,12,FALSE),0)</f>
        <v>0</v>
      </c>
      <c r="DX22">
        <f>IFERROR(VLOOKUP($B22,KisuiBKerenPensiaDBWithParams!$D$6:$AP$100,13,FALSE),0)</f>
        <v>0</v>
      </c>
      <c r="DY22">
        <f>IFERROR(VLOOKUP($B22,KisuiBKerenPensiaDBWithParams!$D$6:$AP$100,7,FALSE),0)</f>
        <v>0</v>
      </c>
      <c r="DZ22">
        <f>IFERROR(VLOOKUP($B22,KisuiBKerenPensiaDBWithParams!$D$6:$AP$100,17,FALSE),0)</f>
        <v>0</v>
      </c>
      <c r="EA22">
        <f>IFERROR(VLOOKUP($B22,KisuiBKerenPensiaDBWithParams!$D$6:$AP$100,20,FALSE),0)</f>
        <v>0</v>
      </c>
      <c r="EB22">
        <f>IFERROR(VLOOKUP($B22,KisuiBKerenPensiaDBWithParams!$D$6:$AP$100,21,FALSE),0)</f>
        <v>0</v>
      </c>
      <c r="EC22">
        <f t="shared" si="47"/>
        <v>0</v>
      </c>
      <c r="EG22">
        <f>IF(OR(G22=MyData!$J$50,G22=MyData!$J$51,G22=MyData!$J$52),1,IF(G22=MyData!$J$49,2,0))</f>
        <v>0</v>
      </c>
    </row>
    <row r="23" spans="1:137">
      <c r="A23">
        <f t="shared" si="48"/>
        <v>0</v>
      </c>
      <c r="B23" s="20">
        <f>RicusPolice!E20</f>
        <v>0</v>
      </c>
      <c r="C23" s="20">
        <f>RicusPolice!AL20</f>
        <v>0</v>
      </c>
      <c r="D23" s="20">
        <f>RicusPolice!F20</f>
        <v>0</v>
      </c>
      <c r="E23" s="20">
        <f>RicusPolice!R20</f>
        <v>0</v>
      </c>
      <c r="F23" s="20">
        <f>RicusPolice!N20</f>
        <v>0</v>
      </c>
      <c r="G23" s="20">
        <f>IFERROR(VLOOKUP($B23,PerutYitrot!$D$6:$P$100,4,FALSE),0)</f>
        <v>0</v>
      </c>
      <c r="H23" s="20">
        <f t="shared" si="4"/>
        <v>0</v>
      </c>
      <c r="I23" s="20">
        <f>RicusPolice!L20</f>
        <v>0</v>
      </c>
      <c r="J23" s="179">
        <f>IFERROR(VLOOKUP(TRIM(K23),MyData!$J$43:$K$49,2,FALSE),0)</f>
        <v>0</v>
      </c>
      <c r="K23" s="20">
        <f>RicusPolice!M20</f>
        <v>0</v>
      </c>
      <c r="L23" s="20">
        <f>RicusPolice!AM20</f>
        <v>0</v>
      </c>
      <c r="M23" s="20" t="str">
        <f>IF(B23&gt;0,RicusPolice!Y20," ")</f>
        <v xml:space="preserve"> </v>
      </c>
      <c r="N23" s="20" t="str">
        <f t="shared" si="5"/>
        <v/>
      </c>
      <c r="O23" s="20">
        <f>RicusPolice!N20</f>
        <v>0</v>
      </c>
      <c r="P23" s="20">
        <f>IFERROR(VLOOKUP(B23,PerutMasluleiHashkaa!$D$6:$R$100,4,FALSE),0)</f>
        <v>0</v>
      </c>
      <c r="Q23" s="19"/>
      <c r="R23" s="20">
        <f>RicusPolice!P20</f>
        <v>0</v>
      </c>
      <c r="S23" s="20"/>
      <c r="T23" s="21">
        <f>'נתונים ידניים'!H23</f>
        <v>0</v>
      </c>
      <c r="U23" s="21"/>
      <c r="V23" s="20">
        <f>PerutHafrashotLePolisa!E20</f>
        <v>0</v>
      </c>
      <c r="W23" s="20">
        <f>PerutHafrashotLePolisa!F20</f>
        <v>0</v>
      </c>
      <c r="X23" s="20">
        <f>PerutHafrashotLePolisa!G20</f>
        <v>0</v>
      </c>
      <c r="Y23">
        <f t="shared" si="6"/>
        <v>0</v>
      </c>
      <c r="Z23">
        <f>IFERROR(VLOOKUP(B23,PirteiHaasaka!$D$6:$R$100,5,FALSE),0)</f>
        <v>0</v>
      </c>
      <c r="AB23">
        <f>IFERROR(VLOOKUP(B23,HafkadotMetchilatShanaAverages!$D$6:$E$100,2,FALSE),0)</f>
        <v>0</v>
      </c>
      <c r="AF23">
        <f>IFERROR(VLOOKUP(B23,CrossTabYitraLeTkufa_till_2000!$D$6:$AB$100,6,FALSE),0)+IFERROR(VLOOKUP(B23,CrossTabYitraLeTkufa_after_2000!$D$6:$AB$100,6,FALSE),0)</f>
        <v>0</v>
      </c>
      <c r="AG23">
        <f>IFERROR(VLOOKUP(B23,CrossTabYitraLeTkufa_till_2000!$D$6:$AB$100,16,FALSE),0)</f>
        <v>0</v>
      </c>
      <c r="AH23">
        <f>IFERROR(VLOOKUP(B23,CrossTabYitraLeTkufa_after_2000!$D$6:$AB$100,16,FALSE),0)</f>
        <v>0</v>
      </c>
      <c r="AI23">
        <f>IFERROR(VLOOKUP(B23,CrossTabYitraLeTkufa_till_2000!$D$6:$AB$100,17,FALSE),0)</f>
        <v>0</v>
      </c>
      <c r="AJ23">
        <f>IFERROR(VLOOKUP(B23,CrossTabYitraLeTkufa_after_2000!$D$6:$AB$100,17,FALSE),0)</f>
        <v>0</v>
      </c>
      <c r="AK23" s="5">
        <f t="shared" si="7"/>
        <v>0</v>
      </c>
      <c r="AN23">
        <f>IFERROR(VLOOKUP(B23,PirteiKisuiBeMutzar_procerur!$C$6:$AA$100,2,FALSE),0)</f>
        <v>0</v>
      </c>
      <c r="AP23">
        <f>IFERROR(VLOOKUP($B23,PirteiKisuiBeMutzar_procerur!$C$6:$AA$100,5,FALSE),0)</f>
        <v>0</v>
      </c>
      <c r="AQ23">
        <f>IFERROR(VLOOKUP($B23,PirteiKisuiBeMutzar_procerur!$C$6:$AA$100,3,FALSE),0)</f>
        <v>0</v>
      </c>
      <c r="AR23">
        <f>IFERROR(VLOOKUP($B23,PirteiKisuiBeMutzar_procerur!$C$6:$AA$100,6,FALSE),0)</f>
        <v>0</v>
      </c>
      <c r="AS23">
        <f>IFERROR(VLOOKUP($B23,PirteiKisuiBeMutzar_procerur!$C$6:$AA$100,7,FALSE),0)</f>
        <v>0</v>
      </c>
      <c r="AW23">
        <f t="shared" si="8"/>
        <v>0</v>
      </c>
      <c r="AX23">
        <f t="shared" si="9"/>
        <v>0</v>
      </c>
      <c r="AY23">
        <f t="shared" si="10"/>
        <v>0</v>
      </c>
      <c r="AZ23">
        <f t="shared" si="11"/>
        <v>0</v>
      </c>
      <c r="BA23">
        <f t="shared" si="12"/>
        <v>0</v>
      </c>
      <c r="BB23">
        <f t="shared" si="13"/>
        <v>0</v>
      </c>
      <c r="BC23">
        <f t="shared" si="14"/>
        <v>0</v>
      </c>
      <c r="BD23">
        <f t="shared" si="15"/>
        <v>0</v>
      </c>
      <c r="BE23">
        <f t="shared" si="16"/>
        <v>0</v>
      </c>
      <c r="BF23">
        <f t="shared" si="49"/>
        <v>0</v>
      </c>
      <c r="BG23">
        <f t="shared" si="17"/>
        <v>0</v>
      </c>
      <c r="BH23">
        <f t="shared" si="18"/>
        <v>0</v>
      </c>
      <c r="BI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0</v>
      </c>
      <c r="BO23">
        <f t="shared" si="24"/>
        <v>0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0</v>
      </c>
      <c r="BX23">
        <f t="shared" si="30"/>
        <v>0</v>
      </c>
      <c r="BY23">
        <f t="shared" si="31"/>
        <v>0</v>
      </c>
      <c r="BZ23">
        <f t="shared" si="32"/>
        <v>0</v>
      </c>
      <c r="CA23">
        <f t="shared" si="33"/>
        <v>0</v>
      </c>
      <c r="CB23">
        <f t="shared" si="34"/>
        <v>0</v>
      </c>
      <c r="CE23">
        <f t="shared" si="35"/>
        <v>0</v>
      </c>
      <c r="CF23">
        <f t="shared" si="36"/>
        <v>0</v>
      </c>
      <c r="CG23">
        <f t="shared" si="37"/>
        <v>0</v>
      </c>
      <c r="CH23">
        <f t="shared" si="38"/>
        <v>0</v>
      </c>
      <c r="CI23">
        <f t="shared" si="39"/>
        <v>0</v>
      </c>
      <c r="CL23">
        <f t="shared" si="40"/>
        <v>0</v>
      </c>
      <c r="CM23">
        <f t="shared" si="41"/>
        <v>0</v>
      </c>
      <c r="CN23">
        <f t="shared" si="42"/>
        <v>0</v>
      </c>
      <c r="CO23">
        <f t="shared" si="43"/>
        <v>0</v>
      </c>
      <c r="CP23">
        <f t="shared" si="44"/>
        <v>0</v>
      </c>
      <c r="CQ23">
        <f>IFERROR(VLOOKUP($B23,SchumeiBituahYesodi!$C$6:$AA$100,8,FALSE),0)</f>
        <v>0</v>
      </c>
      <c r="CR23">
        <f>IFERROR(VLOOKUP($B23,PirteiKisuiBeMutzar_procerur!$C$6:$AA$100,2,FALSE),0)</f>
        <v>0</v>
      </c>
      <c r="CS23">
        <f>IFERROR(VLOOKUP($B23,PirteiKisuiBeMutzar_procerur!$C$6:$AA$100,3,FALSE),0)</f>
        <v>0</v>
      </c>
      <c r="CT23">
        <f>IFERROR(VLOOKUP($B23,PirteiKisuiBeMutzar_procerur!$C$6:$AA$100,4,FALSE),0)</f>
        <v>0</v>
      </c>
      <c r="CU23">
        <f>IFERROR(VLOOKUP($B23,PirteiKisuiBeMutzar_procerur!$C$6:$AA$100,5,FALSE),0)</f>
        <v>0</v>
      </c>
      <c r="CV23">
        <f>IFERROR(VLOOKUP($B23,PirteiKisuiBeMutzar_procerur!$C$6:$AA$100,6,FALSE),0)</f>
        <v>0</v>
      </c>
      <c r="CW23">
        <f>IFERROR(VLOOKUP($B23,PirteiKisuiBeMutzar_procerur!$C$6:$AA$100,7,FALSE),0)</f>
        <v>0</v>
      </c>
      <c r="CX23">
        <f>IFERROR(VLOOKUP($B23,PirteiKisuiBeMutzar_procerur!$C$6:$AA$100,8,FALSE),0)</f>
        <v>0</v>
      </c>
      <c r="CY23">
        <f>IFERROR(VLOOKUP($B23,PirteiKisuiBeMutzar_procerur!$C$6:$AA$100,9,FALSE),0)</f>
        <v>0</v>
      </c>
      <c r="CZ23">
        <f>IFERROR(VLOOKUP($B23,PirteiKisuiBeMutzar_procerur!$C$6:$AA$100,10,FALSE),0)</f>
        <v>0</v>
      </c>
      <c r="DA23">
        <f>IFERROR(VLOOKUP($B23,PirteiKisuiBeMutzar_procerur!$C$6:$AA$100,11,FALSE),0)</f>
        <v>0</v>
      </c>
      <c r="DB23">
        <f>IFERROR(VLOOKUP($B23,PirteiKisuiBeMutzarPrmia!$C$6:$AA$100,2,FALSE),0)</f>
        <v>0</v>
      </c>
      <c r="DC23">
        <f>IFERROR(VLOOKUP($B23,PirteiKisuiBeMutzarPrmia!$C$6:$AA$100,3,FALSE),0)</f>
        <v>0</v>
      </c>
      <c r="DD23">
        <f>IFERROR(VLOOKUP($B23,PirteiKisuiBeMutzarPrmia!$C$6:$AA$100,4,FALSE),0)</f>
        <v>0</v>
      </c>
      <c r="DE23">
        <f>IFERROR(VLOOKUP($B23,PirteiKisuiBeMutzarPrmia!$C$6:$AA$100,5,FALSE),0)</f>
        <v>0</v>
      </c>
      <c r="DF23">
        <f>IFERROR(VLOOKUP($B23,PirteiKisuiBeMutzarPrmia!$C$6:$AA$100,6,FALSE),0)</f>
        <v>0</v>
      </c>
      <c r="DG23">
        <f>IFERROR(VLOOKUP($B23,PirteiKisuiBeMutzarPrmia!$C$6:$AA$100,7,FALSE),0)</f>
        <v>0</v>
      </c>
      <c r="DH23">
        <f>IFERROR(VLOOKUP($B23,PirteiKisuiBeMutzarPrmia!$C$6:$AA$100,8,FALSE),0)</f>
        <v>0</v>
      </c>
      <c r="DI23">
        <f>IFERROR(VLOOKUP($B23,PirteiKisuiBeMutzarPrmia!$C$6:$AA$100,9,FALSE),0)</f>
        <v>0</v>
      </c>
      <c r="DJ23">
        <f>IFERROR(VLOOKUP($B23,PirteiKisuiBeMutzarPrmia!$C$6:$AA$100,10,FALSE),0)</f>
        <v>0</v>
      </c>
      <c r="DK23">
        <f>IFERROR(VLOOKUP($B23,PirteiKisuiBeMutzarPrmia!$C$6:$AA$100,11,FALSE),0)</f>
        <v>0</v>
      </c>
      <c r="DL23">
        <f t="shared" si="1"/>
        <v>0</v>
      </c>
      <c r="DM23">
        <f t="shared" si="45"/>
        <v>0</v>
      </c>
      <c r="DN23">
        <f t="shared" si="46"/>
        <v>0</v>
      </c>
      <c r="DO23">
        <f t="shared" si="2"/>
        <v>0</v>
      </c>
      <c r="DP23">
        <f t="shared" si="3"/>
        <v>0</v>
      </c>
      <c r="DQ23">
        <f>IF(OR(L23=1,L23=3),IFERROR(VLOOKUP($B23,PerutHafkadotMetchilatShanaAvgM!$C$6:$G$100,3,FALSE),0),0)</f>
        <v>0</v>
      </c>
      <c r="DR23">
        <f>IF(OR(L23=2,L23=4),IFERROR(VLOOKUP($B23,PerutHafkadotMetchilatShanaAvgM!$C$6:$G$100,3,FALSE),0),0)</f>
        <v>0</v>
      </c>
      <c r="DS23">
        <f>IFERROR(VLOOKUP($B23,PerutHafkadotMetchilatShanaAvgM!$C$6:$G$100,4,FALSE),0)</f>
        <v>0</v>
      </c>
      <c r="DT23">
        <f>IFERROR(VLOOKUP($B23,Kupa!$D$6:$AA$100,5,FALSE),0)</f>
        <v>0</v>
      </c>
      <c r="DU23">
        <f>IFERROR(VLOOKUP($B23,Kupa!$D$6:$AA$100,6,FALSE),0)</f>
        <v>0</v>
      </c>
      <c r="DV23">
        <f>IFERROR(VLOOKUP($B23,KisuiBKerenPensiaDBWithParams!$D$6:$AP$100,9,FALSE),0)</f>
        <v>0</v>
      </c>
      <c r="DW23">
        <f>IFERROR(VLOOKUP($B23,KisuiBKerenPensiaDBWithParams!$D$6:$AP$100,12,FALSE),0)</f>
        <v>0</v>
      </c>
      <c r="DX23">
        <f>IFERROR(VLOOKUP($B23,KisuiBKerenPensiaDBWithParams!$D$6:$AP$100,13,FALSE),0)</f>
        <v>0</v>
      </c>
      <c r="DY23">
        <f>IFERROR(VLOOKUP($B23,KisuiBKerenPensiaDBWithParams!$D$6:$AP$100,7,FALSE),0)</f>
        <v>0</v>
      </c>
      <c r="DZ23">
        <f>IFERROR(VLOOKUP($B23,KisuiBKerenPensiaDBWithParams!$D$6:$AP$100,17,FALSE),0)</f>
        <v>0</v>
      </c>
      <c r="EA23">
        <f>IFERROR(VLOOKUP($B23,KisuiBKerenPensiaDBWithParams!$D$6:$AP$100,20,FALSE),0)</f>
        <v>0</v>
      </c>
      <c r="EB23">
        <f>IFERROR(VLOOKUP($B23,KisuiBKerenPensiaDBWithParams!$D$6:$AP$100,21,FALSE),0)</f>
        <v>0</v>
      </c>
      <c r="EC23">
        <f t="shared" si="47"/>
        <v>0</v>
      </c>
      <c r="EG23">
        <f>IF(OR(G23=MyData!$J$50,G23=MyData!$J$51,G23=MyData!$J$52),1,IF(G23=MyData!$J$49,2,0))</f>
        <v>0</v>
      </c>
    </row>
    <row r="24" spans="1:137">
      <c r="A24">
        <f t="shared" si="48"/>
        <v>0</v>
      </c>
      <c r="B24" s="20">
        <f>RicusPolice!E21</f>
        <v>0</v>
      </c>
      <c r="C24" s="20">
        <f>RicusPolice!AL21</f>
        <v>0</v>
      </c>
      <c r="D24" s="20">
        <f>RicusPolice!F21</f>
        <v>0</v>
      </c>
      <c r="E24" s="20">
        <f>RicusPolice!R21</f>
        <v>0</v>
      </c>
      <c r="F24" s="20">
        <f>RicusPolice!N21</f>
        <v>0</v>
      </c>
      <c r="G24" s="20">
        <f>IFERROR(VLOOKUP($B24,PerutYitrot!$D$6:$P$100,4,FALSE),0)</f>
        <v>0</v>
      </c>
      <c r="H24" s="20">
        <f t="shared" si="4"/>
        <v>0</v>
      </c>
      <c r="I24" s="20">
        <f>RicusPolice!L21</f>
        <v>0</v>
      </c>
      <c r="J24" s="179">
        <f>IFERROR(VLOOKUP(TRIM(K24),MyData!$J$43:$K$49,2,FALSE),0)</f>
        <v>0</v>
      </c>
      <c r="K24" s="20">
        <f>RicusPolice!M21</f>
        <v>0</v>
      </c>
      <c r="L24" s="20">
        <f>RicusPolice!AM21</f>
        <v>0</v>
      </c>
      <c r="M24" s="20" t="str">
        <f>IF(B24&gt;0,RicusPolice!Y21," ")</f>
        <v xml:space="preserve"> </v>
      </c>
      <c r="N24" s="20" t="str">
        <f t="shared" si="5"/>
        <v/>
      </c>
      <c r="O24" s="20">
        <f>RicusPolice!N21</f>
        <v>0</v>
      </c>
      <c r="P24" s="20">
        <f>IFERROR(VLOOKUP(B24,PerutMasluleiHashkaa!$D$6:$R$100,4,FALSE),0)</f>
        <v>0</v>
      </c>
      <c r="Q24" s="19"/>
      <c r="R24" s="20">
        <f>RicusPolice!P21</f>
        <v>0</v>
      </c>
      <c r="S24" s="20"/>
      <c r="T24" s="21">
        <f>'נתונים ידניים'!H24</f>
        <v>0</v>
      </c>
      <c r="U24" s="21"/>
      <c r="V24" s="20">
        <f>PerutHafrashotLePolisa!E21</f>
        <v>0</v>
      </c>
      <c r="W24" s="20">
        <f>PerutHafrashotLePolisa!F21</f>
        <v>0</v>
      </c>
      <c r="X24" s="20">
        <f>PerutHafrashotLePolisa!G21</f>
        <v>0</v>
      </c>
      <c r="Y24">
        <f t="shared" si="6"/>
        <v>0</v>
      </c>
      <c r="Z24">
        <f>IFERROR(VLOOKUP(B24,PirteiHaasaka!$D$6:$R$100,5,FALSE),0)</f>
        <v>0</v>
      </c>
      <c r="AB24">
        <f>IFERROR(VLOOKUP(B24,HafkadotMetchilatShanaAverages!$D$6:$E$100,2,FALSE),0)</f>
        <v>0</v>
      </c>
      <c r="AF24">
        <f>IFERROR(VLOOKUP(B24,CrossTabYitraLeTkufa_till_2000!$D$6:$AB$100,6,FALSE),0)+IFERROR(VLOOKUP(B24,CrossTabYitraLeTkufa_after_2000!$D$6:$AB$100,6,FALSE),0)</f>
        <v>0</v>
      </c>
      <c r="AG24">
        <f>IFERROR(VLOOKUP(B24,CrossTabYitraLeTkufa_till_2000!$D$6:$AB$100,16,FALSE),0)</f>
        <v>0</v>
      </c>
      <c r="AH24">
        <f>IFERROR(VLOOKUP(B24,CrossTabYitraLeTkufa_after_2000!$D$6:$AB$100,16,FALSE),0)</f>
        <v>0</v>
      </c>
      <c r="AI24">
        <f>IFERROR(VLOOKUP(B24,CrossTabYitraLeTkufa_till_2000!$D$6:$AB$100,17,FALSE),0)</f>
        <v>0</v>
      </c>
      <c r="AJ24">
        <f>IFERROR(VLOOKUP(B24,CrossTabYitraLeTkufa_after_2000!$D$6:$AB$100,17,FALSE),0)</f>
        <v>0</v>
      </c>
      <c r="AK24" s="5">
        <f t="shared" si="7"/>
        <v>0</v>
      </c>
      <c r="AN24">
        <f>IFERROR(VLOOKUP(B24,PirteiKisuiBeMutzar_procerur!$C$6:$AA$100,2,FALSE),0)</f>
        <v>0</v>
      </c>
      <c r="AP24">
        <f>IFERROR(VLOOKUP($B24,PirteiKisuiBeMutzar_procerur!$C$6:$AA$100,5,FALSE),0)</f>
        <v>0</v>
      </c>
      <c r="AQ24">
        <f>IFERROR(VLOOKUP($B24,PirteiKisuiBeMutzar_procerur!$C$6:$AA$100,3,FALSE),0)</f>
        <v>0</v>
      </c>
      <c r="AR24">
        <f>IFERROR(VLOOKUP($B24,PirteiKisuiBeMutzar_procerur!$C$6:$AA$100,6,FALSE),0)</f>
        <v>0</v>
      </c>
      <c r="AS24">
        <f>IFERROR(VLOOKUP($B24,PirteiKisuiBeMutzar_procerur!$C$6:$AA$100,7,FALSE),0)</f>
        <v>0</v>
      </c>
      <c r="AW24">
        <f t="shared" si="8"/>
        <v>0</v>
      </c>
      <c r="AX24">
        <f t="shared" si="9"/>
        <v>0</v>
      </c>
      <c r="AY24">
        <f t="shared" si="10"/>
        <v>0</v>
      </c>
      <c r="AZ24">
        <f t="shared" si="11"/>
        <v>0</v>
      </c>
      <c r="BA24">
        <f t="shared" si="12"/>
        <v>0</v>
      </c>
      <c r="BB24">
        <f t="shared" si="13"/>
        <v>0</v>
      </c>
      <c r="BC24">
        <f t="shared" si="14"/>
        <v>0</v>
      </c>
      <c r="BD24">
        <f t="shared" si="15"/>
        <v>0</v>
      </c>
      <c r="BE24">
        <f t="shared" si="16"/>
        <v>0</v>
      </c>
      <c r="BF24">
        <f t="shared" si="49"/>
        <v>0</v>
      </c>
      <c r="BG24">
        <f t="shared" si="17"/>
        <v>0</v>
      </c>
      <c r="BH24">
        <f t="shared" si="18"/>
        <v>0</v>
      </c>
      <c r="BI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0</v>
      </c>
      <c r="BO24">
        <f t="shared" si="24"/>
        <v>0</v>
      </c>
      <c r="BR24">
        <f t="shared" si="25"/>
        <v>0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0</v>
      </c>
      <c r="BX24">
        <f t="shared" si="30"/>
        <v>0</v>
      </c>
      <c r="BY24">
        <f t="shared" si="31"/>
        <v>0</v>
      </c>
      <c r="BZ24">
        <f t="shared" si="32"/>
        <v>0</v>
      </c>
      <c r="CA24">
        <f t="shared" si="33"/>
        <v>0</v>
      </c>
      <c r="CB24">
        <f t="shared" si="34"/>
        <v>0</v>
      </c>
      <c r="CE24">
        <f t="shared" si="35"/>
        <v>0</v>
      </c>
      <c r="CF24">
        <f t="shared" si="36"/>
        <v>0</v>
      </c>
      <c r="CG24">
        <f t="shared" si="37"/>
        <v>0</v>
      </c>
      <c r="CH24">
        <f t="shared" si="38"/>
        <v>0</v>
      </c>
      <c r="CI24">
        <f t="shared" si="39"/>
        <v>0</v>
      </c>
      <c r="CL24">
        <f t="shared" si="40"/>
        <v>0</v>
      </c>
      <c r="CM24">
        <f t="shared" si="41"/>
        <v>0</v>
      </c>
      <c r="CN24">
        <f t="shared" si="42"/>
        <v>0</v>
      </c>
      <c r="CO24">
        <f t="shared" si="43"/>
        <v>0</v>
      </c>
      <c r="CP24">
        <f t="shared" si="44"/>
        <v>0</v>
      </c>
      <c r="CQ24">
        <f>IFERROR(VLOOKUP($B24,SchumeiBituahYesodi!$C$6:$AA$100,8,FALSE),0)</f>
        <v>0</v>
      </c>
      <c r="CR24">
        <f>IFERROR(VLOOKUP($B24,PirteiKisuiBeMutzar_procerur!$C$6:$AA$100,2,FALSE),0)</f>
        <v>0</v>
      </c>
      <c r="CS24">
        <f>IFERROR(VLOOKUP($B24,PirteiKisuiBeMutzar_procerur!$C$6:$AA$100,3,FALSE),0)</f>
        <v>0</v>
      </c>
      <c r="CT24">
        <f>IFERROR(VLOOKUP($B24,PirteiKisuiBeMutzar_procerur!$C$6:$AA$100,4,FALSE),0)</f>
        <v>0</v>
      </c>
      <c r="CU24">
        <f>IFERROR(VLOOKUP($B24,PirteiKisuiBeMutzar_procerur!$C$6:$AA$100,5,FALSE),0)</f>
        <v>0</v>
      </c>
      <c r="CV24">
        <f>IFERROR(VLOOKUP($B24,PirteiKisuiBeMutzar_procerur!$C$6:$AA$100,6,FALSE),0)</f>
        <v>0</v>
      </c>
      <c r="CW24">
        <f>IFERROR(VLOOKUP($B24,PirteiKisuiBeMutzar_procerur!$C$6:$AA$100,7,FALSE),0)</f>
        <v>0</v>
      </c>
      <c r="CX24">
        <f>IFERROR(VLOOKUP($B24,PirteiKisuiBeMutzar_procerur!$C$6:$AA$100,8,FALSE),0)</f>
        <v>0</v>
      </c>
      <c r="CY24">
        <f>IFERROR(VLOOKUP($B24,PirteiKisuiBeMutzar_procerur!$C$6:$AA$100,9,FALSE),0)</f>
        <v>0</v>
      </c>
      <c r="CZ24">
        <f>IFERROR(VLOOKUP($B24,PirteiKisuiBeMutzar_procerur!$C$6:$AA$100,10,FALSE),0)</f>
        <v>0</v>
      </c>
      <c r="DA24">
        <f>IFERROR(VLOOKUP($B24,PirteiKisuiBeMutzar_procerur!$C$6:$AA$100,11,FALSE),0)</f>
        <v>0</v>
      </c>
      <c r="DB24">
        <f>IFERROR(VLOOKUP($B24,PirteiKisuiBeMutzarPrmia!$C$6:$AA$100,2,FALSE),0)</f>
        <v>0</v>
      </c>
      <c r="DC24">
        <f>IFERROR(VLOOKUP($B24,PirteiKisuiBeMutzarPrmia!$C$6:$AA$100,3,FALSE),0)</f>
        <v>0</v>
      </c>
      <c r="DD24">
        <f>IFERROR(VLOOKUP($B24,PirteiKisuiBeMutzarPrmia!$C$6:$AA$100,4,FALSE),0)</f>
        <v>0</v>
      </c>
      <c r="DE24">
        <f>IFERROR(VLOOKUP($B24,PirteiKisuiBeMutzarPrmia!$C$6:$AA$100,5,FALSE),0)</f>
        <v>0</v>
      </c>
      <c r="DF24">
        <f>IFERROR(VLOOKUP($B24,PirteiKisuiBeMutzarPrmia!$C$6:$AA$100,6,FALSE),0)</f>
        <v>0</v>
      </c>
      <c r="DG24">
        <f>IFERROR(VLOOKUP($B24,PirteiKisuiBeMutzarPrmia!$C$6:$AA$100,7,FALSE),0)</f>
        <v>0</v>
      </c>
      <c r="DH24">
        <f>IFERROR(VLOOKUP($B24,PirteiKisuiBeMutzarPrmia!$C$6:$AA$100,8,FALSE),0)</f>
        <v>0</v>
      </c>
      <c r="DI24">
        <f>IFERROR(VLOOKUP($B24,PirteiKisuiBeMutzarPrmia!$C$6:$AA$100,9,FALSE),0)</f>
        <v>0</v>
      </c>
      <c r="DJ24">
        <f>IFERROR(VLOOKUP($B24,PirteiKisuiBeMutzarPrmia!$C$6:$AA$100,10,FALSE),0)</f>
        <v>0</v>
      </c>
      <c r="DK24">
        <f>IFERROR(VLOOKUP($B24,PirteiKisuiBeMutzarPrmia!$C$6:$AA$100,11,FALSE),0)</f>
        <v>0</v>
      </c>
      <c r="DL24">
        <f t="shared" si="1"/>
        <v>0</v>
      </c>
      <c r="DM24">
        <f t="shared" si="45"/>
        <v>0</v>
      </c>
      <c r="DN24">
        <f t="shared" si="46"/>
        <v>0</v>
      </c>
      <c r="DO24">
        <f t="shared" si="2"/>
        <v>0</v>
      </c>
      <c r="DP24">
        <f t="shared" si="3"/>
        <v>0</v>
      </c>
      <c r="DQ24">
        <f>IF(OR(L24=1,L24=3),IFERROR(VLOOKUP($B24,PerutHafkadotMetchilatShanaAvgM!$C$6:$G$100,3,FALSE),0),0)</f>
        <v>0</v>
      </c>
      <c r="DR24">
        <f>IF(OR(L24=2,L24=4),IFERROR(VLOOKUP($B24,PerutHafkadotMetchilatShanaAvgM!$C$6:$G$100,3,FALSE),0),0)</f>
        <v>0</v>
      </c>
      <c r="DS24">
        <f>IFERROR(VLOOKUP($B24,PerutHafkadotMetchilatShanaAvgM!$C$6:$G$100,4,FALSE),0)</f>
        <v>0</v>
      </c>
      <c r="DT24">
        <f>IFERROR(VLOOKUP($B24,Kupa!$D$6:$AA$100,5,FALSE),0)</f>
        <v>0</v>
      </c>
      <c r="DU24">
        <f>IFERROR(VLOOKUP($B24,Kupa!$D$6:$AA$100,6,FALSE),0)</f>
        <v>0</v>
      </c>
      <c r="DV24">
        <f>IFERROR(VLOOKUP($B24,KisuiBKerenPensiaDBWithParams!$D$6:$AP$100,9,FALSE),0)</f>
        <v>0</v>
      </c>
      <c r="DW24">
        <f>IFERROR(VLOOKUP($B24,KisuiBKerenPensiaDBWithParams!$D$6:$AP$100,12,FALSE),0)</f>
        <v>0</v>
      </c>
      <c r="DX24">
        <f>IFERROR(VLOOKUP($B24,KisuiBKerenPensiaDBWithParams!$D$6:$AP$100,13,FALSE),0)</f>
        <v>0</v>
      </c>
      <c r="DY24">
        <f>IFERROR(VLOOKUP($B24,KisuiBKerenPensiaDBWithParams!$D$6:$AP$100,7,FALSE),0)</f>
        <v>0</v>
      </c>
      <c r="DZ24">
        <f>IFERROR(VLOOKUP($B24,KisuiBKerenPensiaDBWithParams!$D$6:$AP$100,17,FALSE),0)</f>
        <v>0</v>
      </c>
      <c r="EA24">
        <f>IFERROR(VLOOKUP($B24,KisuiBKerenPensiaDBWithParams!$D$6:$AP$100,20,FALSE),0)</f>
        <v>0</v>
      </c>
      <c r="EB24">
        <f>IFERROR(VLOOKUP($B24,KisuiBKerenPensiaDBWithParams!$D$6:$AP$100,21,FALSE),0)</f>
        <v>0</v>
      </c>
      <c r="EC24">
        <f t="shared" si="47"/>
        <v>0</v>
      </c>
      <c r="EG24">
        <f>IF(OR(G24=MyData!$J$50,G24=MyData!$J$51,G24=MyData!$J$52),1,IF(G24=MyData!$J$49,2,0))</f>
        <v>0</v>
      </c>
    </row>
    <row r="25" spans="1:137">
      <c r="A25">
        <f t="shared" si="48"/>
        <v>0</v>
      </c>
      <c r="B25" s="20">
        <f>RicusPolice!E22</f>
        <v>0</v>
      </c>
      <c r="C25" s="20">
        <f>RicusPolice!AL22</f>
        <v>0</v>
      </c>
      <c r="D25" s="20">
        <f>RicusPolice!F22</f>
        <v>0</v>
      </c>
      <c r="E25" s="20">
        <f>RicusPolice!R22</f>
        <v>0</v>
      </c>
      <c r="F25" s="20">
        <f>RicusPolice!N22</f>
        <v>0</v>
      </c>
      <c r="G25" s="20">
        <f>IFERROR(VLOOKUP($B25,PerutYitrot!$D$6:$P$100,4,FALSE),0)</f>
        <v>0</v>
      </c>
      <c r="H25" s="20">
        <f t="shared" si="4"/>
        <v>0</v>
      </c>
      <c r="I25" s="20">
        <f>RicusPolice!L22</f>
        <v>0</v>
      </c>
      <c r="J25" s="179">
        <f>IFERROR(VLOOKUP(TRIM(K25),MyData!$J$43:$K$49,2,FALSE),0)</f>
        <v>0</v>
      </c>
      <c r="K25" s="20">
        <f>RicusPolice!M22</f>
        <v>0</v>
      </c>
      <c r="L25" s="20">
        <f>RicusPolice!AM22</f>
        <v>0</v>
      </c>
      <c r="M25" s="20" t="str">
        <f>IF(B25&gt;0,RicusPolice!Y22," ")</f>
        <v xml:space="preserve"> </v>
      </c>
      <c r="N25" s="20" t="str">
        <f t="shared" si="5"/>
        <v/>
      </c>
      <c r="O25" s="20">
        <f>RicusPolice!N22</f>
        <v>0</v>
      </c>
      <c r="P25" s="20">
        <f>IFERROR(VLOOKUP(B25,PerutMasluleiHashkaa!$D$6:$R$100,4,FALSE),0)</f>
        <v>0</v>
      </c>
      <c r="Q25" s="19"/>
      <c r="R25" s="20">
        <f>RicusPolice!P22</f>
        <v>0</v>
      </c>
      <c r="S25" s="20"/>
      <c r="T25" s="21">
        <f>'נתונים ידניים'!H25</f>
        <v>0</v>
      </c>
      <c r="U25" s="21"/>
      <c r="V25" s="20">
        <f>PerutHafrashotLePolisa!E22</f>
        <v>0</v>
      </c>
      <c r="W25" s="20">
        <f>PerutHafrashotLePolisa!F22</f>
        <v>0</v>
      </c>
      <c r="X25" s="20">
        <f>PerutHafrashotLePolisa!G22</f>
        <v>0</v>
      </c>
      <c r="Y25">
        <f t="shared" si="6"/>
        <v>0</v>
      </c>
      <c r="Z25">
        <f>IFERROR(VLOOKUP(B25,PirteiHaasaka!$D$6:$R$100,5,FALSE),0)</f>
        <v>0</v>
      </c>
      <c r="AB25">
        <f>IFERROR(VLOOKUP(B25,HafkadotMetchilatShanaAverages!$D$6:$E$100,2,FALSE),0)</f>
        <v>0</v>
      </c>
      <c r="AF25">
        <f>IFERROR(VLOOKUP(B25,CrossTabYitraLeTkufa_till_2000!$D$6:$AB$100,6,FALSE),0)+IFERROR(VLOOKUP(B25,CrossTabYitraLeTkufa_after_2000!$D$6:$AB$100,6,FALSE),0)</f>
        <v>0</v>
      </c>
      <c r="AG25">
        <f>IFERROR(VLOOKUP(B25,CrossTabYitraLeTkufa_till_2000!$D$6:$AB$100,16,FALSE),0)</f>
        <v>0</v>
      </c>
      <c r="AH25">
        <f>IFERROR(VLOOKUP(B25,CrossTabYitraLeTkufa_after_2000!$D$6:$AB$100,16,FALSE),0)</f>
        <v>0</v>
      </c>
      <c r="AI25">
        <f>IFERROR(VLOOKUP(B25,CrossTabYitraLeTkufa_till_2000!$D$6:$AB$100,17,FALSE),0)</f>
        <v>0</v>
      </c>
      <c r="AJ25">
        <f>IFERROR(VLOOKUP(B25,CrossTabYitraLeTkufa_after_2000!$D$6:$AB$100,17,FALSE),0)</f>
        <v>0</v>
      </c>
      <c r="AK25" s="5">
        <f t="shared" si="7"/>
        <v>0</v>
      </c>
      <c r="AN25">
        <f>IFERROR(VLOOKUP(B25,PirteiKisuiBeMutzar_procerur!$C$6:$AA$100,2,FALSE),0)</f>
        <v>0</v>
      </c>
      <c r="AP25">
        <f>IFERROR(VLOOKUP($B25,PirteiKisuiBeMutzar_procerur!$C$6:$AA$100,5,FALSE),0)</f>
        <v>0</v>
      </c>
      <c r="AQ25">
        <f>IFERROR(VLOOKUP($B25,PirteiKisuiBeMutzar_procerur!$C$6:$AA$100,3,FALSE),0)</f>
        <v>0</v>
      </c>
      <c r="AR25">
        <f>IFERROR(VLOOKUP($B25,PirteiKisuiBeMutzar_procerur!$C$6:$AA$100,6,FALSE),0)</f>
        <v>0</v>
      </c>
      <c r="AS25">
        <f>IFERROR(VLOOKUP($B25,PirteiKisuiBeMutzar_procerur!$C$6:$AA$100,7,FALSE),0)</f>
        <v>0</v>
      </c>
      <c r="AW25">
        <f t="shared" si="8"/>
        <v>0</v>
      </c>
      <c r="AX25">
        <f t="shared" si="9"/>
        <v>0</v>
      </c>
      <c r="AY25">
        <f t="shared" si="10"/>
        <v>0</v>
      </c>
      <c r="AZ25">
        <f t="shared" si="11"/>
        <v>0</v>
      </c>
      <c r="BA25">
        <f t="shared" si="12"/>
        <v>0</v>
      </c>
      <c r="BB25">
        <f t="shared" si="13"/>
        <v>0</v>
      </c>
      <c r="BC25">
        <f t="shared" si="14"/>
        <v>0</v>
      </c>
      <c r="BD25">
        <f t="shared" si="15"/>
        <v>0</v>
      </c>
      <c r="BE25">
        <f t="shared" si="16"/>
        <v>0</v>
      </c>
      <c r="BF25">
        <f t="shared" si="49"/>
        <v>0</v>
      </c>
      <c r="BG25">
        <f t="shared" si="17"/>
        <v>0</v>
      </c>
      <c r="BH25">
        <f t="shared" si="18"/>
        <v>0</v>
      </c>
      <c r="BI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0</v>
      </c>
      <c r="BO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0</v>
      </c>
      <c r="BX25">
        <f t="shared" si="30"/>
        <v>0</v>
      </c>
      <c r="BY25">
        <f t="shared" si="31"/>
        <v>0</v>
      </c>
      <c r="BZ25">
        <f t="shared" si="32"/>
        <v>0</v>
      </c>
      <c r="CA25">
        <f t="shared" si="33"/>
        <v>0</v>
      </c>
      <c r="CB25">
        <f t="shared" si="34"/>
        <v>0</v>
      </c>
      <c r="CE25">
        <f t="shared" si="35"/>
        <v>0</v>
      </c>
      <c r="CF25">
        <f t="shared" si="36"/>
        <v>0</v>
      </c>
      <c r="CG25">
        <f t="shared" si="37"/>
        <v>0</v>
      </c>
      <c r="CH25">
        <f t="shared" si="38"/>
        <v>0</v>
      </c>
      <c r="CI25">
        <f t="shared" si="39"/>
        <v>0</v>
      </c>
      <c r="CL25">
        <f t="shared" si="40"/>
        <v>0</v>
      </c>
      <c r="CM25">
        <f t="shared" si="41"/>
        <v>0</v>
      </c>
      <c r="CN25">
        <f t="shared" si="42"/>
        <v>0</v>
      </c>
      <c r="CO25">
        <f t="shared" si="43"/>
        <v>0</v>
      </c>
      <c r="CP25">
        <f t="shared" si="44"/>
        <v>0</v>
      </c>
      <c r="CQ25">
        <f>IFERROR(VLOOKUP($B25,SchumeiBituahYesodi!$C$6:$AA$100,8,FALSE),0)</f>
        <v>0</v>
      </c>
      <c r="CR25">
        <f>IFERROR(VLOOKUP($B25,PirteiKisuiBeMutzar_procerur!$C$6:$AA$100,2,FALSE),0)</f>
        <v>0</v>
      </c>
      <c r="CS25">
        <f>IFERROR(VLOOKUP($B25,PirteiKisuiBeMutzar_procerur!$C$6:$AA$100,3,FALSE),0)</f>
        <v>0</v>
      </c>
      <c r="CT25">
        <f>IFERROR(VLOOKUP($B25,PirteiKisuiBeMutzar_procerur!$C$6:$AA$100,4,FALSE),0)</f>
        <v>0</v>
      </c>
      <c r="CU25">
        <f>IFERROR(VLOOKUP($B25,PirteiKisuiBeMutzar_procerur!$C$6:$AA$100,5,FALSE),0)</f>
        <v>0</v>
      </c>
      <c r="CV25">
        <f>IFERROR(VLOOKUP($B25,PirteiKisuiBeMutzar_procerur!$C$6:$AA$100,6,FALSE),0)</f>
        <v>0</v>
      </c>
      <c r="CW25">
        <f>IFERROR(VLOOKUP($B25,PirteiKisuiBeMutzar_procerur!$C$6:$AA$100,7,FALSE),0)</f>
        <v>0</v>
      </c>
      <c r="CX25">
        <f>IFERROR(VLOOKUP($B25,PirteiKisuiBeMutzar_procerur!$C$6:$AA$100,8,FALSE),0)</f>
        <v>0</v>
      </c>
      <c r="CY25">
        <f>IFERROR(VLOOKUP($B25,PirteiKisuiBeMutzar_procerur!$C$6:$AA$100,9,FALSE),0)</f>
        <v>0</v>
      </c>
      <c r="CZ25">
        <f>IFERROR(VLOOKUP($B25,PirteiKisuiBeMutzar_procerur!$C$6:$AA$100,10,FALSE),0)</f>
        <v>0</v>
      </c>
      <c r="DA25">
        <f>IFERROR(VLOOKUP($B25,PirteiKisuiBeMutzar_procerur!$C$6:$AA$100,11,FALSE),0)</f>
        <v>0</v>
      </c>
      <c r="DB25">
        <f>IFERROR(VLOOKUP($B25,PirteiKisuiBeMutzarPrmia!$C$6:$AA$100,2,FALSE),0)</f>
        <v>0</v>
      </c>
      <c r="DC25">
        <f>IFERROR(VLOOKUP($B25,PirteiKisuiBeMutzarPrmia!$C$6:$AA$100,3,FALSE),0)</f>
        <v>0</v>
      </c>
      <c r="DD25">
        <f>IFERROR(VLOOKUP($B25,PirteiKisuiBeMutzarPrmia!$C$6:$AA$100,4,FALSE),0)</f>
        <v>0</v>
      </c>
      <c r="DE25">
        <f>IFERROR(VLOOKUP($B25,PirteiKisuiBeMutzarPrmia!$C$6:$AA$100,5,FALSE),0)</f>
        <v>0</v>
      </c>
      <c r="DF25">
        <f>IFERROR(VLOOKUP($B25,PirteiKisuiBeMutzarPrmia!$C$6:$AA$100,6,FALSE),0)</f>
        <v>0</v>
      </c>
      <c r="DG25">
        <f>IFERROR(VLOOKUP($B25,PirteiKisuiBeMutzarPrmia!$C$6:$AA$100,7,FALSE),0)</f>
        <v>0</v>
      </c>
      <c r="DH25">
        <f>IFERROR(VLOOKUP($B25,PirteiKisuiBeMutzarPrmia!$C$6:$AA$100,8,FALSE),0)</f>
        <v>0</v>
      </c>
      <c r="DI25">
        <f>IFERROR(VLOOKUP($B25,PirteiKisuiBeMutzarPrmia!$C$6:$AA$100,9,FALSE),0)</f>
        <v>0</v>
      </c>
      <c r="DJ25">
        <f>IFERROR(VLOOKUP($B25,PirteiKisuiBeMutzarPrmia!$C$6:$AA$100,10,FALSE),0)</f>
        <v>0</v>
      </c>
      <c r="DK25">
        <f>IFERROR(VLOOKUP($B25,PirteiKisuiBeMutzarPrmia!$C$6:$AA$100,11,FALSE),0)</f>
        <v>0</v>
      </c>
      <c r="DL25">
        <f t="shared" si="1"/>
        <v>0</v>
      </c>
      <c r="DM25">
        <f t="shared" si="45"/>
        <v>0</v>
      </c>
      <c r="DN25">
        <f t="shared" si="46"/>
        <v>0</v>
      </c>
      <c r="DO25">
        <f t="shared" si="2"/>
        <v>0</v>
      </c>
      <c r="DP25">
        <f t="shared" si="3"/>
        <v>0</v>
      </c>
      <c r="DQ25">
        <f>IF(OR(L25=1,L25=3),IFERROR(VLOOKUP($B25,PerutHafkadotMetchilatShanaAvgM!$C$6:$G$100,3,FALSE),0),0)</f>
        <v>0</v>
      </c>
      <c r="DR25">
        <f>IF(OR(L25=2,L25=4),IFERROR(VLOOKUP($B25,PerutHafkadotMetchilatShanaAvgM!$C$6:$G$100,3,FALSE),0),0)</f>
        <v>0</v>
      </c>
      <c r="DS25">
        <f>IFERROR(VLOOKUP($B25,PerutHafkadotMetchilatShanaAvgM!$C$6:$G$100,4,FALSE),0)</f>
        <v>0</v>
      </c>
      <c r="DT25">
        <f>IFERROR(VLOOKUP($B25,Kupa!$D$6:$AA$100,5,FALSE),0)</f>
        <v>0</v>
      </c>
      <c r="DU25">
        <f>IFERROR(VLOOKUP($B25,Kupa!$D$6:$AA$100,6,FALSE),0)</f>
        <v>0</v>
      </c>
      <c r="DV25">
        <f>IFERROR(VLOOKUP($B25,KisuiBKerenPensiaDBWithParams!$D$6:$AP$100,9,FALSE),0)</f>
        <v>0</v>
      </c>
      <c r="DW25">
        <f>IFERROR(VLOOKUP($B25,KisuiBKerenPensiaDBWithParams!$D$6:$AP$100,12,FALSE),0)</f>
        <v>0</v>
      </c>
      <c r="DX25">
        <f>IFERROR(VLOOKUP($B25,KisuiBKerenPensiaDBWithParams!$D$6:$AP$100,13,FALSE),0)</f>
        <v>0</v>
      </c>
      <c r="DY25">
        <f>IFERROR(VLOOKUP($B25,KisuiBKerenPensiaDBWithParams!$D$6:$AP$100,7,FALSE),0)</f>
        <v>0</v>
      </c>
      <c r="DZ25">
        <f>IFERROR(VLOOKUP($B25,KisuiBKerenPensiaDBWithParams!$D$6:$AP$100,17,FALSE),0)</f>
        <v>0</v>
      </c>
      <c r="EA25">
        <f>IFERROR(VLOOKUP($B25,KisuiBKerenPensiaDBWithParams!$D$6:$AP$100,20,FALSE),0)</f>
        <v>0</v>
      </c>
      <c r="EB25">
        <f>IFERROR(VLOOKUP($B25,KisuiBKerenPensiaDBWithParams!$D$6:$AP$100,21,FALSE),0)</f>
        <v>0</v>
      </c>
      <c r="EC25">
        <f t="shared" si="47"/>
        <v>0</v>
      </c>
      <c r="EG25">
        <f>IF(OR(G25=MyData!$J$50,G25=MyData!$J$51,G25=MyData!$J$52),1,IF(G25=MyData!$J$49,2,0))</f>
        <v>0</v>
      </c>
    </row>
    <row r="26" spans="1:137">
      <c r="A26">
        <f t="shared" si="48"/>
        <v>0</v>
      </c>
      <c r="B26" s="20">
        <f>RicusPolice!E23</f>
        <v>0</v>
      </c>
      <c r="C26" s="20">
        <f>RicusPolice!AL23</f>
        <v>0</v>
      </c>
      <c r="D26" s="20">
        <f>RicusPolice!F23</f>
        <v>0</v>
      </c>
      <c r="E26" s="20">
        <f>RicusPolice!R23</f>
        <v>0</v>
      </c>
      <c r="F26" s="20">
        <f>RicusPolice!N23</f>
        <v>0</v>
      </c>
      <c r="G26" s="20">
        <f>IFERROR(VLOOKUP($B26,PerutYitrot!$D$6:$P$100,4,FALSE),0)</f>
        <v>0</v>
      </c>
      <c r="H26" s="20">
        <f t="shared" si="4"/>
        <v>0</v>
      </c>
      <c r="I26" s="20">
        <f>RicusPolice!L23</f>
        <v>0</v>
      </c>
      <c r="J26" s="179">
        <f>IFERROR(VLOOKUP(TRIM(K26),MyData!$J$43:$K$49,2,FALSE),0)</f>
        <v>0</v>
      </c>
      <c r="K26" s="20">
        <f>RicusPolice!M23</f>
        <v>0</v>
      </c>
      <c r="L26" s="20">
        <f>RicusPolice!AM23</f>
        <v>0</v>
      </c>
      <c r="M26" s="20" t="str">
        <f>IF(B26&gt;0,RicusPolice!Y23," ")</f>
        <v xml:space="preserve"> </v>
      </c>
      <c r="N26" s="20" t="str">
        <f t="shared" si="5"/>
        <v/>
      </c>
      <c r="O26" s="20">
        <f>RicusPolice!N23</f>
        <v>0</v>
      </c>
      <c r="P26" s="20">
        <f>IFERROR(VLOOKUP(B26,PerutMasluleiHashkaa!$D$6:$R$100,4,FALSE),0)</f>
        <v>0</v>
      </c>
      <c r="Q26" s="19"/>
      <c r="R26" s="20">
        <f>RicusPolice!P23</f>
        <v>0</v>
      </c>
      <c r="S26" s="20"/>
      <c r="T26" s="21">
        <f>'נתונים ידניים'!H26</f>
        <v>0</v>
      </c>
      <c r="U26" s="21"/>
      <c r="V26" s="20">
        <f>PerutHafrashotLePolisa!E23</f>
        <v>0</v>
      </c>
      <c r="W26" s="20">
        <f>PerutHafrashotLePolisa!F23</f>
        <v>0</v>
      </c>
      <c r="X26" s="20">
        <f>PerutHafrashotLePolisa!G23</f>
        <v>0</v>
      </c>
      <c r="Y26">
        <f t="shared" si="6"/>
        <v>0</v>
      </c>
      <c r="Z26">
        <f>IFERROR(VLOOKUP(B26,PirteiHaasaka!$D$6:$R$100,5,FALSE),0)</f>
        <v>0</v>
      </c>
      <c r="AB26">
        <f>IFERROR(VLOOKUP(B26,HafkadotMetchilatShanaAverages!$D$6:$E$100,2,FALSE),0)</f>
        <v>0</v>
      </c>
      <c r="AF26">
        <f>IFERROR(VLOOKUP(B26,CrossTabYitraLeTkufa_till_2000!$D$6:$AB$100,6,FALSE),0)+IFERROR(VLOOKUP(B26,CrossTabYitraLeTkufa_after_2000!$D$6:$AB$100,6,FALSE),0)</f>
        <v>0</v>
      </c>
      <c r="AG26">
        <f>IFERROR(VLOOKUP(B26,CrossTabYitraLeTkufa_till_2000!$D$6:$AB$100,16,FALSE),0)</f>
        <v>0</v>
      </c>
      <c r="AH26">
        <f>IFERROR(VLOOKUP(B26,CrossTabYitraLeTkufa_after_2000!$D$6:$AB$100,16,FALSE),0)</f>
        <v>0</v>
      </c>
      <c r="AI26">
        <f>IFERROR(VLOOKUP(B26,CrossTabYitraLeTkufa_till_2000!$D$6:$AB$100,17,FALSE),0)</f>
        <v>0</v>
      </c>
      <c r="AJ26">
        <f>IFERROR(VLOOKUP(B26,CrossTabYitraLeTkufa_after_2000!$D$6:$AB$100,17,FALSE),0)</f>
        <v>0</v>
      </c>
      <c r="AK26" s="5">
        <f t="shared" si="7"/>
        <v>0</v>
      </c>
      <c r="AN26">
        <f>IFERROR(VLOOKUP(B26,PirteiKisuiBeMutzar_procerur!$C$6:$AA$100,2,FALSE),0)</f>
        <v>0</v>
      </c>
      <c r="AP26">
        <f>IFERROR(VLOOKUP($B26,PirteiKisuiBeMutzar_procerur!$C$6:$AA$100,5,FALSE),0)</f>
        <v>0</v>
      </c>
      <c r="AQ26">
        <f>IFERROR(VLOOKUP($B26,PirteiKisuiBeMutzar_procerur!$C$6:$AA$100,3,FALSE),0)</f>
        <v>0</v>
      </c>
      <c r="AR26">
        <f>IFERROR(VLOOKUP($B26,PirteiKisuiBeMutzar_procerur!$C$6:$AA$100,6,FALSE),0)</f>
        <v>0</v>
      </c>
      <c r="AS26">
        <f>IFERROR(VLOOKUP($B26,PirteiKisuiBeMutzar_procerur!$C$6:$AA$100,7,FALSE),0)</f>
        <v>0</v>
      </c>
      <c r="AW26">
        <f t="shared" si="8"/>
        <v>0</v>
      </c>
      <c r="AX26">
        <f t="shared" si="9"/>
        <v>0</v>
      </c>
      <c r="AY26">
        <f t="shared" si="10"/>
        <v>0</v>
      </c>
      <c r="AZ26">
        <f t="shared" si="11"/>
        <v>0</v>
      </c>
      <c r="BA26">
        <f t="shared" si="12"/>
        <v>0</v>
      </c>
      <c r="BB26">
        <f t="shared" si="13"/>
        <v>0</v>
      </c>
      <c r="BC26">
        <f t="shared" si="14"/>
        <v>0</v>
      </c>
      <c r="BD26">
        <f t="shared" si="15"/>
        <v>0</v>
      </c>
      <c r="BE26">
        <f t="shared" si="16"/>
        <v>0</v>
      </c>
      <c r="BF26">
        <f t="shared" si="49"/>
        <v>0</v>
      </c>
      <c r="BG26">
        <f t="shared" si="17"/>
        <v>0</v>
      </c>
      <c r="BH26">
        <f t="shared" si="18"/>
        <v>0</v>
      </c>
      <c r="BI26">
        <f t="shared" si="19"/>
        <v>0</v>
      </c>
      <c r="BK26">
        <f t="shared" si="20"/>
        <v>0</v>
      </c>
      <c r="BL26">
        <f t="shared" si="21"/>
        <v>0</v>
      </c>
      <c r="BM26">
        <f t="shared" si="22"/>
        <v>0</v>
      </c>
      <c r="BN26">
        <f t="shared" si="23"/>
        <v>0</v>
      </c>
      <c r="BO26">
        <f t="shared" si="24"/>
        <v>0</v>
      </c>
      <c r="BR26">
        <f t="shared" si="25"/>
        <v>0</v>
      </c>
      <c r="BS26">
        <f t="shared" si="26"/>
        <v>0</v>
      </c>
      <c r="BT26">
        <f t="shared" si="27"/>
        <v>0</v>
      </c>
      <c r="BU26">
        <f t="shared" si="28"/>
        <v>0</v>
      </c>
      <c r="BV26">
        <f t="shared" si="29"/>
        <v>0</v>
      </c>
      <c r="BX26">
        <f t="shared" si="30"/>
        <v>0</v>
      </c>
      <c r="BY26">
        <f t="shared" si="31"/>
        <v>0</v>
      </c>
      <c r="BZ26">
        <f t="shared" si="32"/>
        <v>0</v>
      </c>
      <c r="CA26">
        <f t="shared" si="33"/>
        <v>0</v>
      </c>
      <c r="CB26">
        <f t="shared" si="34"/>
        <v>0</v>
      </c>
      <c r="CE26">
        <f t="shared" si="35"/>
        <v>0</v>
      </c>
      <c r="CF26">
        <f t="shared" si="36"/>
        <v>0</v>
      </c>
      <c r="CG26">
        <f t="shared" si="37"/>
        <v>0</v>
      </c>
      <c r="CH26">
        <f t="shared" si="38"/>
        <v>0</v>
      </c>
      <c r="CI26">
        <f t="shared" si="39"/>
        <v>0</v>
      </c>
      <c r="CL26">
        <f t="shared" si="40"/>
        <v>0</v>
      </c>
      <c r="CM26">
        <f t="shared" si="41"/>
        <v>0</v>
      </c>
      <c r="CN26">
        <f t="shared" si="42"/>
        <v>0</v>
      </c>
      <c r="CO26">
        <f t="shared" si="43"/>
        <v>0</v>
      </c>
      <c r="CP26">
        <f t="shared" si="44"/>
        <v>0</v>
      </c>
      <c r="CQ26">
        <f>IFERROR(VLOOKUP($B26,SchumeiBituahYesodi!$C$6:$AA$100,8,FALSE),0)</f>
        <v>0</v>
      </c>
      <c r="CR26">
        <f>IFERROR(VLOOKUP($B26,PirteiKisuiBeMutzar_procerur!$C$6:$AA$100,2,FALSE),0)</f>
        <v>0</v>
      </c>
      <c r="CS26">
        <f>IFERROR(VLOOKUP($B26,PirteiKisuiBeMutzar_procerur!$C$6:$AA$100,3,FALSE),0)</f>
        <v>0</v>
      </c>
      <c r="CT26">
        <f>IFERROR(VLOOKUP($B26,PirteiKisuiBeMutzar_procerur!$C$6:$AA$100,4,FALSE),0)</f>
        <v>0</v>
      </c>
      <c r="CU26">
        <f>IFERROR(VLOOKUP($B26,PirteiKisuiBeMutzar_procerur!$C$6:$AA$100,5,FALSE),0)</f>
        <v>0</v>
      </c>
      <c r="CV26">
        <f>IFERROR(VLOOKUP($B26,PirteiKisuiBeMutzar_procerur!$C$6:$AA$100,6,FALSE),0)</f>
        <v>0</v>
      </c>
      <c r="CW26">
        <f>IFERROR(VLOOKUP($B26,PirteiKisuiBeMutzar_procerur!$C$6:$AA$100,7,FALSE),0)</f>
        <v>0</v>
      </c>
      <c r="CX26">
        <f>IFERROR(VLOOKUP($B26,PirteiKisuiBeMutzar_procerur!$C$6:$AA$100,8,FALSE),0)</f>
        <v>0</v>
      </c>
      <c r="CY26">
        <f>IFERROR(VLOOKUP($B26,PirteiKisuiBeMutzar_procerur!$C$6:$AA$100,9,FALSE),0)</f>
        <v>0</v>
      </c>
      <c r="CZ26">
        <f>IFERROR(VLOOKUP($B26,PirteiKisuiBeMutzar_procerur!$C$6:$AA$100,10,FALSE),0)</f>
        <v>0</v>
      </c>
      <c r="DA26">
        <f>IFERROR(VLOOKUP($B26,PirteiKisuiBeMutzar_procerur!$C$6:$AA$100,11,FALSE),0)</f>
        <v>0</v>
      </c>
      <c r="DB26">
        <f>IFERROR(VLOOKUP($B26,PirteiKisuiBeMutzarPrmia!$C$6:$AA$100,2,FALSE),0)</f>
        <v>0</v>
      </c>
      <c r="DC26">
        <f>IFERROR(VLOOKUP($B26,PirteiKisuiBeMutzarPrmia!$C$6:$AA$100,3,FALSE),0)</f>
        <v>0</v>
      </c>
      <c r="DD26">
        <f>IFERROR(VLOOKUP($B26,PirteiKisuiBeMutzarPrmia!$C$6:$AA$100,4,FALSE),0)</f>
        <v>0</v>
      </c>
      <c r="DE26">
        <f>IFERROR(VLOOKUP($B26,PirteiKisuiBeMutzarPrmia!$C$6:$AA$100,5,FALSE),0)</f>
        <v>0</v>
      </c>
      <c r="DF26">
        <f>IFERROR(VLOOKUP($B26,PirteiKisuiBeMutzarPrmia!$C$6:$AA$100,6,FALSE),0)</f>
        <v>0</v>
      </c>
      <c r="DG26">
        <f>IFERROR(VLOOKUP($B26,PirteiKisuiBeMutzarPrmia!$C$6:$AA$100,7,FALSE),0)</f>
        <v>0</v>
      </c>
      <c r="DH26">
        <f>IFERROR(VLOOKUP($B26,PirteiKisuiBeMutzarPrmia!$C$6:$AA$100,8,FALSE),0)</f>
        <v>0</v>
      </c>
      <c r="DI26">
        <f>IFERROR(VLOOKUP($B26,PirteiKisuiBeMutzarPrmia!$C$6:$AA$100,9,FALSE),0)</f>
        <v>0</v>
      </c>
      <c r="DJ26">
        <f>IFERROR(VLOOKUP($B26,PirteiKisuiBeMutzarPrmia!$C$6:$AA$100,10,FALSE),0)</f>
        <v>0</v>
      </c>
      <c r="DK26">
        <f>IFERROR(VLOOKUP($B26,PirteiKisuiBeMutzarPrmia!$C$6:$AA$100,11,FALSE),0)</f>
        <v>0</v>
      </c>
      <c r="DL26">
        <f t="shared" si="1"/>
        <v>0</v>
      </c>
      <c r="DM26">
        <f t="shared" si="45"/>
        <v>0</v>
      </c>
      <c r="DN26">
        <f t="shared" si="46"/>
        <v>0</v>
      </c>
      <c r="DO26">
        <f t="shared" si="2"/>
        <v>0</v>
      </c>
      <c r="DP26">
        <f t="shared" si="3"/>
        <v>0</v>
      </c>
      <c r="DQ26">
        <f>IF(OR(L26=1,L26=3),IFERROR(VLOOKUP($B26,PerutHafkadotMetchilatShanaAvgM!$C$6:$G$100,3,FALSE),0),0)</f>
        <v>0</v>
      </c>
      <c r="DR26">
        <f>IF(OR(L26=2,L26=4),IFERROR(VLOOKUP($B26,PerutHafkadotMetchilatShanaAvgM!$C$6:$G$100,3,FALSE),0),0)</f>
        <v>0</v>
      </c>
      <c r="DS26">
        <f>IFERROR(VLOOKUP($B26,PerutHafkadotMetchilatShanaAvgM!$C$6:$G$100,4,FALSE),0)</f>
        <v>0</v>
      </c>
      <c r="DT26">
        <f>IFERROR(VLOOKUP($B26,Kupa!$D$6:$AA$100,5,FALSE),0)</f>
        <v>0</v>
      </c>
      <c r="DU26">
        <f>IFERROR(VLOOKUP($B26,Kupa!$D$6:$AA$100,6,FALSE),0)</f>
        <v>0</v>
      </c>
      <c r="DV26">
        <f>IFERROR(VLOOKUP($B26,KisuiBKerenPensiaDBWithParams!$D$6:$AP$100,9,FALSE),0)</f>
        <v>0</v>
      </c>
      <c r="DW26">
        <f>IFERROR(VLOOKUP($B26,KisuiBKerenPensiaDBWithParams!$D$6:$AP$100,12,FALSE),0)</f>
        <v>0</v>
      </c>
      <c r="DX26">
        <f>IFERROR(VLOOKUP($B26,KisuiBKerenPensiaDBWithParams!$D$6:$AP$100,13,FALSE),0)</f>
        <v>0</v>
      </c>
      <c r="DY26">
        <f>IFERROR(VLOOKUP($B26,KisuiBKerenPensiaDBWithParams!$D$6:$AP$100,7,FALSE),0)</f>
        <v>0</v>
      </c>
      <c r="DZ26">
        <f>IFERROR(VLOOKUP($B26,KisuiBKerenPensiaDBWithParams!$D$6:$AP$100,17,FALSE),0)</f>
        <v>0</v>
      </c>
      <c r="EA26">
        <f>IFERROR(VLOOKUP($B26,KisuiBKerenPensiaDBWithParams!$D$6:$AP$100,20,FALSE),0)</f>
        <v>0</v>
      </c>
      <c r="EB26">
        <f>IFERROR(VLOOKUP($B26,KisuiBKerenPensiaDBWithParams!$D$6:$AP$100,21,FALSE),0)</f>
        <v>0</v>
      </c>
      <c r="EC26">
        <f t="shared" si="47"/>
        <v>0</v>
      </c>
      <c r="EG26">
        <f>IF(OR(G26=MyData!$J$50,G26=MyData!$J$51,G26=MyData!$J$52),1,IF(G26=MyData!$J$49,2,0))</f>
        <v>0</v>
      </c>
    </row>
    <row r="27" spans="1:137">
      <c r="A27">
        <f t="shared" si="48"/>
        <v>0</v>
      </c>
      <c r="B27" s="20">
        <f>RicusPolice!E24</f>
        <v>0</v>
      </c>
      <c r="C27" s="20">
        <f>RicusPolice!AL24</f>
        <v>0</v>
      </c>
      <c r="D27" s="20">
        <f>RicusPolice!F24</f>
        <v>0</v>
      </c>
      <c r="E27" s="20">
        <f>RicusPolice!R24</f>
        <v>0</v>
      </c>
      <c r="F27" s="20">
        <f>RicusPolice!N24</f>
        <v>0</v>
      </c>
      <c r="G27" s="20">
        <f>IFERROR(VLOOKUP($B27,PerutYitrot!$D$6:$P$100,4,FALSE),0)</f>
        <v>0</v>
      </c>
      <c r="H27" s="20">
        <f t="shared" si="4"/>
        <v>0</v>
      </c>
      <c r="I27" s="20">
        <f>RicusPolice!L24</f>
        <v>0</v>
      </c>
      <c r="J27" s="179">
        <f>IFERROR(VLOOKUP(TRIM(K27),MyData!$J$43:$K$49,2,FALSE),0)</f>
        <v>0</v>
      </c>
      <c r="K27" s="20">
        <f>RicusPolice!M24</f>
        <v>0</v>
      </c>
      <c r="L27" s="20">
        <f>RicusPolice!AM24</f>
        <v>0</v>
      </c>
      <c r="M27" s="20" t="str">
        <f>IF(B27&gt;0,RicusPolice!Y24," ")</f>
        <v xml:space="preserve"> </v>
      </c>
      <c r="N27" s="20" t="str">
        <f t="shared" si="5"/>
        <v/>
      </c>
      <c r="O27" s="20">
        <f>RicusPolice!N24</f>
        <v>0</v>
      </c>
      <c r="P27" s="20">
        <f>IFERROR(VLOOKUP(B27,PerutMasluleiHashkaa!$D$6:$R$100,4,FALSE),0)</f>
        <v>0</v>
      </c>
      <c r="Q27" s="19"/>
      <c r="R27" s="20">
        <f>RicusPolice!P24</f>
        <v>0</v>
      </c>
      <c r="S27" s="20"/>
      <c r="T27" s="21">
        <f>'נתונים ידניים'!H27</f>
        <v>0</v>
      </c>
      <c r="U27" s="21"/>
      <c r="V27" s="20">
        <f>PerutHafrashotLePolisa!E24</f>
        <v>0</v>
      </c>
      <c r="W27" s="20">
        <f>PerutHafrashotLePolisa!F24</f>
        <v>0</v>
      </c>
      <c r="X27" s="20">
        <f>PerutHafrashotLePolisa!G24</f>
        <v>0</v>
      </c>
      <c r="Y27">
        <f t="shared" si="6"/>
        <v>0</v>
      </c>
      <c r="Z27">
        <f>IFERROR(VLOOKUP(B27,PirteiHaasaka!$D$6:$R$100,5,FALSE),0)</f>
        <v>0</v>
      </c>
      <c r="AB27">
        <f>IFERROR(VLOOKUP(B27,HafkadotMetchilatShanaAverages!$D$6:$E$100,2,FALSE),0)</f>
        <v>0</v>
      </c>
      <c r="AF27">
        <f>IFERROR(VLOOKUP(B27,CrossTabYitraLeTkufa_till_2000!$D$6:$AB$100,6,FALSE),0)+IFERROR(VLOOKUP(B27,CrossTabYitraLeTkufa_after_2000!$D$6:$AB$100,6,FALSE),0)</f>
        <v>0</v>
      </c>
      <c r="AG27">
        <f>IFERROR(VLOOKUP(B27,CrossTabYitraLeTkufa_till_2000!$D$6:$AB$100,16,FALSE),0)</f>
        <v>0</v>
      </c>
      <c r="AH27">
        <f>IFERROR(VLOOKUP(B27,CrossTabYitraLeTkufa_after_2000!$D$6:$AB$100,16,FALSE),0)</f>
        <v>0</v>
      </c>
      <c r="AI27">
        <f>IFERROR(VLOOKUP(B27,CrossTabYitraLeTkufa_till_2000!$D$6:$AB$100,17,FALSE),0)</f>
        <v>0</v>
      </c>
      <c r="AJ27">
        <f>IFERROR(VLOOKUP(B27,CrossTabYitraLeTkufa_after_2000!$D$6:$AB$100,17,FALSE),0)</f>
        <v>0</v>
      </c>
      <c r="AK27" s="5">
        <f t="shared" si="7"/>
        <v>0</v>
      </c>
      <c r="AN27">
        <f>IFERROR(VLOOKUP(B27,PirteiKisuiBeMutzar_procerur!$C$6:$AA$100,2,FALSE),0)</f>
        <v>0</v>
      </c>
      <c r="AP27">
        <f>IFERROR(VLOOKUP($B27,PirteiKisuiBeMutzar_procerur!$C$6:$AA$100,5,FALSE),0)</f>
        <v>0</v>
      </c>
      <c r="AQ27">
        <f>IFERROR(VLOOKUP($B27,PirteiKisuiBeMutzar_procerur!$C$6:$AA$100,3,FALSE),0)</f>
        <v>0</v>
      </c>
      <c r="AR27">
        <f>IFERROR(VLOOKUP($B27,PirteiKisuiBeMutzar_procerur!$C$6:$AA$100,6,FALSE),0)</f>
        <v>0</v>
      </c>
      <c r="AS27">
        <f>IFERROR(VLOOKUP($B27,PirteiKisuiBeMutzar_procerur!$C$6:$AA$100,7,FALSE),0)</f>
        <v>0</v>
      </c>
      <c r="AW27">
        <f t="shared" si="8"/>
        <v>0</v>
      </c>
      <c r="AX27">
        <f t="shared" si="9"/>
        <v>0</v>
      </c>
      <c r="AY27">
        <f t="shared" si="10"/>
        <v>0</v>
      </c>
      <c r="AZ27">
        <f t="shared" si="11"/>
        <v>0</v>
      </c>
      <c r="BA27">
        <f t="shared" si="12"/>
        <v>0</v>
      </c>
      <c r="BB27">
        <f t="shared" si="13"/>
        <v>0</v>
      </c>
      <c r="BC27">
        <f t="shared" si="14"/>
        <v>0</v>
      </c>
      <c r="BD27">
        <f t="shared" si="15"/>
        <v>0</v>
      </c>
      <c r="BE27">
        <f t="shared" si="16"/>
        <v>0</v>
      </c>
      <c r="BF27">
        <f t="shared" si="49"/>
        <v>0</v>
      </c>
      <c r="BG27">
        <f t="shared" si="17"/>
        <v>0</v>
      </c>
      <c r="BH27">
        <f t="shared" si="18"/>
        <v>0</v>
      </c>
      <c r="BI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0</v>
      </c>
      <c r="BO27">
        <f t="shared" si="24"/>
        <v>0</v>
      </c>
      <c r="BR27">
        <f t="shared" si="25"/>
        <v>0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0</v>
      </c>
      <c r="BX27">
        <f t="shared" si="30"/>
        <v>0</v>
      </c>
      <c r="BY27">
        <f t="shared" si="31"/>
        <v>0</v>
      </c>
      <c r="BZ27">
        <f t="shared" si="32"/>
        <v>0</v>
      </c>
      <c r="CA27">
        <f t="shared" si="33"/>
        <v>0</v>
      </c>
      <c r="CB27">
        <f t="shared" si="34"/>
        <v>0</v>
      </c>
      <c r="CE27">
        <f t="shared" si="35"/>
        <v>0</v>
      </c>
      <c r="CF27">
        <f t="shared" si="36"/>
        <v>0</v>
      </c>
      <c r="CG27">
        <f t="shared" si="37"/>
        <v>0</v>
      </c>
      <c r="CH27">
        <f t="shared" si="38"/>
        <v>0</v>
      </c>
      <c r="CI27">
        <f t="shared" si="39"/>
        <v>0</v>
      </c>
      <c r="CL27">
        <f t="shared" si="40"/>
        <v>0</v>
      </c>
      <c r="CM27">
        <f t="shared" si="41"/>
        <v>0</v>
      </c>
      <c r="CN27">
        <f t="shared" si="42"/>
        <v>0</v>
      </c>
      <c r="CO27">
        <f t="shared" si="43"/>
        <v>0</v>
      </c>
      <c r="CP27">
        <f t="shared" si="44"/>
        <v>0</v>
      </c>
      <c r="CQ27">
        <f>IFERROR(VLOOKUP($B27,SchumeiBituahYesodi!$C$6:$AA$100,8,FALSE),0)</f>
        <v>0</v>
      </c>
      <c r="CR27">
        <f>IFERROR(VLOOKUP($B27,PirteiKisuiBeMutzar_procerur!$C$6:$AA$100,2,FALSE),0)</f>
        <v>0</v>
      </c>
      <c r="CS27">
        <f>IFERROR(VLOOKUP($B27,PirteiKisuiBeMutzar_procerur!$C$6:$AA$100,3,FALSE),0)</f>
        <v>0</v>
      </c>
      <c r="CT27">
        <f>IFERROR(VLOOKUP($B27,PirteiKisuiBeMutzar_procerur!$C$6:$AA$100,4,FALSE),0)</f>
        <v>0</v>
      </c>
      <c r="CU27">
        <f>IFERROR(VLOOKUP($B27,PirteiKisuiBeMutzar_procerur!$C$6:$AA$100,5,FALSE),0)</f>
        <v>0</v>
      </c>
      <c r="CV27">
        <f>IFERROR(VLOOKUP($B27,PirteiKisuiBeMutzar_procerur!$C$6:$AA$100,6,FALSE),0)</f>
        <v>0</v>
      </c>
      <c r="CW27">
        <f>IFERROR(VLOOKUP($B27,PirteiKisuiBeMutzar_procerur!$C$6:$AA$100,7,FALSE),0)</f>
        <v>0</v>
      </c>
      <c r="CX27">
        <f>IFERROR(VLOOKUP($B27,PirteiKisuiBeMutzar_procerur!$C$6:$AA$100,8,FALSE),0)</f>
        <v>0</v>
      </c>
      <c r="CY27">
        <f>IFERROR(VLOOKUP($B27,PirteiKisuiBeMutzar_procerur!$C$6:$AA$100,9,FALSE),0)</f>
        <v>0</v>
      </c>
      <c r="CZ27">
        <f>IFERROR(VLOOKUP($B27,PirteiKisuiBeMutzar_procerur!$C$6:$AA$100,10,FALSE),0)</f>
        <v>0</v>
      </c>
      <c r="DA27">
        <f>IFERROR(VLOOKUP($B27,PirteiKisuiBeMutzar_procerur!$C$6:$AA$100,11,FALSE),0)</f>
        <v>0</v>
      </c>
      <c r="DB27">
        <f>IFERROR(VLOOKUP($B27,PirteiKisuiBeMutzarPrmia!$C$6:$AA$100,2,FALSE),0)</f>
        <v>0</v>
      </c>
      <c r="DC27">
        <f>IFERROR(VLOOKUP($B27,PirteiKisuiBeMutzarPrmia!$C$6:$AA$100,3,FALSE),0)</f>
        <v>0</v>
      </c>
      <c r="DD27">
        <f>IFERROR(VLOOKUP($B27,PirteiKisuiBeMutzarPrmia!$C$6:$AA$100,4,FALSE),0)</f>
        <v>0</v>
      </c>
      <c r="DE27">
        <f>IFERROR(VLOOKUP($B27,PirteiKisuiBeMutzarPrmia!$C$6:$AA$100,5,FALSE),0)</f>
        <v>0</v>
      </c>
      <c r="DF27">
        <f>IFERROR(VLOOKUP($B27,PirteiKisuiBeMutzarPrmia!$C$6:$AA$100,6,FALSE),0)</f>
        <v>0</v>
      </c>
      <c r="DG27">
        <f>IFERROR(VLOOKUP($B27,PirteiKisuiBeMutzarPrmia!$C$6:$AA$100,7,FALSE),0)</f>
        <v>0</v>
      </c>
      <c r="DH27">
        <f>IFERROR(VLOOKUP($B27,PirteiKisuiBeMutzarPrmia!$C$6:$AA$100,8,FALSE),0)</f>
        <v>0</v>
      </c>
      <c r="DI27">
        <f>IFERROR(VLOOKUP($B27,PirteiKisuiBeMutzarPrmia!$C$6:$AA$100,9,FALSE),0)</f>
        <v>0</v>
      </c>
      <c r="DJ27">
        <f>IFERROR(VLOOKUP($B27,PirteiKisuiBeMutzarPrmia!$C$6:$AA$100,10,FALSE),0)</f>
        <v>0</v>
      </c>
      <c r="DK27">
        <f>IFERROR(VLOOKUP($B27,PirteiKisuiBeMutzarPrmia!$C$6:$AA$100,11,FALSE),0)</f>
        <v>0</v>
      </c>
      <c r="DL27">
        <f t="shared" si="1"/>
        <v>0</v>
      </c>
      <c r="DM27">
        <f t="shared" si="45"/>
        <v>0</v>
      </c>
      <c r="DN27">
        <f t="shared" si="46"/>
        <v>0</v>
      </c>
      <c r="DO27">
        <f t="shared" si="2"/>
        <v>0</v>
      </c>
      <c r="DP27">
        <f t="shared" si="3"/>
        <v>0</v>
      </c>
      <c r="DQ27">
        <f>IF(OR(L27=1,L27=3),IFERROR(VLOOKUP($B27,PerutHafkadotMetchilatShanaAvgM!$C$6:$G$100,3,FALSE),0),0)</f>
        <v>0</v>
      </c>
      <c r="DR27">
        <f>IF(OR(L27=2,L27=4),IFERROR(VLOOKUP($B27,PerutHafkadotMetchilatShanaAvgM!$C$6:$G$100,3,FALSE),0),0)</f>
        <v>0</v>
      </c>
      <c r="DS27">
        <f>IFERROR(VLOOKUP($B27,PerutHafkadotMetchilatShanaAvgM!$C$6:$G$100,4,FALSE),0)</f>
        <v>0</v>
      </c>
      <c r="DT27">
        <f>IFERROR(VLOOKUP($B27,Kupa!$D$6:$AA$100,5,FALSE),0)</f>
        <v>0</v>
      </c>
      <c r="DU27">
        <f>IFERROR(VLOOKUP($B27,Kupa!$D$6:$AA$100,6,FALSE),0)</f>
        <v>0</v>
      </c>
      <c r="DV27">
        <f>IFERROR(VLOOKUP($B27,KisuiBKerenPensiaDBWithParams!$D$6:$AP$100,9,FALSE),0)</f>
        <v>0</v>
      </c>
      <c r="DW27">
        <f>IFERROR(VLOOKUP($B27,KisuiBKerenPensiaDBWithParams!$D$6:$AP$100,12,FALSE),0)</f>
        <v>0</v>
      </c>
      <c r="DX27">
        <f>IFERROR(VLOOKUP($B27,KisuiBKerenPensiaDBWithParams!$D$6:$AP$100,13,FALSE),0)</f>
        <v>0</v>
      </c>
      <c r="DY27">
        <f>IFERROR(VLOOKUP($B27,KisuiBKerenPensiaDBWithParams!$D$6:$AP$100,7,FALSE),0)</f>
        <v>0</v>
      </c>
      <c r="DZ27">
        <f>IFERROR(VLOOKUP($B27,KisuiBKerenPensiaDBWithParams!$D$6:$AP$100,17,FALSE),0)</f>
        <v>0</v>
      </c>
      <c r="EA27">
        <f>IFERROR(VLOOKUP($B27,KisuiBKerenPensiaDBWithParams!$D$6:$AP$100,20,FALSE),0)</f>
        <v>0</v>
      </c>
      <c r="EB27">
        <f>IFERROR(VLOOKUP($B27,KisuiBKerenPensiaDBWithParams!$D$6:$AP$100,21,FALSE),0)</f>
        <v>0</v>
      </c>
      <c r="EC27">
        <f t="shared" si="47"/>
        <v>0</v>
      </c>
      <c r="EG27">
        <f>IF(OR(G27=MyData!$J$50,G27=MyData!$J$51,G27=MyData!$J$52),1,IF(G27=MyData!$J$49,2,0))</f>
        <v>0</v>
      </c>
    </row>
    <row r="28" spans="1:137">
      <c r="A28">
        <f t="shared" si="48"/>
        <v>0</v>
      </c>
      <c r="B28" s="20">
        <f>RicusPolice!E25</f>
        <v>0</v>
      </c>
      <c r="C28" s="20">
        <f>RicusPolice!AL25</f>
        <v>0</v>
      </c>
      <c r="D28" s="20">
        <f>RicusPolice!F25</f>
        <v>0</v>
      </c>
      <c r="E28" s="20">
        <f>RicusPolice!R25</f>
        <v>0</v>
      </c>
      <c r="F28" s="20">
        <f>RicusPolice!N25</f>
        <v>0</v>
      </c>
      <c r="G28" s="20">
        <f>IFERROR(VLOOKUP($B28,PerutYitrot!$D$6:$P$100,4,FALSE),0)</f>
        <v>0</v>
      </c>
      <c r="H28" s="20">
        <f t="shared" si="4"/>
        <v>0</v>
      </c>
      <c r="I28" s="20">
        <f>RicusPolice!L25</f>
        <v>0</v>
      </c>
      <c r="J28" s="179">
        <f>IFERROR(VLOOKUP(TRIM(K28),MyData!$J$43:$K$49,2,FALSE),0)</f>
        <v>0</v>
      </c>
      <c r="K28" s="20">
        <f>RicusPolice!M25</f>
        <v>0</v>
      </c>
      <c r="L28" s="20">
        <f>RicusPolice!AM25</f>
        <v>0</v>
      </c>
      <c r="M28" s="20" t="str">
        <f>IF(B28&gt;0,RicusPolice!Y25," ")</f>
        <v xml:space="preserve"> </v>
      </c>
      <c r="N28" s="20" t="str">
        <f t="shared" si="5"/>
        <v/>
      </c>
      <c r="O28" s="20">
        <f>RicusPolice!N25</f>
        <v>0</v>
      </c>
      <c r="P28" s="20">
        <f>IFERROR(VLOOKUP(B28,PerutMasluleiHashkaa!$D$6:$R$100,4,FALSE),0)</f>
        <v>0</v>
      </c>
      <c r="Q28" s="19"/>
      <c r="R28" s="20">
        <f>RicusPolice!P25</f>
        <v>0</v>
      </c>
      <c r="S28" s="20"/>
      <c r="T28" s="21">
        <f>'נתונים ידניים'!H28</f>
        <v>0</v>
      </c>
      <c r="U28" s="21"/>
      <c r="V28" s="20">
        <f>PerutHafrashotLePolisa!E25</f>
        <v>0</v>
      </c>
      <c r="W28" s="20">
        <f>PerutHafrashotLePolisa!F25</f>
        <v>0</v>
      </c>
      <c r="X28" s="20">
        <f>PerutHafrashotLePolisa!G25</f>
        <v>0</v>
      </c>
      <c r="Y28">
        <f t="shared" si="6"/>
        <v>0</v>
      </c>
      <c r="Z28">
        <f>IFERROR(VLOOKUP(B28,PirteiHaasaka!$D$6:$R$100,5,FALSE),0)</f>
        <v>0</v>
      </c>
      <c r="AB28">
        <f>IFERROR(VLOOKUP(B28,HafkadotMetchilatShanaAverages!$D$6:$E$100,2,FALSE),0)</f>
        <v>0</v>
      </c>
      <c r="AF28">
        <f>IFERROR(VLOOKUP(B28,CrossTabYitraLeTkufa_till_2000!$D$6:$AB$100,6,FALSE),0)+IFERROR(VLOOKUP(B28,CrossTabYitraLeTkufa_after_2000!$D$6:$AB$100,6,FALSE),0)</f>
        <v>0</v>
      </c>
      <c r="AG28">
        <f>IFERROR(VLOOKUP(B28,CrossTabYitraLeTkufa_till_2000!$D$6:$AB$100,16,FALSE),0)</f>
        <v>0</v>
      </c>
      <c r="AH28">
        <f>IFERROR(VLOOKUP(B28,CrossTabYitraLeTkufa_after_2000!$D$6:$AB$100,16,FALSE),0)</f>
        <v>0</v>
      </c>
      <c r="AI28">
        <f>IFERROR(VLOOKUP(B28,CrossTabYitraLeTkufa_till_2000!$D$6:$AB$100,17,FALSE),0)</f>
        <v>0</v>
      </c>
      <c r="AJ28">
        <f>IFERROR(VLOOKUP(B28,CrossTabYitraLeTkufa_after_2000!$D$6:$AB$100,17,FALSE),0)</f>
        <v>0</v>
      </c>
      <c r="AK28" s="5">
        <f t="shared" si="7"/>
        <v>0</v>
      </c>
      <c r="AN28">
        <f>IFERROR(VLOOKUP(B28,PirteiKisuiBeMutzar_procerur!$C$6:$AA$100,2,FALSE),0)</f>
        <v>0</v>
      </c>
      <c r="AP28">
        <f>IFERROR(VLOOKUP($B28,PirteiKisuiBeMutzar_procerur!$C$6:$AA$100,5,FALSE),0)</f>
        <v>0</v>
      </c>
      <c r="AQ28">
        <f>IFERROR(VLOOKUP($B28,PirteiKisuiBeMutzar_procerur!$C$6:$AA$100,3,FALSE),0)</f>
        <v>0</v>
      </c>
      <c r="AR28">
        <f>IFERROR(VLOOKUP($B28,PirteiKisuiBeMutzar_procerur!$C$6:$AA$100,6,FALSE),0)</f>
        <v>0</v>
      </c>
      <c r="AS28">
        <f>IFERROR(VLOOKUP($B28,PirteiKisuiBeMutzar_procerur!$C$6:$AA$100,7,FALSE),0)</f>
        <v>0</v>
      </c>
      <c r="AW28">
        <f t="shared" si="8"/>
        <v>0</v>
      </c>
      <c r="AX28">
        <f t="shared" si="9"/>
        <v>0</v>
      </c>
      <c r="AY28">
        <f t="shared" si="10"/>
        <v>0</v>
      </c>
      <c r="AZ28">
        <f t="shared" si="11"/>
        <v>0</v>
      </c>
      <c r="BA28">
        <f t="shared" si="12"/>
        <v>0</v>
      </c>
      <c r="BB28">
        <f t="shared" si="13"/>
        <v>0</v>
      </c>
      <c r="BC28">
        <f t="shared" si="14"/>
        <v>0</v>
      </c>
      <c r="BD28">
        <f t="shared" si="15"/>
        <v>0</v>
      </c>
      <c r="BE28">
        <f t="shared" si="16"/>
        <v>0</v>
      </c>
      <c r="BF28">
        <f t="shared" si="49"/>
        <v>0</v>
      </c>
      <c r="BG28">
        <f t="shared" si="17"/>
        <v>0</v>
      </c>
      <c r="BH28">
        <f t="shared" si="18"/>
        <v>0</v>
      </c>
      <c r="BI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0</v>
      </c>
      <c r="BO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0</v>
      </c>
      <c r="BX28">
        <f t="shared" si="30"/>
        <v>0</v>
      </c>
      <c r="BY28">
        <f t="shared" si="31"/>
        <v>0</v>
      </c>
      <c r="BZ28">
        <f t="shared" si="32"/>
        <v>0</v>
      </c>
      <c r="CA28">
        <f t="shared" si="33"/>
        <v>0</v>
      </c>
      <c r="CB28">
        <f t="shared" si="34"/>
        <v>0</v>
      </c>
      <c r="CE28">
        <f t="shared" si="35"/>
        <v>0</v>
      </c>
      <c r="CF28">
        <f t="shared" si="36"/>
        <v>0</v>
      </c>
      <c r="CG28">
        <f t="shared" si="37"/>
        <v>0</v>
      </c>
      <c r="CH28">
        <f t="shared" si="38"/>
        <v>0</v>
      </c>
      <c r="CI28">
        <f t="shared" si="39"/>
        <v>0</v>
      </c>
      <c r="CL28">
        <f t="shared" si="40"/>
        <v>0</v>
      </c>
      <c r="CM28">
        <f t="shared" si="41"/>
        <v>0</v>
      </c>
      <c r="CN28">
        <f t="shared" si="42"/>
        <v>0</v>
      </c>
      <c r="CO28">
        <f t="shared" si="43"/>
        <v>0</v>
      </c>
      <c r="CP28">
        <f t="shared" si="44"/>
        <v>0</v>
      </c>
      <c r="CQ28">
        <f>IFERROR(VLOOKUP($B28,SchumeiBituahYesodi!$C$6:$AA$100,8,FALSE),0)</f>
        <v>0</v>
      </c>
      <c r="CR28">
        <f>IFERROR(VLOOKUP($B28,PirteiKisuiBeMutzar_procerur!$C$6:$AA$100,2,FALSE),0)</f>
        <v>0</v>
      </c>
      <c r="CS28">
        <f>IFERROR(VLOOKUP($B28,PirteiKisuiBeMutzar_procerur!$C$6:$AA$100,3,FALSE),0)</f>
        <v>0</v>
      </c>
      <c r="CT28">
        <f>IFERROR(VLOOKUP($B28,PirteiKisuiBeMutzar_procerur!$C$6:$AA$100,4,FALSE),0)</f>
        <v>0</v>
      </c>
      <c r="CU28">
        <f>IFERROR(VLOOKUP($B28,PirteiKisuiBeMutzar_procerur!$C$6:$AA$100,5,FALSE),0)</f>
        <v>0</v>
      </c>
      <c r="CV28">
        <f>IFERROR(VLOOKUP($B28,PirteiKisuiBeMutzar_procerur!$C$6:$AA$100,6,FALSE),0)</f>
        <v>0</v>
      </c>
      <c r="CW28">
        <f>IFERROR(VLOOKUP($B28,PirteiKisuiBeMutzar_procerur!$C$6:$AA$100,7,FALSE),0)</f>
        <v>0</v>
      </c>
      <c r="CX28">
        <f>IFERROR(VLOOKUP($B28,PirteiKisuiBeMutzar_procerur!$C$6:$AA$100,8,FALSE),0)</f>
        <v>0</v>
      </c>
      <c r="CY28">
        <f>IFERROR(VLOOKUP($B28,PirteiKisuiBeMutzar_procerur!$C$6:$AA$100,9,FALSE),0)</f>
        <v>0</v>
      </c>
      <c r="CZ28">
        <f>IFERROR(VLOOKUP($B28,PirteiKisuiBeMutzar_procerur!$C$6:$AA$100,10,FALSE),0)</f>
        <v>0</v>
      </c>
      <c r="DA28">
        <f>IFERROR(VLOOKUP($B28,PirteiKisuiBeMutzar_procerur!$C$6:$AA$100,11,FALSE),0)</f>
        <v>0</v>
      </c>
      <c r="DB28">
        <f>IFERROR(VLOOKUP($B28,PirteiKisuiBeMutzarPrmia!$C$6:$AA$100,2,FALSE),0)</f>
        <v>0</v>
      </c>
      <c r="DC28">
        <f>IFERROR(VLOOKUP($B28,PirteiKisuiBeMutzarPrmia!$C$6:$AA$100,3,FALSE),0)</f>
        <v>0</v>
      </c>
      <c r="DD28">
        <f>IFERROR(VLOOKUP($B28,PirteiKisuiBeMutzarPrmia!$C$6:$AA$100,4,FALSE),0)</f>
        <v>0</v>
      </c>
      <c r="DE28">
        <f>IFERROR(VLOOKUP($B28,PirteiKisuiBeMutzarPrmia!$C$6:$AA$100,5,FALSE),0)</f>
        <v>0</v>
      </c>
      <c r="DF28">
        <f>IFERROR(VLOOKUP($B28,PirteiKisuiBeMutzarPrmia!$C$6:$AA$100,6,FALSE),0)</f>
        <v>0</v>
      </c>
      <c r="DG28">
        <f>IFERROR(VLOOKUP($B28,PirteiKisuiBeMutzarPrmia!$C$6:$AA$100,7,FALSE),0)</f>
        <v>0</v>
      </c>
      <c r="DH28">
        <f>IFERROR(VLOOKUP($B28,PirteiKisuiBeMutzarPrmia!$C$6:$AA$100,8,FALSE),0)</f>
        <v>0</v>
      </c>
      <c r="DI28">
        <f>IFERROR(VLOOKUP($B28,PirteiKisuiBeMutzarPrmia!$C$6:$AA$100,9,FALSE),0)</f>
        <v>0</v>
      </c>
      <c r="DJ28">
        <f>IFERROR(VLOOKUP($B28,PirteiKisuiBeMutzarPrmia!$C$6:$AA$100,10,FALSE),0)</f>
        <v>0</v>
      </c>
      <c r="DK28">
        <f>IFERROR(VLOOKUP($B28,PirteiKisuiBeMutzarPrmia!$C$6:$AA$100,11,FALSE),0)</f>
        <v>0</v>
      </c>
      <c r="DL28">
        <f t="shared" si="1"/>
        <v>0</v>
      </c>
      <c r="DM28">
        <f t="shared" si="45"/>
        <v>0</v>
      </c>
      <c r="DN28">
        <f t="shared" si="46"/>
        <v>0</v>
      </c>
      <c r="DO28">
        <f t="shared" si="2"/>
        <v>0</v>
      </c>
      <c r="DP28">
        <f t="shared" si="3"/>
        <v>0</v>
      </c>
      <c r="DQ28">
        <f>IF(OR(L28=1,L28=3),IFERROR(VLOOKUP($B28,PerutHafkadotMetchilatShanaAvgM!$C$6:$G$100,3,FALSE),0),0)</f>
        <v>0</v>
      </c>
      <c r="DR28">
        <f>IF(OR(L28=2,L28=4),IFERROR(VLOOKUP($B28,PerutHafkadotMetchilatShanaAvgM!$C$6:$G$100,3,FALSE),0),0)</f>
        <v>0</v>
      </c>
      <c r="DS28">
        <f>IFERROR(VLOOKUP($B28,PerutHafkadotMetchilatShanaAvgM!$C$6:$G$100,4,FALSE),0)</f>
        <v>0</v>
      </c>
      <c r="DT28">
        <f>IFERROR(VLOOKUP($B28,Kupa!$D$6:$AA$100,5,FALSE),0)</f>
        <v>0</v>
      </c>
      <c r="DU28">
        <f>IFERROR(VLOOKUP($B28,Kupa!$D$6:$AA$100,6,FALSE),0)</f>
        <v>0</v>
      </c>
      <c r="DV28">
        <f>IFERROR(VLOOKUP($B28,KisuiBKerenPensiaDBWithParams!$D$6:$AP$100,9,FALSE),0)</f>
        <v>0</v>
      </c>
      <c r="DW28">
        <f>IFERROR(VLOOKUP($B28,KisuiBKerenPensiaDBWithParams!$D$6:$AP$100,12,FALSE),0)</f>
        <v>0</v>
      </c>
      <c r="DX28">
        <f>IFERROR(VLOOKUP($B28,KisuiBKerenPensiaDBWithParams!$D$6:$AP$100,13,FALSE),0)</f>
        <v>0</v>
      </c>
      <c r="DY28">
        <f>IFERROR(VLOOKUP($B28,KisuiBKerenPensiaDBWithParams!$D$6:$AP$100,7,FALSE),0)</f>
        <v>0</v>
      </c>
      <c r="DZ28">
        <f>IFERROR(VLOOKUP($B28,KisuiBKerenPensiaDBWithParams!$D$6:$AP$100,17,FALSE),0)</f>
        <v>0</v>
      </c>
      <c r="EA28">
        <f>IFERROR(VLOOKUP($B28,KisuiBKerenPensiaDBWithParams!$D$6:$AP$100,20,FALSE),0)</f>
        <v>0</v>
      </c>
      <c r="EB28">
        <f>IFERROR(VLOOKUP($B28,KisuiBKerenPensiaDBWithParams!$D$6:$AP$100,21,FALSE),0)</f>
        <v>0</v>
      </c>
      <c r="EC28">
        <f t="shared" si="47"/>
        <v>0</v>
      </c>
      <c r="EG28">
        <f>IF(OR(G28=MyData!$J$50,G28=MyData!$J$51,G28=MyData!$J$52),1,IF(G28=MyData!$J$49,2,0))</f>
        <v>0</v>
      </c>
    </row>
    <row r="29" spans="1:137">
      <c r="A29">
        <f t="shared" si="48"/>
        <v>0</v>
      </c>
      <c r="B29" s="20">
        <f>RicusPolice!E26</f>
        <v>0</v>
      </c>
      <c r="C29" s="20">
        <f>RicusPolice!AL26</f>
        <v>0</v>
      </c>
      <c r="D29" s="20">
        <f>RicusPolice!F26</f>
        <v>0</v>
      </c>
      <c r="E29" s="20">
        <f>RicusPolice!R26</f>
        <v>0</v>
      </c>
      <c r="F29" s="20">
        <f>RicusPolice!N26</f>
        <v>0</v>
      </c>
      <c r="G29" s="20">
        <f>IFERROR(VLOOKUP($B29,PerutYitrot!$D$6:$P$100,4,FALSE),0)</f>
        <v>0</v>
      </c>
      <c r="H29" s="20">
        <f t="shared" si="4"/>
        <v>0</v>
      </c>
      <c r="I29" s="20">
        <f>RicusPolice!L26</f>
        <v>0</v>
      </c>
      <c r="J29" s="179">
        <f>IFERROR(VLOOKUP(TRIM(K29),MyData!$J$43:$K$49,2,FALSE),0)</f>
        <v>0</v>
      </c>
      <c r="K29" s="20">
        <f>RicusPolice!M26</f>
        <v>0</v>
      </c>
      <c r="L29" s="20">
        <f>RicusPolice!AM26</f>
        <v>0</v>
      </c>
      <c r="M29" s="20" t="str">
        <f>IF(B29&gt;0,RicusPolice!Y26," ")</f>
        <v xml:space="preserve"> </v>
      </c>
      <c r="N29" s="20" t="str">
        <f t="shared" si="5"/>
        <v/>
      </c>
      <c r="O29" s="20">
        <f>RicusPolice!N26</f>
        <v>0</v>
      </c>
      <c r="P29" s="20">
        <f>IFERROR(VLOOKUP(B29,PerutMasluleiHashkaa!$D$6:$R$100,4,FALSE),0)</f>
        <v>0</v>
      </c>
      <c r="Q29" s="19"/>
      <c r="R29" s="20">
        <f>RicusPolice!P26</f>
        <v>0</v>
      </c>
      <c r="S29" s="20"/>
      <c r="T29" s="21">
        <f>'נתונים ידניים'!H29</f>
        <v>0</v>
      </c>
      <c r="U29" s="21"/>
      <c r="V29" s="20">
        <f>PerutHafrashotLePolisa!E26</f>
        <v>0</v>
      </c>
      <c r="W29" s="20">
        <f>PerutHafrashotLePolisa!F26</f>
        <v>0</v>
      </c>
      <c r="X29" s="20">
        <f>PerutHafrashotLePolisa!G26</f>
        <v>0</v>
      </c>
      <c r="Y29">
        <f t="shared" si="6"/>
        <v>0</v>
      </c>
      <c r="Z29">
        <f>IFERROR(VLOOKUP(B29,PirteiHaasaka!$D$6:$R$100,5,FALSE),0)</f>
        <v>0</v>
      </c>
      <c r="AB29">
        <f>IFERROR(VLOOKUP(B29,HafkadotMetchilatShanaAverages!$D$6:$E$100,2,FALSE),0)</f>
        <v>0</v>
      </c>
      <c r="AF29">
        <f>IFERROR(VLOOKUP(B29,CrossTabYitraLeTkufa_till_2000!$D$6:$AB$100,6,FALSE),0)+IFERROR(VLOOKUP(B29,CrossTabYitraLeTkufa_after_2000!$D$6:$AB$100,6,FALSE),0)</f>
        <v>0</v>
      </c>
      <c r="AG29">
        <f>IFERROR(VLOOKUP(B29,CrossTabYitraLeTkufa_till_2000!$D$6:$AB$100,16,FALSE),0)</f>
        <v>0</v>
      </c>
      <c r="AH29">
        <f>IFERROR(VLOOKUP(B29,CrossTabYitraLeTkufa_after_2000!$D$6:$AB$100,16,FALSE),0)</f>
        <v>0</v>
      </c>
      <c r="AI29">
        <f>IFERROR(VLOOKUP(B29,CrossTabYitraLeTkufa_till_2000!$D$6:$AB$100,17,FALSE),0)</f>
        <v>0</v>
      </c>
      <c r="AJ29">
        <f>IFERROR(VLOOKUP(B29,CrossTabYitraLeTkufa_after_2000!$D$6:$AB$100,17,FALSE),0)</f>
        <v>0</v>
      </c>
      <c r="AK29" s="5">
        <f t="shared" si="7"/>
        <v>0</v>
      </c>
      <c r="AN29">
        <f>IFERROR(VLOOKUP(B29,PirteiKisuiBeMutzar_procerur!$C$6:$AA$100,2,FALSE),0)</f>
        <v>0</v>
      </c>
      <c r="AP29">
        <f>IFERROR(VLOOKUP($B29,PirteiKisuiBeMutzar_procerur!$C$6:$AA$100,5,FALSE),0)</f>
        <v>0</v>
      </c>
      <c r="AQ29">
        <f>IFERROR(VLOOKUP($B29,PirteiKisuiBeMutzar_procerur!$C$6:$AA$100,3,FALSE),0)</f>
        <v>0</v>
      </c>
      <c r="AR29">
        <f>IFERROR(VLOOKUP($B29,PirteiKisuiBeMutzar_procerur!$C$6:$AA$100,6,FALSE),0)</f>
        <v>0</v>
      </c>
      <c r="AS29">
        <f>IFERROR(VLOOKUP($B29,PirteiKisuiBeMutzar_procerur!$C$6:$AA$100,7,FALSE),0)</f>
        <v>0</v>
      </c>
      <c r="AW29">
        <f t="shared" si="8"/>
        <v>0</v>
      </c>
      <c r="AX29">
        <f t="shared" si="9"/>
        <v>0</v>
      </c>
      <c r="AY29">
        <f t="shared" si="10"/>
        <v>0</v>
      </c>
      <c r="AZ29">
        <f t="shared" si="11"/>
        <v>0</v>
      </c>
      <c r="BA29">
        <f t="shared" si="12"/>
        <v>0</v>
      </c>
      <c r="BB29">
        <f t="shared" si="13"/>
        <v>0</v>
      </c>
      <c r="BC29">
        <f t="shared" si="14"/>
        <v>0</v>
      </c>
      <c r="BD29">
        <f t="shared" si="15"/>
        <v>0</v>
      </c>
      <c r="BE29">
        <f t="shared" si="16"/>
        <v>0</v>
      </c>
      <c r="BF29">
        <f t="shared" si="49"/>
        <v>0</v>
      </c>
      <c r="BG29">
        <f t="shared" si="17"/>
        <v>0</v>
      </c>
      <c r="BH29">
        <f t="shared" si="18"/>
        <v>0</v>
      </c>
      <c r="BI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0</v>
      </c>
      <c r="BO29">
        <f t="shared" si="24"/>
        <v>0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0</v>
      </c>
      <c r="BX29">
        <f t="shared" si="30"/>
        <v>0</v>
      </c>
      <c r="BY29">
        <f t="shared" si="31"/>
        <v>0</v>
      </c>
      <c r="BZ29">
        <f t="shared" si="32"/>
        <v>0</v>
      </c>
      <c r="CA29">
        <f t="shared" si="33"/>
        <v>0</v>
      </c>
      <c r="CB29">
        <f t="shared" si="34"/>
        <v>0</v>
      </c>
      <c r="CE29">
        <f t="shared" si="35"/>
        <v>0</v>
      </c>
      <c r="CF29">
        <f t="shared" si="36"/>
        <v>0</v>
      </c>
      <c r="CG29">
        <f t="shared" si="37"/>
        <v>0</v>
      </c>
      <c r="CH29">
        <f t="shared" si="38"/>
        <v>0</v>
      </c>
      <c r="CI29">
        <f t="shared" si="39"/>
        <v>0</v>
      </c>
      <c r="CL29">
        <f t="shared" si="40"/>
        <v>0</v>
      </c>
      <c r="CM29">
        <f t="shared" si="41"/>
        <v>0</v>
      </c>
      <c r="CN29">
        <f t="shared" si="42"/>
        <v>0</v>
      </c>
      <c r="CO29">
        <f t="shared" si="43"/>
        <v>0</v>
      </c>
      <c r="CP29">
        <f t="shared" si="44"/>
        <v>0</v>
      </c>
      <c r="CQ29">
        <f>IFERROR(VLOOKUP($B29,SchumeiBituahYesodi!$C$6:$AA$100,8,FALSE),0)</f>
        <v>0</v>
      </c>
      <c r="CR29">
        <f>IFERROR(VLOOKUP($B29,PirteiKisuiBeMutzar_procerur!$C$6:$AA$100,2,FALSE),0)</f>
        <v>0</v>
      </c>
      <c r="CS29">
        <f>IFERROR(VLOOKUP($B29,PirteiKisuiBeMutzar_procerur!$C$6:$AA$100,3,FALSE),0)</f>
        <v>0</v>
      </c>
      <c r="CT29">
        <f>IFERROR(VLOOKUP($B29,PirteiKisuiBeMutzar_procerur!$C$6:$AA$100,4,FALSE),0)</f>
        <v>0</v>
      </c>
      <c r="CU29">
        <f>IFERROR(VLOOKUP($B29,PirteiKisuiBeMutzar_procerur!$C$6:$AA$100,5,FALSE),0)</f>
        <v>0</v>
      </c>
      <c r="CV29">
        <f>IFERROR(VLOOKUP($B29,PirteiKisuiBeMutzar_procerur!$C$6:$AA$100,6,FALSE),0)</f>
        <v>0</v>
      </c>
      <c r="CW29">
        <f>IFERROR(VLOOKUP($B29,PirteiKisuiBeMutzar_procerur!$C$6:$AA$100,7,FALSE),0)</f>
        <v>0</v>
      </c>
      <c r="CX29">
        <f>IFERROR(VLOOKUP($B29,PirteiKisuiBeMutzar_procerur!$C$6:$AA$100,8,FALSE),0)</f>
        <v>0</v>
      </c>
      <c r="CY29">
        <f>IFERROR(VLOOKUP($B29,PirteiKisuiBeMutzar_procerur!$C$6:$AA$100,9,FALSE),0)</f>
        <v>0</v>
      </c>
      <c r="CZ29">
        <f>IFERROR(VLOOKUP($B29,PirteiKisuiBeMutzar_procerur!$C$6:$AA$100,10,FALSE),0)</f>
        <v>0</v>
      </c>
      <c r="DA29">
        <f>IFERROR(VLOOKUP($B29,PirteiKisuiBeMutzar_procerur!$C$6:$AA$100,11,FALSE),0)</f>
        <v>0</v>
      </c>
      <c r="DB29">
        <f>IFERROR(VLOOKUP($B29,PirteiKisuiBeMutzarPrmia!$C$6:$AA$100,2,FALSE),0)</f>
        <v>0</v>
      </c>
      <c r="DC29">
        <f>IFERROR(VLOOKUP($B29,PirteiKisuiBeMutzarPrmia!$C$6:$AA$100,3,FALSE),0)</f>
        <v>0</v>
      </c>
      <c r="DD29">
        <f>IFERROR(VLOOKUP($B29,PirteiKisuiBeMutzarPrmia!$C$6:$AA$100,4,FALSE),0)</f>
        <v>0</v>
      </c>
      <c r="DE29">
        <f>IFERROR(VLOOKUP($B29,PirteiKisuiBeMutzarPrmia!$C$6:$AA$100,5,FALSE),0)</f>
        <v>0</v>
      </c>
      <c r="DF29">
        <f>IFERROR(VLOOKUP($B29,PirteiKisuiBeMutzarPrmia!$C$6:$AA$100,6,FALSE),0)</f>
        <v>0</v>
      </c>
      <c r="DG29">
        <f>IFERROR(VLOOKUP($B29,PirteiKisuiBeMutzarPrmia!$C$6:$AA$100,7,FALSE),0)</f>
        <v>0</v>
      </c>
      <c r="DH29">
        <f>IFERROR(VLOOKUP($B29,PirteiKisuiBeMutzarPrmia!$C$6:$AA$100,8,FALSE),0)</f>
        <v>0</v>
      </c>
      <c r="DI29">
        <f>IFERROR(VLOOKUP($B29,PirteiKisuiBeMutzarPrmia!$C$6:$AA$100,9,FALSE),0)</f>
        <v>0</v>
      </c>
      <c r="DJ29">
        <f>IFERROR(VLOOKUP($B29,PirteiKisuiBeMutzarPrmia!$C$6:$AA$100,10,FALSE),0)</f>
        <v>0</v>
      </c>
      <c r="DK29">
        <f>IFERROR(VLOOKUP($B29,PirteiKisuiBeMutzarPrmia!$C$6:$AA$100,11,FALSE),0)</f>
        <v>0</v>
      </c>
      <c r="DL29">
        <f t="shared" si="1"/>
        <v>0</v>
      </c>
      <c r="DM29">
        <f t="shared" si="45"/>
        <v>0</v>
      </c>
      <c r="DN29">
        <f t="shared" si="46"/>
        <v>0</v>
      </c>
      <c r="DO29">
        <f t="shared" si="2"/>
        <v>0</v>
      </c>
      <c r="DP29">
        <f t="shared" si="3"/>
        <v>0</v>
      </c>
      <c r="DQ29">
        <f>IF(OR(L29=1,L29=3),IFERROR(VLOOKUP($B29,PerutHafkadotMetchilatShanaAvgM!$C$6:$G$100,3,FALSE),0),0)</f>
        <v>0</v>
      </c>
      <c r="DR29">
        <f>IF(OR(L29=2,L29=4),IFERROR(VLOOKUP($B29,PerutHafkadotMetchilatShanaAvgM!$C$6:$G$100,3,FALSE),0),0)</f>
        <v>0</v>
      </c>
      <c r="DS29">
        <f>IFERROR(VLOOKUP($B29,PerutHafkadotMetchilatShanaAvgM!$C$6:$G$100,4,FALSE),0)</f>
        <v>0</v>
      </c>
      <c r="DT29">
        <f>IFERROR(VLOOKUP($B29,Kupa!$D$6:$AA$100,5,FALSE),0)</f>
        <v>0</v>
      </c>
      <c r="DU29">
        <f>IFERROR(VLOOKUP($B29,Kupa!$D$6:$AA$100,6,FALSE),0)</f>
        <v>0</v>
      </c>
      <c r="DV29">
        <f>IFERROR(VLOOKUP($B29,KisuiBKerenPensiaDBWithParams!$D$6:$AP$100,9,FALSE),0)</f>
        <v>0</v>
      </c>
      <c r="DW29">
        <f>IFERROR(VLOOKUP($B29,KisuiBKerenPensiaDBWithParams!$D$6:$AP$100,12,FALSE),0)</f>
        <v>0</v>
      </c>
      <c r="DX29">
        <f>IFERROR(VLOOKUP($B29,KisuiBKerenPensiaDBWithParams!$D$6:$AP$100,13,FALSE),0)</f>
        <v>0</v>
      </c>
      <c r="DY29">
        <f>IFERROR(VLOOKUP($B29,KisuiBKerenPensiaDBWithParams!$D$6:$AP$100,7,FALSE),0)</f>
        <v>0</v>
      </c>
      <c r="DZ29">
        <f>IFERROR(VLOOKUP($B29,KisuiBKerenPensiaDBWithParams!$D$6:$AP$100,17,FALSE),0)</f>
        <v>0</v>
      </c>
      <c r="EA29">
        <f>IFERROR(VLOOKUP($B29,KisuiBKerenPensiaDBWithParams!$D$6:$AP$100,20,FALSE),0)</f>
        <v>0</v>
      </c>
      <c r="EB29">
        <f>IFERROR(VLOOKUP($B29,KisuiBKerenPensiaDBWithParams!$D$6:$AP$100,21,FALSE),0)</f>
        <v>0</v>
      </c>
      <c r="EC29">
        <f t="shared" si="47"/>
        <v>0</v>
      </c>
      <c r="EG29">
        <f>IF(OR(G29=MyData!$J$50,G29=MyData!$J$51,G29=MyData!$J$52),1,IF(G29=MyData!$J$49,2,0))</f>
        <v>0</v>
      </c>
    </row>
    <row r="30" spans="1:137">
      <c r="A30">
        <f t="shared" si="48"/>
        <v>0</v>
      </c>
      <c r="B30" s="20">
        <f>RicusPolice!E27</f>
        <v>0</v>
      </c>
      <c r="C30" s="20">
        <f>RicusPolice!AL27</f>
        <v>0</v>
      </c>
      <c r="D30" s="20">
        <f>RicusPolice!F27</f>
        <v>0</v>
      </c>
      <c r="E30" s="20">
        <f>RicusPolice!R27</f>
        <v>0</v>
      </c>
      <c r="F30" s="20">
        <f>RicusPolice!N27</f>
        <v>0</v>
      </c>
      <c r="G30" s="20">
        <f>IFERROR(VLOOKUP($B30,PerutYitrot!$D$6:$P$100,4,FALSE),0)</f>
        <v>0</v>
      </c>
      <c r="H30" s="20">
        <f t="shared" si="4"/>
        <v>0</v>
      </c>
      <c r="I30" s="20">
        <f>RicusPolice!L27</f>
        <v>0</v>
      </c>
      <c r="J30" s="179">
        <f>IFERROR(VLOOKUP(TRIM(K30),MyData!$J$43:$K$49,2,FALSE),0)</f>
        <v>0</v>
      </c>
      <c r="K30" s="20">
        <f>RicusPolice!M27</f>
        <v>0</v>
      </c>
      <c r="L30" s="20">
        <f>RicusPolice!AM27</f>
        <v>0</v>
      </c>
      <c r="M30" s="20" t="str">
        <f>IF(B30&gt;0,RicusPolice!Y27," ")</f>
        <v xml:space="preserve"> </v>
      </c>
      <c r="N30" s="20" t="str">
        <f t="shared" si="5"/>
        <v/>
      </c>
      <c r="O30" s="20">
        <f>RicusPolice!N27</f>
        <v>0</v>
      </c>
      <c r="P30" s="20">
        <f>IFERROR(VLOOKUP(B30,PerutMasluleiHashkaa!$D$6:$R$100,4,FALSE),0)</f>
        <v>0</v>
      </c>
      <c r="Q30" s="19"/>
      <c r="R30" s="20">
        <f>RicusPolice!P27</f>
        <v>0</v>
      </c>
      <c r="S30" s="20"/>
      <c r="T30" s="21">
        <f>'נתונים ידניים'!H30</f>
        <v>0</v>
      </c>
      <c r="U30" s="21"/>
      <c r="V30" s="20">
        <f>PerutHafrashotLePolisa!E27</f>
        <v>0</v>
      </c>
      <c r="W30" s="20">
        <f>PerutHafrashotLePolisa!F27</f>
        <v>0</v>
      </c>
      <c r="X30" s="20">
        <f>PerutHafrashotLePolisa!G27</f>
        <v>0</v>
      </c>
      <c r="Y30">
        <f t="shared" si="6"/>
        <v>0</v>
      </c>
      <c r="Z30">
        <f>IFERROR(VLOOKUP(B30,PirteiHaasaka!$D$6:$R$100,5,FALSE),0)</f>
        <v>0</v>
      </c>
      <c r="AB30">
        <f>IFERROR(VLOOKUP(B30,HafkadotMetchilatShanaAverages!$D$6:$E$100,2,FALSE),0)</f>
        <v>0</v>
      </c>
      <c r="AF30">
        <f>IFERROR(VLOOKUP(B30,CrossTabYitraLeTkufa_till_2000!$D$6:$AB$100,6,FALSE),0)+IFERROR(VLOOKUP(B30,CrossTabYitraLeTkufa_after_2000!$D$6:$AB$100,6,FALSE),0)</f>
        <v>0</v>
      </c>
      <c r="AG30">
        <f>IFERROR(VLOOKUP(B30,CrossTabYitraLeTkufa_till_2000!$D$6:$AB$100,16,FALSE),0)</f>
        <v>0</v>
      </c>
      <c r="AH30">
        <f>IFERROR(VLOOKUP(B30,CrossTabYitraLeTkufa_after_2000!$D$6:$AB$100,16,FALSE),0)</f>
        <v>0</v>
      </c>
      <c r="AI30">
        <f>IFERROR(VLOOKUP(B30,CrossTabYitraLeTkufa_till_2000!$D$6:$AB$100,17,FALSE),0)</f>
        <v>0</v>
      </c>
      <c r="AJ30">
        <f>IFERROR(VLOOKUP(B30,CrossTabYitraLeTkufa_after_2000!$D$6:$AB$100,17,FALSE),0)</f>
        <v>0</v>
      </c>
      <c r="AK30" s="5">
        <f t="shared" si="7"/>
        <v>0</v>
      </c>
      <c r="AN30">
        <f>IFERROR(VLOOKUP(B30,PirteiKisuiBeMutzar_procerur!$C$6:$AA$100,2,FALSE),0)</f>
        <v>0</v>
      </c>
      <c r="AP30">
        <f>IFERROR(VLOOKUP($B30,PirteiKisuiBeMutzar_procerur!$C$6:$AA$100,5,FALSE),0)</f>
        <v>0</v>
      </c>
      <c r="AQ30">
        <f>IFERROR(VLOOKUP($B30,PirteiKisuiBeMutzar_procerur!$C$6:$AA$100,3,FALSE),0)</f>
        <v>0</v>
      </c>
      <c r="AR30">
        <f>IFERROR(VLOOKUP($B30,PirteiKisuiBeMutzar_procerur!$C$6:$AA$100,6,FALSE),0)</f>
        <v>0</v>
      </c>
      <c r="AS30">
        <f>IFERROR(VLOOKUP($B30,PirteiKisuiBeMutzar_procerur!$C$6:$AA$100,7,FALSE),0)</f>
        <v>0</v>
      </c>
      <c r="AW30">
        <f t="shared" si="8"/>
        <v>0</v>
      </c>
      <c r="AX30">
        <f t="shared" si="9"/>
        <v>0</v>
      </c>
      <c r="AY30">
        <f t="shared" si="10"/>
        <v>0</v>
      </c>
      <c r="AZ30">
        <f t="shared" si="11"/>
        <v>0</v>
      </c>
      <c r="BA30">
        <f t="shared" si="12"/>
        <v>0</v>
      </c>
      <c r="BB30">
        <f t="shared" si="13"/>
        <v>0</v>
      </c>
      <c r="BC30">
        <f t="shared" si="14"/>
        <v>0</v>
      </c>
      <c r="BD30">
        <f t="shared" si="15"/>
        <v>0</v>
      </c>
      <c r="BE30">
        <f t="shared" si="16"/>
        <v>0</v>
      </c>
      <c r="BF30">
        <f t="shared" si="49"/>
        <v>0</v>
      </c>
      <c r="BG30">
        <f t="shared" si="17"/>
        <v>0</v>
      </c>
      <c r="BH30">
        <f t="shared" si="18"/>
        <v>0</v>
      </c>
      <c r="BI30">
        <f t="shared" si="19"/>
        <v>0</v>
      </c>
      <c r="BK30">
        <f t="shared" si="20"/>
        <v>0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R30">
        <f t="shared" si="25"/>
        <v>0</v>
      </c>
      <c r="BS30">
        <f t="shared" si="26"/>
        <v>0</v>
      </c>
      <c r="BT30">
        <f t="shared" si="27"/>
        <v>0</v>
      </c>
      <c r="BU30">
        <f t="shared" si="28"/>
        <v>0</v>
      </c>
      <c r="BV30">
        <f t="shared" si="29"/>
        <v>0</v>
      </c>
      <c r="BX30">
        <f t="shared" si="30"/>
        <v>0</v>
      </c>
      <c r="BY30">
        <f t="shared" si="31"/>
        <v>0</v>
      </c>
      <c r="BZ30">
        <f t="shared" si="32"/>
        <v>0</v>
      </c>
      <c r="CA30">
        <f t="shared" si="33"/>
        <v>0</v>
      </c>
      <c r="CB30">
        <f t="shared" si="34"/>
        <v>0</v>
      </c>
      <c r="CE30">
        <f t="shared" si="35"/>
        <v>0</v>
      </c>
      <c r="CF30">
        <f t="shared" si="36"/>
        <v>0</v>
      </c>
      <c r="CG30">
        <f t="shared" si="37"/>
        <v>0</v>
      </c>
      <c r="CH30">
        <f t="shared" si="38"/>
        <v>0</v>
      </c>
      <c r="CI30">
        <f t="shared" si="39"/>
        <v>0</v>
      </c>
      <c r="CL30">
        <f t="shared" si="40"/>
        <v>0</v>
      </c>
      <c r="CM30">
        <f t="shared" si="41"/>
        <v>0</v>
      </c>
      <c r="CN30">
        <f t="shared" si="42"/>
        <v>0</v>
      </c>
      <c r="CO30">
        <f t="shared" si="43"/>
        <v>0</v>
      </c>
      <c r="CP30">
        <f t="shared" si="44"/>
        <v>0</v>
      </c>
      <c r="CQ30">
        <f>IFERROR(VLOOKUP($B30,SchumeiBituahYesodi!$C$6:$AA$100,8,FALSE),0)</f>
        <v>0</v>
      </c>
      <c r="CR30">
        <f>IFERROR(VLOOKUP($B30,PirteiKisuiBeMutzar_procerur!$C$6:$AA$100,2,FALSE),0)</f>
        <v>0</v>
      </c>
      <c r="CS30">
        <f>IFERROR(VLOOKUP($B30,PirteiKisuiBeMutzar_procerur!$C$6:$AA$100,3,FALSE),0)</f>
        <v>0</v>
      </c>
      <c r="CT30">
        <f>IFERROR(VLOOKUP($B30,PirteiKisuiBeMutzar_procerur!$C$6:$AA$100,4,FALSE),0)</f>
        <v>0</v>
      </c>
      <c r="CU30">
        <f>IFERROR(VLOOKUP($B30,PirteiKisuiBeMutzar_procerur!$C$6:$AA$100,5,FALSE),0)</f>
        <v>0</v>
      </c>
      <c r="CV30">
        <f>IFERROR(VLOOKUP($B30,PirteiKisuiBeMutzar_procerur!$C$6:$AA$100,6,FALSE),0)</f>
        <v>0</v>
      </c>
      <c r="CW30">
        <f>IFERROR(VLOOKUP($B30,PirteiKisuiBeMutzar_procerur!$C$6:$AA$100,7,FALSE),0)</f>
        <v>0</v>
      </c>
      <c r="CX30">
        <f>IFERROR(VLOOKUP($B30,PirteiKisuiBeMutzar_procerur!$C$6:$AA$100,8,FALSE),0)</f>
        <v>0</v>
      </c>
      <c r="CY30">
        <f>IFERROR(VLOOKUP($B30,PirteiKisuiBeMutzar_procerur!$C$6:$AA$100,9,FALSE),0)</f>
        <v>0</v>
      </c>
      <c r="CZ30">
        <f>IFERROR(VLOOKUP($B30,PirteiKisuiBeMutzar_procerur!$C$6:$AA$100,10,FALSE),0)</f>
        <v>0</v>
      </c>
      <c r="DA30">
        <f>IFERROR(VLOOKUP($B30,PirteiKisuiBeMutzar_procerur!$C$6:$AA$100,11,FALSE),0)</f>
        <v>0</v>
      </c>
      <c r="DB30">
        <f>IFERROR(VLOOKUP($B30,PirteiKisuiBeMutzarPrmia!$C$6:$AA$100,2,FALSE),0)</f>
        <v>0</v>
      </c>
      <c r="DC30">
        <f>IFERROR(VLOOKUP($B30,PirteiKisuiBeMutzarPrmia!$C$6:$AA$100,3,FALSE),0)</f>
        <v>0</v>
      </c>
      <c r="DD30">
        <f>IFERROR(VLOOKUP($B30,PirteiKisuiBeMutzarPrmia!$C$6:$AA$100,4,FALSE),0)</f>
        <v>0</v>
      </c>
      <c r="DE30">
        <f>IFERROR(VLOOKUP($B30,PirteiKisuiBeMutzarPrmia!$C$6:$AA$100,5,FALSE),0)</f>
        <v>0</v>
      </c>
      <c r="DF30">
        <f>IFERROR(VLOOKUP($B30,PirteiKisuiBeMutzarPrmia!$C$6:$AA$100,6,FALSE),0)</f>
        <v>0</v>
      </c>
      <c r="DG30">
        <f>IFERROR(VLOOKUP($B30,PirteiKisuiBeMutzarPrmia!$C$6:$AA$100,7,FALSE),0)</f>
        <v>0</v>
      </c>
      <c r="DH30">
        <f>IFERROR(VLOOKUP($B30,PirteiKisuiBeMutzarPrmia!$C$6:$AA$100,8,FALSE),0)</f>
        <v>0</v>
      </c>
      <c r="DI30">
        <f>IFERROR(VLOOKUP($B30,PirteiKisuiBeMutzarPrmia!$C$6:$AA$100,9,FALSE),0)</f>
        <v>0</v>
      </c>
      <c r="DJ30">
        <f>IFERROR(VLOOKUP($B30,PirteiKisuiBeMutzarPrmia!$C$6:$AA$100,10,FALSE),0)</f>
        <v>0</v>
      </c>
      <c r="DK30">
        <f>IFERROR(VLOOKUP($B30,PirteiKisuiBeMutzarPrmia!$C$6:$AA$100,11,FALSE),0)</f>
        <v>0</v>
      </c>
      <c r="DL30">
        <f t="shared" si="1"/>
        <v>0</v>
      </c>
      <c r="DM30">
        <f t="shared" si="45"/>
        <v>0</v>
      </c>
      <c r="DN30">
        <f t="shared" si="46"/>
        <v>0</v>
      </c>
      <c r="DO30">
        <f t="shared" si="2"/>
        <v>0</v>
      </c>
      <c r="DP30">
        <f t="shared" si="3"/>
        <v>0</v>
      </c>
      <c r="DQ30">
        <f>IF(OR(L30=1,L30=3),IFERROR(VLOOKUP($B30,PerutHafkadotMetchilatShanaAvgM!$C$6:$G$100,3,FALSE),0),0)</f>
        <v>0</v>
      </c>
      <c r="DR30">
        <f>IF(OR(L30=2,L30=4),IFERROR(VLOOKUP($B30,PerutHafkadotMetchilatShanaAvgM!$C$6:$G$100,3,FALSE),0),0)</f>
        <v>0</v>
      </c>
      <c r="DS30">
        <f>IFERROR(VLOOKUP($B30,PerutHafkadotMetchilatShanaAvgM!$C$6:$G$100,4,FALSE),0)</f>
        <v>0</v>
      </c>
      <c r="DT30">
        <f>IFERROR(VLOOKUP($B30,Kupa!$D$6:$AA$100,5,FALSE),0)</f>
        <v>0</v>
      </c>
      <c r="DU30">
        <f>IFERROR(VLOOKUP($B30,Kupa!$D$6:$AA$100,6,FALSE),0)</f>
        <v>0</v>
      </c>
      <c r="DV30">
        <f>IFERROR(VLOOKUP($B30,KisuiBKerenPensiaDBWithParams!$D$6:$AP$100,9,FALSE),0)</f>
        <v>0</v>
      </c>
      <c r="DW30">
        <f>IFERROR(VLOOKUP($B30,KisuiBKerenPensiaDBWithParams!$D$6:$AP$100,12,FALSE),0)</f>
        <v>0</v>
      </c>
      <c r="DX30">
        <f>IFERROR(VLOOKUP($B30,KisuiBKerenPensiaDBWithParams!$D$6:$AP$100,13,FALSE),0)</f>
        <v>0</v>
      </c>
      <c r="DY30">
        <f>IFERROR(VLOOKUP($B30,KisuiBKerenPensiaDBWithParams!$D$6:$AP$100,7,FALSE),0)</f>
        <v>0</v>
      </c>
      <c r="DZ30">
        <f>IFERROR(VLOOKUP($B30,KisuiBKerenPensiaDBWithParams!$D$6:$AP$100,17,FALSE),0)</f>
        <v>0</v>
      </c>
      <c r="EA30">
        <f>IFERROR(VLOOKUP($B30,KisuiBKerenPensiaDBWithParams!$D$6:$AP$100,20,FALSE),0)</f>
        <v>0</v>
      </c>
      <c r="EB30">
        <f>IFERROR(VLOOKUP($B30,KisuiBKerenPensiaDBWithParams!$D$6:$AP$100,21,FALSE),0)</f>
        <v>0</v>
      </c>
      <c r="EC30">
        <f t="shared" si="47"/>
        <v>0</v>
      </c>
      <c r="EG30">
        <f>IF(OR(G30=MyData!$J$50,G30=MyData!$J$51,G30=MyData!$J$52),1,IF(G30=MyData!$J$49,2,0))</f>
        <v>0</v>
      </c>
    </row>
    <row r="31" spans="1:137">
      <c r="A31">
        <f t="shared" si="48"/>
        <v>0</v>
      </c>
      <c r="B31" s="20">
        <f>RicusPolice!E28</f>
        <v>0</v>
      </c>
      <c r="C31" s="20">
        <f>RicusPolice!AL28</f>
        <v>0</v>
      </c>
      <c r="D31" s="20">
        <f>RicusPolice!F28</f>
        <v>0</v>
      </c>
      <c r="E31" s="20">
        <f>RicusPolice!R28</f>
        <v>0</v>
      </c>
      <c r="F31" s="20">
        <f>RicusPolice!N28</f>
        <v>0</v>
      </c>
      <c r="G31" s="20">
        <f>IFERROR(VLOOKUP($B31,PerutYitrot!$D$6:$P$100,4,FALSE),0)</f>
        <v>0</v>
      </c>
      <c r="H31" s="20">
        <f t="shared" si="4"/>
        <v>0</v>
      </c>
      <c r="I31" s="20">
        <f>RicusPolice!L28</f>
        <v>0</v>
      </c>
      <c r="J31" s="179">
        <f>IFERROR(VLOOKUP(TRIM(K31),MyData!$J$43:$K$49,2,FALSE),0)</f>
        <v>0</v>
      </c>
      <c r="K31" s="20">
        <f>RicusPolice!M28</f>
        <v>0</v>
      </c>
      <c r="L31" s="20">
        <f>RicusPolice!AM28</f>
        <v>0</v>
      </c>
      <c r="M31" s="20" t="str">
        <f>IF(B31&gt;0,RicusPolice!Y28," ")</f>
        <v xml:space="preserve"> </v>
      </c>
      <c r="N31" s="20" t="str">
        <f t="shared" si="5"/>
        <v/>
      </c>
      <c r="O31" s="20">
        <f>RicusPolice!N28</f>
        <v>0</v>
      </c>
      <c r="P31" s="20">
        <f>IFERROR(VLOOKUP(B31,PerutMasluleiHashkaa!$D$6:$R$100,4,FALSE),0)</f>
        <v>0</v>
      </c>
      <c r="Q31" s="19"/>
      <c r="R31" s="20">
        <f>RicusPolice!P28</f>
        <v>0</v>
      </c>
      <c r="S31" s="20"/>
      <c r="T31" s="21">
        <f>'נתונים ידניים'!H31</f>
        <v>0</v>
      </c>
      <c r="U31" s="21"/>
      <c r="V31" s="20">
        <f>PerutHafrashotLePolisa!E28</f>
        <v>0</v>
      </c>
      <c r="W31" s="20">
        <f>PerutHafrashotLePolisa!F28</f>
        <v>0</v>
      </c>
      <c r="X31" s="20">
        <f>PerutHafrashotLePolisa!G28</f>
        <v>0</v>
      </c>
      <c r="Y31">
        <f t="shared" si="6"/>
        <v>0</v>
      </c>
      <c r="Z31">
        <f>IFERROR(VLOOKUP(B31,PirteiHaasaka!$D$6:$R$100,5,FALSE),0)</f>
        <v>0</v>
      </c>
      <c r="AB31">
        <f>IFERROR(VLOOKUP(B31,HafkadotMetchilatShanaAverages!$D$6:$E$100,2,FALSE),0)</f>
        <v>0</v>
      </c>
      <c r="AF31">
        <f>IFERROR(VLOOKUP(B31,CrossTabYitraLeTkufa_till_2000!$D$6:$AB$100,6,FALSE),0)+IFERROR(VLOOKUP(B31,CrossTabYitraLeTkufa_after_2000!$D$6:$AB$100,6,FALSE),0)</f>
        <v>0</v>
      </c>
      <c r="AG31">
        <f>IFERROR(VLOOKUP(B31,CrossTabYitraLeTkufa_till_2000!$D$6:$AB$100,16,FALSE),0)</f>
        <v>0</v>
      </c>
      <c r="AH31">
        <f>IFERROR(VLOOKUP(B31,CrossTabYitraLeTkufa_after_2000!$D$6:$AB$100,16,FALSE),0)</f>
        <v>0</v>
      </c>
      <c r="AI31">
        <f>IFERROR(VLOOKUP(B31,CrossTabYitraLeTkufa_till_2000!$D$6:$AB$100,17,FALSE),0)</f>
        <v>0</v>
      </c>
      <c r="AJ31">
        <f>IFERROR(VLOOKUP(B31,CrossTabYitraLeTkufa_after_2000!$D$6:$AB$100,17,FALSE),0)</f>
        <v>0</v>
      </c>
      <c r="AK31" s="5">
        <f t="shared" si="7"/>
        <v>0</v>
      </c>
      <c r="AN31">
        <f>IFERROR(VLOOKUP(B31,PirteiKisuiBeMutzar_procerur!$C$6:$AA$100,2,FALSE),0)</f>
        <v>0</v>
      </c>
      <c r="AP31">
        <f>IFERROR(VLOOKUP($B31,PirteiKisuiBeMutzar_procerur!$C$6:$AA$100,5,FALSE),0)</f>
        <v>0</v>
      </c>
      <c r="AQ31">
        <f>IFERROR(VLOOKUP($B31,PirteiKisuiBeMutzar_procerur!$C$6:$AA$100,3,FALSE),0)</f>
        <v>0</v>
      </c>
      <c r="AR31">
        <f>IFERROR(VLOOKUP($B31,PirteiKisuiBeMutzar_procerur!$C$6:$AA$100,6,FALSE),0)</f>
        <v>0</v>
      </c>
      <c r="AS31">
        <f>IFERROR(VLOOKUP($B31,PirteiKisuiBeMutzar_procerur!$C$6:$AA$100,7,FALSE),0)</f>
        <v>0</v>
      </c>
      <c r="AW31">
        <f t="shared" si="8"/>
        <v>0</v>
      </c>
      <c r="AX31">
        <f t="shared" si="9"/>
        <v>0</v>
      </c>
      <c r="AY31">
        <f t="shared" si="10"/>
        <v>0</v>
      </c>
      <c r="AZ31">
        <f t="shared" si="11"/>
        <v>0</v>
      </c>
      <c r="BA31">
        <f t="shared" si="12"/>
        <v>0</v>
      </c>
      <c r="BB31">
        <f t="shared" si="13"/>
        <v>0</v>
      </c>
      <c r="BC31">
        <f t="shared" si="14"/>
        <v>0</v>
      </c>
      <c r="BD31">
        <f t="shared" si="15"/>
        <v>0</v>
      </c>
      <c r="BE31">
        <f t="shared" si="16"/>
        <v>0</v>
      </c>
      <c r="BF31">
        <f t="shared" si="49"/>
        <v>0</v>
      </c>
      <c r="BG31">
        <f t="shared" si="17"/>
        <v>0</v>
      </c>
      <c r="BH31">
        <f t="shared" si="18"/>
        <v>0</v>
      </c>
      <c r="BI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0</v>
      </c>
      <c r="BO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0</v>
      </c>
      <c r="BX31">
        <f t="shared" si="30"/>
        <v>0</v>
      </c>
      <c r="BY31">
        <f t="shared" si="31"/>
        <v>0</v>
      </c>
      <c r="BZ31">
        <f t="shared" si="32"/>
        <v>0</v>
      </c>
      <c r="CA31">
        <f t="shared" si="33"/>
        <v>0</v>
      </c>
      <c r="CB31">
        <f t="shared" si="34"/>
        <v>0</v>
      </c>
      <c r="CE31">
        <f t="shared" si="35"/>
        <v>0</v>
      </c>
      <c r="CF31">
        <f t="shared" si="36"/>
        <v>0</v>
      </c>
      <c r="CG31">
        <f t="shared" si="37"/>
        <v>0</v>
      </c>
      <c r="CH31">
        <f t="shared" si="38"/>
        <v>0</v>
      </c>
      <c r="CI31">
        <f t="shared" si="39"/>
        <v>0</v>
      </c>
      <c r="CL31">
        <f t="shared" si="40"/>
        <v>0</v>
      </c>
      <c r="CM31">
        <f t="shared" si="41"/>
        <v>0</v>
      </c>
      <c r="CN31">
        <f t="shared" si="42"/>
        <v>0</v>
      </c>
      <c r="CO31">
        <f t="shared" si="43"/>
        <v>0</v>
      </c>
      <c r="CP31">
        <f t="shared" si="44"/>
        <v>0</v>
      </c>
      <c r="CQ31">
        <f>IFERROR(VLOOKUP($B31,SchumeiBituahYesodi!$C$6:$AA$100,8,FALSE),0)</f>
        <v>0</v>
      </c>
      <c r="CR31">
        <f>IFERROR(VLOOKUP($B31,PirteiKisuiBeMutzar_procerur!$C$6:$AA$100,2,FALSE),0)</f>
        <v>0</v>
      </c>
      <c r="CS31">
        <f>IFERROR(VLOOKUP($B31,PirteiKisuiBeMutzar_procerur!$C$6:$AA$100,3,FALSE),0)</f>
        <v>0</v>
      </c>
      <c r="CT31">
        <f>IFERROR(VLOOKUP($B31,PirteiKisuiBeMutzar_procerur!$C$6:$AA$100,4,FALSE),0)</f>
        <v>0</v>
      </c>
      <c r="CU31">
        <f>IFERROR(VLOOKUP($B31,PirteiKisuiBeMutzar_procerur!$C$6:$AA$100,5,FALSE),0)</f>
        <v>0</v>
      </c>
      <c r="CV31">
        <f>IFERROR(VLOOKUP($B31,PirteiKisuiBeMutzar_procerur!$C$6:$AA$100,6,FALSE),0)</f>
        <v>0</v>
      </c>
      <c r="CW31">
        <f>IFERROR(VLOOKUP($B31,PirteiKisuiBeMutzar_procerur!$C$6:$AA$100,7,FALSE),0)</f>
        <v>0</v>
      </c>
      <c r="CX31">
        <f>IFERROR(VLOOKUP($B31,PirteiKisuiBeMutzar_procerur!$C$6:$AA$100,8,FALSE),0)</f>
        <v>0</v>
      </c>
      <c r="CY31">
        <f>IFERROR(VLOOKUP($B31,PirteiKisuiBeMutzar_procerur!$C$6:$AA$100,9,FALSE),0)</f>
        <v>0</v>
      </c>
      <c r="CZ31">
        <f>IFERROR(VLOOKUP($B31,PirteiKisuiBeMutzar_procerur!$C$6:$AA$100,10,FALSE),0)</f>
        <v>0</v>
      </c>
      <c r="DA31">
        <f>IFERROR(VLOOKUP($B31,PirteiKisuiBeMutzar_procerur!$C$6:$AA$100,11,FALSE),0)</f>
        <v>0</v>
      </c>
      <c r="DB31">
        <f>IFERROR(VLOOKUP($B31,PirteiKisuiBeMutzarPrmia!$C$6:$AA$100,2,FALSE),0)</f>
        <v>0</v>
      </c>
      <c r="DC31">
        <f>IFERROR(VLOOKUP($B31,PirteiKisuiBeMutzarPrmia!$C$6:$AA$100,3,FALSE),0)</f>
        <v>0</v>
      </c>
      <c r="DD31">
        <f>IFERROR(VLOOKUP($B31,PirteiKisuiBeMutzarPrmia!$C$6:$AA$100,4,FALSE),0)</f>
        <v>0</v>
      </c>
      <c r="DE31">
        <f>IFERROR(VLOOKUP($B31,PirteiKisuiBeMutzarPrmia!$C$6:$AA$100,5,FALSE),0)</f>
        <v>0</v>
      </c>
      <c r="DF31">
        <f>IFERROR(VLOOKUP($B31,PirteiKisuiBeMutzarPrmia!$C$6:$AA$100,6,FALSE),0)</f>
        <v>0</v>
      </c>
      <c r="DG31">
        <f>IFERROR(VLOOKUP($B31,PirteiKisuiBeMutzarPrmia!$C$6:$AA$100,7,FALSE),0)</f>
        <v>0</v>
      </c>
      <c r="DH31">
        <f>IFERROR(VLOOKUP($B31,PirteiKisuiBeMutzarPrmia!$C$6:$AA$100,8,FALSE),0)</f>
        <v>0</v>
      </c>
      <c r="DI31">
        <f>IFERROR(VLOOKUP($B31,PirteiKisuiBeMutzarPrmia!$C$6:$AA$100,9,FALSE),0)</f>
        <v>0</v>
      </c>
      <c r="DJ31">
        <f>IFERROR(VLOOKUP($B31,PirteiKisuiBeMutzarPrmia!$C$6:$AA$100,10,FALSE),0)</f>
        <v>0</v>
      </c>
      <c r="DK31">
        <f>IFERROR(VLOOKUP($B31,PirteiKisuiBeMutzarPrmia!$C$6:$AA$100,11,FALSE),0)</f>
        <v>0</v>
      </c>
      <c r="DL31">
        <f t="shared" si="1"/>
        <v>0</v>
      </c>
      <c r="DM31">
        <f t="shared" si="45"/>
        <v>0</v>
      </c>
      <c r="DN31">
        <f t="shared" si="46"/>
        <v>0</v>
      </c>
      <c r="DO31">
        <f t="shared" si="2"/>
        <v>0</v>
      </c>
      <c r="DP31">
        <f t="shared" si="3"/>
        <v>0</v>
      </c>
      <c r="DQ31">
        <f>IF(OR(L31=1,L31=3),IFERROR(VLOOKUP($B31,PerutHafkadotMetchilatShanaAvgM!$C$6:$G$100,3,FALSE),0),0)</f>
        <v>0</v>
      </c>
      <c r="DR31">
        <f>IF(OR(L31=2,L31=4),IFERROR(VLOOKUP($B31,PerutHafkadotMetchilatShanaAvgM!$C$6:$G$100,3,FALSE),0),0)</f>
        <v>0</v>
      </c>
      <c r="DS31">
        <f>IFERROR(VLOOKUP($B31,PerutHafkadotMetchilatShanaAvgM!$C$6:$G$100,4,FALSE),0)</f>
        <v>0</v>
      </c>
      <c r="DT31">
        <f>IFERROR(VLOOKUP($B31,Kupa!$D$6:$AA$100,5,FALSE),0)</f>
        <v>0</v>
      </c>
      <c r="DU31">
        <f>IFERROR(VLOOKUP($B31,Kupa!$D$6:$AA$100,6,FALSE),0)</f>
        <v>0</v>
      </c>
      <c r="DV31">
        <f>IFERROR(VLOOKUP($B31,KisuiBKerenPensiaDBWithParams!$D$6:$AP$100,9,FALSE),0)</f>
        <v>0</v>
      </c>
      <c r="DW31">
        <f>IFERROR(VLOOKUP($B31,KisuiBKerenPensiaDBWithParams!$D$6:$AP$100,12,FALSE),0)</f>
        <v>0</v>
      </c>
      <c r="DX31">
        <f>IFERROR(VLOOKUP($B31,KisuiBKerenPensiaDBWithParams!$D$6:$AP$100,13,FALSE),0)</f>
        <v>0</v>
      </c>
      <c r="DY31">
        <f>IFERROR(VLOOKUP($B31,KisuiBKerenPensiaDBWithParams!$D$6:$AP$100,7,FALSE),0)</f>
        <v>0</v>
      </c>
      <c r="DZ31">
        <f>IFERROR(VLOOKUP($B31,KisuiBKerenPensiaDBWithParams!$D$6:$AP$100,17,FALSE),0)</f>
        <v>0</v>
      </c>
      <c r="EA31">
        <f>IFERROR(VLOOKUP($B31,KisuiBKerenPensiaDBWithParams!$D$6:$AP$100,20,FALSE),0)</f>
        <v>0</v>
      </c>
      <c r="EB31">
        <f>IFERROR(VLOOKUP($B31,KisuiBKerenPensiaDBWithParams!$D$6:$AP$100,21,FALSE),0)</f>
        <v>0</v>
      </c>
      <c r="EC31">
        <f t="shared" si="47"/>
        <v>0</v>
      </c>
      <c r="EG31">
        <f>IF(OR(G31=MyData!$J$50,G31=MyData!$J$51,G31=MyData!$J$52),1,IF(G31=MyData!$J$49,2,0))</f>
        <v>0</v>
      </c>
    </row>
    <row r="32" spans="1:137">
      <c r="A32">
        <f t="shared" si="48"/>
        <v>0</v>
      </c>
      <c r="B32" s="20">
        <f>RicusPolice!E29</f>
        <v>0</v>
      </c>
      <c r="C32" s="20">
        <f>RicusPolice!AL29</f>
        <v>0</v>
      </c>
      <c r="D32" s="20">
        <f>RicusPolice!F29</f>
        <v>0</v>
      </c>
      <c r="E32" s="20">
        <f>RicusPolice!R29</f>
        <v>0</v>
      </c>
      <c r="F32" s="20">
        <f>RicusPolice!N29</f>
        <v>0</v>
      </c>
      <c r="G32" s="20">
        <f>IFERROR(VLOOKUP($B32,PerutYitrot!$D$6:$P$100,4,FALSE),0)</f>
        <v>0</v>
      </c>
      <c r="H32" s="20">
        <f t="shared" si="4"/>
        <v>0</v>
      </c>
      <c r="I32" s="20">
        <f>RicusPolice!L29</f>
        <v>0</v>
      </c>
      <c r="J32" s="179">
        <f>IFERROR(VLOOKUP(TRIM(K32),MyData!$J$43:$K$49,2,FALSE),0)</f>
        <v>0</v>
      </c>
      <c r="K32" s="20">
        <f>RicusPolice!M29</f>
        <v>0</v>
      </c>
      <c r="L32" s="20">
        <f>RicusPolice!AM29</f>
        <v>0</v>
      </c>
      <c r="M32" s="20" t="str">
        <f>IF(B32&gt;0,RicusPolice!Y29," ")</f>
        <v xml:space="preserve"> </v>
      </c>
      <c r="N32" s="20" t="str">
        <f t="shared" si="5"/>
        <v/>
      </c>
      <c r="O32" s="20">
        <f>RicusPolice!N29</f>
        <v>0</v>
      </c>
      <c r="P32" s="20">
        <f>IFERROR(VLOOKUP(B32,PerutMasluleiHashkaa!$D$6:$R$100,4,FALSE),0)</f>
        <v>0</v>
      </c>
      <c r="Q32" s="19"/>
      <c r="R32" s="20">
        <f>RicusPolice!P29</f>
        <v>0</v>
      </c>
      <c r="S32" s="20"/>
      <c r="T32" s="21">
        <f>'נתונים ידניים'!H32</f>
        <v>0</v>
      </c>
      <c r="U32" s="21"/>
      <c r="V32" s="20">
        <f>PerutHafrashotLePolisa!E29</f>
        <v>0</v>
      </c>
      <c r="W32" s="20">
        <f>PerutHafrashotLePolisa!F29</f>
        <v>0</v>
      </c>
      <c r="X32" s="20">
        <f>PerutHafrashotLePolisa!G29</f>
        <v>0</v>
      </c>
      <c r="Y32">
        <f t="shared" si="6"/>
        <v>0</v>
      </c>
      <c r="Z32">
        <f>IFERROR(VLOOKUP(B32,PirteiHaasaka!$D$6:$R$100,5,FALSE),0)</f>
        <v>0</v>
      </c>
      <c r="AB32">
        <f>IFERROR(VLOOKUP(B32,HafkadotMetchilatShanaAverages!$D$6:$E$100,2,FALSE),0)</f>
        <v>0</v>
      </c>
      <c r="AF32">
        <f>IFERROR(VLOOKUP(B32,CrossTabYitraLeTkufa_till_2000!$D$6:$AB$100,6,FALSE),0)+IFERROR(VLOOKUP(B32,CrossTabYitraLeTkufa_after_2000!$D$6:$AB$100,6,FALSE),0)</f>
        <v>0</v>
      </c>
      <c r="AG32">
        <f>IFERROR(VLOOKUP(B32,CrossTabYitraLeTkufa_till_2000!$D$6:$AB$100,16,FALSE),0)</f>
        <v>0</v>
      </c>
      <c r="AH32">
        <f>IFERROR(VLOOKUP(B32,CrossTabYitraLeTkufa_after_2000!$D$6:$AB$100,16,FALSE),0)</f>
        <v>0</v>
      </c>
      <c r="AI32">
        <f>IFERROR(VLOOKUP(B32,CrossTabYitraLeTkufa_till_2000!$D$6:$AB$100,17,FALSE),0)</f>
        <v>0</v>
      </c>
      <c r="AJ32">
        <f>IFERROR(VLOOKUP(B32,CrossTabYitraLeTkufa_after_2000!$D$6:$AB$100,17,FALSE),0)</f>
        <v>0</v>
      </c>
      <c r="AK32" s="5">
        <f t="shared" si="7"/>
        <v>0</v>
      </c>
      <c r="AN32">
        <f>IFERROR(VLOOKUP(B32,PirteiKisuiBeMutzar_procerur!$C$6:$AA$100,2,FALSE),0)</f>
        <v>0</v>
      </c>
      <c r="AP32">
        <f>IFERROR(VLOOKUP($B32,PirteiKisuiBeMutzar_procerur!$C$6:$AA$100,5,FALSE),0)</f>
        <v>0</v>
      </c>
      <c r="AQ32">
        <f>IFERROR(VLOOKUP($B32,PirteiKisuiBeMutzar_procerur!$C$6:$AA$100,3,FALSE),0)</f>
        <v>0</v>
      </c>
      <c r="AR32">
        <f>IFERROR(VLOOKUP($B32,PirteiKisuiBeMutzar_procerur!$C$6:$AA$100,6,FALSE),0)</f>
        <v>0</v>
      </c>
      <c r="AS32">
        <f>IFERROR(VLOOKUP($B32,PirteiKisuiBeMutzar_procerur!$C$6:$AA$100,7,FALSE),0)</f>
        <v>0</v>
      </c>
      <c r="AW32">
        <f t="shared" si="8"/>
        <v>0</v>
      </c>
      <c r="AX32">
        <f t="shared" si="9"/>
        <v>0</v>
      </c>
      <c r="AY32">
        <f t="shared" si="10"/>
        <v>0</v>
      </c>
      <c r="AZ32">
        <f t="shared" si="11"/>
        <v>0</v>
      </c>
      <c r="BA32">
        <f t="shared" si="12"/>
        <v>0</v>
      </c>
      <c r="BB32">
        <f t="shared" si="13"/>
        <v>0</v>
      </c>
      <c r="BC32">
        <f t="shared" si="14"/>
        <v>0</v>
      </c>
      <c r="BD32">
        <f t="shared" si="15"/>
        <v>0</v>
      </c>
      <c r="BE32">
        <f t="shared" si="16"/>
        <v>0</v>
      </c>
      <c r="BF32">
        <f t="shared" si="49"/>
        <v>0</v>
      </c>
      <c r="BG32">
        <f t="shared" si="17"/>
        <v>0</v>
      </c>
      <c r="BH32">
        <f t="shared" si="18"/>
        <v>0</v>
      </c>
      <c r="BI32">
        <f t="shared" si="19"/>
        <v>0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0</v>
      </c>
      <c r="BO32">
        <f t="shared" si="24"/>
        <v>0</v>
      </c>
      <c r="BR32">
        <f t="shared" si="25"/>
        <v>0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0</v>
      </c>
      <c r="BX32">
        <f t="shared" si="30"/>
        <v>0</v>
      </c>
      <c r="BY32">
        <f t="shared" si="31"/>
        <v>0</v>
      </c>
      <c r="BZ32">
        <f t="shared" si="32"/>
        <v>0</v>
      </c>
      <c r="CA32">
        <f t="shared" si="33"/>
        <v>0</v>
      </c>
      <c r="CB32">
        <f t="shared" si="34"/>
        <v>0</v>
      </c>
      <c r="CE32">
        <f t="shared" si="35"/>
        <v>0</v>
      </c>
      <c r="CF32">
        <f t="shared" si="36"/>
        <v>0</v>
      </c>
      <c r="CG32">
        <f t="shared" si="37"/>
        <v>0</v>
      </c>
      <c r="CH32">
        <f t="shared" si="38"/>
        <v>0</v>
      </c>
      <c r="CI32">
        <f t="shared" si="39"/>
        <v>0</v>
      </c>
      <c r="CL32">
        <f t="shared" si="40"/>
        <v>0</v>
      </c>
      <c r="CM32">
        <f t="shared" si="41"/>
        <v>0</v>
      </c>
      <c r="CN32">
        <f t="shared" si="42"/>
        <v>0</v>
      </c>
      <c r="CO32">
        <f t="shared" si="43"/>
        <v>0</v>
      </c>
      <c r="CP32">
        <f t="shared" si="44"/>
        <v>0</v>
      </c>
      <c r="CQ32">
        <f>IFERROR(VLOOKUP($B32,SchumeiBituahYesodi!$C$6:$AA$100,8,FALSE),0)</f>
        <v>0</v>
      </c>
      <c r="CR32">
        <f>IFERROR(VLOOKUP($B32,PirteiKisuiBeMutzar_procerur!$C$6:$AA$100,2,FALSE),0)</f>
        <v>0</v>
      </c>
      <c r="CS32">
        <f>IFERROR(VLOOKUP($B32,PirteiKisuiBeMutzar_procerur!$C$6:$AA$100,3,FALSE),0)</f>
        <v>0</v>
      </c>
      <c r="CT32">
        <f>IFERROR(VLOOKUP($B32,PirteiKisuiBeMutzar_procerur!$C$6:$AA$100,4,FALSE),0)</f>
        <v>0</v>
      </c>
      <c r="CU32">
        <f>IFERROR(VLOOKUP($B32,PirteiKisuiBeMutzar_procerur!$C$6:$AA$100,5,FALSE),0)</f>
        <v>0</v>
      </c>
      <c r="CV32">
        <f>IFERROR(VLOOKUP($B32,PirteiKisuiBeMutzar_procerur!$C$6:$AA$100,6,FALSE),0)</f>
        <v>0</v>
      </c>
      <c r="CW32">
        <f>IFERROR(VLOOKUP($B32,PirteiKisuiBeMutzar_procerur!$C$6:$AA$100,7,FALSE),0)</f>
        <v>0</v>
      </c>
      <c r="CX32">
        <f>IFERROR(VLOOKUP($B32,PirteiKisuiBeMutzar_procerur!$C$6:$AA$100,8,FALSE),0)</f>
        <v>0</v>
      </c>
      <c r="CY32">
        <f>IFERROR(VLOOKUP($B32,PirteiKisuiBeMutzar_procerur!$C$6:$AA$100,9,FALSE),0)</f>
        <v>0</v>
      </c>
      <c r="CZ32">
        <f>IFERROR(VLOOKUP($B32,PirteiKisuiBeMutzar_procerur!$C$6:$AA$100,10,FALSE),0)</f>
        <v>0</v>
      </c>
      <c r="DA32">
        <f>IFERROR(VLOOKUP($B32,PirteiKisuiBeMutzar_procerur!$C$6:$AA$100,11,FALSE),0)</f>
        <v>0</v>
      </c>
      <c r="DB32">
        <f>IFERROR(VLOOKUP($B32,PirteiKisuiBeMutzarPrmia!$C$6:$AA$100,2,FALSE),0)</f>
        <v>0</v>
      </c>
      <c r="DC32">
        <f>IFERROR(VLOOKUP($B32,PirteiKisuiBeMutzarPrmia!$C$6:$AA$100,3,FALSE),0)</f>
        <v>0</v>
      </c>
      <c r="DD32">
        <f>IFERROR(VLOOKUP($B32,PirteiKisuiBeMutzarPrmia!$C$6:$AA$100,4,FALSE),0)</f>
        <v>0</v>
      </c>
      <c r="DE32">
        <f>IFERROR(VLOOKUP($B32,PirteiKisuiBeMutzarPrmia!$C$6:$AA$100,5,FALSE),0)</f>
        <v>0</v>
      </c>
      <c r="DF32">
        <f>IFERROR(VLOOKUP($B32,PirteiKisuiBeMutzarPrmia!$C$6:$AA$100,6,FALSE),0)</f>
        <v>0</v>
      </c>
      <c r="DG32">
        <f>IFERROR(VLOOKUP($B32,PirteiKisuiBeMutzarPrmia!$C$6:$AA$100,7,FALSE),0)</f>
        <v>0</v>
      </c>
      <c r="DH32">
        <f>IFERROR(VLOOKUP($B32,PirteiKisuiBeMutzarPrmia!$C$6:$AA$100,8,FALSE),0)</f>
        <v>0</v>
      </c>
      <c r="DI32">
        <f>IFERROR(VLOOKUP($B32,PirteiKisuiBeMutzarPrmia!$C$6:$AA$100,9,FALSE),0)</f>
        <v>0</v>
      </c>
      <c r="DJ32">
        <f>IFERROR(VLOOKUP($B32,PirteiKisuiBeMutzarPrmia!$C$6:$AA$100,10,FALSE),0)</f>
        <v>0</v>
      </c>
      <c r="DK32">
        <f>IFERROR(VLOOKUP($B32,PirteiKisuiBeMutzarPrmia!$C$6:$AA$100,11,FALSE),0)</f>
        <v>0</v>
      </c>
      <c r="DL32">
        <f t="shared" si="1"/>
        <v>0</v>
      </c>
      <c r="DM32">
        <f t="shared" si="45"/>
        <v>0</v>
      </c>
      <c r="DN32">
        <f t="shared" si="46"/>
        <v>0</v>
      </c>
      <c r="DO32">
        <f t="shared" si="2"/>
        <v>0</v>
      </c>
      <c r="DP32">
        <f t="shared" si="3"/>
        <v>0</v>
      </c>
      <c r="DQ32">
        <f>IF(OR(L32=1,L32=3),IFERROR(VLOOKUP($B32,PerutHafkadotMetchilatShanaAvgM!$C$6:$G$100,3,FALSE),0),0)</f>
        <v>0</v>
      </c>
      <c r="DR32">
        <f>IF(OR(L32=2,L32=4),IFERROR(VLOOKUP($B32,PerutHafkadotMetchilatShanaAvgM!$C$6:$G$100,3,FALSE),0),0)</f>
        <v>0</v>
      </c>
      <c r="DS32">
        <f>IFERROR(VLOOKUP($B32,PerutHafkadotMetchilatShanaAvgM!$C$6:$G$100,4,FALSE),0)</f>
        <v>0</v>
      </c>
      <c r="DT32">
        <f>IFERROR(VLOOKUP($B32,Kupa!$D$6:$AA$100,5,FALSE),0)</f>
        <v>0</v>
      </c>
      <c r="DU32">
        <f>IFERROR(VLOOKUP($B32,Kupa!$D$6:$AA$100,6,FALSE),0)</f>
        <v>0</v>
      </c>
      <c r="DV32">
        <f>IFERROR(VLOOKUP($B32,KisuiBKerenPensiaDBWithParams!$D$6:$AP$100,9,FALSE),0)</f>
        <v>0</v>
      </c>
      <c r="DW32">
        <f>IFERROR(VLOOKUP($B32,KisuiBKerenPensiaDBWithParams!$D$6:$AP$100,12,FALSE),0)</f>
        <v>0</v>
      </c>
      <c r="DX32">
        <f>IFERROR(VLOOKUP($B32,KisuiBKerenPensiaDBWithParams!$D$6:$AP$100,13,FALSE),0)</f>
        <v>0</v>
      </c>
      <c r="DY32">
        <f>IFERROR(VLOOKUP($B32,KisuiBKerenPensiaDBWithParams!$D$6:$AP$100,7,FALSE),0)</f>
        <v>0</v>
      </c>
      <c r="DZ32">
        <f>IFERROR(VLOOKUP($B32,KisuiBKerenPensiaDBWithParams!$D$6:$AP$100,17,FALSE),0)</f>
        <v>0</v>
      </c>
      <c r="EA32">
        <f>IFERROR(VLOOKUP($B32,KisuiBKerenPensiaDBWithParams!$D$6:$AP$100,20,FALSE),0)</f>
        <v>0</v>
      </c>
      <c r="EB32">
        <f>IFERROR(VLOOKUP($B32,KisuiBKerenPensiaDBWithParams!$D$6:$AP$100,21,FALSE),0)</f>
        <v>0</v>
      </c>
      <c r="EC32">
        <f t="shared" si="47"/>
        <v>0</v>
      </c>
      <c r="EG32">
        <f>IF(OR(G32=MyData!$J$50,G32=MyData!$J$51,G32=MyData!$J$52),1,IF(G32=MyData!$J$49,2,0))</f>
        <v>0</v>
      </c>
    </row>
    <row r="33" spans="1:137">
      <c r="A33">
        <f t="shared" si="48"/>
        <v>0</v>
      </c>
      <c r="B33" s="20">
        <f>RicusPolice!E30</f>
        <v>0</v>
      </c>
      <c r="C33" s="20">
        <f>RicusPolice!AL30</f>
        <v>0</v>
      </c>
      <c r="D33" s="20">
        <f>RicusPolice!F30</f>
        <v>0</v>
      </c>
      <c r="E33" s="20">
        <f>RicusPolice!R30</f>
        <v>0</v>
      </c>
      <c r="F33" s="20">
        <f>RicusPolice!N30</f>
        <v>0</v>
      </c>
      <c r="G33" s="20">
        <f>IFERROR(VLOOKUP($B33,PerutYitrot!$D$6:$P$100,4,FALSE),0)</f>
        <v>0</v>
      </c>
      <c r="H33" s="20">
        <f t="shared" si="4"/>
        <v>0</v>
      </c>
      <c r="I33" s="20">
        <f>RicusPolice!L30</f>
        <v>0</v>
      </c>
      <c r="J33" s="179">
        <f>IFERROR(VLOOKUP(TRIM(K33),MyData!$J$43:$K$49,2,FALSE),0)</f>
        <v>0</v>
      </c>
      <c r="K33" s="20">
        <f>RicusPolice!M30</f>
        <v>0</v>
      </c>
      <c r="L33" s="20">
        <f>RicusPolice!AM30</f>
        <v>0</v>
      </c>
      <c r="M33" s="20" t="str">
        <f>IF(B33&gt;0,RicusPolice!Y30," ")</f>
        <v xml:space="preserve"> </v>
      </c>
      <c r="N33" s="20" t="str">
        <f t="shared" si="5"/>
        <v/>
      </c>
      <c r="O33" s="20">
        <f>RicusPolice!N30</f>
        <v>0</v>
      </c>
      <c r="P33" s="20">
        <f>IFERROR(VLOOKUP(B33,PerutMasluleiHashkaa!$D$6:$R$100,4,FALSE),0)</f>
        <v>0</v>
      </c>
      <c r="Q33" s="19"/>
      <c r="R33" s="20">
        <f>RicusPolice!P30</f>
        <v>0</v>
      </c>
      <c r="S33" s="20"/>
      <c r="T33" s="21">
        <f>'נתונים ידניים'!H33</f>
        <v>0</v>
      </c>
      <c r="U33" s="21"/>
      <c r="V33" s="20">
        <f>PerutHafrashotLePolisa!E30</f>
        <v>0</v>
      </c>
      <c r="W33" s="20">
        <f>PerutHafrashotLePolisa!F30</f>
        <v>0</v>
      </c>
      <c r="X33" s="20">
        <f>PerutHafrashotLePolisa!G30</f>
        <v>0</v>
      </c>
      <c r="Y33">
        <f t="shared" si="6"/>
        <v>0</v>
      </c>
      <c r="Z33">
        <f>IFERROR(VLOOKUP(B33,PirteiHaasaka!$D$6:$R$100,5,FALSE),0)</f>
        <v>0</v>
      </c>
      <c r="AB33">
        <f>IFERROR(VLOOKUP(B33,HafkadotMetchilatShanaAverages!$D$6:$E$100,2,FALSE),0)</f>
        <v>0</v>
      </c>
      <c r="AF33">
        <f>IFERROR(VLOOKUP(B33,CrossTabYitraLeTkufa_till_2000!$D$6:$AB$100,6,FALSE),0)+IFERROR(VLOOKUP(B33,CrossTabYitraLeTkufa_after_2000!$D$6:$AB$100,6,FALSE),0)</f>
        <v>0</v>
      </c>
      <c r="AG33">
        <f>IFERROR(VLOOKUP(B33,CrossTabYitraLeTkufa_till_2000!$D$6:$AB$100,16,FALSE),0)</f>
        <v>0</v>
      </c>
      <c r="AH33">
        <f>IFERROR(VLOOKUP(B33,CrossTabYitraLeTkufa_after_2000!$D$6:$AB$100,16,FALSE),0)</f>
        <v>0</v>
      </c>
      <c r="AI33">
        <f>IFERROR(VLOOKUP(B33,CrossTabYitraLeTkufa_till_2000!$D$6:$AB$100,17,FALSE),0)</f>
        <v>0</v>
      </c>
      <c r="AJ33">
        <f>IFERROR(VLOOKUP(B33,CrossTabYitraLeTkufa_after_2000!$D$6:$AB$100,17,FALSE),0)</f>
        <v>0</v>
      </c>
      <c r="AK33" s="5">
        <f t="shared" si="7"/>
        <v>0</v>
      </c>
      <c r="AN33">
        <f>IFERROR(VLOOKUP(B33,PirteiKisuiBeMutzar_procerur!$C$6:$AA$100,2,FALSE),0)</f>
        <v>0</v>
      </c>
      <c r="AP33">
        <f>IFERROR(VLOOKUP($B33,PirteiKisuiBeMutzar_procerur!$C$6:$AA$100,5,FALSE),0)</f>
        <v>0</v>
      </c>
      <c r="AQ33">
        <f>IFERROR(VLOOKUP($B33,PirteiKisuiBeMutzar_procerur!$C$6:$AA$100,3,FALSE),0)</f>
        <v>0</v>
      </c>
      <c r="AR33">
        <f>IFERROR(VLOOKUP($B33,PirteiKisuiBeMutzar_procerur!$C$6:$AA$100,6,FALSE),0)</f>
        <v>0</v>
      </c>
      <c r="AS33">
        <f>IFERROR(VLOOKUP($B33,PirteiKisuiBeMutzar_procerur!$C$6:$AA$100,7,FALSE),0)</f>
        <v>0</v>
      </c>
      <c r="AW33">
        <f t="shared" si="8"/>
        <v>0</v>
      </c>
      <c r="AX33">
        <f t="shared" si="9"/>
        <v>0</v>
      </c>
      <c r="AY33">
        <f t="shared" si="10"/>
        <v>0</v>
      </c>
      <c r="AZ33">
        <f t="shared" si="11"/>
        <v>0</v>
      </c>
      <c r="BA33">
        <f t="shared" si="12"/>
        <v>0</v>
      </c>
      <c r="BB33">
        <f t="shared" si="13"/>
        <v>0</v>
      </c>
      <c r="BC33">
        <f t="shared" si="14"/>
        <v>0</v>
      </c>
      <c r="BD33">
        <f t="shared" si="15"/>
        <v>0</v>
      </c>
      <c r="BE33">
        <f t="shared" si="16"/>
        <v>0</v>
      </c>
      <c r="BF33">
        <f t="shared" si="49"/>
        <v>0</v>
      </c>
      <c r="BG33">
        <f t="shared" si="17"/>
        <v>0</v>
      </c>
      <c r="BH33">
        <f t="shared" si="18"/>
        <v>0</v>
      </c>
      <c r="BI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0</v>
      </c>
      <c r="BN33">
        <f t="shared" si="23"/>
        <v>0</v>
      </c>
      <c r="BO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0</v>
      </c>
      <c r="BV33">
        <f t="shared" si="29"/>
        <v>0</v>
      </c>
      <c r="BX33">
        <f t="shared" si="30"/>
        <v>0</v>
      </c>
      <c r="BY33">
        <f t="shared" si="31"/>
        <v>0</v>
      </c>
      <c r="BZ33">
        <f t="shared" si="32"/>
        <v>0</v>
      </c>
      <c r="CA33">
        <f t="shared" si="33"/>
        <v>0</v>
      </c>
      <c r="CB33">
        <f t="shared" si="34"/>
        <v>0</v>
      </c>
      <c r="CE33">
        <f t="shared" si="35"/>
        <v>0</v>
      </c>
      <c r="CF33">
        <f t="shared" si="36"/>
        <v>0</v>
      </c>
      <c r="CG33">
        <f t="shared" si="37"/>
        <v>0</v>
      </c>
      <c r="CH33">
        <f t="shared" si="38"/>
        <v>0</v>
      </c>
      <c r="CI33">
        <f t="shared" si="39"/>
        <v>0</v>
      </c>
      <c r="CL33">
        <f t="shared" si="40"/>
        <v>0</v>
      </c>
      <c r="CM33">
        <f t="shared" si="41"/>
        <v>0</v>
      </c>
      <c r="CN33">
        <f t="shared" si="42"/>
        <v>0</v>
      </c>
      <c r="CO33">
        <f t="shared" si="43"/>
        <v>0</v>
      </c>
      <c r="CP33">
        <f t="shared" si="44"/>
        <v>0</v>
      </c>
      <c r="CQ33">
        <f>IFERROR(VLOOKUP($B33,SchumeiBituahYesodi!$C$6:$AA$100,8,FALSE),0)</f>
        <v>0</v>
      </c>
      <c r="CR33">
        <f>IFERROR(VLOOKUP($B33,PirteiKisuiBeMutzar_procerur!$C$6:$AA$100,2,FALSE),0)</f>
        <v>0</v>
      </c>
      <c r="CS33">
        <f>IFERROR(VLOOKUP($B33,PirteiKisuiBeMutzar_procerur!$C$6:$AA$100,3,FALSE),0)</f>
        <v>0</v>
      </c>
      <c r="CT33">
        <f>IFERROR(VLOOKUP($B33,PirteiKisuiBeMutzar_procerur!$C$6:$AA$100,4,FALSE),0)</f>
        <v>0</v>
      </c>
      <c r="CU33">
        <f>IFERROR(VLOOKUP($B33,PirteiKisuiBeMutzar_procerur!$C$6:$AA$100,5,FALSE),0)</f>
        <v>0</v>
      </c>
      <c r="CV33">
        <f>IFERROR(VLOOKUP($B33,PirteiKisuiBeMutzar_procerur!$C$6:$AA$100,6,FALSE),0)</f>
        <v>0</v>
      </c>
      <c r="CW33">
        <f>IFERROR(VLOOKUP($B33,PirteiKisuiBeMutzar_procerur!$C$6:$AA$100,7,FALSE),0)</f>
        <v>0</v>
      </c>
      <c r="CX33">
        <f>IFERROR(VLOOKUP($B33,PirteiKisuiBeMutzar_procerur!$C$6:$AA$100,8,FALSE),0)</f>
        <v>0</v>
      </c>
      <c r="CY33">
        <f>IFERROR(VLOOKUP($B33,PirteiKisuiBeMutzar_procerur!$C$6:$AA$100,9,FALSE),0)</f>
        <v>0</v>
      </c>
      <c r="CZ33">
        <f>IFERROR(VLOOKUP($B33,PirteiKisuiBeMutzar_procerur!$C$6:$AA$100,10,FALSE),0)</f>
        <v>0</v>
      </c>
      <c r="DA33">
        <f>IFERROR(VLOOKUP($B33,PirteiKisuiBeMutzar_procerur!$C$6:$AA$100,11,FALSE),0)</f>
        <v>0</v>
      </c>
      <c r="DB33">
        <f>IFERROR(VLOOKUP($B33,PirteiKisuiBeMutzarPrmia!$C$6:$AA$100,2,FALSE),0)</f>
        <v>0</v>
      </c>
      <c r="DC33">
        <f>IFERROR(VLOOKUP($B33,PirteiKisuiBeMutzarPrmia!$C$6:$AA$100,3,FALSE),0)</f>
        <v>0</v>
      </c>
      <c r="DD33">
        <f>IFERROR(VLOOKUP($B33,PirteiKisuiBeMutzarPrmia!$C$6:$AA$100,4,FALSE),0)</f>
        <v>0</v>
      </c>
      <c r="DE33">
        <f>IFERROR(VLOOKUP($B33,PirteiKisuiBeMutzarPrmia!$C$6:$AA$100,5,FALSE),0)</f>
        <v>0</v>
      </c>
      <c r="DF33">
        <f>IFERROR(VLOOKUP($B33,PirteiKisuiBeMutzarPrmia!$C$6:$AA$100,6,FALSE),0)</f>
        <v>0</v>
      </c>
      <c r="DG33">
        <f>IFERROR(VLOOKUP($B33,PirteiKisuiBeMutzarPrmia!$C$6:$AA$100,7,FALSE),0)</f>
        <v>0</v>
      </c>
      <c r="DH33">
        <f>IFERROR(VLOOKUP($B33,PirteiKisuiBeMutzarPrmia!$C$6:$AA$100,8,FALSE),0)</f>
        <v>0</v>
      </c>
      <c r="DI33">
        <f>IFERROR(VLOOKUP($B33,PirteiKisuiBeMutzarPrmia!$C$6:$AA$100,9,FALSE),0)</f>
        <v>0</v>
      </c>
      <c r="DJ33">
        <f>IFERROR(VLOOKUP($B33,PirteiKisuiBeMutzarPrmia!$C$6:$AA$100,10,FALSE),0)</f>
        <v>0</v>
      </c>
      <c r="DK33">
        <f>IFERROR(VLOOKUP($B33,PirteiKisuiBeMutzarPrmia!$C$6:$AA$100,11,FALSE),0)</f>
        <v>0</v>
      </c>
      <c r="DL33">
        <f t="shared" si="1"/>
        <v>0</v>
      </c>
      <c r="DM33">
        <f t="shared" si="45"/>
        <v>0</v>
      </c>
      <c r="DN33">
        <f t="shared" si="46"/>
        <v>0</v>
      </c>
      <c r="DO33">
        <f t="shared" si="2"/>
        <v>0</v>
      </c>
      <c r="DP33">
        <f t="shared" si="3"/>
        <v>0</v>
      </c>
      <c r="DQ33">
        <f>IF(OR(L33=1,L33=3),IFERROR(VLOOKUP($B33,PerutHafkadotMetchilatShanaAvgM!$C$6:$G$100,3,FALSE),0),0)</f>
        <v>0</v>
      </c>
      <c r="DR33">
        <f>IF(OR(L33=2,L33=4),IFERROR(VLOOKUP($B33,PerutHafkadotMetchilatShanaAvgM!$C$6:$G$100,3,FALSE),0),0)</f>
        <v>0</v>
      </c>
      <c r="DS33">
        <f>IFERROR(VLOOKUP($B33,PerutHafkadotMetchilatShanaAvgM!$C$6:$G$100,4,FALSE),0)</f>
        <v>0</v>
      </c>
      <c r="DT33">
        <f>IFERROR(VLOOKUP($B33,Kupa!$D$6:$AA$100,5,FALSE),0)</f>
        <v>0</v>
      </c>
      <c r="DU33">
        <f>IFERROR(VLOOKUP($B33,Kupa!$D$6:$AA$100,6,FALSE),0)</f>
        <v>0</v>
      </c>
      <c r="DV33">
        <f>IFERROR(VLOOKUP($B33,KisuiBKerenPensiaDBWithParams!$D$6:$AP$100,9,FALSE),0)</f>
        <v>0</v>
      </c>
      <c r="DW33">
        <f>IFERROR(VLOOKUP($B33,KisuiBKerenPensiaDBWithParams!$D$6:$AP$100,12,FALSE),0)</f>
        <v>0</v>
      </c>
      <c r="DX33">
        <f>IFERROR(VLOOKUP($B33,KisuiBKerenPensiaDBWithParams!$D$6:$AP$100,13,FALSE),0)</f>
        <v>0</v>
      </c>
      <c r="DY33">
        <f>IFERROR(VLOOKUP($B33,KisuiBKerenPensiaDBWithParams!$D$6:$AP$100,7,FALSE),0)</f>
        <v>0</v>
      </c>
      <c r="DZ33">
        <f>IFERROR(VLOOKUP($B33,KisuiBKerenPensiaDBWithParams!$D$6:$AP$100,17,FALSE),0)</f>
        <v>0</v>
      </c>
      <c r="EA33">
        <f>IFERROR(VLOOKUP($B33,KisuiBKerenPensiaDBWithParams!$D$6:$AP$100,20,FALSE),0)</f>
        <v>0</v>
      </c>
      <c r="EB33">
        <f>IFERROR(VLOOKUP($B33,KisuiBKerenPensiaDBWithParams!$D$6:$AP$100,21,FALSE),0)</f>
        <v>0</v>
      </c>
      <c r="EC33">
        <f t="shared" si="47"/>
        <v>0</v>
      </c>
      <c r="EG33">
        <f>IF(OR(G33=MyData!$J$50,G33=MyData!$J$51,G33=MyData!$J$52),1,IF(G33=MyData!$J$49,2,0))</f>
        <v>0</v>
      </c>
    </row>
    <row r="34" spans="1:137">
      <c r="A34">
        <f t="shared" si="48"/>
        <v>0</v>
      </c>
      <c r="B34" s="20">
        <f>RicusPolice!E31</f>
        <v>0</v>
      </c>
      <c r="C34" s="20">
        <f>RicusPolice!AL31</f>
        <v>0</v>
      </c>
      <c r="D34" s="20">
        <f>RicusPolice!F31</f>
        <v>0</v>
      </c>
      <c r="E34" s="20">
        <f>RicusPolice!R31</f>
        <v>0</v>
      </c>
      <c r="F34" s="20">
        <f>RicusPolice!N31</f>
        <v>0</v>
      </c>
      <c r="G34" s="20">
        <f>IFERROR(VLOOKUP($B34,PerutYitrot!$D$6:$P$100,4,FALSE),0)</f>
        <v>0</v>
      </c>
      <c r="H34" s="20">
        <f t="shared" si="4"/>
        <v>0</v>
      </c>
      <c r="I34" s="20">
        <f>RicusPolice!L31</f>
        <v>0</v>
      </c>
      <c r="J34" s="179">
        <f>IFERROR(VLOOKUP(TRIM(K34),MyData!$J$43:$K$49,2,FALSE),0)</f>
        <v>0</v>
      </c>
      <c r="K34" s="20">
        <f>RicusPolice!M31</f>
        <v>0</v>
      </c>
      <c r="L34" s="20">
        <f>RicusPolice!AM31</f>
        <v>0</v>
      </c>
      <c r="M34" s="20" t="str">
        <f>IF(B34&gt;0,RicusPolice!Y31," ")</f>
        <v xml:space="preserve"> </v>
      </c>
      <c r="N34" s="20" t="str">
        <f t="shared" si="5"/>
        <v/>
      </c>
      <c r="O34" s="20">
        <f>RicusPolice!N31</f>
        <v>0</v>
      </c>
      <c r="P34" s="20">
        <f>IFERROR(VLOOKUP(B34,PerutMasluleiHashkaa!$D$6:$R$100,4,FALSE),0)</f>
        <v>0</v>
      </c>
      <c r="Q34" s="19"/>
      <c r="R34" s="20">
        <f>RicusPolice!P31</f>
        <v>0</v>
      </c>
      <c r="S34" s="20"/>
      <c r="T34" s="21">
        <f>'נתונים ידניים'!H34</f>
        <v>0</v>
      </c>
      <c r="U34" s="21"/>
      <c r="V34" s="20">
        <f>PerutHafrashotLePolisa!E31</f>
        <v>0</v>
      </c>
      <c r="W34" s="20">
        <f>PerutHafrashotLePolisa!F31</f>
        <v>0</v>
      </c>
      <c r="X34" s="20">
        <f>PerutHafrashotLePolisa!G31</f>
        <v>0</v>
      </c>
      <c r="Y34">
        <f t="shared" si="6"/>
        <v>0</v>
      </c>
      <c r="Z34">
        <f>IFERROR(VLOOKUP(B34,PirteiHaasaka!$D$6:$R$100,5,FALSE),0)</f>
        <v>0</v>
      </c>
      <c r="AB34">
        <f>IFERROR(VLOOKUP(B34,HafkadotMetchilatShanaAverages!$D$6:$E$100,2,FALSE),0)</f>
        <v>0</v>
      </c>
      <c r="AF34">
        <f>IFERROR(VLOOKUP(B34,CrossTabYitraLeTkufa_till_2000!$D$6:$AB$100,6,FALSE),0)+IFERROR(VLOOKUP(B34,CrossTabYitraLeTkufa_after_2000!$D$6:$AB$100,6,FALSE),0)</f>
        <v>0</v>
      </c>
      <c r="AG34">
        <f>IFERROR(VLOOKUP(B34,CrossTabYitraLeTkufa_till_2000!$D$6:$AB$100,16,FALSE),0)</f>
        <v>0</v>
      </c>
      <c r="AH34">
        <f>IFERROR(VLOOKUP(B34,CrossTabYitraLeTkufa_after_2000!$D$6:$AB$100,16,FALSE),0)</f>
        <v>0</v>
      </c>
      <c r="AI34">
        <f>IFERROR(VLOOKUP(B34,CrossTabYitraLeTkufa_till_2000!$D$6:$AB$100,17,FALSE),0)</f>
        <v>0</v>
      </c>
      <c r="AJ34">
        <f>IFERROR(VLOOKUP(B34,CrossTabYitraLeTkufa_after_2000!$D$6:$AB$100,17,FALSE),0)</f>
        <v>0</v>
      </c>
      <c r="AK34" s="5">
        <f t="shared" si="7"/>
        <v>0</v>
      </c>
      <c r="AN34">
        <f>IFERROR(VLOOKUP(B34,PirteiKisuiBeMutzar_procerur!$C$6:$AA$100,2,FALSE),0)</f>
        <v>0</v>
      </c>
      <c r="AP34">
        <f>IFERROR(VLOOKUP($B34,PirteiKisuiBeMutzar_procerur!$C$6:$AA$100,5,FALSE),0)</f>
        <v>0</v>
      </c>
      <c r="AQ34">
        <f>IFERROR(VLOOKUP($B34,PirteiKisuiBeMutzar_procerur!$C$6:$AA$100,3,FALSE),0)</f>
        <v>0</v>
      </c>
      <c r="AR34">
        <f>IFERROR(VLOOKUP($B34,PirteiKisuiBeMutzar_procerur!$C$6:$AA$100,6,FALSE),0)</f>
        <v>0</v>
      </c>
      <c r="AS34">
        <f>IFERROR(VLOOKUP($B34,PirteiKisuiBeMutzar_procerur!$C$6:$AA$100,7,FALSE),0)</f>
        <v>0</v>
      </c>
      <c r="AW34">
        <f t="shared" si="8"/>
        <v>0</v>
      </c>
      <c r="AX34">
        <f t="shared" si="9"/>
        <v>0</v>
      </c>
      <c r="AY34">
        <f t="shared" si="10"/>
        <v>0</v>
      </c>
      <c r="AZ34">
        <f t="shared" si="11"/>
        <v>0</v>
      </c>
      <c r="BA34">
        <f t="shared" si="12"/>
        <v>0</v>
      </c>
      <c r="BB34">
        <f t="shared" si="13"/>
        <v>0</v>
      </c>
      <c r="BC34">
        <f t="shared" si="14"/>
        <v>0</v>
      </c>
      <c r="BD34">
        <f t="shared" si="15"/>
        <v>0</v>
      </c>
      <c r="BE34">
        <f t="shared" si="16"/>
        <v>0</v>
      </c>
      <c r="BF34">
        <f t="shared" si="49"/>
        <v>0</v>
      </c>
      <c r="BG34">
        <f t="shared" si="17"/>
        <v>0</v>
      </c>
      <c r="BH34">
        <f t="shared" si="18"/>
        <v>0</v>
      </c>
      <c r="BI34">
        <f t="shared" si="19"/>
        <v>0</v>
      </c>
      <c r="BK34">
        <f t="shared" si="20"/>
        <v>0</v>
      </c>
      <c r="BL34">
        <f t="shared" si="21"/>
        <v>0</v>
      </c>
      <c r="BM34">
        <f t="shared" si="22"/>
        <v>0</v>
      </c>
      <c r="BN34">
        <f t="shared" si="23"/>
        <v>0</v>
      </c>
      <c r="BO34">
        <f t="shared" si="24"/>
        <v>0</v>
      </c>
      <c r="BR34">
        <f t="shared" si="25"/>
        <v>0</v>
      </c>
      <c r="BS34">
        <f t="shared" si="26"/>
        <v>0</v>
      </c>
      <c r="BT34">
        <f t="shared" si="27"/>
        <v>0</v>
      </c>
      <c r="BU34">
        <f t="shared" si="28"/>
        <v>0</v>
      </c>
      <c r="BV34">
        <f t="shared" si="29"/>
        <v>0</v>
      </c>
      <c r="BX34">
        <f t="shared" si="30"/>
        <v>0</v>
      </c>
      <c r="BY34">
        <f t="shared" si="31"/>
        <v>0</v>
      </c>
      <c r="BZ34">
        <f t="shared" si="32"/>
        <v>0</v>
      </c>
      <c r="CA34">
        <f t="shared" si="33"/>
        <v>0</v>
      </c>
      <c r="CB34">
        <f t="shared" si="34"/>
        <v>0</v>
      </c>
      <c r="CE34">
        <f t="shared" si="35"/>
        <v>0</v>
      </c>
      <c r="CF34">
        <f t="shared" si="36"/>
        <v>0</v>
      </c>
      <c r="CG34">
        <f t="shared" si="37"/>
        <v>0</v>
      </c>
      <c r="CH34">
        <f t="shared" si="38"/>
        <v>0</v>
      </c>
      <c r="CI34">
        <f t="shared" si="39"/>
        <v>0</v>
      </c>
      <c r="CL34">
        <f t="shared" si="40"/>
        <v>0</v>
      </c>
      <c r="CM34">
        <f t="shared" si="41"/>
        <v>0</v>
      </c>
      <c r="CN34">
        <f t="shared" si="42"/>
        <v>0</v>
      </c>
      <c r="CO34">
        <f t="shared" si="43"/>
        <v>0</v>
      </c>
      <c r="CP34">
        <f t="shared" si="44"/>
        <v>0</v>
      </c>
      <c r="CQ34">
        <f>IFERROR(VLOOKUP($B34,SchumeiBituahYesodi!$C$6:$AA$100,8,FALSE),0)</f>
        <v>0</v>
      </c>
      <c r="CR34">
        <f>IFERROR(VLOOKUP($B34,PirteiKisuiBeMutzar_procerur!$C$6:$AA$100,2,FALSE),0)</f>
        <v>0</v>
      </c>
      <c r="CS34">
        <f>IFERROR(VLOOKUP($B34,PirteiKisuiBeMutzar_procerur!$C$6:$AA$100,3,FALSE),0)</f>
        <v>0</v>
      </c>
      <c r="CT34">
        <f>IFERROR(VLOOKUP($B34,PirteiKisuiBeMutzar_procerur!$C$6:$AA$100,4,FALSE),0)</f>
        <v>0</v>
      </c>
      <c r="CU34">
        <f>IFERROR(VLOOKUP($B34,PirteiKisuiBeMutzar_procerur!$C$6:$AA$100,5,FALSE),0)</f>
        <v>0</v>
      </c>
      <c r="CV34">
        <f>IFERROR(VLOOKUP($B34,PirteiKisuiBeMutzar_procerur!$C$6:$AA$100,6,FALSE),0)</f>
        <v>0</v>
      </c>
      <c r="CW34">
        <f>IFERROR(VLOOKUP($B34,PirteiKisuiBeMutzar_procerur!$C$6:$AA$100,7,FALSE),0)</f>
        <v>0</v>
      </c>
      <c r="CX34">
        <f>IFERROR(VLOOKUP($B34,PirteiKisuiBeMutzar_procerur!$C$6:$AA$100,8,FALSE),0)</f>
        <v>0</v>
      </c>
      <c r="CY34">
        <f>IFERROR(VLOOKUP($B34,PirteiKisuiBeMutzar_procerur!$C$6:$AA$100,9,FALSE),0)</f>
        <v>0</v>
      </c>
      <c r="CZ34">
        <f>IFERROR(VLOOKUP($B34,PirteiKisuiBeMutzar_procerur!$C$6:$AA$100,10,FALSE),0)</f>
        <v>0</v>
      </c>
      <c r="DA34">
        <f>IFERROR(VLOOKUP($B34,PirteiKisuiBeMutzar_procerur!$C$6:$AA$100,11,FALSE),0)</f>
        <v>0</v>
      </c>
      <c r="DB34">
        <f>IFERROR(VLOOKUP($B34,PirteiKisuiBeMutzarPrmia!$C$6:$AA$100,2,FALSE),0)</f>
        <v>0</v>
      </c>
      <c r="DC34">
        <f>IFERROR(VLOOKUP($B34,PirteiKisuiBeMutzarPrmia!$C$6:$AA$100,3,FALSE),0)</f>
        <v>0</v>
      </c>
      <c r="DD34">
        <f>IFERROR(VLOOKUP($B34,PirteiKisuiBeMutzarPrmia!$C$6:$AA$100,4,FALSE),0)</f>
        <v>0</v>
      </c>
      <c r="DE34">
        <f>IFERROR(VLOOKUP($B34,PirteiKisuiBeMutzarPrmia!$C$6:$AA$100,5,FALSE),0)</f>
        <v>0</v>
      </c>
      <c r="DF34">
        <f>IFERROR(VLOOKUP($B34,PirteiKisuiBeMutzarPrmia!$C$6:$AA$100,6,FALSE),0)</f>
        <v>0</v>
      </c>
      <c r="DG34">
        <f>IFERROR(VLOOKUP($B34,PirteiKisuiBeMutzarPrmia!$C$6:$AA$100,7,FALSE),0)</f>
        <v>0</v>
      </c>
      <c r="DH34">
        <f>IFERROR(VLOOKUP($B34,PirteiKisuiBeMutzarPrmia!$C$6:$AA$100,8,FALSE),0)</f>
        <v>0</v>
      </c>
      <c r="DI34">
        <f>IFERROR(VLOOKUP($B34,PirteiKisuiBeMutzarPrmia!$C$6:$AA$100,9,FALSE),0)</f>
        <v>0</v>
      </c>
      <c r="DJ34">
        <f>IFERROR(VLOOKUP($B34,PirteiKisuiBeMutzarPrmia!$C$6:$AA$100,10,FALSE),0)</f>
        <v>0</v>
      </c>
      <c r="DK34">
        <f>IFERROR(VLOOKUP($B34,PirteiKisuiBeMutzarPrmia!$C$6:$AA$100,11,FALSE),0)</f>
        <v>0</v>
      </c>
      <c r="DL34">
        <f t="shared" si="1"/>
        <v>0</v>
      </c>
      <c r="DM34">
        <f t="shared" si="45"/>
        <v>0</v>
      </c>
      <c r="DN34">
        <f t="shared" si="46"/>
        <v>0</v>
      </c>
      <c r="DO34">
        <f t="shared" si="2"/>
        <v>0</v>
      </c>
      <c r="DP34">
        <f t="shared" si="3"/>
        <v>0</v>
      </c>
      <c r="DQ34">
        <f>IF(OR(L34=1,L34=3),IFERROR(VLOOKUP($B34,PerutHafkadotMetchilatShanaAvgM!$C$6:$G$100,3,FALSE),0),0)</f>
        <v>0</v>
      </c>
      <c r="DR34">
        <f>IF(OR(L34=2,L34=4),IFERROR(VLOOKUP($B34,PerutHafkadotMetchilatShanaAvgM!$C$6:$G$100,3,FALSE),0),0)</f>
        <v>0</v>
      </c>
      <c r="DS34">
        <f>IFERROR(VLOOKUP($B34,PerutHafkadotMetchilatShanaAvgM!$C$6:$G$100,4,FALSE),0)</f>
        <v>0</v>
      </c>
      <c r="DT34">
        <f>IFERROR(VLOOKUP($B34,Kupa!$D$6:$AA$100,5,FALSE),0)</f>
        <v>0</v>
      </c>
      <c r="DU34">
        <f>IFERROR(VLOOKUP($B34,Kupa!$D$6:$AA$100,6,FALSE),0)</f>
        <v>0</v>
      </c>
      <c r="DV34">
        <f>IFERROR(VLOOKUP($B34,KisuiBKerenPensiaDBWithParams!$D$6:$AP$100,9,FALSE),0)</f>
        <v>0</v>
      </c>
      <c r="DW34">
        <f>IFERROR(VLOOKUP($B34,KisuiBKerenPensiaDBWithParams!$D$6:$AP$100,12,FALSE),0)</f>
        <v>0</v>
      </c>
      <c r="DX34">
        <f>IFERROR(VLOOKUP($B34,KisuiBKerenPensiaDBWithParams!$D$6:$AP$100,13,FALSE),0)</f>
        <v>0</v>
      </c>
      <c r="DY34">
        <f>IFERROR(VLOOKUP($B34,KisuiBKerenPensiaDBWithParams!$D$6:$AP$100,7,FALSE),0)</f>
        <v>0</v>
      </c>
      <c r="DZ34">
        <f>IFERROR(VLOOKUP($B34,KisuiBKerenPensiaDBWithParams!$D$6:$AP$100,17,FALSE),0)</f>
        <v>0</v>
      </c>
      <c r="EA34">
        <f>IFERROR(VLOOKUP($B34,KisuiBKerenPensiaDBWithParams!$D$6:$AP$100,20,FALSE),0)</f>
        <v>0</v>
      </c>
      <c r="EB34">
        <f>IFERROR(VLOOKUP($B34,KisuiBKerenPensiaDBWithParams!$D$6:$AP$100,21,FALSE),0)</f>
        <v>0</v>
      </c>
      <c r="EC34">
        <f t="shared" si="47"/>
        <v>0</v>
      </c>
      <c r="EG34">
        <f>IF(OR(G34=MyData!$J$50,G34=MyData!$J$51,G34=MyData!$J$52),1,IF(G34=MyData!$J$49,2,0))</f>
        <v>0</v>
      </c>
    </row>
    <row r="35" spans="1:137">
      <c r="A35">
        <f t="shared" si="48"/>
        <v>0</v>
      </c>
      <c r="B35" s="20">
        <f>RicusPolice!E32</f>
        <v>0</v>
      </c>
      <c r="C35" s="20">
        <f>RicusPolice!AL32</f>
        <v>0</v>
      </c>
      <c r="D35" s="20">
        <f>RicusPolice!F32</f>
        <v>0</v>
      </c>
      <c r="E35" s="20">
        <f>RicusPolice!R32</f>
        <v>0</v>
      </c>
      <c r="F35" s="20">
        <f>RicusPolice!N32</f>
        <v>0</v>
      </c>
      <c r="G35" s="20">
        <f>IFERROR(VLOOKUP($B35,PerutYitrot!$D$6:$P$100,4,FALSE),0)</f>
        <v>0</v>
      </c>
      <c r="H35" s="20">
        <f t="shared" si="4"/>
        <v>0</v>
      </c>
      <c r="I35" s="20">
        <f>RicusPolice!L32</f>
        <v>0</v>
      </c>
      <c r="J35" s="179">
        <f>IFERROR(VLOOKUP(TRIM(K35),MyData!$J$43:$K$49,2,FALSE),0)</f>
        <v>0</v>
      </c>
      <c r="K35" s="20">
        <f>RicusPolice!M32</f>
        <v>0</v>
      </c>
      <c r="L35" s="20">
        <f>RicusPolice!AM32</f>
        <v>0</v>
      </c>
      <c r="M35" s="20" t="str">
        <f>IF(B35&gt;0,RicusPolice!Y32," ")</f>
        <v xml:space="preserve"> </v>
      </c>
      <c r="N35" s="20" t="str">
        <f t="shared" si="5"/>
        <v/>
      </c>
      <c r="O35" s="20">
        <f>RicusPolice!N32</f>
        <v>0</v>
      </c>
      <c r="P35" s="20">
        <f>IFERROR(VLOOKUP(B35,PerutMasluleiHashkaa!$D$6:$R$100,4,FALSE),0)</f>
        <v>0</v>
      </c>
      <c r="Q35" s="19"/>
      <c r="R35" s="20">
        <f>RicusPolice!P32</f>
        <v>0</v>
      </c>
      <c r="S35" s="20"/>
      <c r="T35" s="21">
        <f>'נתונים ידניים'!H35</f>
        <v>0</v>
      </c>
      <c r="U35" s="21"/>
      <c r="V35" s="20">
        <f>PerutHafrashotLePolisa!E32</f>
        <v>0</v>
      </c>
      <c r="W35" s="20">
        <f>PerutHafrashotLePolisa!F32</f>
        <v>0</v>
      </c>
      <c r="X35" s="20">
        <f>PerutHafrashotLePolisa!G32</f>
        <v>0</v>
      </c>
      <c r="Y35">
        <f t="shared" si="6"/>
        <v>0</v>
      </c>
      <c r="Z35">
        <f>IFERROR(VLOOKUP(B35,PirteiHaasaka!$D$6:$R$100,5,FALSE),0)</f>
        <v>0</v>
      </c>
      <c r="AB35">
        <f>IFERROR(VLOOKUP(B35,HafkadotMetchilatShanaAverages!$D$6:$E$100,2,FALSE),0)</f>
        <v>0</v>
      </c>
      <c r="AF35">
        <f>IFERROR(VLOOKUP(B35,CrossTabYitraLeTkufa_till_2000!$D$6:$AB$100,6,FALSE),0)+IFERROR(VLOOKUP(B35,CrossTabYitraLeTkufa_after_2000!$D$6:$AB$100,6,FALSE),0)</f>
        <v>0</v>
      </c>
      <c r="AG35">
        <f>IFERROR(VLOOKUP(B35,CrossTabYitraLeTkufa_till_2000!$D$6:$AB$100,16,FALSE),0)</f>
        <v>0</v>
      </c>
      <c r="AH35">
        <f>IFERROR(VLOOKUP(B35,CrossTabYitraLeTkufa_after_2000!$D$6:$AB$100,16,FALSE),0)</f>
        <v>0</v>
      </c>
      <c r="AI35">
        <f>IFERROR(VLOOKUP(B35,CrossTabYitraLeTkufa_till_2000!$D$6:$AB$100,17,FALSE),0)</f>
        <v>0</v>
      </c>
      <c r="AJ35">
        <f>IFERROR(VLOOKUP(B35,CrossTabYitraLeTkufa_after_2000!$D$6:$AB$100,17,FALSE),0)</f>
        <v>0</v>
      </c>
      <c r="AK35" s="5">
        <f t="shared" si="7"/>
        <v>0</v>
      </c>
      <c r="AN35">
        <f>IFERROR(VLOOKUP(B35,PirteiKisuiBeMutzar_procerur!$C$6:$AA$100,2,FALSE),0)</f>
        <v>0</v>
      </c>
      <c r="AP35">
        <f>IFERROR(VLOOKUP($B35,PirteiKisuiBeMutzar_procerur!$C$6:$AA$100,5,FALSE),0)</f>
        <v>0</v>
      </c>
      <c r="AQ35">
        <f>IFERROR(VLOOKUP($B35,PirteiKisuiBeMutzar_procerur!$C$6:$AA$100,3,FALSE),0)</f>
        <v>0</v>
      </c>
      <c r="AR35">
        <f>IFERROR(VLOOKUP($B35,PirteiKisuiBeMutzar_procerur!$C$6:$AA$100,6,FALSE),0)</f>
        <v>0</v>
      </c>
      <c r="AS35">
        <f>IFERROR(VLOOKUP($B35,PirteiKisuiBeMutzar_procerur!$C$6:$AA$100,7,FALSE),0)</f>
        <v>0</v>
      </c>
      <c r="AW35">
        <f t="shared" si="8"/>
        <v>0</v>
      </c>
      <c r="AX35">
        <f t="shared" si="9"/>
        <v>0</v>
      </c>
      <c r="AY35">
        <f t="shared" si="10"/>
        <v>0</v>
      </c>
      <c r="AZ35">
        <f t="shared" si="11"/>
        <v>0</v>
      </c>
      <c r="BA35">
        <f t="shared" si="12"/>
        <v>0</v>
      </c>
      <c r="BB35">
        <f t="shared" si="13"/>
        <v>0</v>
      </c>
      <c r="BC35">
        <f t="shared" si="14"/>
        <v>0</v>
      </c>
      <c r="BD35">
        <f t="shared" si="15"/>
        <v>0</v>
      </c>
      <c r="BE35">
        <f t="shared" si="16"/>
        <v>0</v>
      </c>
      <c r="BF35">
        <f t="shared" si="49"/>
        <v>0</v>
      </c>
      <c r="BG35">
        <f t="shared" si="17"/>
        <v>0</v>
      </c>
      <c r="BH35">
        <f t="shared" si="18"/>
        <v>0</v>
      </c>
      <c r="BI35">
        <f t="shared" si="19"/>
        <v>0</v>
      </c>
      <c r="BK35">
        <f t="shared" si="20"/>
        <v>0</v>
      </c>
      <c r="BL35">
        <f t="shared" si="21"/>
        <v>0</v>
      </c>
      <c r="BM35">
        <f t="shared" si="22"/>
        <v>0</v>
      </c>
      <c r="BN35">
        <f t="shared" si="23"/>
        <v>0</v>
      </c>
      <c r="BO35">
        <f t="shared" si="24"/>
        <v>0</v>
      </c>
      <c r="BR35">
        <f t="shared" si="25"/>
        <v>0</v>
      </c>
      <c r="BS35">
        <f t="shared" si="26"/>
        <v>0</v>
      </c>
      <c r="BT35">
        <f t="shared" si="27"/>
        <v>0</v>
      </c>
      <c r="BU35">
        <f t="shared" si="28"/>
        <v>0</v>
      </c>
      <c r="BV35">
        <f t="shared" si="29"/>
        <v>0</v>
      </c>
      <c r="BX35">
        <f t="shared" si="30"/>
        <v>0</v>
      </c>
      <c r="BY35">
        <f t="shared" si="31"/>
        <v>0</v>
      </c>
      <c r="BZ35">
        <f t="shared" si="32"/>
        <v>0</v>
      </c>
      <c r="CA35">
        <f t="shared" si="33"/>
        <v>0</v>
      </c>
      <c r="CB35">
        <f t="shared" si="34"/>
        <v>0</v>
      </c>
      <c r="CE35">
        <f t="shared" si="35"/>
        <v>0</v>
      </c>
      <c r="CF35">
        <f t="shared" si="36"/>
        <v>0</v>
      </c>
      <c r="CG35">
        <f t="shared" si="37"/>
        <v>0</v>
      </c>
      <c r="CH35">
        <f t="shared" si="38"/>
        <v>0</v>
      </c>
      <c r="CI35">
        <f t="shared" si="39"/>
        <v>0</v>
      </c>
      <c r="CL35">
        <f t="shared" si="40"/>
        <v>0</v>
      </c>
      <c r="CM35">
        <f t="shared" si="41"/>
        <v>0</v>
      </c>
      <c r="CN35">
        <f t="shared" si="42"/>
        <v>0</v>
      </c>
      <c r="CO35">
        <f t="shared" si="43"/>
        <v>0</v>
      </c>
      <c r="CP35">
        <f t="shared" si="44"/>
        <v>0</v>
      </c>
      <c r="CQ35">
        <f>IFERROR(VLOOKUP($B35,SchumeiBituahYesodi!$C$6:$AA$100,8,FALSE),0)</f>
        <v>0</v>
      </c>
      <c r="CR35">
        <f>IFERROR(VLOOKUP($B35,PirteiKisuiBeMutzar_procerur!$C$6:$AA$100,2,FALSE),0)</f>
        <v>0</v>
      </c>
      <c r="CS35">
        <f>IFERROR(VLOOKUP($B35,PirteiKisuiBeMutzar_procerur!$C$6:$AA$100,3,FALSE),0)</f>
        <v>0</v>
      </c>
      <c r="CT35">
        <f>IFERROR(VLOOKUP($B35,PirteiKisuiBeMutzar_procerur!$C$6:$AA$100,4,FALSE),0)</f>
        <v>0</v>
      </c>
      <c r="CU35">
        <f>IFERROR(VLOOKUP($B35,PirteiKisuiBeMutzar_procerur!$C$6:$AA$100,5,FALSE),0)</f>
        <v>0</v>
      </c>
      <c r="CV35">
        <f>IFERROR(VLOOKUP($B35,PirteiKisuiBeMutzar_procerur!$C$6:$AA$100,6,FALSE),0)</f>
        <v>0</v>
      </c>
      <c r="CW35">
        <f>IFERROR(VLOOKUP($B35,PirteiKisuiBeMutzar_procerur!$C$6:$AA$100,7,FALSE),0)</f>
        <v>0</v>
      </c>
      <c r="CX35">
        <f>IFERROR(VLOOKUP($B35,PirteiKisuiBeMutzar_procerur!$C$6:$AA$100,8,FALSE),0)</f>
        <v>0</v>
      </c>
      <c r="CY35">
        <f>IFERROR(VLOOKUP($B35,PirteiKisuiBeMutzar_procerur!$C$6:$AA$100,9,FALSE),0)</f>
        <v>0</v>
      </c>
      <c r="CZ35">
        <f>IFERROR(VLOOKUP($B35,PirteiKisuiBeMutzar_procerur!$C$6:$AA$100,10,FALSE),0)</f>
        <v>0</v>
      </c>
      <c r="DA35">
        <f>IFERROR(VLOOKUP($B35,PirteiKisuiBeMutzar_procerur!$C$6:$AA$100,11,FALSE),0)</f>
        <v>0</v>
      </c>
      <c r="DB35">
        <f>IFERROR(VLOOKUP($B35,PirteiKisuiBeMutzarPrmia!$C$6:$AA$100,2,FALSE),0)</f>
        <v>0</v>
      </c>
      <c r="DC35">
        <f>IFERROR(VLOOKUP($B35,PirteiKisuiBeMutzarPrmia!$C$6:$AA$100,3,FALSE),0)</f>
        <v>0</v>
      </c>
      <c r="DD35">
        <f>IFERROR(VLOOKUP($B35,PirteiKisuiBeMutzarPrmia!$C$6:$AA$100,4,FALSE),0)</f>
        <v>0</v>
      </c>
      <c r="DE35">
        <f>IFERROR(VLOOKUP($B35,PirteiKisuiBeMutzarPrmia!$C$6:$AA$100,5,FALSE),0)</f>
        <v>0</v>
      </c>
      <c r="DF35">
        <f>IFERROR(VLOOKUP($B35,PirteiKisuiBeMutzarPrmia!$C$6:$AA$100,6,FALSE),0)</f>
        <v>0</v>
      </c>
      <c r="DG35">
        <f>IFERROR(VLOOKUP($B35,PirteiKisuiBeMutzarPrmia!$C$6:$AA$100,7,FALSE),0)</f>
        <v>0</v>
      </c>
      <c r="DH35">
        <f>IFERROR(VLOOKUP($B35,PirteiKisuiBeMutzarPrmia!$C$6:$AA$100,8,FALSE),0)</f>
        <v>0</v>
      </c>
      <c r="DI35">
        <f>IFERROR(VLOOKUP($B35,PirteiKisuiBeMutzarPrmia!$C$6:$AA$100,9,FALSE),0)</f>
        <v>0</v>
      </c>
      <c r="DJ35">
        <f>IFERROR(VLOOKUP($B35,PirteiKisuiBeMutzarPrmia!$C$6:$AA$100,10,FALSE),0)</f>
        <v>0</v>
      </c>
      <c r="DK35">
        <f>IFERROR(VLOOKUP($B35,PirteiKisuiBeMutzarPrmia!$C$6:$AA$100,11,FALSE),0)</f>
        <v>0</v>
      </c>
      <c r="DL35">
        <f t="shared" si="1"/>
        <v>0</v>
      </c>
      <c r="DM35">
        <f t="shared" si="45"/>
        <v>0</v>
      </c>
      <c r="DN35">
        <f t="shared" si="46"/>
        <v>0</v>
      </c>
      <c r="DO35">
        <f t="shared" si="2"/>
        <v>0</v>
      </c>
      <c r="DP35">
        <f t="shared" si="3"/>
        <v>0</v>
      </c>
      <c r="DQ35">
        <f>IF(OR(L35=1,L35=3),IFERROR(VLOOKUP($B35,PerutHafkadotMetchilatShanaAvgM!$C$6:$G$100,3,FALSE),0),0)</f>
        <v>0</v>
      </c>
      <c r="DR35">
        <f>IF(OR(L35=2,L35=4),IFERROR(VLOOKUP($B35,PerutHafkadotMetchilatShanaAvgM!$C$6:$G$100,3,FALSE),0),0)</f>
        <v>0</v>
      </c>
      <c r="DS35">
        <f>IFERROR(VLOOKUP($B35,PerutHafkadotMetchilatShanaAvgM!$C$6:$G$100,4,FALSE),0)</f>
        <v>0</v>
      </c>
      <c r="DT35">
        <f>IFERROR(VLOOKUP($B35,Kupa!$D$6:$AA$100,5,FALSE),0)</f>
        <v>0</v>
      </c>
      <c r="DU35">
        <f>IFERROR(VLOOKUP($B35,Kupa!$D$6:$AA$100,6,FALSE),0)</f>
        <v>0</v>
      </c>
      <c r="DV35">
        <f>IFERROR(VLOOKUP($B35,KisuiBKerenPensiaDBWithParams!$D$6:$AP$100,9,FALSE),0)</f>
        <v>0</v>
      </c>
      <c r="DW35">
        <f>IFERROR(VLOOKUP($B35,KisuiBKerenPensiaDBWithParams!$D$6:$AP$100,12,FALSE),0)</f>
        <v>0</v>
      </c>
      <c r="DX35">
        <f>IFERROR(VLOOKUP($B35,KisuiBKerenPensiaDBWithParams!$D$6:$AP$100,13,FALSE),0)</f>
        <v>0</v>
      </c>
      <c r="DY35">
        <f>IFERROR(VLOOKUP($B35,KisuiBKerenPensiaDBWithParams!$D$6:$AP$100,7,FALSE),0)</f>
        <v>0</v>
      </c>
      <c r="DZ35">
        <f>IFERROR(VLOOKUP($B35,KisuiBKerenPensiaDBWithParams!$D$6:$AP$100,17,FALSE),0)</f>
        <v>0</v>
      </c>
      <c r="EA35">
        <f>IFERROR(VLOOKUP($B35,KisuiBKerenPensiaDBWithParams!$D$6:$AP$100,20,FALSE),0)</f>
        <v>0</v>
      </c>
      <c r="EB35">
        <f>IFERROR(VLOOKUP($B35,KisuiBKerenPensiaDBWithParams!$D$6:$AP$100,21,FALSE),0)</f>
        <v>0</v>
      </c>
      <c r="EC35">
        <f t="shared" si="47"/>
        <v>0</v>
      </c>
      <c r="EG35">
        <f>IF(OR(G35=MyData!$J$50,G35=MyData!$J$51,G35=MyData!$J$52),1,IF(G35=MyData!$J$49,2,0))</f>
        <v>0</v>
      </c>
    </row>
    <row r="36" spans="1:137">
      <c r="A36">
        <f t="shared" si="48"/>
        <v>0</v>
      </c>
      <c r="B36" s="20">
        <f>RicusPolice!E33</f>
        <v>0</v>
      </c>
      <c r="C36" s="20">
        <f>RicusPolice!AL33</f>
        <v>0</v>
      </c>
      <c r="D36" s="20">
        <f>RicusPolice!F33</f>
        <v>0</v>
      </c>
      <c r="E36" s="20">
        <f>RicusPolice!R33</f>
        <v>0</v>
      </c>
      <c r="F36" s="20">
        <f>RicusPolice!N33</f>
        <v>0</v>
      </c>
      <c r="G36" s="20">
        <f>IFERROR(VLOOKUP($B36,PerutYitrot!$D$6:$P$100,4,FALSE),0)</f>
        <v>0</v>
      </c>
      <c r="H36" s="20">
        <f t="shared" si="4"/>
        <v>0</v>
      </c>
      <c r="I36" s="20">
        <f>RicusPolice!L33</f>
        <v>0</v>
      </c>
      <c r="J36" s="179">
        <f>IFERROR(VLOOKUP(TRIM(K36),MyData!$J$43:$K$49,2,FALSE),0)</f>
        <v>0</v>
      </c>
      <c r="K36" s="20">
        <f>RicusPolice!M33</f>
        <v>0</v>
      </c>
      <c r="L36" s="20">
        <f>RicusPolice!AM33</f>
        <v>0</v>
      </c>
      <c r="M36" s="20" t="str">
        <f>IF(B36&gt;0,RicusPolice!Y33," ")</f>
        <v xml:space="preserve"> </v>
      </c>
      <c r="N36" s="20" t="str">
        <f t="shared" si="5"/>
        <v/>
      </c>
      <c r="O36" s="20">
        <f>RicusPolice!N33</f>
        <v>0</v>
      </c>
      <c r="P36" s="20">
        <f>IFERROR(VLOOKUP(B36,PerutMasluleiHashkaa!$D$6:$R$100,4,FALSE),0)</f>
        <v>0</v>
      </c>
      <c r="Q36" s="19"/>
      <c r="R36" s="20">
        <f>RicusPolice!P33</f>
        <v>0</v>
      </c>
      <c r="S36" s="20"/>
      <c r="T36" s="21">
        <f>'נתונים ידניים'!H36</f>
        <v>0</v>
      </c>
      <c r="U36" s="21"/>
      <c r="V36" s="20">
        <f>PerutHafrashotLePolisa!E33</f>
        <v>0</v>
      </c>
      <c r="W36" s="20">
        <f>PerutHafrashotLePolisa!F33</f>
        <v>0</v>
      </c>
      <c r="X36" s="20">
        <f>PerutHafrashotLePolisa!G33</f>
        <v>0</v>
      </c>
      <c r="Y36">
        <f t="shared" si="6"/>
        <v>0</v>
      </c>
      <c r="Z36">
        <f>IFERROR(VLOOKUP(B36,PirteiHaasaka!$D$6:$R$100,5,FALSE),0)</f>
        <v>0</v>
      </c>
      <c r="AB36">
        <f>IFERROR(VLOOKUP(B36,HafkadotMetchilatShanaAverages!$D$6:$E$100,2,FALSE),0)</f>
        <v>0</v>
      </c>
      <c r="AF36">
        <f>IFERROR(VLOOKUP(B36,CrossTabYitraLeTkufa_till_2000!$D$6:$AB$100,6,FALSE),0)+IFERROR(VLOOKUP(B36,CrossTabYitraLeTkufa_after_2000!$D$6:$AB$100,6,FALSE),0)</f>
        <v>0</v>
      </c>
      <c r="AG36">
        <f>IFERROR(VLOOKUP(B36,CrossTabYitraLeTkufa_till_2000!$D$6:$AB$100,16,FALSE),0)</f>
        <v>0</v>
      </c>
      <c r="AH36">
        <f>IFERROR(VLOOKUP(B36,CrossTabYitraLeTkufa_after_2000!$D$6:$AB$100,16,FALSE),0)</f>
        <v>0</v>
      </c>
      <c r="AI36">
        <f>IFERROR(VLOOKUP(B36,CrossTabYitraLeTkufa_till_2000!$D$6:$AB$100,17,FALSE),0)</f>
        <v>0</v>
      </c>
      <c r="AJ36">
        <f>IFERROR(VLOOKUP(B36,CrossTabYitraLeTkufa_after_2000!$D$6:$AB$100,17,FALSE),0)</f>
        <v>0</v>
      </c>
      <c r="AK36" s="5">
        <f t="shared" si="7"/>
        <v>0</v>
      </c>
      <c r="AN36">
        <f>IFERROR(VLOOKUP(B36,PirteiKisuiBeMutzar_procerur!$C$6:$AA$100,2,FALSE),0)</f>
        <v>0</v>
      </c>
      <c r="AP36">
        <f>IFERROR(VLOOKUP($B36,PirteiKisuiBeMutzar_procerur!$C$6:$AA$100,5,FALSE),0)</f>
        <v>0</v>
      </c>
      <c r="AQ36">
        <f>IFERROR(VLOOKUP($B36,PirteiKisuiBeMutzar_procerur!$C$6:$AA$100,3,FALSE),0)</f>
        <v>0</v>
      </c>
      <c r="AR36">
        <f>IFERROR(VLOOKUP($B36,PirteiKisuiBeMutzar_procerur!$C$6:$AA$100,6,FALSE),0)</f>
        <v>0</v>
      </c>
      <c r="AS36">
        <f>IFERROR(VLOOKUP($B36,PirteiKisuiBeMutzar_procerur!$C$6:$AA$100,7,FALSE),0)</f>
        <v>0</v>
      </c>
      <c r="AW36">
        <f t="shared" si="8"/>
        <v>0</v>
      </c>
      <c r="AX36">
        <f t="shared" si="9"/>
        <v>0</v>
      </c>
      <c r="AY36">
        <f t="shared" si="10"/>
        <v>0</v>
      </c>
      <c r="AZ36">
        <f t="shared" si="11"/>
        <v>0</v>
      </c>
      <c r="BA36">
        <f t="shared" si="12"/>
        <v>0</v>
      </c>
      <c r="BB36">
        <f t="shared" si="13"/>
        <v>0</v>
      </c>
      <c r="BC36">
        <f t="shared" si="14"/>
        <v>0</v>
      </c>
      <c r="BD36">
        <f t="shared" si="15"/>
        <v>0</v>
      </c>
      <c r="BE36">
        <f t="shared" si="16"/>
        <v>0</v>
      </c>
      <c r="BF36">
        <f t="shared" si="49"/>
        <v>0</v>
      </c>
      <c r="BG36">
        <f t="shared" si="17"/>
        <v>0</v>
      </c>
      <c r="BH36">
        <f t="shared" si="18"/>
        <v>0</v>
      </c>
      <c r="BI36">
        <f t="shared" si="19"/>
        <v>0</v>
      </c>
      <c r="BK36">
        <f t="shared" si="20"/>
        <v>0</v>
      </c>
      <c r="BL36">
        <f t="shared" si="21"/>
        <v>0</v>
      </c>
      <c r="BM36">
        <f t="shared" si="22"/>
        <v>0</v>
      </c>
      <c r="BN36">
        <f t="shared" si="23"/>
        <v>0</v>
      </c>
      <c r="BO36">
        <f t="shared" si="24"/>
        <v>0</v>
      </c>
      <c r="BR36">
        <f t="shared" si="25"/>
        <v>0</v>
      </c>
      <c r="BS36">
        <f t="shared" si="26"/>
        <v>0</v>
      </c>
      <c r="BT36">
        <f t="shared" si="27"/>
        <v>0</v>
      </c>
      <c r="BU36">
        <f t="shared" si="28"/>
        <v>0</v>
      </c>
      <c r="BV36">
        <f t="shared" si="29"/>
        <v>0</v>
      </c>
      <c r="BX36">
        <f t="shared" si="30"/>
        <v>0</v>
      </c>
      <c r="BY36">
        <f t="shared" si="31"/>
        <v>0</v>
      </c>
      <c r="BZ36">
        <f t="shared" si="32"/>
        <v>0</v>
      </c>
      <c r="CA36">
        <f t="shared" si="33"/>
        <v>0</v>
      </c>
      <c r="CB36">
        <f t="shared" si="34"/>
        <v>0</v>
      </c>
      <c r="CE36">
        <f t="shared" si="35"/>
        <v>0</v>
      </c>
      <c r="CF36">
        <f t="shared" si="36"/>
        <v>0</v>
      </c>
      <c r="CG36">
        <f t="shared" si="37"/>
        <v>0</v>
      </c>
      <c r="CH36">
        <f t="shared" si="38"/>
        <v>0</v>
      </c>
      <c r="CI36">
        <f t="shared" si="39"/>
        <v>0</v>
      </c>
      <c r="CL36">
        <f t="shared" si="40"/>
        <v>0</v>
      </c>
      <c r="CM36">
        <f t="shared" si="41"/>
        <v>0</v>
      </c>
      <c r="CN36">
        <f t="shared" si="42"/>
        <v>0</v>
      </c>
      <c r="CO36">
        <f t="shared" si="43"/>
        <v>0</v>
      </c>
      <c r="CP36">
        <f t="shared" si="44"/>
        <v>0</v>
      </c>
      <c r="CQ36">
        <f>IFERROR(VLOOKUP($B36,SchumeiBituahYesodi!$C$6:$AA$100,8,FALSE),0)</f>
        <v>0</v>
      </c>
      <c r="CR36">
        <f>IFERROR(VLOOKUP($B36,PirteiKisuiBeMutzar_procerur!$C$6:$AA$100,2,FALSE),0)</f>
        <v>0</v>
      </c>
      <c r="CS36">
        <f>IFERROR(VLOOKUP($B36,PirteiKisuiBeMutzar_procerur!$C$6:$AA$100,3,FALSE),0)</f>
        <v>0</v>
      </c>
      <c r="CT36">
        <f>IFERROR(VLOOKUP($B36,PirteiKisuiBeMutzar_procerur!$C$6:$AA$100,4,FALSE),0)</f>
        <v>0</v>
      </c>
      <c r="CU36">
        <f>IFERROR(VLOOKUP($B36,PirteiKisuiBeMutzar_procerur!$C$6:$AA$100,5,FALSE),0)</f>
        <v>0</v>
      </c>
      <c r="CV36">
        <f>IFERROR(VLOOKUP($B36,PirteiKisuiBeMutzar_procerur!$C$6:$AA$100,6,FALSE),0)</f>
        <v>0</v>
      </c>
      <c r="CW36">
        <f>IFERROR(VLOOKUP($B36,PirteiKisuiBeMutzar_procerur!$C$6:$AA$100,7,FALSE),0)</f>
        <v>0</v>
      </c>
      <c r="CX36">
        <f>IFERROR(VLOOKUP($B36,PirteiKisuiBeMutzar_procerur!$C$6:$AA$100,8,FALSE),0)</f>
        <v>0</v>
      </c>
      <c r="CY36">
        <f>IFERROR(VLOOKUP($B36,PirteiKisuiBeMutzar_procerur!$C$6:$AA$100,9,FALSE),0)</f>
        <v>0</v>
      </c>
      <c r="CZ36">
        <f>IFERROR(VLOOKUP($B36,PirteiKisuiBeMutzar_procerur!$C$6:$AA$100,10,FALSE),0)</f>
        <v>0</v>
      </c>
      <c r="DA36">
        <f>IFERROR(VLOOKUP($B36,PirteiKisuiBeMutzar_procerur!$C$6:$AA$100,11,FALSE),0)</f>
        <v>0</v>
      </c>
      <c r="DB36">
        <f>IFERROR(VLOOKUP($B36,PirteiKisuiBeMutzarPrmia!$C$6:$AA$100,2,FALSE),0)</f>
        <v>0</v>
      </c>
      <c r="DC36">
        <f>IFERROR(VLOOKUP($B36,PirteiKisuiBeMutzarPrmia!$C$6:$AA$100,3,FALSE),0)</f>
        <v>0</v>
      </c>
      <c r="DD36">
        <f>IFERROR(VLOOKUP($B36,PirteiKisuiBeMutzarPrmia!$C$6:$AA$100,4,FALSE),0)</f>
        <v>0</v>
      </c>
      <c r="DE36">
        <f>IFERROR(VLOOKUP($B36,PirteiKisuiBeMutzarPrmia!$C$6:$AA$100,5,FALSE),0)</f>
        <v>0</v>
      </c>
      <c r="DF36">
        <f>IFERROR(VLOOKUP($B36,PirteiKisuiBeMutzarPrmia!$C$6:$AA$100,6,FALSE),0)</f>
        <v>0</v>
      </c>
      <c r="DG36">
        <f>IFERROR(VLOOKUP($B36,PirteiKisuiBeMutzarPrmia!$C$6:$AA$100,7,FALSE),0)</f>
        <v>0</v>
      </c>
      <c r="DH36">
        <f>IFERROR(VLOOKUP($B36,PirteiKisuiBeMutzarPrmia!$C$6:$AA$100,8,FALSE),0)</f>
        <v>0</v>
      </c>
      <c r="DI36">
        <f>IFERROR(VLOOKUP($B36,PirteiKisuiBeMutzarPrmia!$C$6:$AA$100,9,FALSE),0)</f>
        <v>0</v>
      </c>
      <c r="DJ36">
        <f>IFERROR(VLOOKUP($B36,PirteiKisuiBeMutzarPrmia!$C$6:$AA$100,10,FALSE),0)</f>
        <v>0</v>
      </c>
      <c r="DK36">
        <f>IFERROR(VLOOKUP($B36,PirteiKisuiBeMutzarPrmia!$C$6:$AA$100,11,FALSE),0)</f>
        <v>0</v>
      </c>
      <c r="DL36">
        <f t="shared" si="1"/>
        <v>0</v>
      </c>
      <c r="DM36">
        <f t="shared" si="45"/>
        <v>0</v>
      </c>
      <c r="DN36">
        <f t="shared" si="46"/>
        <v>0</v>
      </c>
      <c r="DO36">
        <f t="shared" si="2"/>
        <v>0</v>
      </c>
      <c r="DP36">
        <f t="shared" si="3"/>
        <v>0</v>
      </c>
      <c r="DQ36">
        <f>IF(OR(L36=1,L36=3),IFERROR(VLOOKUP($B36,PerutHafkadotMetchilatShanaAvgM!$C$6:$G$100,3,FALSE),0),0)</f>
        <v>0</v>
      </c>
      <c r="DR36">
        <f>IF(OR(L36=2,L36=4),IFERROR(VLOOKUP($B36,PerutHafkadotMetchilatShanaAvgM!$C$6:$G$100,3,FALSE),0),0)</f>
        <v>0</v>
      </c>
      <c r="DS36">
        <f>IFERROR(VLOOKUP($B36,PerutHafkadotMetchilatShanaAvgM!$C$6:$G$100,4,FALSE),0)</f>
        <v>0</v>
      </c>
      <c r="DT36">
        <f>IFERROR(VLOOKUP($B36,Kupa!$D$6:$AA$100,5,FALSE),0)</f>
        <v>0</v>
      </c>
      <c r="DU36">
        <f>IFERROR(VLOOKUP($B36,Kupa!$D$6:$AA$100,6,FALSE),0)</f>
        <v>0</v>
      </c>
      <c r="DV36">
        <f>IFERROR(VLOOKUP($B36,KisuiBKerenPensiaDBWithParams!$D$6:$AP$100,9,FALSE),0)</f>
        <v>0</v>
      </c>
      <c r="DW36">
        <f>IFERROR(VLOOKUP($B36,KisuiBKerenPensiaDBWithParams!$D$6:$AP$100,12,FALSE),0)</f>
        <v>0</v>
      </c>
      <c r="DX36">
        <f>IFERROR(VLOOKUP($B36,KisuiBKerenPensiaDBWithParams!$D$6:$AP$100,13,FALSE),0)</f>
        <v>0</v>
      </c>
      <c r="DY36">
        <f>IFERROR(VLOOKUP($B36,KisuiBKerenPensiaDBWithParams!$D$6:$AP$100,7,FALSE),0)</f>
        <v>0</v>
      </c>
      <c r="DZ36">
        <f>IFERROR(VLOOKUP($B36,KisuiBKerenPensiaDBWithParams!$D$6:$AP$100,17,FALSE),0)</f>
        <v>0</v>
      </c>
      <c r="EA36">
        <f>IFERROR(VLOOKUP($B36,KisuiBKerenPensiaDBWithParams!$D$6:$AP$100,20,FALSE),0)</f>
        <v>0</v>
      </c>
      <c r="EB36">
        <f>IFERROR(VLOOKUP($B36,KisuiBKerenPensiaDBWithParams!$D$6:$AP$100,21,FALSE),0)</f>
        <v>0</v>
      </c>
      <c r="EC36">
        <f t="shared" si="47"/>
        <v>0</v>
      </c>
      <c r="EG36">
        <f>IF(OR(G36=MyData!$J$50,G36=MyData!$J$51,G36=MyData!$J$52),1,IF(G36=MyData!$J$49,2,0))</f>
        <v>0</v>
      </c>
    </row>
    <row r="37" spans="1:137">
      <c r="A37">
        <f t="shared" si="48"/>
        <v>0</v>
      </c>
      <c r="B37" s="20">
        <f>RicusPolice!E34</f>
        <v>0</v>
      </c>
      <c r="C37" s="20">
        <f>RicusPolice!AL34</f>
        <v>0</v>
      </c>
      <c r="D37" s="20">
        <f>RicusPolice!F34</f>
        <v>0</v>
      </c>
      <c r="E37" s="20">
        <f>RicusPolice!R34</f>
        <v>0</v>
      </c>
      <c r="F37" s="20">
        <f>RicusPolice!N34</f>
        <v>0</v>
      </c>
      <c r="G37" s="20">
        <f>IFERROR(VLOOKUP($B37,PerutYitrot!$D$6:$P$100,4,FALSE),0)</f>
        <v>0</v>
      </c>
      <c r="H37" s="20">
        <f t="shared" si="4"/>
        <v>0</v>
      </c>
      <c r="I37" s="20">
        <f>RicusPolice!L34</f>
        <v>0</v>
      </c>
      <c r="J37" s="179">
        <f>IFERROR(VLOOKUP(TRIM(K37),MyData!$J$43:$K$49,2,FALSE),0)</f>
        <v>0</v>
      </c>
      <c r="K37" s="20">
        <f>RicusPolice!M34</f>
        <v>0</v>
      </c>
      <c r="L37" s="20">
        <f>RicusPolice!AM34</f>
        <v>0</v>
      </c>
      <c r="M37" s="20" t="str">
        <f>IF(B37&gt;0,RicusPolice!Y34," ")</f>
        <v xml:space="preserve"> </v>
      </c>
      <c r="N37" s="20" t="str">
        <f t="shared" si="5"/>
        <v/>
      </c>
      <c r="O37" s="20">
        <f>RicusPolice!N34</f>
        <v>0</v>
      </c>
      <c r="P37" s="20">
        <f>IFERROR(VLOOKUP(B37,PerutMasluleiHashkaa!$D$6:$R$100,4,FALSE),0)</f>
        <v>0</v>
      </c>
      <c r="Q37" s="19"/>
      <c r="R37" s="20">
        <f>RicusPolice!P34</f>
        <v>0</v>
      </c>
      <c r="S37" s="20"/>
      <c r="T37" s="21">
        <f>'נתונים ידניים'!H37</f>
        <v>0</v>
      </c>
      <c r="U37" s="21"/>
      <c r="V37" s="20">
        <f>PerutHafrashotLePolisa!E34</f>
        <v>0</v>
      </c>
      <c r="W37" s="20">
        <f>PerutHafrashotLePolisa!F34</f>
        <v>0</v>
      </c>
      <c r="X37" s="20">
        <f>PerutHafrashotLePolisa!G34</f>
        <v>0</v>
      </c>
      <c r="Y37">
        <f t="shared" si="6"/>
        <v>0</v>
      </c>
      <c r="Z37">
        <f>IFERROR(VLOOKUP(B37,PirteiHaasaka!$D$6:$R$100,5,FALSE),0)</f>
        <v>0</v>
      </c>
      <c r="AB37">
        <f>IFERROR(VLOOKUP(B37,HafkadotMetchilatShanaAverages!$D$6:$E$100,2,FALSE),0)</f>
        <v>0</v>
      </c>
      <c r="AF37">
        <f>IFERROR(VLOOKUP(B37,CrossTabYitraLeTkufa_till_2000!$D$6:$AB$100,6,FALSE),0)+IFERROR(VLOOKUP(B37,CrossTabYitraLeTkufa_after_2000!$D$6:$AB$100,6,FALSE),0)</f>
        <v>0</v>
      </c>
      <c r="AG37">
        <f>IFERROR(VLOOKUP(B37,CrossTabYitraLeTkufa_till_2000!$D$6:$AB$100,16,FALSE),0)</f>
        <v>0</v>
      </c>
      <c r="AH37">
        <f>IFERROR(VLOOKUP(B37,CrossTabYitraLeTkufa_after_2000!$D$6:$AB$100,16,FALSE),0)</f>
        <v>0</v>
      </c>
      <c r="AI37">
        <f>IFERROR(VLOOKUP(B37,CrossTabYitraLeTkufa_till_2000!$D$6:$AB$100,17,FALSE),0)</f>
        <v>0</v>
      </c>
      <c r="AJ37">
        <f>IFERROR(VLOOKUP(B37,CrossTabYitraLeTkufa_after_2000!$D$6:$AB$100,17,FALSE),0)</f>
        <v>0</v>
      </c>
      <c r="AK37" s="5">
        <f t="shared" si="7"/>
        <v>0</v>
      </c>
      <c r="AN37">
        <f>IFERROR(VLOOKUP(B37,PirteiKisuiBeMutzar_procerur!$C$6:$AA$100,2,FALSE),0)</f>
        <v>0</v>
      </c>
      <c r="AP37">
        <f>IFERROR(VLOOKUP($B37,PirteiKisuiBeMutzar_procerur!$C$6:$AA$100,5,FALSE),0)</f>
        <v>0</v>
      </c>
      <c r="AQ37">
        <f>IFERROR(VLOOKUP($B37,PirteiKisuiBeMutzar_procerur!$C$6:$AA$100,3,FALSE),0)</f>
        <v>0</v>
      </c>
      <c r="AR37">
        <f>IFERROR(VLOOKUP($B37,PirteiKisuiBeMutzar_procerur!$C$6:$AA$100,6,FALSE),0)</f>
        <v>0</v>
      </c>
      <c r="AS37">
        <f>IFERROR(VLOOKUP($B37,PirteiKisuiBeMutzar_procerur!$C$6:$AA$100,7,FALSE),0)</f>
        <v>0</v>
      </c>
      <c r="AW37">
        <f t="shared" si="8"/>
        <v>0</v>
      </c>
      <c r="AX37">
        <f t="shared" si="9"/>
        <v>0</v>
      </c>
      <c r="AY37">
        <f t="shared" si="10"/>
        <v>0</v>
      </c>
      <c r="AZ37">
        <f t="shared" si="11"/>
        <v>0</v>
      </c>
      <c r="BA37">
        <f t="shared" si="12"/>
        <v>0</v>
      </c>
      <c r="BB37">
        <f t="shared" si="13"/>
        <v>0</v>
      </c>
      <c r="BC37">
        <f t="shared" si="14"/>
        <v>0</v>
      </c>
      <c r="BD37">
        <f t="shared" si="15"/>
        <v>0</v>
      </c>
      <c r="BE37">
        <f t="shared" si="16"/>
        <v>0</v>
      </c>
      <c r="BF37">
        <f t="shared" si="49"/>
        <v>0</v>
      </c>
      <c r="BG37">
        <f t="shared" si="17"/>
        <v>0</v>
      </c>
      <c r="BH37">
        <f t="shared" si="18"/>
        <v>0</v>
      </c>
      <c r="BI37">
        <f t="shared" si="19"/>
        <v>0</v>
      </c>
      <c r="BK37">
        <f t="shared" si="20"/>
        <v>0</v>
      </c>
      <c r="BL37">
        <f t="shared" si="21"/>
        <v>0</v>
      </c>
      <c r="BM37">
        <f t="shared" si="22"/>
        <v>0</v>
      </c>
      <c r="BN37">
        <f t="shared" si="23"/>
        <v>0</v>
      </c>
      <c r="BO37">
        <f t="shared" si="24"/>
        <v>0</v>
      </c>
      <c r="BR37">
        <f t="shared" si="25"/>
        <v>0</v>
      </c>
      <c r="BS37">
        <f t="shared" si="26"/>
        <v>0</v>
      </c>
      <c r="BT37">
        <f t="shared" si="27"/>
        <v>0</v>
      </c>
      <c r="BU37">
        <f t="shared" si="28"/>
        <v>0</v>
      </c>
      <c r="BV37">
        <f t="shared" si="29"/>
        <v>0</v>
      </c>
      <c r="BX37">
        <f t="shared" si="30"/>
        <v>0</v>
      </c>
      <c r="BY37">
        <f t="shared" si="31"/>
        <v>0</v>
      </c>
      <c r="BZ37">
        <f t="shared" si="32"/>
        <v>0</v>
      </c>
      <c r="CA37">
        <f t="shared" si="33"/>
        <v>0</v>
      </c>
      <c r="CB37">
        <f t="shared" si="34"/>
        <v>0</v>
      </c>
      <c r="CE37">
        <f t="shared" si="35"/>
        <v>0</v>
      </c>
      <c r="CF37">
        <f t="shared" si="36"/>
        <v>0</v>
      </c>
      <c r="CG37">
        <f t="shared" si="37"/>
        <v>0</v>
      </c>
      <c r="CH37">
        <f t="shared" si="38"/>
        <v>0</v>
      </c>
      <c r="CI37">
        <f t="shared" si="39"/>
        <v>0</v>
      </c>
      <c r="CL37">
        <f t="shared" si="40"/>
        <v>0</v>
      </c>
      <c r="CM37">
        <f t="shared" si="41"/>
        <v>0</v>
      </c>
      <c r="CN37">
        <f t="shared" si="42"/>
        <v>0</v>
      </c>
      <c r="CO37">
        <f t="shared" si="43"/>
        <v>0</v>
      </c>
      <c r="CP37">
        <f t="shared" si="44"/>
        <v>0</v>
      </c>
      <c r="CQ37">
        <f>IFERROR(VLOOKUP($B37,SchumeiBituahYesodi!$C$6:$AA$100,8,FALSE),0)</f>
        <v>0</v>
      </c>
      <c r="CR37">
        <f>IFERROR(VLOOKUP($B37,PirteiKisuiBeMutzar_procerur!$C$6:$AA$100,2,FALSE),0)</f>
        <v>0</v>
      </c>
      <c r="CS37">
        <f>IFERROR(VLOOKUP($B37,PirteiKisuiBeMutzar_procerur!$C$6:$AA$100,3,FALSE),0)</f>
        <v>0</v>
      </c>
      <c r="CT37">
        <f>IFERROR(VLOOKUP($B37,PirteiKisuiBeMutzar_procerur!$C$6:$AA$100,4,FALSE),0)</f>
        <v>0</v>
      </c>
      <c r="CU37">
        <f>IFERROR(VLOOKUP($B37,PirteiKisuiBeMutzar_procerur!$C$6:$AA$100,5,FALSE),0)</f>
        <v>0</v>
      </c>
      <c r="CV37">
        <f>IFERROR(VLOOKUP($B37,PirteiKisuiBeMutzar_procerur!$C$6:$AA$100,6,FALSE),0)</f>
        <v>0</v>
      </c>
      <c r="CW37">
        <f>IFERROR(VLOOKUP($B37,PirteiKisuiBeMutzar_procerur!$C$6:$AA$100,7,FALSE),0)</f>
        <v>0</v>
      </c>
      <c r="CX37">
        <f>IFERROR(VLOOKUP($B37,PirteiKisuiBeMutzar_procerur!$C$6:$AA$100,8,FALSE),0)</f>
        <v>0</v>
      </c>
      <c r="CY37">
        <f>IFERROR(VLOOKUP($B37,PirteiKisuiBeMutzar_procerur!$C$6:$AA$100,9,FALSE),0)</f>
        <v>0</v>
      </c>
      <c r="CZ37">
        <f>IFERROR(VLOOKUP($B37,PirteiKisuiBeMutzar_procerur!$C$6:$AA$100,10,FALSE),0)</f>
        <v>0</v>
      </c>
      <c r="DA37">
        <f>IFERROR(VLOOKUP($B37,PirteiKisuiBeMutzar_procerur!$C$6:$AA$100,11,FALSE),0)</f>
        <v>0</v>
      </c>
      <c r="DB37">
        <f>IFERROR(VLOOKUP($B37,PirteiKisuiBeMutzarPrmia!$C$6:$AA$100,2,FALSE),0)</f>
        <v>0</v>
      </c>
      <c r="DC37">
        <f>IFERROR(VLOOKUP($B37,PirteiKisuiBeMutzarPrmia!$C$6:$AA$100,3,FALSE),0)</f>
        <v>0</v>
      </c>
      <c r="DD37">
        <f>IFERROR(VLOOKUP($B37,PirteiKisuiBeMutzarPrmia!$C$6:$AA$100,4,FALSE),0)</f>
        <v>0</v>
      </c>
      <c r="DE37">
        <f>IFERROR(VLOOKUP($B37,PirteiKisuiBeMutzarPrmia!$C$6:$AA$100,5,FALSE),0)</f>
        <v>0</v>
      </c>
      <c r="DF37">
        <f>IFERROR(VLOOKUP($B37,PirteiKisuiBeMutzarPrmia!$C$6:$AA$100,6,FALSE),0)</f>
        <v>0</v>
      </c>
      <c r="DG37">
        <f>IFERROR(VLOOKUP($B37,PirteiKisuiBeMutzarPrmia!$C$6:$AA$100,7,FALSE),0)</f>
        <v>0</v>
      </c>
      <c r="DH37">
        <f>IFERROR(VLOOKUP($B37,PirteiKisuiBeMutzarPrmia!$C$6:$AA$100,8,FALSE),0)</f>
        <v>0</v>
      </c>
      <c r="DI37">
        <f>IFERROR(VLOOKUP($B37,PirteiKisuiBeMutzarPrmia!$C$6:$AA$100,9,FALSE),0)</f>
        <v>0</v>
      </c>
      <c r="DJ37">
        <f>IFERROR(VLOOKUP($B37,PirteiKisuiBeMutzarPrmia!$C$6:$AA$100,10,FALSE),0)</f>
        <v>0</v>
      </c>
      <c r="DK37">
        <f>IFERROR(VLOOKUP($B37,PirteiKisuiBeMutzarPrmia!$C$6:$AA$100,11,FALSE),0)</f>
        <v>0</v>
      </c>
      <c r="DL37">
        <f t="shared" si="1"/>
        <v>0</v>
      </c>
      <c r="DM37">
        <f t="shared" si="45"/>
        <v>0</v>
      </c>
      <c r="DN37">
        <f t="shared" si="46"/>
        <v>0</v>
      </c>
      <c r="DO37">
        <f t="shared" si="2"/>
        <v>0</v>
      </c>
      <c r="DP37">
        <f t="shared" si="3"/>
        <v>0</v>
      </c>
      <c r="DQ37">
        <f>IF(OR(L37=1,L37=3),IFERROR(VLOOKUP($B37,PerutHafkadotMetchilatShanaAvgM!$C$6:$G$100,3,FALSE),0),0)</f>
        <v>0</v>
      </c>
      <c r="DR37">
        <f>IF(OR(L37=2,L37=4),IFERROR(VLOOKUP($B37,PerutHafkadotMetchilatShanaAvgM!$C$6:$G$100,3,FALSE),0),0)</f>
        <v>0</v>
      </c>
      <c r="DS37">
        <f>IFERROR(VLOOKUP($B37,PerutHafkadotMetchilatShanaAvgM!$C$6:$G$100,4,FALSE),0)</f>
        <v>0</v>
      </c>
      <c r="DT37">
        <f>IFERROR(VLOOKUP($B37,Kupa!$D$6:$AA$100,5,FALSE),0)</f>
        <v>0</v>
      </c>
      <c r="DU37">
        <f>IFERROR(VLOOKUP($B37,Kupa!$D$6:$AA$100,6,FALSE),0)</f>
        <v>0</v>
      </c>
      <c r="DV37">
        <f>IFERROR(VLOOKUP($B37,KisuiBKerenPensiaDBWithParams!$D$6:$AP$100,9,FALSE),0)</f>
        <v>0</v>
      </c>
      <c r="DW37">
        <f>IFERROR(VLOOKUP($B37,KisuiBKerenPensiaDBWithParams!$D$6:$AP$100,12,FALSE),0)</f>
        <v>0</v>
      </c>
      <c r="DX37">
        <f>IFERROR(VLOOKUP($B37,KisuiBKerenPensiaDBWithParams!$D$6:$AP$100,13,FALSE),0)</f>
        <v>0</v>
      </c>
      <c r="DY37">
        <f>IFERROR(VLOOKUP($B37,KisuiBKerenPensiaDBWithParams!$D$6:$AP$100,7,FALSE),0)</f>
        <v>0</v>
      </c>
      <c r="DZ37">
        <f>IFERROR(VLOOKUP($B37,KisuiBKerenPensiaDBWithParams!$D$6:$AP$100,17,FALSE),0)</f>
        <v>0</v>
      </c>
      <c r="EA37">
        <f>IFERROR(VLOOKUP($B37,KisuiBKerenPensiaDBWithParams!$D$6:$AP$100,20,FALSE),0)</f>
        <v>0</v>
      </c>
      <c r="EB37">
        <f>IFERROR(VLOOKUP($B37,KisuiBKerenPensiaDBWithParams!$D$6:$AP$100,21,FALSE),0)</f>
        <v>0</v>
      </c>
      <c r="EC37">
        <f t="shared" si="47"/>
        <v>0</v>
      </c>
      <c r="EG37">
        <f>IF(OR(G37=MyData!$J$50,G37=MyData!$J$51,G37=MyData!$J$52),1,IF(G37=MyData!$J$49,2,0))</f>
        <v>0</v>
      </c>
    </row>
    <row r="38" spans="1:137">
      <c r="A38">
        <f t="shared" si="48"/>
        <v>0</v>
      </c>
      <c r="B38" s="20">
        <f>RicusPolice!E35</f>
        <v>0</v>
      </c>
      <c r="C38" s="20">
        <f>RicusPolice!AL35</f>
        <v>0</v>
      </c>
      <c r="D38" s="20">
        <f>RicusPolice!F35</f>
        <v>0</v>
      </c>
      <c r="E38" s="20">
        <f>RicusPolice!R35</f>
        <v>0</v>
      </c>
      <c r="F38" s="20">
        <f>RicusPolice!N35</f>
        <v>0</v>
      </c>
      <c r="G38" s="20">
        <f>IFERROR(VLOOKUP($B38,PerutYitrot!$D$6:$P$100,4,FALSE),0)</f>
        <v>0</v>
      </c>
      <c r="H38" s="20">
        <f t="shared" si="4"/>
        <v>0</v>
      </c>
      <c r="I38" s="20">
        <f>RicusPolice!L35</f>
        <v>0</v>
      </c>
      <c r="J38" s="179">
        <f>IFERROR(VLOOKUP(TRIM(K38),MyData!$J$43:$K$49,2,FALSE),0)</f>
        <v>0</v>
      </c>
      <c r="K38" s="20">
        <f>RicusPolice!M35</f>
        <v>0</v>
      </c>
      <c r="L38" s="20">
        <f>RicusPolice!AM35</f>
        <v>0</v>
      </c>
      <c r="M38" s="20" t="str">
        <f>IF(B38&gt;0,RicusPolice!Y35," ")</f>
        <v xml:space="preserve"> </v>
      </c>
      <c r="N38" s="20" t="str">
        <f t="shared" si="5"/>
        <v/>
      </c>
      <c r="O38" s="20">
        <f>RicusPolice!N35</f>
        <v>0</v>
      </c>
      <c r="P38" s="20">
        <f>IFERROR(VLOOKUP(B38,PerutMasluleiHashkaa!$D$6:$R$100,4,FALSE),0)</f>
        <v>0</v>
      </c>
      <c r="Q38" s="19"/>
      <c r="R38" s="20">
        <f>RicusPolice!P35</f>
        <v>0</v>
      </c>
      <c r="S38" s="20"/>
      <c r="T38" s="21">
        <f>'נתונים ידניים'!H38</f>
        <v>0</v>
      </c>
      <c r="U38" s="21"/>
      <c r="V38" s="20">
        <f>PerutHafrashotLePolisa!E35</f>
        <v>0</v>
      </c>
      <c r="W38" s="20">
        <f>PerutHafrashotLePolisa!F35</f>
        <v>0</v>
      </c>
      <c r="X38" s="20">
        <f>PerutHafrashotLePolisa!G35</f>
        <v>0</v>
      </c>
      <c r="Y38">
        <f t="shared" si="6"/>
        <v>0</v>
      </c>
      <c r="Z38">
        <f>IFERROR(VLOOKUP(B38,PirteiHaasaka!$D$6:$R$100,5,FALSE),0)</f>
        <v>0</v>
      </c>
      <c r="AB38">
        <f>IFERROR(VLOOKUP(B38,HafkadotMetchilatShanaAverages!$D$6:$E$100,2,FALSE),0)</f>
        <v>0</v>
      </c>
      <c r="AF38">
        <f>IFERROR(VLOOKUP(B38,CrossTabYitraLeTkufa_till_2000!$D$6:$AB$100,6,FALSE),0)+IFERROR(VLOOKUP(B38,CrossTabYitraLeTkufa_after_2000!$D$6:$AB$100,6,FALSE),0)</f>
        <v>0</v>
      </c>
      <c r="AG38">
        <f>IFERROR(VLOOKUP(B38,CrossTabYitraLeTkufa_till_2000!$D$6:$AB$100,16,FALSE),0)</f>
        <v>0</v>
      </c>
      <c r="AH38">
        <f>IFERROR(VLOOKUP(B38,CrossTabYitraLeTkufa_after_2000!$D$6:$AB$100,16,FALSE),0)</f>
        <v>0</v>
      </c>
      <c r="AI38">
        <f>IFERROR(VLOOKUP(B38,CrossTabYitraLeTkufa_till_2000!$D$6:$AB$100,17,FALSE),0)</f>
        <v>0</v>
      </c>
      <c r="AJ38">
        <f>IFERROR(VLOOKUP(B38,CrossTabYitraLeTkufa_after_2000!$D$6:$AB$100,17,FALSE),0)</f>
        <v>0</v>
      </c>
      <c r="AK38" s="5">
        <f t="shared" si="7"/>
        <v>0</v>
      </c>
      <c r="AN38">
        <f>IFERROR(VLOOKUP(B38,PirteiKisuiBeMutzar_procerur!$C$6:$AA$100,2,FALSE),0)</f>
        <v>0</v>
      </c>
      <c r="AP38">
        <f>IFERROR(VLOOKUP($B38,PirteiKisuiBeMutzar_procerur!$C$6:$AA$100,5,FALSE),0)</f>
        <v>0</v>
      </c>
      <c r="AQ38">
        <f>IFERROR(VLOOKUP($B38,PirteiKisuiBeMutzar_procerur!$C$6:$AA$100,3,FALSE),0)</f>
        <v>0</v>
      </c>
      <c r="AR38">
        <f>IFERROR(VLOOKUP($B38,PirteiKisuiBeMutzar_procerur!$C$6:$AA$100,6,FALSE),0)</f>
        <v>0</v>
      </c>
      <c r="AS38">
        <f>IFERROR(VLOOKUP($B38,PirteiKisuiBeMutzar_procerur!$C$6:$AA$100,7,FALSE),0)</f>
        <v>0</v>
      </c>
      <c r="AW38">
        <f t="shared" si="8"/>
        <v>0</v>
      </c>
      <c r="AX38">
        <f t="shared" si="9"/>
        <v>0</v>
      </c>
      <c r="AY38">
        <f t="shared" si="10"/>
        <v>0</v>
      </c>
      <c r="AZ38">
        <f t="shared" si="11"/>
        <v>0</v>
      </c>
      <c r="BA38">
        <f t="shared" si="12"/>
        <v>0</v>
      </c>
      <c r="BB38">
        <f t="shared" si="13"/>
        <v>0</v>
      </c>
      <c r="BC38">
        <f t="shared" si="14"/>
        <v>0</v>
      </c>
      <c r="BD38">
        <f t="shared" si="15"/>
        <v>0</v>
      </c>
      <c r="BE38">
        <f t="shared" si="16"/>
        <v>0</v>
      </c>
      <c r="BF38">
        <f t="shared" si="49"/>
        <v>0</v>
      </c>
      <c r="BG38">
        <f t="shared" si="17"/>
        <v>0</v>
      </c>
      <c r="BH38">
        <f t="shared" si="18"/>
        <v>0</v>
      </c>
      <c r="BI38">
        <f t="shared" si="19"/>
        <v>0</v>
      </c>
      <c r="BK38">
        <f t="shared" si="20"/>
        <v>0</v>
      </c>
      <c r="BL38">
        <f t="shared" si="21"/>
        <v>0</v>
      </c>
      <c r="BM38">
        <f t="shared" si="22"/>
        <v>0</v>
      </c>
      <c r="BN38">
        <f t="shared" si="23"/>
        <v>0</v>
      </c>
      <c r="BO38">
        <f t="shared" si="24"/>
        <v>0</v>
      </c>
      <c r="BR38">
        <f t="shared" si="25"/>
        <v>0</v>
      </c>
      <c r="BS38">
        <f t="shared" si="26"/>
        <v>0</v>
      </c>
      <c r="BT38">
        <f t="shared" si="27"/>
        <v>0</v>
      </c>
      <c r="BU38">
        <f t="shared" si="28"/>
        <v>0</v>
      </c>
      <c r="BV38">
        <f t="shared" si="29"/>
        <v>0</v>
      </c>
      <c r="BX38">
        <f t="shared" si="30"/>
        <v>0</v>
      </c>
      <c r="BY38">
        <f t="shared" si="31"/>
        <v>0</v>
      </c>
      <c r="BZ38">
        <f t="shared" si="32"/>
        <v>0</v>
      </c>
      <c r="CA38">
        <f t="shared" si="33"/>
        <v>0</v>
      </c>
      <c r="CB38">
        <f t="shared" si="34"/>
        <v>0</v>
      </c>
      <c r="CE38">
        <f t="shared" si="35"/>
        <v>0</v>
      </c>
      <c r="CF38">
        <f t="shared" si="36"/>
        <v>0</v>
      </c>
      <c r="CG38">
        <f t="shared" si="37"/>
        <v>0</v>
      </c>
      <c r="CH38">
        <f t="shared" si="38"/>
        <v>0</v>
      </c>
      <c r="CI38">
        <f t="shared" si="39"/>
        <v>0</v>
      </c>
      <c r="CL38">
        <f t="shared" si="40"/>
        <v>0</v>
      </c>
      <c r="CM38">
        <f t="shared" si="41"/>
        <v>0</v>
      </c>
      <c r="CN38">
        <f t="shared" si="42"/>
        <v>0</v>
      </c>
      <c r="CO38">
        <f t="shared" si="43"/>
        <v>0</v>
      </c>
      <c r="CP38">
        <f t="shared" si="44"/>
        <v>0</v>
      </c>
      <c r="CQ38">
        <f>IFERROR(VLOOKUP($B38,SchumeiBituahYesodi!$C$6:$AA$100,8,FALSE),0)</f>
        <v>0</v>
      </c>
      <c r="CR38">
        <f>IFERROR(VLOOKUP($B38,PirteiKisuiBeMutzar_procerur!$C$6:$AA$100,2,FALSE),0)</f>
        <v>0</v>
      </c>
      <c r="CS38">
        <f>IFERROR(VLOOKUP($B38,PirteiKisuiBeMutzar_procerur!$C$6:$AA$100,3,FALSE),0)</f>
        <v>0</v>
      </c>
      <c r="CT38">
        <f>IFERROR(VLOOKUP($B38,PirteiKisuiBeMutzar_procerur!$C$6:$AA$100,4,FALSE),0)</f>
        <v>0</v>
      </c>
      <c r="CU38">
        <f>IFERROR(VLOOKUP($B38,PirteiKisuiBeMutzar_procerur!$C$6:$AA$100,5,FALSE),0)</f>
        <v>0</v>
      </c>
      <c r="CV38">
        <f>IFERROR(VLOOKUP($B38,PirteiKisuiBeMutzar_procerur!$C$6:$AA$100,6,FALSE),0)</f>
        <v>0</v>
      </c>
      <c r="CW38">
        <f>IFERROR(VLOOKUP($B38,PirteiKisuiBeMutzar_procerur!$C$6:$AA$100,7,FALSE),0)</f>
        <v>0</v>
      </c>
      <c r="CX38">
        <f>IFERROR(VLOOKUP($B38,PirteiKisuiBeMutzar_procerur!$C$6:$AA$100,8,FALSE),0)</f>
        <v>0</v>
      </c>
      <c r="CY38">
        <f>IFERROR(VLOOKUP($B38,PirteiKisuiBeMutzar_procerur!$C$6:$AA$100,9,FALSE),0)</f>
        <v>0</v>
      </c>
      <c r="CZ38">
        <f>IFERROR(VLOOKUP($B38,PirteiKisuiBeMutzar_procerur!$C$6:$AA$100,10,FALSE),0)</f>
        <v>0</v>
      </c>
      <c r="DA38">
        <f>IFERROR(VLOOKUP($B38,PirteiKisuiBeMutzar_procerur!$C$6:$AA$100,11,FALSE),0)</f>
        <v>0</v>
      </c>
      <c r="DB38">
        <f>IFERROR(VLOOKUP($B38,PirteiKisuiBeMutzarPrmia!$C$6:$AA$100,2,FALSE),0)</f>
        <v>0</v>
      </c>
      <c r="DC38">
        <f>IFERROR(VLOOKUP($B38,PirteiKisuiBeMutzarPrmia!$C$6:$AA$100,3,FALSE),0)</f>
        <v>0</v>
      </c>
      <c r="DD38">
        <f>IFERROR(VLOOKUP($B38,PirteiKisuiBeMutzarPrmia!$C$6:$AA$100,4,FALSE),0)</f>
        <v>0</v>
      </c>
      <c r="DE38">
        <f>IFERROR(VLOOKUP($B38,PirteiKisuiBeMutzarPrmia!$C$6:$AA$100,5,FALSE),0)</f>
        <v>0</v>
      </c>
      <c r="DF38">
        <f>IFERROR(VLOOKUP($B38,PirteiKisuiBeMutzarPrmia!$C$6:$AA$100,6,FALSE),0)</f>
        <v>0</v>
      </c>
      <c r="DG38">
        <f>IFERROR(VLOOKUP($B38,PirteiKisuiBeMutzarPrmia!$C$6:$AA$100,7,FALSE),0)</f>
        <v>0</v>
      </c>
      <c r="DH38">
        <f>IFERROR(VLOOKUP($B38,PirteiKisuiBeMutzarPrmia!$C$6:$AA$100,8,FALSE),0)</f>
        <v>0</v>
      </c>
      <c r="DI38">
        <f>IFERROR(VLOOKUP($B38,PirteiKisuiBeMutzarPrmia!$C$6:$AA$100,9,FALSE),0)</f>
        <v>0</v>
      </c>
      <c r="DJ38">
        <f>IFERROR(VLOOKUP($B38,PirteiKisuiBeMutzarPrmia!$C$6:$AA$100,10,FALSE),0)</f>
        <v>0</v>
      </c>
      <c r="DK38">
        <f>IFERROR(VLOOKUP($B38,PirteiKisuiBeMutzarPrmia!$C$6:$AA$100,11,FALSE),0)</f>
        <v>0</v>
      </c>
      <c r="DL38">
        <f t="shared" si="1"/>
        <v>0</v>
      </c>
      <c r="DM38">
        <f t="shared" si="45"/>
        <v>0</v>
      </c>
      <c r="DN38">
        <f t="shared" si="46"/>
        <v>0</v>
      </c>
      <c r="DO38">
        <f t="shared" si="2"/>
        <v>0</v>
      </c>
      <c r="DP38">
        <f t="shared" si="3"/>
        <v>0</v>
      </c>
      <c r="DQ38">
        <f>IF(OR(L38=1,L38=3),IFERROR(VLOOKUP($B38,PerutHafkadotMetchilatShanaAvgM!$C$6:$G$100,3,FALSE),0),0)</f>
        <v>0</v>
      </c>
      <c r="DR38">
        <f>IF(OR(L38=2,L38=4),IFERROR(VLOOKUP($B38,PerutHafkadotMetchilatShanaAvgM!$C$6:$G$100,3,FALSE),0),0)</f>
        <v>0</v>
      </c>
      <c r="DS38">
        <f>IFERROR(VLOOKUP($B38,PerutHafkadotMetchilatShanaAvgM!$C$6:$G$100,4,FALSE),0)</f>
        <v>0</v>
      </c>
      <c r="DT38">
        <f>IFERROR(VLOOKUP($B38,Kupa!$D$6:$AA$100,5,FALSE),0)</f>
        <v>0</v>
      </c>
      <c r="DU38">
        <f>IFERROR(VLOOKUP($B38,Kupa!$D$6:$AA$100,6,FALSE),0)</f>
        <v>0</v>
      </c>
      <c r="DV38">
        <f>IFERROR(VLOOKUP($B38,KisuiBKerenPensiaDBWithParams!$D$6:$AP$100,9,FALSE),0)</f>
        <v>0</v>
      </c>
      <c r="DW38">
        <f>IFERROR(VLOOKUP($B38,KisuiBKerenPensiaDBWithParams!$D$6:$AP$100,12,FALSE),0)</f>
        <v>0</v>
      </c>
      <c r="DX38">
        <f>IFERROR(VLOOKUP($B38,KisuiBKerenPensiaDBWithParams!$D$6:$AP$100,13,FALSE),0)</f>
        <v>0</v>
      </c>
      <c r="DY38">
        <f>IFERROR(VLOOKUP($B38,KisuiBKerenPensiaDBWithParams!$D$6:$AP$100,7,FALSE),0)</f>
        <v>0</v>
      </c>
      <c r="DZ38">
        <f>IFERROR(VLOOKUP($B38,KisuiBKerenPensiaDBWithParams!$D$6:$AP$100,17,FALSE),0)</f>
        <v>0</v>
      </c>
      <c r="EA38">
        <f>IFERROR(VLOOKUP($B38,KisuiBKerenPensiaDBWithParams!$D$6:$AP$100,20,FALSE),0)</f>
        <v>0</v>
      </c>
      <c r="EB38">
        <f>IFERROR(VLOOKUP($B38,KisuiBKerenPensiaDBWithParams!$D$6:$AP$100,21,FALSE),0)</f>
        <v>0</v>
      </c>
      <c r="EC38">
        <f t="shared" si="47"/>
        <v>0</v>
      </c>
      <c r="EG38">
        <f>IF(OR(G38=MyData!$J$50,G38=MyData!$J$51,G38=MyData!$J$52),1,IF(G38=MyData!$J$49,2,0))</f>
        <v>0</v>
      </c>
    </row>
    <row r="39" spans="1:137">
      <c r="A39">
        <f t="shared" si="48"/>
        <v>0</v>
      </c>
      <c r="B39" s="20">
        <f>RicusPolice!E36</f>
        <v>0</v>
      </c>
      <c r="C39" s="20">
        <f>RicusPolice!AL36</f>
        <v>0</v>
      </c>
      <c r="D39" s="20">
        <f>RicusPolice!F36</f>
        <v>0</v>
      </c>
      <c r="E39" s="20">
        <f>RicusPolice!R36</f>
        <v>0</v>
      </c>
      <c r="F39" s="20">
        <f>RicusPolice!N36</f>
        <v>0</v>
      </c>
      <c r="G39" s="20">
        <f>IFERROR(VLOOKUP($B39,PerutYitrot!$D$6:$P$100,4,FALSE),0)</f>
        <v>0</v>
      </c>
      <c r="H39" s="20">
        <f t="shared" si="4"/>
        <v>0</v>
      </c>
      <c r="I39" s="20">
        <f>RicusPolice!L36</f>
        <v>0</v>
      </c>
      <c r="J39" s="179">
        <f>IFERROR(VLOOKUP(TRIM(K39),MyData!$J$43:$K$49,2,FALSE),0)</f>
        <v>0</v>
      </c>
      <c r="K39" s="20">
        <f>RicusPolice!M36</f>
        <v>0</v>
      </c>
      <c r="L39" s="20">
        <f>RicusPolice!AM36</f>
        <v>0</v>
      </c>
      <c r="M39" s="20" t="str">
        <f>IF(B39&gt;0,RicusPolice!Y36," ")</f>
        <v xml:space="preserve"> </v>
      </c>
      <c r="N39" s="20" t="str">
        <f t="shared" si="5"/>
        <v/>
      </c>
      <c r="O39" s="20">
        <f>RicusPolice!N36</f>
        <v>0</v>
      </c>
      <c r="P39" s="20">
        <f>IFERROR(VLOOKUP(B39,PerutMasluleiHashkaa!$D$6:$R$100,4,FALSE),0)</f>
        <v>0</v>
      </c>
      <c r="Q39" s="19"/>
      <c r="R39" s="20">
        <f>RicusPolice!P36</f>
        <v>0</v>
      </c>
      <c r="S39" s="20"/>
      <c r="T39" s="21">
        <f>'נתונים ידניים'!H39</f>
        <v>0</v>
      </c>
      <c r="U39" s="21"/>
      <c r="V39" s="20">
        <f>PerutHafrashotLePolisa!E36</f>
        <v>0</v>
      </c>
      <c r="W39" s="20">
        <f>PerutHafrashotLePolisa!F36</f>
        <v>0</v>
      </c>
      <c r="X39" s="20">
        <f>PerutHafrashotLePolisa!G36</f>
        <v>0</v>
      </c>
      <c r="Y39">
        <f t="shared" si="6"/>
        <v>0</v>
      </c>
      <c r="Z39">
        <f>IFERROR(VLOOKUP(B39,PirteiHaasaka!$D$6:$R$100,5,FALSE),0)</f>
        <v>0</v>
      </c>
      <c r="AB39">
        <f>IFERROR(VLOOKUP(B39,HafkadotMetchilatShanaAverages!$D$6:$E$100,2,FALSE),0)</f>
        <v>0</v>
      </c>
      <c r="AF39">
        <f>IFERROR(VLOOKUP(B39,CrossTabYitraLeTkufa_till_2000!$D$6:$AB$100,6,FALSE),0)+IFERROR(VLOOKUP(B39,CrossTabYitraLeTkufa_after_2000!$D$6:$AB$100,6,FALSE),0)</f>
        <v>0</v>
      </c>
      <c r="AG39">
        <f>IFERROR(VLOOKUP(B39,CrossTabYitraLeTkufa_till_2000!$D$6:$AB$100,16,FALSE),0)</f>
        <v>0</v>
      </c>
      <c r="AH39">
        <f>IFERROR(VLOOKUP(B39,CrossTabYitraLeTkufa_after_2000!$D$6:$AB$100,16,FALSE),0)</f>
        <v>0</v>
      </c>
      <c r="AI39">
        <f>IFERROR(VLOOKUP(B39,CrossTabYitraLeTkufa_till_2000!$D$6:$AB$100,17,FALSE),0)</f>
        <v>0</v>
      </c>
      <c r="AJ39">
        <f>IFERROR(VLOOKUP(B39,CrossTabYitraLeTkufa_after_2000!$D$6:$AB$100,17,FALSE),0)</f>
        <v>0</v>
      </c>
      <c r="AK39" s="5">
        <f t="shared" si="7"/>
        <v>0</v>
      </c>
      <c r="AN39">
        <f>IFERROR(VLOOKUP(B39,PirteiKisuiBeMutzar_procerur!$C$6:$AA$100,2,FALSE),0)</f>
        <v>0</v>
      </c>
      <c r="AP39">
        <f>IFERROR(VLOOKUP($B39,PirteiKisuiBeMutzar_procerur!$C$6:$AA$100,5,FALSE),0)</f>
        <v>0</v>
      </c>
      <c r="AQ39">
        <f>IFERROR(VLOOKUP($B39,PirteiKisuiBeMutzar_procerur!$C$6:$AA$100,3,FALSE),0)</f>
        <v>0</v>
      </c>
      <c r="AR39">
        <f>IFERROR(VLOOKUP($B39,PirteiKisuiBeMutzar_procerur!$C$6:$AA$100,6,FALSE),0)</f>
        <v>0</v>
      </c>
      <c r="AS39">
        <f>IFERROR(VLOOKUP($B39,PirteiKisuiBeMutzar_procerur!$C$6:$AA$100,7,FALSE),0)</f>
        <v>0</v>
      </c>
      <c r="AW39">
        <f t="shared" si="8"/>
        <v>0</v>
      </c>
      <c r="AX39">
        <f t="shared" si="9"/>
        <v>0</v>
      </c>
      <c r="AY39">
        <f t="shared" si="10"/>
        <v>0</v>
      </c>
      <c r="AZ39">
        <f t="shared" si="11"/>
        <v>0</v>
      </c>
      <c r="BA39">
        <f t="shared" si="12"/>
        <v>0</v>
      </c>
      <c r="BB39">
        <f t="shared" si="13"/>
        <v>0</v>
      </c>
      <c r="BC39">
        <f t="shared" si="14"/>
        <v>0</v>
      </c>
      <c r="BD39">
        <f t="shared" si="15"/>
        <v>0</v>
      </c>
      <c r="BE39">
        <f t="shared" si="16"/>
        <v>0</v>
      </c>
      <c r="BF39">
        <f t="shared" si="49"/>
        <v>0</v>
      </c>
      <c r="BG39">
        <f t="shared" si="17"/>
        <v>0</v>
      </c>
      <c r="BH39">
        <f t="shared" si="18"/>
        <v>0</v>
      </c>
      <c r="BI39">
        <f t="shared" si="19"/>
        <v>0</v>
      </c>
      <c r="BK39">
        <f t="shared" si="20"/>
        <v>0</v>
      </c>
      <c r="BL39">
        <f t="shared" si="21"/>
        <v>0</v>
      </c>
      <c r="BM39">
        <f t="shared" si="22"/>
        <v>0</v>
      </c>
      <c r="BN39">
        <f t="shared" si="23"/>
        <v>0</v>
      </c>
      <c r="BO39">
        <f t="shared" si="24"/>
        <v>0</v>
      </c>
      <c r="BR39">
        <f t="shared" si="25"/>
        <v>0</v>
      </c>
      <c r="BS39">
        <f t="shared" si="26"/>
        <v>0</v>
      </c>
      <c r="BT39">
        <f t="shared" si="27"/>
        <v>0</v>
      </c>
      <c r="BU39">
        <f t="shared" si="28"/>
        <v>0</v>
      </c>
      <c r="BV39">
        <f t="shared" si="29"/>
        <v>0</v>
      </c>
      <c r="BX39">
        <f t="shared" si="30"/>
        <v>0</v>
      </c>
      <c r="BY39">
        <f t="shared" si="31"/>
        <v>0</v>
      </c>
      <c r="BZ39">
        <f t="shared" si="32"/>
        <v>0</v>
      </c>
      <c r="CA39">
        <f t="shared" si="33"/>
        <v>0</v>
      </c>
      <c r="CB39">
        <f t="shared" si="34"/>
        <v>0</v>
      </c>
      <c r="CE39">
        <f t="shared" si="35"/>
        <v>0</v>
      </c>
      <c r="CF39">
        <f t="shared" si="36"/>
        <v>0</v>
      </c>
      <c r="CG39">
        <f t="shared" si="37"/>
        <v>0</v>
      </c>
      <c r="CH39">
        <f t="shared" si="38"/>
        <v>0</v>
      </c>
      <c r="CI39">
        <f t="shared" si="39"/>
        <v>0</v>
      </c>
      <c r="CL39">
        <f t="shared" si="40"/>
        <v>0</v>
      </c>
      <c r="CM39">
        <f t="shared" si="41"/>
        <v>0</v>
      </c>
      <c r="CN39">
        <f t="shared" si="42"/>
        <v>0</v>
      </c>
      <c r="CO39">
        <f t="shared" si="43"/>
        <v>0</v>
      </c>
      <c r="CP39">
        <f t="shared" si="44"/>
        <v>0</v>
      </c>
      <c r="CQ39">
        <f>IFERROR(VLOOKUP($B39,SchumeiBituahYesodi!$C$6:$AA$100,8,FALSE),0)</f>
        <v>0</v>
      </c>
      <c r="CR39">
        <f>IFERROR(VLOOKUP($B39,PirteiKisuiBeMutzar_procerur!$C$6:$AA$100,2,FALSE),0)</f>
        <v>0</v>
      </c>
      <c r="CS39">
        <f>IFERROR(VLOOKUP($B39,PirteiKisuiBeMutzar_procerur!$C$6:$AA$100,3,FALSE),0)</f>
        <v>0</v>
      </c>
      <c r="CT39">
        <f>IFERROR(VLOOKUP($B39,PirteiKisuiBeMutzar_procerur!$C$6:$AA$100,4,FALSE),0)</f>
        <v>0</v>
      </c>
      <c r="CU39">
        <f>IFERROR(VLOOKUP($B39,PirteiKisuiBeMutzar_procerur!$C$6:$AA$100,5,FALSE),0)</f>
        <v>0</v>
      </c>
      <c r="CV39">
        <f>IFERROR(VLOOKUP($B39,PirteiKisuiBeMutzar_procerur!$C$6:$AA$100,6,FALSE),0)</f>
        <v>0</v>
      </c>
      <c r="CW39">
        <f>IFERROR(VLOOKUP($B39,PirteiKisuiBeMutzar_procerur!$C$6:$AA$100,7,FALSE),0)</f>
        <v>0</v>
      </c>
      <c r="CX39">
        <f>IFERROR(VLOOKUP($B39,PirteiKisuiBeMutzar_procerur!$C$6:$AA$100,8,FALSE),0)</f>
        <v>0</v>
      </c>
      <c r="CY39">
        <f>IFERROR(VLOOKUP($B39,PirteiKisuiBeMutzar_procerur!$C$6:$AA$100,9,FALSE),0)</f>
        <v>0</v>
      </c>
      <c r="CZ39">
        <f>IFERROR(VLOOKUP($B39,PirteiKisuiBeMutzar_procerur!$C$6:$AA$100,10,FALSE),0)</f>
        <v>0</v>
      </c>
      <c r="DA39">
        <f>IFERROR(VLOOKUP($B39,PirteiKisuiBeMutzar_procerur!$C$6:$AA$100,11,FALSE),0)</f>
        <v>0</v>
      </c>
      <c r="DB39">
        <f>IFERROR(VLOOKUP($B39,PirteiKisuiBeMutzarPrmia!$C$6:$AA$100,2,FALSE),0)</f>
        <v>0</v>
      </c>
      <c r="DC39">
        <f>IFERROR(VLOOKUP($B39,PirteiKisuiBeMutzarPrmia!$C$6:$AA$100,3,FALSE),0)</f>
        <v>0</v>
      </c>
      <c r="DD39">
        <f>IFERROR(VLOOKUP($B39,PirteiKisuiBeMutzarPrmia!$C$6:$AA$100,4,FALSE),0)</f>
        <v>0</v>
      </c>
      <c r="DE39">
        <f>IFERROR(VLOOKUP($B39,PirteiKisuiBeMutzarPrmia!$C$6:$AA$100,5,FALSE),0)</f>
        <v>0</v>
      </c>
      <c r="DF39">
        <f>IFERROR(VLOOKUP($B39,PirteiKisuiBeMutzarPrmia!$C$6:$AA$100,6,FALSE),0)</f>
        <v>0</v>
      </c>
      <c r="DG39">
        <f>IFERROR(VLOOKUP($B39,PirteiKisuiBeMutzarPrmia!$C$6:$AA$100,7,FALSE),0)</f>
        <v>0</v>
      </c>
      <c r="DH39">
        <f>IFERROR(VLOOKUP($B39,PirteiKisuiBeMutzarPrmia!$C$6:$AA$100,8,FALSE),0)</f>
        <v>0</v>
      </c>
      <c r="DI39">
        <f>IFERROR(VLOOKUP($B39,PirteiKisuiBeMutzarPrmia!$C$6:$AA$100,9,FALSE),0)</f>
        <v>0</v>
      </c>
      <c r="DJ39">
        <f>IFERROR(VLOOKUP($B39,PirteiKisuiBeMutzarPrmia!$C$6:$AA$100,10,FALSE),0)</f>
        <v>0</v>
      </c>
      <c r="DK39">
        <f>IFERROR(VLOOKUP($B39,PirteiKisuiBeMutzarPrmia!$C$6:$AA$100,11,FALSE),0)</f>
        <v>0</v>
      </c>
      <c r="DL39">
        <f t="shared" si="1"/>
        <v>0</v>
      </c>
      <c r="DM39">
        <f t="shared" si="45"/>
        <v>0</v>
      </c>
      <c r="DN39">
        <f t="shared" si="46"/>
        <v>0</v>
      </c>
      <c r="DO39">
        <f t="shared" si="2"/>
        <v>0</v>
      </c>
      <c r="DP39">
        <f t="shared" si="3"/>
        <v>0</v>
      </c>
      <c r="DQ39">
        <f>IF(OR(L39=1,L39=3),IFERROR(VLOOKUP($B39,PerutHafkadotMetchilatShanaAvgM!$C$6:$G$100,3,FALSE),0),0)</f>
        <v>0</v>
      </c>
      <c r="DR39">
        <f>IF(OR(L39=2,L39=4),IFERROR(VLOOKUP($B39,PerutHafkadotMetchilatShanaAvgM!$C$6:$G$100,3,FALSE),0),0)</f>
        <v>0</v>
      </c>
      <c r="DS39">
        <f>IFERROR(VLOOKUP($B39,PerutHafkadotMetchilatShanaAvgM!$C$6:$G$100,4,FALSE),0)</f>
        <v>0</v>
      </c>
      <c r="DT39">
        <f>IFERROR(VLOOKUP($B39,Kupa!$D$6:$AA$100,5,FALSE),0)</f>
        <v>0</v>
      </c>
      <c r="DU39">
        <f>IFERROR(VLOOKUP($B39,Kupa!$D$6:$AA$100,6,FALSE),0)</f>
        <v>0</v>
      </c>
      <c r="DV39">
        <f>IFERROR(VLOOKUP($B39,KisuiBKerenPensiaDBWithParams!$D$6:$AP$100,9,FALSE),0)</f>
        <v>0</v>
      </c>
      <c r="DW39">
        <f>IFERROR(VLOOKUP($B39,KisuiBKerenPensiaDBWithParams!$D$6:$AP$100,12,FALSE),0)</f>
        <v>0</v>
      </c>
      <c r="DX39">
        <f>IFERROR(VLOOKUP($B39,KisuiBKerenPensiaDBWithParams!$D$6:$AP$100,13,FALSE),0)</f>
        <v>0</v>
      </c>
      <c r="DY39">
        <f>IFERROR(VLOOKUP($B39,KisuiBKerenPensiaDBWithParams!$D$6:$AP$100,7,FALSE),0)</f>
        <v>0</v>
      </c>
      <c r="DZ39">
        <f>IFERROR(VLOOKUP($B39,KisuiBKerenPensiaDBWithParams!$D$6:$AP$100,17,FALSE),0)</f>
        <v>0</v>
      </c>
      <c r="EA39">
        <f>IFERROR(VLOOKUP($B39,KisuiBKerenPensiaDBWithParams!$D$6:$AP$100,20,FALSE),0)</f>
        <v>0</v>
      </c>
      <c r="EB39">
        <f>IFERROR(VLOOKUP($B39,KisuiBKerenPensiaDBWithParams!$D$6:$AP$100,21,FALSE),0)</f>
        <v>0</v>
      </c>
      <c r="EC39">
        <f t="shared" si="47"/>
        <v>0</v>
      </c>
      <c r="EG39">
        <f>IF(OR(G39=MyData!$J$50,G39=MyData!$J$51,G39=MyData!$J$52),1,IF(G39=MyData!$J$49,2,0))</f>
        <v>0</v>
      </c>
    </row>
    <row r="40" spans="1:137">
      <c r="A40">
        <f t="shared" si="48"/>
        <v>0</v>
      </c>
      <c r="B40" s="20">
        <f>RicusPolice!E37</f>
        <v>0</v>
      </c>
      <c r="C40" s="20">
        <f>RicusPolice!AL37</f>
        <v>0</v>
      </c>
      <c r="D40" s="20">
        <f>RicusPolice!F37</f>
        <v>0</v>
      </c>
      <c r="E40" s="20">
        <f>RicusPolice!R37</f>
        <v>0</v>
      </c>
      <c r="F40" s="20">
        <f>RicusPolice!N37</f>
        <v>0</v>
      </c>
      <c r="G40" s="20">
        <f>IFERROR(VLOOKUP($B40,PerutYitrot!$D$6:$P$100,4,FALSE),0)</f>
        <v>0</v>
      </c>
      <c r="H40" s="20">
        <f t="shared" si="4"/>
        <v>0</v>
      </c>
      <c r="I40" s="20">
        <f>RicusPolice!L37</f>
        <v>0</v>
      </c>
      <c r="J40" s="179">
        <f>IFERROR(VLOOKUP(TRIM(K40),MyData!$J$43:$K$49,2,FALSE),0)</f>
        <v>0</v>
      </c>
      <c r="K40" s="20">
        <f>RicusPolice!M37</f>
        <v>0</v>
      </c>
      <c r="L40" s="20">
        <f>RicusPolice!AM37</f>
        <v>0</v>
      </c>
      <c r="M40" s="20" t="str">
        <f>IF(B40&gt;0,RicusPolice!Y37," ")</f>
        <v xml:space="preserve"> </v>
      </c>
      <c r="N40" s="20" t="str">
        <f t="shared" si="5"/>
        <v/>
      </c>
      <c r="O40" s="20">
        <f>RicusPolice!N37</f>
        <v>0</v>
      </c>
      <c r="P40" s="20">
        <f>IFERROR(VLOOKUP(B40,PerutMasluleiHashkaa!$D$6:$R$100,4,FALSE),0)</f>
        <v>0</v>
      </c>
      <c r="Q40" s="19"/>
      <c r="R40" s="20">
        <f>RicusPolice!P37</f>
        <v>0</v>
      </c>
      <c r="S40" s="20"/>
      <c r="T40" s="21">
        <f>'נתונים ידניים'!H40</f>
        <v>0</v>
      </c>
      <c r="U40" s="21"/>
      <c r="V40" s="20">
        <f>PerutHafrashotLePolisa!E37</f>
        <v>0</v>
      </c>
      <c r="W40" s="20">
        <f>PerutHafrashotLePolisa!F37</f>
        <v>0</v>
      </c>
      <c r="X40" s="20">
        <f>PerutHafrashotLePolisa!G37</f>
        <v>0</v>
      </c>
      <c r="Y40">
        <f t="shared" si="6"/>
        <v>0</v>
      </c>
      <c r="Z40">
        <f>IFERROR(VLOOKUP(B40,PirteiHaasaka!$D$6:$R$100,5,FALSE),0)</f>
        <v>0</v>
      </c>
      <c r="AB40">
        <f>IFERROR(VLOOKUP(B40,HafkadotMetchilatShanaAverages!$D$6:$E$100,2,FALSE),0)</f>
        <v>0</v>
      </c>
      <c r="AF40">
        <f>IFERROR(VLOOKUP(B40,CrossTabYitraLeTkufa_till_2000!$D$6:$AB$100,6,FALSE),0)+IFERROR(VLOOKUP(B40,CrossTabYitraLeTkufa_after_2000!$D$6:$AB$100,6,FALSE),0)</f>
        <v>0</v>
      </c>
      <c r="AG40">
        <f>IFERROR(VLOOKUP(B40,CrossTabYitraLeTkufa_till_2000!$D$6:$AB$100,16,FALSE),0)</f>
        <v>0</v>
      </c>
      <c r="AH40">
        <f>IFERROR(VLOOKUP(B40,CrossTabYitraLeTkufa_after_2000!$D$6:$AB$100,16,FALSE),0)</f>
        <v>0</v>
      </c>
      <c r="AI40">
        <f>IFERROR(VLOOKUP(B40,CrossTabYitraLeTkufa_till_2000!$D$6:$AB$100,17,FALSE),0)</f>
        <v>0</v>
      </c>
      <c r="AJ40">
        <f>IFERROR(VLOOKUP(B40,CrossTabYitraLeTkufa_after_2000!$D$6:$AB$100,17,FALSE),0)</f>
        <v>0</v>
      </c>
      <c r="AK40" s="5">
        <f t="shared" si="7"/>
        <v>0</v>
      </c>
      <c r="AN40">
        <f>IFERROR(VLOOKUP(B40,PirteiKisuiBeMutzar_procerur!$C$6:$AA$100,2,FALSE),0)</f>
        <v>0</v>
      </c>
      <c r="AP40">
        <f>IFERROR(VLOOKUP($B40,PirteiKisuiBeMutzar_procerur!$C$6:$AA$100,5,FALSE),0)</f>
        <v>0</v>
      </c>
      <c r="AQ40">
        <f>IFERROR(VLOOKUP($B40,PirteiKisuiBeMutzar_procerur!$C$6:$AA$100,3,FALSE),0)</f>
        <v>0</v>
      </c>
      <c r="AR40">
        <f>IFERROR(VLOOKUP($B40,PirteiKisuiBeMutzar_procerur!$C$6:$AA$100,6,FALSE),0)</f>
        <v>0</v>
      </c>
      <c r="AS40">
        <f>IFERROR(VLOOKUP($B40,PirteiKisuiBeMutzar_procerur!$C$6:$AA$100,7,FALSE),0)</f>
        <v>0</v>
      </c>
      <c r="AW40">
        <f t="shared" si="8"/>
        <v>0</v>
      </c>
      <c r="AX40">
        <f t="shared" si="9"/>
        <v>0</v>
      </c>
      <c r="AY40">
        <f t="shared" si="10"/>
        <v>0</v>
      </c>
      <c r="AZ40">
        <f t="shared" si="11"/>
        <v>0</v>
      </c>
      <c r="BA40">
        <f t="shared" si="12"/>
        <v>0</v>
      </c>
      <c r="BB40">
        <f t="shared" si="13"/>
        <v>0</v>
      </c>
      <c r="BC40">
        <f t="shared" si="14"/>
        <v>0</v>
      </c>
      <c r="BD40">
        <f t="shared" si="15"/>
        <v>0</v>
      </c>
      <c r="BE40">
        <f t="shared" si="16"/>
        <v>0</v>
      </c>
      <c r="BF40">
        <f t="shared" si="49"/>
        <v>0</v>
      </c>
      <c r="BG40">
        <f t="shared" si="17"/>
        <v>0</v>
      </c>
      <c r="BH40">
        <f t="shared" si="18"/>
        <v>0</v>
      </c>
      <c r="BI40">
        <f t="shared" si="19"/>
        <v>0</v>
      </c>
      <c r="BK40">
        <f t="shared" si="20"/>
        <v>0</v>
      </c>
      <c r="BL40">
        <f t="shared" si="21"/>
        <v>0</v>
      </c>
      <c r="BM40">
        <f t="shared" si="22"/>
        <v>0</v>
      </c>
      <c r="BN40">
        <f t="shared" si="23"/>
        <v>0</v>
      </c>
      <c r="BO40">
        <f t="shared" si="24"/>
        <v>0</v>
      </c>
      <c r="BR40">
        <f t="shared" si="25"/>
        <v>0</v>
      </c>
      <c r="BS40">
        <f t="shared" si="26"/>
        <v>0</v>
      </c>
      <c r="BT40">
        <f t="shared" si="27"/>
        <v>0</v>
      </c>
      <c r="BU40">
        <f t="shared" si="28"/>
        <v>0</v>
      </c>
      <c r="BV40">
        <f t="shared" si="29"/>
        <v>0</v>
      </c>
      <c r="BX40">
        <f t="shared" si="30"/>
        <v>0</v>
      </c>
      <c r="BY40">
        <f t="shared" si="31"/>
        <v>0</v>
      </c>
      <c r="BZ40">
        <f t="shared" si="32"/>
        <v>0</v>
      </c>
      <c r="CA40">
        <f t="shared" si="33"/>
        <v>0</v>
      </c>
      <c r="CB40">
        <f t="shared" si="34"/>
        <v>0</v>
      </c>
      <c r="CE40">
        <f t="shared" si="35"/>
        <v>0</v>
      </c>
      <c r="CF40">
        <f t="shared" si="36"/>
        <v>0</v>
      </c>
      <c r="CG40">
        <f t="shared" si="37"/>
        <v>0</v>
      </c>
      <c r="CH40">
        <f t="shared" si="38"/>
        <v>0</v>
      </c>
      <c r="CI40">
        <f t="shared" si="39"/>
        <v>0</v>
      </c>
      <c r="CL40">
        <f t="shared" si="40"/>
        <v>0</v>
      </c>
      <c r="CM40">
        <f t="shared" si="41"/>
        <v>0</v>
      </c>
      <c r="CN40">
        <f t="shared" si="42"/>
        <v>0</v>
      </c>
      <c r="CO40">
        <f t="shared" si="43"/>
        <v>0</v>
      </c>
      <c r="CP40">
        <f t="shared" si="44"/>
        <v>0</v>
      </c>
      <c r="CQ40">
        <f>IFERROR(VLOOKUP($B40,SchumeiBituahYesodi!$C$6:$AA$100,8,FALSE),0)</f>
        <v>0</v>
      </c>
      <c r="CR40">
        <f>IFERROR(VLOOKUP($B40,PirteiKisuiBeMutzar_procerur!$C$6:$AA$100,2,FALSE),0)</f>
        <v>0</v>
      </c>
      <c r="CS40">
        <f>IFERROR(VLOOKUP($B40,PirteiKisuiBeMutzar_procerur!$C$6:$AA$100,3,FALSE),0)</f>
        <v>0</v>
      </c>
      <c r="CT40">
        <f>IFERROR(VLOOKUP($B40,PirteiKisuiBeMutzar_procerur!$C$6:$AA$100,4,FALSE),0)</f>
        <v>0</v>
      </c>
      <c r="CU40">
        <f>IFERROR(VLOOKUP($B40,PirteiKisuiBeMutzar_procerur!$C$6:$AA$100,5,FALSE),0)</f>
        <v>0</v>
      </c>
      <c r="CV40">
        <f>IFERROR(VLOOKUP($B40,PirteiKisuiBeMutzar_procerur!$C$6:$AA$100,6,FALSE),0)</f>
        <v>0</v>
      </c>
      <c r="CW40">
        <f>IFERROR(VLOOKUP($B40,PirteiKisuiBeMutzar_procerur!$C$6:$AA$100,7,FALSE),0)</f>
        <v>0</v>
      </c>
      <c r="CX40">
        <f>IFERROR(VLOOKUP($B40,PirteiKisuiBeMutzar_procerur!$C$6:$AA$100,8,FALSE),0)</f>
        <v>0</v>
      </c>
      <c r="CY40">
        <f>IFERROR(VLOOKUP($B40,PirteiKisuiBeMutzar_procerur!$C$6:$AA$100,9,FALSE),0)</f>
        <v>0</v>
      </c>
      <c r="CZ40">
        <f>IFERROR(VLOOKUP($B40,PirteiKisuiBeMutzar_procerur!$C$6:$AA$100,10,FALSE),0)</f>
        <v>0</v>
      </c>
      <c r="DA40">
        <f>IFERROR(VLOOKUP($B40,PirteiKisuiBeMutzar_procerur!$C$6:$AA$100,11,FALSE),0)</f>
        <v>0</v>
      </c>
      <c r="DB40">
        <f>IFERROR(VLOOKUP($B40,PirteiKisuiBeMutzarPrmia!$C$6:$AA$100,2,FALSE),0)</f>
        <v>0</v>
      </c>
      <c r="DC40">
        <f>IFERROR(VLOOKUP($B40,PirteiKisuiBeMutzarPrmia!$C$6:$AA$100,3,FALSE),0)</f>
        <v>0</v>
      </c>
      <c r="DD40">
        <f>IFERROR(VLOOKUP($B40,PirteiKisuiBeMutzarPrmia!$C$6:$AA$100,4,FALSE),0)</f>
        <v>0</v>
      </c>
      <c r="DE40">
        <f>IFERROR(VLOOKUP($B40,PirteiKisuiBeMutzarPrmia!$C$6:$AA$100,5,FALSE),0)</f>
        <v>0</v>
      </c>
      <c r="DF40">
        <f>IFERROR(VLOOKUP($B40,PirteiKisuiBeMutzarPrmia!$C$6:$AA$100,6,FALSE),0)</f>
        <v>0</v>
      </c>
      <c r="DG40">
        <f>IFERROR(VLOOKUP($B40,PirteiKisuiBeMutzarPrmia!$C$6:$AA$100,7,FALSE),0)</f>
        <v>0</v>
      </c>
      <c r="DH40">
        <f>IFERROR(VLOOKUP($B40,PirteiKisuiBeMutzarPrmia!$C$6:$AA$100,8,FALSE),0)</f>
        <v>0</v>
      </c>
      <c r="DI40">
        <f>IFERROR(VLOOKUP($B40,PirteiKisuiBeMutzarPrmia!$C$6:$AA$100,9,FALSE),0)</f>
        <v>0</v>
      </c>
      <c r="DJ40">
        <f>IFERROR(VLOOKUP($B40,PirteiKisuiBeMutzarPrmia!$C$6:$AA$100,10,FALSE),0)</f>
        <v>0</v>
      </c>
      <c r="DK40">
        <f>IFERROR(VLOOKUP($B40,PirteiKisuiBeMutzarPrmia!$C$6:$AA$100,11,FALSE),0)</f>
        <v>0</v>
      </c>
      <c r="DL40">
        <f t="shared" si="1"/>
        <v>0</v>
      </c>
      <c r="DM40">
        <f t="shared" si="45"/>
        <v>0</v>
      </c>
      <c r="DN40">
        <f t="shared" si="46"/>
        <v>0</v>
      </c>
      <c r="DO40">
        <f t="shared" si="2"/>
        <v>0</v>
      </c>
      <c r="DP40">
        <f t="shared" si="3"/>
        <v>0</v>
      </c>
      <c r="DQ40">
        <f>IF(OR(L40=1,L40=3),IFERROR(VLOOKUP($B40,PerutHafkadotMetchilatShanaAvgM!$C$6:$G$100,3,FALSE),0),0)</f>
        <v>0</v>
      </c>
      <c r="DR40">
        <f>IF(OR(L40=2,L40=4),IFERROR(VLOOKUP($B40,PerutHafkadotMetchilatShanaAvgM!$C$6:$G$100,3,FALSE),0),0)</f>
        <v>0</v>
      </c>
      <c r="DS40">
        <f>IFERROR(VLOOKUP($B40,PerutHafkadotMetchilatShanaAvgM!$C$6:$G$100,4,FALSE),0)</f>
        <v>0</v>
      </c>
      <c r="DT40">
        <f>IFERROR(VLOOKUP($B40,Kupa!$D$6:$AA$100,5,FALSE),0)</f>
        <v>0</v>
      </c>
      <c r="DU40">
        <f>IFERROR(VLOOKUP($B40,Kupa!$D$6:$AA$100,6,FALSE),0)</f>
        <v>0</v>
      </c>
      <c r="DV40">
        <f>IFERROR(VLOOKUP($B40,KisuiBKerenPensiaDBWithParams!$D$6:$AP$100,9,FALSE),0)</f>
        <v>0</v>
      </c>
      <c r="DW40">
        <f>IFERROR(VLOOKUP($B40,KisuiBKerenPensiaDBWithParams!$D$6:$AP$100,12,FALSE),0)</f>
        <v>0</v>
      </c>
      <c r="DX40">
        <f>IFERROR(VLOOKUP($B40,KisuiBKerenPensiaDBWithParams!$D$6:$AP$100,13,FALSE),0)</f>
        <v>0</v>
      </c>
      <c r="DY40">
        <f>IFERROR(VLOOKUP($B40,KisuiBKerenPensiaDBWithParams!$D$6:$AP$100,7,FALSE),0)</f>
        <v>0</v>
      </c>
      <c r="DZ40">
        <f>IFERROR(VLOOKUP($B40,KisuiBKerenPensiaDBWithParams!$D$6:$AP$100,17,FALSE),0)</f>
        <v>0</v>
      </c>
      <c r="EA40">
        <f>IFERROR(VLOOKUP($B40,KisuiBKerenPensiaDBWithParams!$D$6:$AP$100,20,FALSE),0)</f>
        <v>0</v>
      </c>
      <c r="EB40">
        <f>IFERROR(VLOOKUP($B40,KisuiBKerenPensiaDBWithParams!$D$6:$AP$100,21,FALSE),0)</f>
        <v>0</v>
      </c>
      <c r="EC40">
        <f t="shared" si="47"/>
        <v>0</v>
      </c>
      <c r="EG40">
        <f>IF(OR(G40=MyData!$J$50,G40=MyData!$J$51,G40=MyData!$J$52),1,IF(G40=MyData!$J$49,2,0))</f>
        <v>0</v>
      </c>
    </row>
    <row r="41" spans="1:137">
      <c r="A41">
        <f t="shared" si="48"/>
        <v>0</v>
      </c>
      <c r="B41" s="20">
        <f>RicusPolice!E38</f>
        <v>0</v>
      </c>
      <c r="C41" s="20">
        <f>RicusPolice!AL38</f>
        <v>0</v>
      </c>
      <c r="D41" s="20">
        <f>RicusPolice!F38</f>
        <v>0</v>
      </c>
      <c r="E41" s="20">
        <f>RicusPolice!R38</f>
        <v>0</v>
      </c>
      <c r="F41" s="20">
        <f>RicusPolice!N38</f>
        <v>0</v>
      </c>
      <c r="G41" s="20">
        <f>IFERROR(VLOOKUP($B41,PerutYitrot!$D$6:$P$100,4,FALSE),0)</f>
        <v>0</v>
      </c>
      <c r="H41" s="20">
        <f t="shared" si="4"/>
        <v>0</v>
      </c>
      <c r="I41" s="20">
        <f>RicusPolice!L38</f>
        <v>0</v>
      </c>
      <c r="J41" s="179">
        <f>IFERROR(VLOOKUP(TRIM(K41),MyData!$J$43:$K$49,2,FALSE),0)</f>
        <v>0</v>
      </c>
      <c r="K41" s="20">
        <f>RicusPolice!M38</f>
        <v>0</v>
      </c>
      <c r="L41" s="20">
        <f>RicusPolice!AM38</f>
        <v>0</v>
      </c>
      <c r="M41" s="20" t="str">
        <f>IF(B41&gt;0,RicusPolice!Y38," ")</f>
        <v xml:space="preserve"> </v>
      </c>
      <c r="N41" s="20" t="str">
        <f t="shared" si="5"/>
        <v/>
      </c>
      <c r="O41" s="20">
        <f>RicusPolice!N38</f>
        <v>0</v>
      </c>
      <c r="P41" s="20">
        <f>IFERROR(VLOOKUP(B41,PerutMasluleiHashkaa!$D$6:$R$100,4,FALSE),0)</f>
        <v>0</v>
      </c>
      <c r="Q41" s="19"/>
      <c r="R41" s="20">
        <f>RicusPolice!P38</f>
        <v>0</v>
      </c>
      <c r="S41" s="20"/>
      <c r="T41" s="21">
        <f>'נתונים ידניים'!H41</f>
        <v>0</v>
      </c>
      <c r="U41" s="21"/>
      <c r="V41" s="20">
        <f>PerutHafrashotLePolisa!E38</f>
        <v>0</v>
      </c>
      <c r="W41" s="20">
        <f>PerutHafrashotLePolisa!F38</f>
        <v>0</v>
      </c>
      <c r="X41" s="20">
        <f>PerutHafrashotLePolisa!G38</f>
        <v>0</v>
      </c>
      <c r="Y41">
        <f t="shared" si="6"/>
        <v>0</v>
      </c>
      <c r="Z41">
        <f>IFERROR(VLOOKUP(B41,PirteiHaasaka!$D$6:$R$100,5,FALSE),0)</f>
        <v>0</v>
      </c>
      <c r="AB41">
        <f>IFERROR(VLOOKUP(B41,HafkadotMetchilatShanaAverages!$D$6:$E$100,2,FALSE),0)</f>
        <v>0</v>
      </c>
      <c r="AF41">
        <f>IFERROR(VLOOKUP(B41,CrossTabYitraLeTkufa_till_2000!$D$6:$AB$100,6,FALSE),0)+IFERROR(VLOOKUP(B41,CrossTabYitraLeTkufa_after_2000!$D$6:$AB$100,6,FALSE),0)</f>
        <v>0</v>
      </c>
      <c r="AG41">
        <f>IFERROR(VLOOKUP(B41,CrossTabYitraLeTkufa_till_2000!$D$6:$AB$100,16,FALSE),0)</f>
        <v>0</v>
      </c>
      <c r="AH41">
        <f>IFERROR(VLOOKUP(B41,CrossTabYitraLeTkufa_after_2000!$D$6:$AB$100,16,FALSE),0)</f>
        <v>0</v>
      </c>
      <c r="AI41">
        <f>IFERROR(VLOOKUP(B41,CrossTabYitraLeTkufa_till_2000!$D$6:$AB$100,17,FALSE),0)</f>
        <v>0</v>
      </c>
      <c r="AJ41">
        <f>IFERROR(VLOOKUP(B41,CrossTabYitraLeTkufa_after_2000!$D$6:$AB$100,17,FALSE),0)</f>
        <v>0</v>
      </c>
      <c r="AK41" s="5">
        <f t="shared" si="7"/>
        <v>0</v>
      </c>
      <c r="AN41">
        <f>IFERROR(VLOOKUP(B41,PirteiKisuiBeMutzar_procerur!$C$6:$AA$100,2,FALSE),0)</f>
        <v>0</v>
      </c>
      <c r="AP41">
        <f>IFERROR(VLOOKUP($B41,PirteiKisuiBeMutzar_procerur!$C$6:$AA$100,5,FALSE),0)</f>
        <v>0</v>
      </c>
      <c r="AQ41">
        <f>IFERROR(VLOOKUP($B41,PirteiKisuiBeMutzar_procerur!$C$6:$AA$100,3,FALSE),0)</f>
        <v>0</v>
      </c>
      <c r="AR41">
        <f>IFERROR(VLOOKUP($B41,PirteiKisuiBeMutzar_procerur!$C$6:$AA$100,6,FALSE),0)</f>
        <v>0</v>
      </c>
      <c r="AS41">
        <f>IFERROR(VLOOKUP($B41,PirteiKisuiBeMutzar_procerur!$C$6:$AA$100,7,FALSE),0)</f>
        <v>0</v>
      </c>
      <c r="AW41">
        <f t="shared" si="8"/>
        <v>0</v>
      </c>
      <c r="AX41">
        <f t="shared" si="9"/>
        <v>0</v>
      </c>
      <c r="AY41">
        <f t="shared" si="10"/>
        <v>0</v>
      </c>
      <c r="AZ41">
        <f t="shared" si="11"/>
        <v>0</v>
      </c>
      <c r="BA41">
        <f t="shared" si="12"/>
        <v>0</v>
      </c>
      <c r="BB41">
        <f t="shared" si="13"/>
        <v>0</v>
      </c>
      <c r="BC41">
        <f t="shared" si="14"/>
        <v>0</v>
      </c>
      <c r="BD41">
        <f t="shared" si="15"/>
        <v>0</v>
      </c>
      <c r="BE41">
        <f t="shared" si="16"/>
        <v>0</v>
      </c>
      <c r="BF41">
        <f t="shared" si="49"/>
        <v>0</v>
      </c>
      <c r="BG41">
        <f t="shared" si="17"/>
        <v>0</v>
      </c>
      <c r="BH41">
        <f t="shared" si="18"/>
        <v>0</v>
      </c>
      <c r="BI41">
        <f t="shared" si="19"/>
        <v>0</v>
      </c>
      <c r="BK41">
        <f t="shared" si="20"/>
        <v>0</v>
      </c>
      <c r="BL41">
        <f t="shared" si="21"/>
        <v>0</v>
      </c>
      <c r="BM41">
        <f t="shared" si="22"/>
        <v>0</v>
      </c>
      <c r="BN41">
        <f t="shared" si="23"/>
        <v>0</v>
      </c>
      <c r="BO41">
        <f t="shared" si="24"/>
        <v>0</v>
      </c>
      <c r="BR41">
        <f t="shared" si="25"/>
        <v>0</v>
      </c>
      <c r="BS41">
        <f t="shared" si="26"/>
        <v>0</v>
      </c>
      <c r="BT41">
        <f t="shared" si="27"/>
        <v>0</v>
      </c>
      <c r="BU41">
        <f t="shared" si="28"/>
        <v>0</v>
      </c>
      <c r="BV41">
        <f t="shared" si="29"/>
        <v>0</v>
      </c>
      <c r="BX41">
        <f t="shared" si="30"/>
        <v>0</v>
      </c>
      <c r="BY41">
        <f t="shared" si="31"/>
        <v>0</v>
      </c>
      <c r="BZ41">
        <f t="shared" si="32"/>
        <v>0</v>
      </c>
      <c r="CA41">
        <f t="shared" si="33"/>
        <v>0</v>
      </c>
      <c r="CB41">
        <f t="shared" si="34"/>
        <v>0</v>
      </c>
      <c r="CE41">
        <f t="shared" si="35"/>
        <v>0</v>
      </c>
      <c r="CF41">
        <f t="shared" si="36"/>
        <v>0</v>
      </c>
      <c r="CG41">
        <f t="shared" si="37"/>
        <v>0</v>
      </c>
      <c r="CH41">
        <f t="shared" si="38"/>
        <v>0</v>
      </c>
      <c r="CI41">
        <f t="shared" si="39"/>
        <v>0</v>
      </c>
      <c r="CL41">
        <f t="shared" si="40"/>
        <v>0</v>
      </c>
      <c r="CM41">
        <f t="shared" si="41"/>
        <v>0</v>
      </c>
      <c r="CN41">
        <f t="shared" si="42"/>
        <v>0</v>
      </c>
      <c r="CO41">
        <f t="shared" si="43"/>
        <v>0</v>
      </c>
      <c r="CP41">
        <f t="shared" si="44"/>
        <v>0</v>
      </c>
      <c r="CQ41">
        <f>IFERROR(VLOOKUP($B41,SchumeiBituahYesodi!$C$6:$AA$100,8,FALSE),0)</f>
        <v>0</v>
      </c>
      <c r="CR41">
        <f>IFERROR(VLOOKUP($B41,PirteiKisuiBeMutzar_procerur!$C$6:$AA$100,2,FALSE),0)</f>
        <v>0</v>
      </c>
      <c r="CS41">
        <f>IFERROR(VLOOKUP($B41,PirteiKisuiBeMutzar_procerur!$C$6:$AA$100,3,FALSE),0)</f>
        <v>0</v>
      </c>
      <c r="CT41">
        <f>IFERROR(VLOOKUP($B41,PirteiKisuiBeMutzar_procerur!$C$6:$AA$100,4,FALSE),0)</f>
        <v>0</v>
      </c>
      <c r="CU41">
        <f>IFERROR(VLOOKUP($B41,PirteiKisuiBeMutzar_procerur!$C$6:$AA$100,5,FALSE),0)</f>
        <v>0</v>
      </c>
      <c r="CV41">
        <f>IFERROR(VLOOKUP($B41,PirteiKisuiBeMutzar_procerur!$C$6:$AA$100,6,FALSE),0)</f>
        <v>0</v>
      </c>
      <c r="CW41">
        <f>IFERROR(VLOOKUP($B41,PirteiKisuiBeMutzar_procerur!$C$6:$AA$100,7,FALSE),0)</f>
        <v>0</v>
      </c>
      <c r="CX41">
        <f>IFERROR(VLOOKUP($B41,PirteiKisuiBeMutzar_procerur!$C$6:$AA$100,8,FALSE),0)</f>
        <v>0</v>
      </c>
      <c r="CY41">
        <f>IFERROR(VLOOKUP($B41,PirteiKisuiBeMutzar_procerur!$C$6:$AA$100,9,FALSE),0)</f>
        <v>0</v>
      </c>
      <c r="CZ41">
        <f>IFERROR(VLOOKUP($B41,PirteiKisuiBeMutzar_procerur!$C$6:$AA$100,10,FALSE),0)</f>
        <v>0</v>
      </c>
      <c r="DA41">
        <f>IFERROR(VLOOKUP($B41,PirteiKisuiBeMutzar_procerur!$C$6:$AA$100,11,FALSE),0)</f>
        <v>0</v>
      </c>
      <c r="DB41">
        <f>IFERROR(VLOOKUP($B41,PirteiKisuiBeMutzarPrmia!$C$6:$AA$100,2,FALSE),0)</f>
        <v>0</v>
      </c>
      <c r="DC41">
        <f>IFERROR(VLOOKUP($B41,PirteiKisuiBeMutzarPrmia!$C$6:$AA$100,3,FALSE),0)</f>
        <v>0</v>
      </c>
      <c r="DD41">
        <f>IFERROR(VLOOKUP($B41,PirteiKisuiBeMutzarPrmia!$C$6:$AA$100,4,FALSE),0)</f>
        <v>0</v>
      </c>
      <c r="DE41">
        <f>IFERROR(VLOOKUP($B41,PirteiKisuiBeMutzarPrmia!$C$6:$AA$100,5,FALSE),0)</f>
        <v>0</v>
      </c>
      <c r="DF41">
        <f>IFERROR(VLOOKUP($B41,PirteiKisuiBeMutzarPrmia!$C$6:$AA$100,6,FALSE),0)</f>
        <v>0</v>
      </c>
      <c r="DG41">
        <f>IFERROR(VLOOKUP($B41,PirteiKisuiBeMutzarPrmia!$C$6:$AA$100,7,FALSE),0)</f>
        <v>0</v>
      </c>
      <c r="DH41">
        <f>IFERROR(VLOOKUP($B41,PirteiKisuiBeMutzarPrmia!$C$6:$AA$100,8,FALSE),0)</f>
        <v>0</v>
      </c>
      <c r="DI41">
        <f>IFERROR(VLOOKUP($B41,PirteiKisuiBeMutzarPrmia!$C$6:$AA$100,9,FALSE),0)</f>
        <v>0</v>
      </c>
      <c r="DJ41">
        <f>IFERROR(VLOOKUP($B41,PirteiKisuiBeMutzarPrmia!$C$6:$AA$100,10,FALSE),0)</f>
        <v>0</v>
      </c>
      <c r="DK41">
        <f>IFERROR(VLOOKUP($B41,PirteiKisuiBeMutzarPrmia!$C$6:$AA$100,11,FALSE),0)</f>
        <v>0</v>
      </c>
      <c r="DL41">
        <f t="shared" si="1"/>
        <v>0</v>
      </c>
      <c r="DM41">
        <f t="shared" si="45"/>
        <v>0</v>
      </c>
      <c r="DN41">
        <f t="shared" si="46"/>
        <v>0</v>
      </c>
      <c r="DO41">
        <f t="shared" si="2"/>
        <v>0</v>
      </c>
      <c r="DP41">
        <f t="shared" ref="DP41:DP72" si="50">DO41+AF41</f>
        <v>0</v>
      </c>
      <c r="DQ41">
        <f>IF(OR(L41=1,L41=3),IFERROR(VLOOKUP($B41,PerutHafkadotMetchilatShanaAvgM!$C$6:$G$100,3,FALSE),0),0)</f>
        <v>0</v>
      </c>
      <c r="DR41">
        <f>IF(OR(L41=2,L41=4),IFERROR(VLOOKUP($B41,PerutHafkadotMetchilatShanaAvgM!$C$6:$G$100,3,FALSE),0),0)</f>
        <v>0</v>
      </c>
      <c r="DS41">
        <f>IFERROR(VLOOKUP($B41,PerutHafkadotMetchilatShanaAvgM!$C$6:$G$100,4,FALSE),0)</f>
        <v>0</v>
      </c>
      <c r="DT41">
        <f>IFERROR(VLOOKUP($B41,Kupa!$D$6:$AA$100,5,FALSE),0)</f>
        <v>0</v>
      </c>
      <c r="DU41">
        <f>IFERROR(VLOOKUP($B41,Kupa!$D$6:$AA$100,6,FALSE),0)</f>
        <v>0</v>
      </c>
      <c r="DV41">
        <f>IFERROR(VLOOKUP($B41,KisuiBKerenPensiaDBWithParams!$D$6:$AP$100,9,FALSE),0)</f>
        <v>0</v>
      </c>
      <c r="DW41">
        <f>IFERROR(VLOOKUP($B41,KisuiBKerenPensiaDBWithParams!$D$6:$AP$100,12,FALSE),0)</f>
        <v>0</v>
      </c>
      <c r="DX41">
        <f>IFERROR(VLOOKUP($B41,KisuiBKerenPensiaDBWithParams!$D$6:$AP$100,13,FALSE),0)</f>
        <v>0</v>
      </c>
      <c r="DY41">
        <f>IFERROR(VLOOKUP($B41,KisuiBKerenPensiaDBWithParams!$D$6:$AP$100,7,FALSE),0)</f>
        <v>0</v>
      </c>
      <c r="DZ41">
        <f>IFERROR(VLOOKUP($B41,KisuiBKerenPensiaDBWithParams!$D$6:$AP$100,17,FALSE),0)</f>
        <v>0</v>
      </c>
      <c r="EA41">
        <f>IFERROR(VLOOKUP($B41,KisuiBKerenPensiaDBWithParams!$D$6:$AP$100,20,FALSE),0)</f>
        <v>0</v>
      </c>
      <c r="EB41">
        <f>IFERROR(VLOOKUP($B41,KisuiBKerenPensiaDBWithParams!$D$6:$AP$100,21,FALSE),0)</f>
        <v>0</v>
      </c>
      <c r="EC41">
        <f t="shared" si="47"/>
        <v>0</v>
      </c>
      <c r="EG41">
        <f>IF(OR(G41=MyData!$J$50,G41=MyData!$J$51,G41=MyData!$J$52),1,IF(G41=MyData!$J$49,2,0))</f>
        <v>0</v>
      </c>
    </row>
    <row r="42" spans="1:137">
      <c r="A42">
        <f t="shared" si="48"/>
        <v>0</v>
      </c>
      <c r="B42" s="20">
        <f>RicusPolice!E39</f>
        <v>0</v>
      </c>
      <c r="C42" s="20">
        <f>RicusPolice!AL39</f>
        <v>0</v>
      </c>
      <c r="D42" s="20">
        <f>RicusPolice!F39</f>
        <v>0</v>
      </c>
      <c r="E42" s="20">
        <f>RicusPolice!R39</f>
        <v>0</v>
      </c>
      <c r="F42" s="20">
        <f>RicusPolice!N39</f>
        <v>0</v>
      </c>
      <c r="G42" s="20">
        <f>IFERROR(VLOOKUP($B42,PerutYitrot!$D$6:$P$100,4,FALSE),0)</f>
        <v>0</v>
      </c>
      <c r="H42" s="20">
        <f t="shared" si="4"/>
        <v>0</v>
      </c>
      <c r="I42" s="20">
        <f>RicusPolice!L39</f>
        <v>0</v>
      </c>
      <c r="J42" s="179">
        <f>IFERROR(VLOOKUP(TRIM(K42),MyData!$J$43:$K$49,2,FALSE),0)</f>
        <v>0</v>
      </c>
      <c r="K42" s="20">
        <f>RicusPolice!M39</f>
        <v>0</v>
      </c>
      <c r="L42" s="20">
        <f>RicusPolice!AM39</f>
        <v>0</v>
      </c>
      <c r="M42" s="20" t="str">
        <f>IF(B42&gt;0,RicusPolice!Y39," ")</f>
        <v xml:space="preserve"> </v>
      </c>
      <c r="N42" s="20" t="str">
        <f t="shared" si="5"/>
        <v/>
      </c>
      <c r="O42" s="20">
        <f>RicusPolice!N39</f>
        <v>0</v>
      </c>
      <c r="P42" s="20">
        <f>IFERROR(VLOOKUP(B42,PerutMasluleiHashkaa!$D$6:$R$100,4,FALSE),0)</f>
        <v>0</v>
      </c>
      <c r="Q42" s="19"/>
      <c r="R42" s="20">
        <f>RicusPolice!P39</f>
        <v>0</v>
      </c>
      <c r="S42" s="20"/>
      <c r="T42" s="21">
        <f>'נתונים ידניים'!H42</f>
        <v>0</v>
      </c>
      <c r="U42" s="21"/>
      <c r="V42" s="20">
        <f>PerutHafrashotLePolisa!E39</f>
        <v>0</v>
      </c>
      <c r="W42" s="20">
        <f>PerutHafrashotLePolisa!F39</f>
        <v>0</v>
      </c>
      <c r="X42" s="20">
        <f>PerutHafrashotLePolisa!G39</f>
        <v>0</v>
      </c>
      <c r="Y42">
        <f t="shared" si="6"/>
        <v>0</v>
      </c>
      <c r="Z42">
        <f>IFERROR(VLOOKUP(B42,PirteiHaasaka!$D$6:$R$100,5,FALSE),0)</f>
        <v>0</v>
      </c>
      <c r="AB42">
        <f>IFERROR(VLOOKUP(B42,HafkadotMetchilatShanaAverages!$D$6:$E$100,2,FALSE),0)</f>
        <v>0</v>
      </c>
      <c r="AF42">
        <f>IFERROR(VLOOKUP(B42,CrossTabYitraLeTkufa_till_2000!$D$6:$AB$100,6,FALSE),0)+IFERROR(VLOOKUP(B42,CrossTabYitraLeTkufa_after_2000!$D$6:$AB$100,6,FALSE),0)</f>
        <v>0</v>
      </c>
      <c r="AG42">
        <f>IFERROR(VLOOKUP(B42,CrossTabYitraLeTkufa_till_2000!$D$6:$AB$100,16,FALSE),0)</f>
        <v>0</v>
      </c>
      <c r="AH42">
        <f>IFERROR(VLOOKUP(B42,CrossTabYitraLeTkufa_after_2000!$D$6:$AB$100,16,FALSE),0)</f>
        <v>0</v>
      </c>
      <c r="AI42">
        <f>IFERROR(VLOOKUP(B42,CrossTabYitraLeTkufa_till_2000!$D$6:$AB$100,17,FALSE),0)</f>
        <v>0</v>
      </c>
      <c r="AJ42">
        <f>IFERROR(VLOOKUP(B42,CrossTabYitraLeTkufa_after_2000!$D$6:$AB$100,17,FALSE),0)</f>
        <v>0</v>
      </c>
      <c r="AK42" s="5">
        <f t="shared" si="7"/>
        <v>0</v>
      </c>
      <c r="AN42">
        <f>IFERROR(VLOOKUP(B42,PirteiKisuiBeMutzar_procerur!$C$6:$AA$100,2,FALSE),0)</f>
        <v>0</v>
      </c>
      <c r="AP42">
        <f>IFERROR(VLOOKUP($B42,PirteiKisuiBeMutzar_procerur!$C$6:$AA$100,5,FALSE),0)</f>
        <v>0</v>
      </c>
      <c r="AQ42">
        <f>IFERROR(VLOOKUP($B42,PirteiKisuiBeMutzar_procerur!$C$6:$AA$100,3,FALSE),0)</f>
        <v>0</v>
      </c>
      <c r="AR42">
        <f>IFERROR(VLOOKUP($B42,PirteiKisuiBeMutzar_procerur!$C$6:$AA$100,6,FALSE),0)</f>
        <v>0</v>
      </c>
      <c r="AS42">
        <f>IFERROR(VLOOKUP($B42,PirteiKisuiBeMutzar_procerur!$C$6:$AA$100,7,FALSE),0)</f>
        <v>0</v>
      </c>
      <c r="AW42">
        <f t="shared" si="8"/>
        <v>0</v>
      </c>
      <c r="AX42">
        <f t="shared" si="9"/>
        <v>0</v>
      </c>
      <c r="AY42">
        <f t="shared" si="10"/>
        <v>0</v>
      </c>
      <c r="AZ42">
        <f t="shared" si="11"/>
        <v>0</v>
      </c>
      <c r="BA42">
        <f t="shared" si="12"/>
        <v>0</v>
      </c>
      <c r="BB42">
        <f t="shared" si="13"/>
        <v>0</v>
      </c>
      <c r="BC42">
        <f t="shared" si="14"/>
        <v>0</v>
      </c>
      <c r="BD42">
        <f t="shared" si="15"/>
        <v>0</v>
      </c>
      <c r="BE42">
        <f t="shared" si="16"/>
        <v>0</v>
      </c>
      <c r="BF42">
        <f t="shared" si="49"/>
        <v>0</v>
      </c>
      <c r="BG42">
        <f t="shared" si="17"/>
        <v>0</v>
      </c>
      <c r="BH42">
        <f t="shared" si="18"/>
        <v>0</v>
      </c>
      <c r="BI42">
        <f t="shared" si="19"/>
        <v>0</v>
      </c>
      <c r="BK42">
        <f t="shared" si="20"/>
        <v>0</v>
      </c>
      <c r="BL42">
        <f t="shared" si="21"/>
        <v>0</v>
      </c>
      <c r="BM42">
        <f t="shared" si="22"/>
        <v>0</v>
      </c>
      <c r="BN42">
        <f t="shared" si="23"/>
        <v>0</v>
      </c>
      <c r="BO42">
        <f t="shared" si="24"/>
        <v>0</v>
      </c>
      <c r="BR42">
        <f t="shared" si="25"/>
        <v>0</v>
      </c>
      <c r="BS42">
        <f t="shared" si="26"/>
        <v>0</v>
      </c>
      <c r="BT42">
        <f t="shared" si="27"/>
        <v>0</v>
      </c>
      <c r="BU42">
        <f t="shared" si="28"/>
        <v>0</v>
      </c>
      <c r="BV42">
        <f t="shared" si="29"/>
        <v>0</v>
      </c>
      <c r="BX42">
        <f t="shared" si="30"/>
        <v>0</v>
      </c>
      <c r="BY42">
        <f t="shared" si="31"/>
        <v>0</v>
      </c>
      <c r="BZ42">
        <f t="shared" si="32"/>
        <v>0</v>
      </c>
      <c r="CA42">
        <f t="shared" si="33"/>
        <v>0</v>
      </c>
      <c r="CB42">
        <f t="shared" si="34"/>
        <v>0</v>
      </c>
      <c r="CE42">
        <f t="shared" si="35"/>
        <v>0</v>
      </c>
      <c r="CF42">
        <f t="shared" si="36"/>
        <v>0</v>
      </c>
      <c r="CG42">
        <f t="shared" si="37"/>
        <v>0</v>
      </c>
      <c r="CH42">
        <f t="shared" si="38"/>
        <v>0</v>
      </c>
      <c r="CI42">
        <f t="shared" si="39"/>
        <v>0</v>
      </c>
      <c r="CL42">
        <f t="shared" si="40"/>
        <v>0</v>
      </c>
      <c r="CM42">
        <f t="shared" si="41"/>
        <v>0</v>
      </c>
      <c r="CN42">
        <f t="shared" si="42"/>
        <v>0</v>
      </c>
      <c r="CO42">
        <f t="shared" si="43"/>
        <v>0</v>
      </c>
      <c r="CP42">
        <f t="shared" si="44"/>
        <v>0</v>
      </c>
      <c r="CQ42">
        <f>IFERROR(VLOOKUP($B42,SchumeiBituahYesodi!$C$6:$AA$100,8,FALSE),0)</f>
        <v>0</v>
      </c>
      <c r="CR42">
        <f>IFERROR(VLOOKUP($B42,PirteiKisuiBeMutzar_procerur!$C$6:$AA$100,2,FALSE),0)</f>
        <v>0</v>
      </c>
      <c r="CS42">
        <f>IFERROR(VLOOKUP($B42,PirteiKisuiBeMutzar_procerur!$C$6:$AA$100,3,FALSE),0)</f>
        <v>0</v>
      </c>
      <c r="CT42">
        <f>IFERROR(VLOOKUP($B42,PirteiKisuiBeMutzar_procerur!$C$6:$AA$100,4,FALSE),0)</f>
        <v>0</v>
      </c>
      <c r="CU42">
        <f>IFERROR(VLOOKUP($B42,PirteiKisuiBeMutzar_procerur!$C$6:$AA$100,5,FALSE),0)</f>
        <v>0</v>
      </c>
      <c r="CV42">
        <f>IFERROR(VLOOKUP($B42,PirteiKisuiBeMutzar_procerur!$C$6:$AA$100,6,FALSE),0)</f>
        <v>0</v>
      </c>
      <c r="CW42">
        <f>IFERROR(VLOOKUP($B42,PirteiKisuiBeMutzar_procerur!$C$6:$AA$100,7,FALSE),0)</f>
        <v>0</v>
      </c>
      <c r="CX42">
        <f>IFERROR(VLOOKUP($B42,PirteiKisuiBeMutzar_procerur!$C$6:$AA$100,8,FALSE),0)</f>
        <v>0</v>
      </c>
      <c r="CY42">
        <f>IFERROR(VLOOKUP($B42,PirteiKisuiBeMutzar_procerur!$C$6:$AA$100,9,FALSE),0)</f>
        <v>0</v>
      </c>
      <c r="CZ42">
        <f>IFERROR(VLOOKUP($B42,PirteiKisuiBeMutzar_procerur!$C$6:$AA$100,10,FALSE),0)</f>
        <v>0</v>
      </c>
      <c r="DA42">
        <f>IFERROR(VLOOKUP($B42,PirteiKisuiBeMutzar_procerur!$C$6:$AA$100,11,FALSE),0)</f>
        <v>0</v>
      </c>
      <c r="DB42">
        <f>IFERROR(VLOOKUP($B42,PirteiKisuiBeMutzarPrmia!$C$6:$AA$100,2,FALSE),0)</f>
        <v>0</v>
      </c>
      <c r="DC42">
        <f>IFERROR(VLOOKUP($B42,PirteiKisuiBeMutzarPrmia!$C$6:$AA$100,3,FALSE),0)</f>
        <v>0</v>
      </c>
      <c r="DD42">
        <f>IFERROR(VLOOKUP($B42,PirteiKisuiBeMutzarPrmia!$C$6:$AA$100,4,FALSE),0)</f>
        <v>0</v>
      </c>
      <c r="DE42">
        <f>IFERROR(VLOOKUP($B42,PirteiKisuiBeMutzarPrmia!$C$6:$AA$100,5,FALSE),0)</f>
        <v>0</v>
      </c>
      <c r="DF42">
        <f>IFERROR(VLOOKUP($B42,PirteiKisuiBeMutzarPrmia!$C$6:$AA$100,6,FALSE),0)</f>
        <v>0</v>
      </c>
      <c r="DG42">
        <f>IFERROR(VLOOKUP($B42,PirteiKisuiBeMutzarPrmia!$C$6:$AA$100,7,FALSE),0)</f>
        <v>0</v>
      </c>
      <c r="DH42">
        <f>IFERROR(VLOOKUP($B42,PirteiKisuiBeMutzarPrmia!$C$6:$AA$100,8,FALSE),0)</f>
        <v>0</v>
      </c>
      <c r="DI42">
        <f>IFERROR(VLOOKUP($B42,PirteiKisuiBeMutzarPrmia!$C$6:$AA$100,9,FALSE),0)</f>
        <v>0</v>
      </c>
      <c r="DJ42">
        <f>IFERROR(VLOOKUP($B42,PirteiKisuiBeMutzarPrmia!$C$6:$AA$100,10,FALSE),0)</f>
        <v>0</v>
      </c>
      <c r="DK42">
        <f>IFERROR(VLOOKUP($B42,PirteiKisuiBeMutzarPrmia!$C$6:$AA$100,11,FALSE),0)</f>
        <v>0</v>
      </c>
      <c r="DL42">
        <f t="shared" si="1"/>
        <v>0</v>
      </c>
      <c r="DM42">
        <f t="shared" si="45"/>
        <v>0</v>
      </c>
      <c r="DN42">
        <f t="shared" si="46"/>
        <v>0</v>
      </c>
      <c r="DO42">
        <f t="shared" si="2"/>
        <v>0</v>
      </c>
      <c r="DP42">
        <f t="shared" si="50"/>
        <v>0</v>
      </c>
      <c r="DQ42">
        <f>IF(OR(L42=1,L42=3),IFERROR(VLOOKUP($B42,PerutHafkadotMetchilatShanaAvgM!$C$6:$G$100,3,FALSE),0),0)</f>
        <v>0</v>
      </c>
      <c r="DR42">
        <f>IF(OR(L42=2,L42=4),IFERROR(VLOOKUP($B42,PerutHafkadotMetchilatShanaAvgM!$C$6:$G$100,3,FALSE),0),0)</f>
        <v>0</v>
      </c>
      <c r="DS42">
        <f>IFERROR(VLOOKUP($B42,PerutHafkadotMetchilatShanaAvgM!$C$6:$G$100,4,FALSE),0)</f>
        <v>0</v>
      </c>
      <c r="DT42">
        <f>IFERROR(VLOOKUP($B42,Kupa!$D$6:$AA$100,5,FALSE),0)</f>
        <v>0</v>
      </c>
      <c r="DU42">
        <f>IFERROR(VLOOKUP($B42,Kupa!$D$6:$AA$100,6,FALSE),0)</f>
        <v>0</v>
      </c>
      <c r="DV42">
        <f>IFERROR(VLOOKUP($B42,KisuiBKerenPensiaDBWithParams!$D$6:$AP$100,9,FALSE),0)</f>
        <v>0</v>
      </c>
      <c r="DW42">
        <f>IFERROR(VLOOKUP($B42,KisuiBKerenPensiaDBWithParams!$D$6:$AP$100,12,FALSE),0)</f>
        <v>0</v>
      </c>
      <c r="DX42">
        <f>IFERROR(VLOOKUP($B42,KisuiBKerenPensiaDBWithParams!$D$6:$AP$100,13,FALSE),0)</f>
        <v>0</v>
      </c>
      <c r="DY42">
        <f>IFERROR(VLOOKUP($B42,KisuiBKerenPensiaDBWithParams!$D$6:$AP$100,7,FALSE),0)</f>
        <v>0</v>
      </c>
      <c r="DZ42">
        <f>IFERROR(VLOOKUP($B42,KisuiBKerenPensiaDBWithParams!$D$6:$AP$100,17,FALSE),0)</f>
        <v>0</v>
      </c>
      <c r="EA42">
        <f>IFERROR(VLOOKUP($B42,KisuiBKerenPensiaDBWithParams!$D$6:$AP$100,20,FALSE),0)</f>
        <v>0</v>
      </c>
      <c r="EB42">
        <f>IFERROR(VLOOKUP($B42,KisuiBKerenPensiaDBWithParams!$D$6:$AP$100,21,FALSE),0)</f>
        <v>0</v>
      </c>
      <c r="EC42">
        <f t="shared" si="47"/>
        <v>0</v>
      </c>
      <c r="EG42">
        <f>IF(OR(G42=MyData!$J$50,G42=MyData!$J$51,G42=MyData!$J$52),1,IF(G42=MyData!$J$49,2,0))</f>
        <v>0</v>
      </c>
    </row>
    <row r="43" spans="1:137">
      <c r="A43">
        <f t="shared" si="48"/>
        <v>0</v>
      </c>
      <c r="B43" s="20">
        <f>RicusPolice!E40</f>
        <v>0</v>
      </c>
      <c r="C43" s="20">
        <f>RicusPolice!AL40</f>
        <v>0</v>
      </c>
      <c r="D43" s="20">
        <f>RicusPolice!F40</f>
        <v>0</v>
      </c>
      <c r="E43" s="20">
        <f>RicusPolice!R40</f>
        <v>0</v>
      </c>
      <c r="F43" s="20">
        <f>RicusPolice!N40</f>
        <v>0</v>
      </c>
      <c r="G43" s="20">
        <f>IFERROR(VLOOKUP($B43,PerutYitrot!$D$6:$P$100,4,FALSE),0)</f>
        <v>0</v>
      </c>
      <c r="H43" s="20">
        <f t="shared" si="4"/>
        <v>0</v>
      </c>
      <c r="I43" s="20">
        <f>RicusPolice!L40</f>
        <v>0</v>
      </c>
      <c r="J43" s="179">
        <f>IFERROR(VLOOKUP(TRIM(K43),MyData!$J$43:$K$49,2,FALSE),0)</f>
        <v>0</v>
      </c>
      <c r="K43" s="20">
        <f>RicusPolice!M40</f>
        <v>0</v>
      </c>
      <c r="L43" s="20">
        <f>RicusPolice!AM40</f>
        <v>0</v>
      </c>
      <c r="M43" s="20" t="str">
        <f>IF(B43&gt;0,RicusPolice!Y40," ")</f>
        <v xml:space="preserve"> </v>
      </c>
      <c r="N43" s="20" t="str">
        <f t="shared" si="5"/>
        <v/>
      </c>
      <c r="O43" s="20">
        <f>RicusPolice!N40</f>
        <v>0</v>
      </c>
      <c r="P43" s="20">
        <f>IFERROR(VLOOKUP(B43,PerutMasluleiHashkaa!$D$6:$R$100,4,FALSE),0)</f>
        <v>0</v>
      </c>
      <c r="Q43" s="19"/>
      <c r="R43" s="20">
        <f>RicusPolice!P40</f>
        <v>0</v>
      </c>
      <c r="S43" s="20"/>
      <c r="T43" s="21">
        <f>'נתונים ידניים'!H43</f>
        <v>0</v>
      </c>
      <c r="U43" s="21"/>
      <c r="V43" s="20">
        <f>PerutHafrashotLePolisa!E40</f>
        <v>0</v>
      </c>
      <c r="W43" s="20">
        <f>PerutHafrashotLePolisa!F40</f>
        <v>0</v>
      </c>
      <c r="X43" s="20">
        <f>PerutHafrashotLePolisa!G40</f>
        <v>0</v>
      </c>
      <c r="Y43">
        <f t="shared" si="6"/>
        <v>0</v>
      </c>
      <c r="Z43">
        <f>IFERROR(VLOOKUP(B43,PirteiHaasaka!$D$6:$R$100,5,FALSE),0)</f>
        <v>0</v>
      </c>
      <c r="AB43">
        <f>IFERROR(VLOOKUP(B43,HafkadotMetchilatShanaAverages!$D$6:$E$100,2,FALSE),0)</f>
        <v>0</v>
      </c>
      <c r="AF43">
        <f>IFERROR(VLOOKUP(B43,CrossTabYitraLeTkufa_till_2000!$D$6:$AB$100,6,FALSE),0)+IFERROR(VLOOKUP(B43,CrossTabYitraLeTkufa_after_2000!$D$6:$AB$100,6,FALSE),0)</f>
        <v>0</v>
      </c>
      <c r="AG43">
        <f>IFERROR(VLOOKUP(B43,CrossTabYitraLeTkufa_till_2000!$D$6:$AB$100,16,FALSE),0)</f>
        <v>0</v>
      </c>
      <c r="AH43">
        <f>IFERROR(VLOOKUP(B43,CrossTabYitraLeTkufa_after_2000!$D$6:$AB$100,16,FALSE),0)</f>
        <v>0</v>
      </c>
      <c r="AI43">
        <f>IFERROR(VLOOKUP(B43,CrossTabYitraLeTkufa_till_2000!$D$6:$AB$100,17,FALSE),0)</f>
        <v>0</v>
      </c>
      <c r="AJ43">
        <f>IFERROR(VLOOKUP(B43,CrossTabYitraLeTkufa_after_2000!$D$6:$AB$100,17,FALSE),0)</f>
        <v>0</v>
      </c>
      <c r="AK43" s="5">
        <f t="shared" si="7"/>
        <v>0</v>
      </c>
      <c r="AN43">
        <f>IFERROR(VLOOKUP(B43,PirteiKisuiBeMutzar_procerur!$C$6:$AA$100,2,FALSE),0)</f>
        <v>0</v>
      </c>
      <c r="AP43">
        <f>IFERROR(VLOOKUP($B43,PirteiKisuiBeMutzar_procerur!$C$6:$AA$100,5,FALSE),0)</f>
        <v>0</v>
      </c>
      <c r="AQ43">
        <f>IFERROR(VLOOKUP($B43,PirteiKisuiBeMutzar_procerur!$C$6:$AA$100,3,FALSE),0)</f>
        <v>0</v>
      </c>
      <c r="AR43">
        <f>IFERROR(VLOOKUP($B43,PirteiKisuiBeMutzar_procerur!$C$6:$AA$100,6,FALSE),0)</f>
        <v>0</v>
      </c>
      <c r="AS43">
        <f>IFERROR(VLOOKUP($B43,PirteiKisuiBeMutzar_procerur!$C$6:$AA$100,7,FALSE),0)</f>
        <v>0</v>
      </c>
      <c r="AW43">
        <f t="shared" si="8"/>
        <v>0</v>
      </c>
      <c r="AX43">
        <f t="shared" si="9"/>
        <v>0</v>
      </c>
      <c r="AY43">
        <f t="shared" si="10"/>
        <v>0</v>
      </c>
      <c r="AZ43">
        <f t="shared" si="11"/>
        <v>0</v>
      </c>
      <c r="BA43">
        <f t="shared" si="12"/>
        <v>0</v>
      </c>
      <c r="BB43">
        <f t="shared" si="13"/>
        <v>0</v>
      </c>
      <c r="BC43">
        <f t="shared" si="14"/>
        <v>0</v>
      </c>
      <c r="BD43">
        <f t="shared" si="15"/>
        <v>0</v>
      </c>
      <c r="BE43">
        <f t="shared" si="16"/>
        <v>0</v>
      </c>
      <c r="BF43">
        <f t="shared" si="49"/>
        <v>0</v>
      </c>
      <c r="BG43">
        <f t="shared" si="17"/>
        <v>0</v>
      </c>
      <c r="BH43">
        <f t="shared" si="18"/>
        <v>0</v>
      </c>
      <c r="BI43">
        <f t="shared" si="19"/>
        <v>0</v>
      </c>
      <c r="BK43">
        <f t="shared" si="20"/>
        <v>0</v>
      </c>
      <c r="BL43">
        <f t="shared" si="21"/>
        <v>0</v>
      </c>
      <c r="BM43">
        <f t="shared" si="22"/>
        <v>0</v>
      </c>
      <c r="BN43">
        <f t="shared" si="23"/>
        <v>0</v>
      </c>
      <c r="BO43">
        <f t="shared" si="24"/>
        <v>0</v>
      </c>
      <c r="BR43">
        <f t="shared" si="25"/>
        <v>0</v>
      </c>
      <c r="BS43">
        <f t="shared" si="26"/>
        <v>0</v>
      </c>
      <c r="BT43">
        <f t="shared" si="27"/>
        <v>0</v>
      </c>
      <c r="BU43">
        <f t="shared" si="28"/>
        <v>0</v>
      </c>
      <c r="BV43">
        <f t="shared" si="29"/>
        <v>0</v>
      </c>
      <c r="BX43">
        <f t="shared" si="30"/>
        <v>0</v>
      </c>
      <c r="BY43">
        <f t="shared" si="31"/>
        <v>0</v>
      </c>
      <c r="BZ43">
        <f t="shared" si="32"/>
        <v>0</v>
      </c>
      <c r="CA43">
        <f t="shared" si="33"/>
        <v>0</v>
      </c>
      <c r="CB43">
        <f t="shared" si="34"/>
        <v>0</v>
      </c>
      <c r="CE43">
        <f t="shared" si="35"/>
        <v>0</v>
      </c>
      <c r="CF43">
        <f t="shared" si="36"/>
        <v>0</v>
      </c>
      <c r="CG43">
        <f t="shared" si="37"/>
        <v>0</v>
      </c>
      <c r="CH43">
        <f t="shared" si="38"/>
        <v>0</v>
      </c>
      <c r="CI43">
        <f t="shared" si="39"/>
        <v>0</v>
      </c>
      <c r="CL43">
        <f t="shared" si="40"/>
        <v>0</v>
      </c>
      <c r="CM43">
        <f t="shared" si="41"/>
        <v>0</v>
      </c>
      <c r="CN43">
        <f t="shared" si="42"/>
        <v>0</v>
      </c>
      <c r="CO43">
        <f t="shared" si="43"/>
        <v>0</v>
      </c>
      <c r="CP43">
        <f t="shared" si="44"/>
        <v>0</v>
      </c>
      <c r="CQ43">
        <f>IFERROR(VLOOKUP($B43,SchumeiBituahYesodi!$C$6:$AA$100,8,FALSE),0)</f>
        <v>0</v>
      </c>
      <c r="CR43">
        <f>IFERROR(VLOOKUP($B43,PirteiKisuiBeMutzar_procerur!$C$6:$AA$100,2,FALSE),0)</f>
        <v>0</v>
      </c>
      <c r="CS43">
        <f>IFERROR(VLOOKUP($B43,PirteiKisuiBeMutzar_procerur!$C$6:$AA$100,3,FALSE),0)</f>
        <v>0</v>
      </c>
      <c r="CT43">
        <f>IFERROR(VLOOKUP($B43,PirteiKisuiBeMutzar_procerur!$C$6:$AA$100,4,FALSE),0)</f>
        <v>0</v>
      </c>
      <c r="CU43">
        <f>IFERROR(VLOOKUP($B43,PirteiKisuiBeMutzar_procerur!$C$6:$AA$100,5,FALSE),0)</f>
        <v>0</v>
      </c>
      <c r="CV43">
        <f>IFERROR(VLOOKUP($B43,PirteiKisuiBeMutzar_procerur!$C$6:$AA$100,6,FALSE),0)</f>
        <v>0</v>
      </c>
      <c r="CW43">
        <f>IFERROR(VLOOKUP($B43,PirteiKisuiBeMutzar_procerur!$C$6:$AA$100,7,FALSE),0)</f>
        <v>0</v>
      </c>
      <c r="CX43">
        <f>IFERROR(VLOOKUP($B43,PirteiKisuiBeMutzar_procerur!$C$6:$AA$100,8,FALSE),0)</f>
        <v>0</v>
      </c>
      <c r="CY43">
        <f>IFERROR(VLOOKUP($B43,PirteiKisuiBeMutzar_procerur!$C$6:$AA$100,9,FALSE),0)</f>
        <v>0</v>
      </c>
      <c r="CZ43">
        <f>IFERROR(VLOOKUP($B43,PirteiKisuiBeMutzar_procerur!$C$6:$AA$100,10,FALSE),0)</f>
        <v>0</v>
      </c>
      <c r="DA43">
        <f>IFERROR(VLOOKUP($B43,PirteiKisuiBeMutzar_procerur!$C$6:$AA$100,11,FALSE),0)</f>
        <v>0</v>
      </c>
      <c r="DB43">
        <f>IFERROR(VLOOKUP($B43,PirteiKisuiBeMutzarPrmia!$C$6:$AA$100,2,FALSE),0)</f>
        <v>0</v>
      </c>
      <c r="DC43">
        <f>IFERROR(VLOOKUP($B43,PirteiKisuiBeMutzarPrmia!$C$6:$AA$100,3,FALSE),0)</f>
        <v>0</v>
      </c>
      <c r="DD43">
        <f>IFERROR(VLOOKUP($B43,PirteiKisuiBeMutzarPrmia!$C$6:$AA$100,4,FALSE),0)</f>
        <v>0</v>
      </c>
      <c r="DE43">
        <f>IFERROR(VLOOKUP($B43,PirteiKisuiBeMutzarPrmia!$C$6:$AA$100,5,FALSE),0)</f>
        <v>0</v>
      </c>
      <c r="DF43">
        <f>IFERROR(VLOOKUP($B43,PirteiKisuiBeMutzarPrmia!$C$6:$AA$100,6,FALSE),0)</f>
        <v>0</v>
      </c>
      <c r="DG43">
        <f>IFERROR(VLOOKUP($B43,PirteiKisuiBeMutzarPrmia!$C$6:$AA$100,7,FALSE),0)</f>
        <v>0</v>
      </c>
      <c r="DH43">
        <f>IFERROR(VLOOKUP($B43,PirteiKisuiBeMutzarPrmia!$C$6:$AA$100,8,FALSE),0)</f>
        <v>0</v>
      </c>
      <c r="DI43">
        <f>IFERROR(VLOOKUP($B43,PirteiKisuiBeMutzarPrmia!$C$6:$AA$100,9,FALSE),0)</f>
        <v>0</v>
      </c>
      <c r="DJ43">
        <f>IFERROR(VLOOKUP($B43,PirteiKisuiBeMutzarPrmia!$C$6:$AA$100,10,FALSE),0)</f>
        <v>0</v>
      </c>
      <c r="DK43">
        <f>IFERROR(VLOOKUP($B43,PirteiKisuiBeMutzarPrmia!$C$6:$AA$100,11,FALSE),0)</f>
        <v>0</v>
      </c>
      <c r="DL43">
        <f t="shared" si="1"/>
        <v>0</v>
      </c>
      <c r="DM43">
        <f t="shared" si="45"/>
        <v>0</v>
      </c>
      <c r="DN43">
        <f t="shared" si="46"/>
        <v>0</v>
      </c>
      <c r="DO43">
        <f t="shared" si="2"/>
        <v>0</v>
      </c>
      <c r="DP43">
        <f t="shared" si="50"/>
        <v>0</v>
      </c>
      <c r="DQ43">
        <f>IF(OR(L43=1,L43=3),IFERROR(VLOOKUP($B43,PerutHafkadotMetchilatShanaAvgM!$C$6:$G$100,3,FALSE),0),0)</f>
        <v>0</v>
      </c>
      <c r="DR43">
        <f>IF(OR(L43=2,L43=4),IFERROR(VLOOKUP($B43,PerutHafkadotMetchilatShanaAvgM!$C$6:$G$100,3,FALSE),0),0)</f>
        <v>0</v>
      </c>
      <c r="DS43">
        <f>IFERROR(VLOOKUP($B43,PerutHafkadotMetchilatShanaAvgM!$C$6:$G$100,4,FALSE),0)</f>
        <v>0</v>
      </c>
      <c r="DT43">
        <f>IFERROR(VLOOKUP($B43,Kupa!$D$6:$AA$100,5,FALSE),0)</f>
        <v>0</v>
      </c>
      <c r="DU43">
        <f>IFERROR(VLOOKUP($B43,Kupa!$D$6:$AA$100,6,FALSE),0)</f>
        <v>0</v>
      </c>
      <c r="DV43">
        <f>IFERROR(VLOOKUP($B43,KisuiBKerenPensiaDBWithParams!$D$6:$AP$100,9,FALSE),0)</f>
        <v>0</v>
      </c>
      <c r="DW43">
        <f>IFERROR(VLOOKUP($B43,KisuiBKerenPensiaDBWithParams!$D$6:$AP$100,12,FALSE),0)</f>
        <v>0</v>
      </c>
      <c r="DX43">
        <f>IFERROR(VLOOKUP($B43,KisuiBKerenPensiaDBWithParams!$D$6:$AP$100,13,FALSE),0)</f>
        <v>0</v>
      </c>
      <c r="DY43">
        <f>IFERROR(VLOOKUP($B43,KisuiBKerenPensiaDBWithParams!$D$6:$AP$100,7,FALSE),0)</f>
        <v>0</v>
      </c>
      <c r="DZ43">
        <f>IFERROR(VLOOKUP($B43,KisuiBKerenPensiaDBWithParams!$D$6:$AP$100,17,FALSE),0)</f>
        <v>0</v>
      </c>
      <c r="EA43">
        <f>IFERROR(VLOOKUP($B43,KisuiBKerenPensiaDBWithParams!$D$6:$AP$100,20,FALSE),0)</f>
        <v>0</v>
      </c>
      <c r="EB43">
        <f>IFERROR(VLOOKUP($B43,KisuiBKerenPensiaDBWithParams!$D$6:$AP$100,21,FALSE),0)</f>
        <v>0</v>
      </c>
      <c r="EC43">
        <f t="shared" si="47"/>
        <v>0</v>
      </c>
      <c r="EG43">
        <f>IF(OR(G43=MyData!$J$50,G43=MyData!$J$51,G43=MyData!$J$52),1,IF(G43=MyData!$J$49,2,0))</f>
        <v>0</v>
      </c>
    </row>
    <row r="44" spans="1:137">
      <c r="A44">
        <f t="shared" si="48"/>
        <v>0</v>
      </c>
      <c r="B44" s="20">
        <f>RicusPolice!E41</f>
        <v>0</v>
      </c>
      <c r="C44" s="20">
        <f>RicusPolice!AL41</f>
        <v>0</v>
      </c>
      <c r="D44" s="20">
        <f>RicusPolice!F41</f>
        <v>0</v>
      </c>
      <c r="E44" s="20">
        <f>RicusPolice!R41</f>
        <v>0</v>
      </c>
      <c r="F44" s="20">
        <f>RicusPolice!N41</f>
        <v>0</v>
      </c>
      <c r="G44" s="20">
        <f>IFERROR(VLOOKUP($B44,PerutYitrot!$D$6:$P$100,4,FALSE),0)</f>
        <v>0</v>
      </c>
      <c r="H44" s="20">
        <f t="shared" si="4"/>
        <v>0</v>
      </c>
      <c r="I44" s="20">
        <f>RicusPolice!L41</f>
        <v>0</v>
      </c>
      <c r="J44" s="179">
        <f>IFERROR(VLOOKUP(TRIM(K44),MyData!$J$43:$K$49,2,FALSE),0)</f>
        <v>0</v>
      </c>
      <c r="K44" s="20">
        <f>RicusPolice!M41</f>
        <v>0</v>
      </c>
      <c r="L44" s="20">
        <f>RicusPolice!AM41</f>
        <v>0</v>
      </c>
      <c r="M44" s="20" t="str">
        <f>IF(B44&gt;0,RicusPolice!Y41," ")</f>
        <v xml:space="preserve"> </v>
      </c>
      <c r="N44" s="20" t="str">
        <f t="shared" si="5"/>
        <v/>
      </c>
      <c r="O44" s="20">
        <f>RicusPolice!N41</f>
        <v>0</v>
      </c>
      <c r="P44" s="20">
        <f>IFERROR(VLOOKUP(B44,PerutMasluleiHashkaa!$D$6:$R$100,4,FALSE),0)</f>
        <v>0</v>
      </c>
      <c r="Q44" s="19"/>
      <c r="R44" s="20">
        <f>RicusPolice!P41</f>
        <v>0</v>
      </c>
      <c r="S44" s="20"/>
      <c r="T44" s="21">
        <f>'נתונים ידניים'!H44</f>
        <v>0</v>
      </c>
      <c r="U44" s="21"/>
      <c r="V44" s="20">
        <f>PerutHafrashotLePolisa!E41</f>
        <v>0</v>
      </c>
      <c r="W44" s="20">
        <f>PerutHafrashotLePolisa!F41</f>
        <v>0</v>
      </c>
      <c r="X44" s="20">
        <f>PerutHafrashotLePolisa!G41</f>
        <v>0</v>
      </c>
      <c r="Y44">
        <f t="shared" si="6"/>
        <v>0</v>
      </c>
      <c r="Z44">
        <f>IFERROR(VLOOKUP(B44,PirteiHaasaka!$D$6:$R$100,5,FALSE),0)</f>
        <v>0</v>
      </c>
      <c r="AB44">
        <f>IFERROR(VLOOKUP(B44,HafkadotMetchilatShanaAverages!$D$6:$E$100,2,FALSE),0)</f>
        <v>0</v>
      </c>
      <c r="AF44">
        <f>IFERROR(VLOOKUP(B44,CrossTabYitraLeTkufa_till_2000!$D$6:$AB$100,6,FALSE),0)+IFERROR(VLOOKUP(B44,CrossTabYitraLeTkufa_after_2000!$D$6:$AB$100,6,FALSE),0)</f>
        <v>0</v>
      </c>
      <c r="AG44">
        <f>IFERROR(VLOOKUP(B44,CrossTabYitraLeTkufa_till_2000!$D$6:$AB$100,16,FALSE),0)</f>
        <v>0</v>
      </c>
      <c r="AH44">
        <f>IFERROR(VLOOKUP(B44,CrossTabYitraLeTkufa_after_2000!$D$6:$AB$100,16,FALSE),0)</f>
        <v>0</v>
      </c>
      <c r="AI44">
        <f>IFERROR(VLOOKUP(B44,CrossTabYitraLeTkufa_till_2000!$D$6:$AB$100,17,FALSE),0)</f>
        <v>0</v>
      </c>
      <c r="AJ44">
        <f>IFERROR(VLOOKUP(B44,CrossTabYitraLeTkufa_after_2000!$D$6:$AB$100,17,FALSE),0)</f>
        <v>0</v>
      </c>
      <c r="AK44" s="5">
        <f t="shared" si="7"/>
        <v>0</v>
      </c>
      <c r="AN44">
        <f>IFERROR(VLOOKUP(B44,PirteiKisuiBeMutzar_procerur!$C$6:$AA$100,2,FALSE),0)</f>
        <v>0</v>
      </c>
      <c r="AP44">
        <f>IFERROR(VLOOKUP($B44,PirteiKisuiBeMutzar_procerur!$C$6:$AA$100,5,FALSE),0)</f>
        <v>0</v>
      </c>
      <c r="AQ44">
        <f>IFERROR(VLOOKUP($B44,PirteiKisuiBeMutzar_procerur!$C$6:$AA$100,3,FALSE),0)</f>
        <v>0</v>
      </c>
      <c r="AR44">
        <f>IFERROR(VLOOKUP($B44,PirteiKisuiBeMutzar_procerur!$C$6:$AA$100,6,FALSE),0)</f>
        <v>0</v>
      </c>
      <c r="AS44">
        <f>IFERROR(VLOOKUP($B44,PirteiKisuiBeMutzar_procerur!$C$6:$AA$100,7,FALSE),0)</f>
        <v>0</v>
      </c>
      <c r="AW44">
        <f t="shared" si="8"/>
        <v>0</v>
      </c>
      <c r="AX44">
        <f t="shared" si="9"/>
        <v>0</v>
      </c>
      <c r="AY44">
        <f t="shared" si="10"/>
        <v>0</v>
      </c>
      <c r="AZ44">
        <f t="shared" si="11"/>
        <v>0</v>
      </c>
      <c r="BA44">
        <f t="shared" si="12"/>
        <v>0</v>
      </c>
      <c r="BB44">
        <f t="shared" si="13"/>
        <v>0</v>
      </c>
      <c r="BC44">
        <f t="shared" si="14"/>
        <v>0</v>
      </c>
      <c r="BD44">
        <f t="shared" si="15"/>
        <v>0</v>
      </c>
      <c r="BE44">
        <f t="shared" si="16"/>
        <v>0</v>
      </c>
      <c r="BF44">
        <f t="shared" si="49"/>
        <v>0</v>
      </c>
      <c r="BG44">
        <f t="shared" si="17"/>
        <v>0</v>
      </c>
      <c r="BH44">
        <f t="shared" si="18"/>
        <v>0</v>
      </c>
      <c r="BI44">
        <f t="shared" si="19"/>
        <v>0</v>
      </c>
      <c r="BK44">
        <f t="shared" si="20"/>
        <v>0</v>
      </c>
      <c r="BL44">
        <f t="shared" si="21"/>
        <v>0</v>
      </c>
      <c r="BM44">
        <f t="shared" si="22"/>
        <v>0</v>
      </c>
      <c r="BN44">
        <f t="shared" si="23"/>
        <v>0</v>
      </c>
      <c r="BO44">
        <f t="shared" si="24"/>
        <v>0</v>
      </c>
      <c r="BR44">
        <f t="shared" si="25"/>
        <v>0</v>
      </c>
      <c r="BS44">
        <f t="shared" si="26"/>
        <v>0</v>
      </c>
      <c r="BT44">
        <f t="shared" si="27"/>
        <v>0</v>
      </c>
      <c r="BU44">
        <f t="shared" si="28"/>
        <v>0</v>
      </c>
      <c r="BV44">
        <f t="shared" si="29"/>
        <v>0</v>
      </c>
      <c r="BX44">
        <f t="shared" si="30"/>
        <v>0</v>
      </c>
      <c r="BY44">
        <f t="shared" si="31"/>
        <v>0</v>
      </c>
      <c r="BZ44">
        <f t="shared" si="32"/>
        <v>0</v>
      </c>
      <c r="CA44">
        <f t="shared" si="33"/>
        <v>0</v>
      </c>
      <c r="CB44">
        <f t="shared" si="34"/>
        <v>0</v>
      </c>
      <c r="CE44">
        <f t="shared" si="35"/>
        <v>0</v>
      </c>
      <c r="CF44">
        <f t="shared" si="36"/>
        <v>0</v>
      </c>
      <c r="CG44">
        <f t="shared" si="37"/>
        <v>0</v>
      </c>
      <c r="CH44">
        <f t="shared" si="38"/>
        <v>0</v>
      </c>
      <c r="CI44">
        <f t="shared" si="39"/>
        <v>0</v>
      </c>
      <c r="CL44">
        <f t="shared" si="40"/>
        <v>0</v>
      </c>
      <c r="CM44">
        <f t="shared" si="41"/>
        <v>0</v>
      </c>
      <c r="CN44">
        <f t="shared" si="42"/>
        <v>0</v>
      </c>
      <c r="CO44">
        <f t="shared" si="43"/>
        <v>0</v>
      </c>
      <c r="CP44">
        <f t="shared" si="44"/>
        <v>0</v>
      </c>
      <c r="CQ44">
        <f>IFERROR(VLOOKUP($B44,SchumeiBituahYesodi!$C$6:$AA$100,8,FALSE),0)</f>
        <v>0</v>
      </c>
      <c r="CR44">
        <f>IFERROR(VLOOKUP($B44,PirteiKisuiBeMutzar_procerur!$C$6:$AA$100,2,FALSE),0)</f>
        <v>0</v>
      </c>
      <c r="CS44">
        <f>IFERROR(VLOOKUP($B44,PirteiKisuiBeMutzar_procerur!$C$6:$AA$100,3,FALSE),0)</f>
        <v>0</v>
      </c>
      <c r="CT44">
        <f>IFERROR(VLOOKUP($B44,PirteiKisuiBeMutzar_procerur!$C$6:$AA$100,4,FALSE),0)</f>
        <v>0</v>
      </c>
      <c r="CU44">
        <f>IFERROR(VLOOKUP($B44,PirteiKisuiBeMutzar_procerur!$C$6:$AA$100,5,FALSE),0)</f>
        <v>0</v>
      </c>
      <c r="CV44">
        <f>IFERROR(VLOOKUP($B44,PirteiKisuiBeMutzar_procerur!$C$6:$AA$100,6,FALSE),0)</f>
        <v>0</v>
      </c>
      <c r="CW44">
        <f>IFERROR(VLOOKUP($B44,PirteiKisuiBeMutzar_procerur!$C$6:$AA$100,7,FALSE),0)</f>
        <v>0</v>
      </c>
      <c r="CX44">
        <f>IFERROR(VLOOKUP($B44,PirteiKisuiBeMutzar_procerur!$C$6:$AA$100,8,FALSE),0)</f>
        <v>0</v>
      </c>
      <c r="CY44">
        <f>IFERROR(VLOOKUP($B44,PirteiKisuiBeMutzar_procerur!$C$6:$AA$100,9,FALSE),0)</f>
        <v>0</v>
      </c>
      <c r="CZ44">
        <f>IFERROR(VLOOKUP($B44,PirteiKisuiBeMutzar_procerur!$C$6:$AA$100,10,FALSE),0)</f>
        <v>0</v>
      </c>
      <c r="DA44">
        <f>IFERROR(VLOOKUP($B44,PirteiKisuiBeMutzar_procerur!$C$6:$AA$100,11,FALSE),0)</f>
        <v>0</v>
      </c>
      <c r="DB44">
        <f>IFERROR(VLOOKUP($B44,PirteiKisuiBeMutzarPrmia!$C$6:$AA$100,2,FALSE),0)</f>
        <v>0</v>
      </c>
      <c r="DC44">
        <f>IFERROR(VLOOKUP($B44,PirteiKisuiBeMutzarPrmia!$C$6:$AA$100,3,FALSE),0)</f>
        <v>0</v>
      </c>
      <c r="DD44">
        <f>IFERROR(VLOOKUP($B44,PirteiKisuiBeMutzarPrmia!$C$6:$AA$100,4,FALSE),0)</f>
        <v>0</v>
      </c>
      <c r="DE44">
        <f>IFERROR(VLOOKUP($B44,PirteiKisuiBeMutzarPrmia!$C$6:$AA$100,5,FALSE),0)</f>
        <v>0</v>
      </c>
      <c r="DF44">
        <f>IFERROR(VLOOKUP($B44,PirteiKisuiBeMutzarPrmia!$C$6:$AA$100,6,FALSE),0)</f>
        <v>0</v>
      </c>
      <c r="DG44">
        <f>IFERROR(VLOOKUP($B44,PirteiKisuiBeMutzarPrmia!$C$6:$AA$100,7,FALSE),0)</f>
        <v>0</v>
      </c>
      <c r="DH44">
        <f>IFERROR(VLOOKUP($B44,PirteiKisuiBeMutzarPrmia!$C$6:$AA$100,8,FALSE),0)</f>
        <v>0</v>
      </c>
      <c r="DI44">
        <f>IFERROR(VLOOKUP($B44,PirteiKisuiBeMutzarPrmia!$C$6:$AA$100,9,FALSE),0)</f>
        <v>0</v>
      </c>
      <c r="DJ44">
        <f>IFERROR(VLOOKUP($B44,PirteiKisuiBeMutzarPrmia!$C$6:$AA$100,10,FALSE),0)</f>
        <v>0</v>
      </c>
      <c r="DK44">
        <f>IFERROR(VLOOKUP($B44,PirteiKisuiBeMutzarPrmia!$C$6:$AA$100,11,FALSE),0)</f>
        <v>0</v>
      </c>
      <c r="DL44">
        <f t="shared" si="1"/>
        <v>0</v>
      </c>
      <c r="DM44">
        <f t="shared" si="45"/>
        <v>0</v>
      </c>
      <c r="DN44">
        <f t="shared" si="46"/>
        <v>0</v>
      </c>
      <c r="DO44">
        <f t="shared" si="2"/>
        <v>0</v>
      </c>
      <c r="DP44">
        <f t="shared" si="50"/>
        <v>0</v>
      </c>
      <c r="DQ44">
        <f>IF(OR(L44=1,L44=3),IFERROR(VLOOKUP($B44,PerutHafkadotMetchilatShanaAvgM!$C$6:$G$100,3,FALSE),0),0)</f>
        <v>0</v>
      </c>
      <c r="DR44">
        <f>IF(OR(L44=2,L44=4),IFERROR(VLOOKUP($B44,PerutHafkadotMetchilatShanaAvgM!$C$6:$G$100,3,FALSE),0),0)</f>
        <v>0</v>
      </c>
      <c r="DS44">
        <f>IFERROR(VLOOKUP($B44,PerutHafkadotMetchilatShanaAvgM!$C$6:$G$100,4,FALSE),0)</f>
        <v>0</v>
      </c>
      <c r="DT44">
        <f>IFERROR(VLOOKUP($B44,Kupa!$D$6:$AA$100,5,FALSE),0)</f>
        <v>0</v>
      </c>
      <c r="DU44">
        <f>IFERROR(VLOOKUP($B44,Kupa!$D$6:$AA$100,6,FALSE),0)</f>
        <v>0</v>
      </c>
      <c r="DV44">
        <f>IFERROR(VLOOKUP($B44,KisuiBKerenPensiaDBWithParams!$D$6:$AP$100,9,FALSE),0)</f>
        <v>0</v>
      </c>
      <c r="DW44">
        <f>IFERROR(VLOOKUP($B44,KisuiBKerenPensiaDBWithParams!$D$6:$AP$100,12,FALSE),0)</f>
        <v>0</v>
      </c>
      <c r="DX44">
        <f>IFERROR(VLOOKUP($B44,KisuiBKerenPensiaDBWithParams!$D$6:$AP$100,13,FALSE),0)</f>
        <v>0</v>
      </c>
      <c r="DY44">
        <f>IFERROR(VLOOKUP($B44,KisuiBKerenPensiaDBWithParams!$D$6:$AP$100,7,FALSE),0)</f>
        <v>0</v>
      </c>
      <c r="DZ44">
        <f>IFERROR(VLOOKUP($B44,KisuiBKerenPensiaDBWithParams!$D$6:$AP$100,17,FALSE),0)</f>
        <v>0</v>
      </c>
      <c r="EA44">
        <f>IFERROR(VLOOKUP($B44,KisuiBKerenPensiaDBWithParams!$D$6:$AP$100,20,FALSE),0)</f>
        <v>0</v>
      </c>
      <c r="EB44">
        <f>IFERROR(VLOOKUP($B44,KisuiBKerenPensiaDBWithParams!$D$6:$AP$100,21,FALSE),0)</f>
        <v>0</v>
      </c>
      <c r="EC44">
        <f t="shared" si="47"/>
        <v>0</v>
      </c>
      <c r="EG44">
        <f>IF(OR(G44=MyData!$J$50,G44=MyData!$J$51,G44=MyData!$J$52),1,IF(G44=MyData!$J$49,2,0))</f>
        <v>0</v>
      </c>
    </row>
    <row r="45" spans="1:137">
      <c r="A45">
        <f t="shared" si="48"/>
        <v>0</v>
      </c>
      <c r="B45" s="20">
        <f>RicusPolice!E42</f>
        <v>0</v>
      </c>
      <c r="C45" s="20">
        <f>RicusPolice!AL42</f>
        <v>0</v>
      </c>
      <c r="D45" s="20">
        <f>RicusPolice!F42</f>
        <v>0</v>
      </c>
      <c r="E45" s="20">
        <f>RicusPolice!R42</f>
        <v>0</v>
      </c>
      <c r="F45" s="20">
        <f>RicusPolice!N42</f>
        <v>0</v>
      </c>
      <c r="G45" s="20">
        <f>IFERROR(VLOOKUP($B45,PerutYitrot!$D$6:$P$100,4,FALSE),0)</f>
        <v>0</v>
      </c>
      <c r="H45" s="20">
        <f t="shared" si="4"/>
        <v>0</v>
      </c>
      <c r="I45" s="20">
        <f>RicusPolice!L42</f>
        <v>0</v>
      </c>
      <c r="J45" s="179">
        <f>IFERROR(VLOOKUP(TRIM(K45),MyData!$J$43:$K$49,2,FALSE),0)</f>
        <v>0</v>
      </c>
      <c r="K45" s="20">
        <f>RicusPolice!M42</f>
        <v>0</v>
      </c>
      <c r="L45" s="20">
        <f>RicusPolice!AM42</f>
        <v>0</v>
      </c>
      <c r="M45" s="20" t="str">
        <f>IF(B45&gt;0,RicusPolice!Y42," ")</f>
        <v xml:space="preserve"> </v>
      </c>
      <c r="N45" s="20" t="str">
        <f t="shared" si="5"/>
        <v/>
      </c>
      <c r="O45" s="20">
        <f>RicusPolice!N42</f>
        <v>0</v>
      </c>
      <c r="P45" s="20">
        <f>IFERROR(VLOOKUP(B45,PerutMasluleiHashkaa!$D$6:$R$100,4,FALSE),0)</f>
        <v>0</v>
      </c>
      <c r="Q45" s="19"/>
      <c r="R45" s="20">
        <f>RicusPolice!P42</f>
        <v>0</v>
      </c>
      <c r="S45" s="20"/>
      <c r="T45" s="21">
        <f>'נתונים ידניים'!H45</f>
        <v>0</v>
      </c>
      <c r="U45" s="21"/>
      <c r="V45" s="20">
        <f>PerutHafrashotLePolisa!E42</f>
        <v>0</v>
      </c>
      <c r="W45" s="20">
        <f>PerutHafrashotLePolisa!F42</f>
        <v>0</v>
      </c>
      <c r="X45" s="20">
        <f>PerutHafrashotLePolisa!G42</f>
        <v>0</v>
      </c>
      <c r="Y45">
        <f t="shared" si="6"/>
        <v>0</v>
      </c>
      <c r="Z45">
        <f>IFERROR(VLOOKUP(B45,PirteiHaasaka!$D$6:$R$100,5,FALSE),0)</f>
        <v>0</v>
      </c>
      <c r="AB45">
        <f>IFERROR(VLOOKUP(B45,HafkadotMetchilatShanaAverages!$D$6:$E$100,2,FALSE),0)</f>
        <v>0</v>
      </c>
      <c r="AF45">
        <f>IFERROR(VLOOKUP(B45,CrossTabYitraLeTkufa_till_2000!$D$6:$AB$100,6,FALSE),0)+IFERROR(VLOOKUP(B45,CrossTabYitraLeTkufa_after_2000!$D$6:$AB$100,6,FALSE),0)</f>
        <v>0</v>
      </c>
      <c r="AG45">
        <f>IFERROR(VLOOKUP(B45,CrossTabYitraLeTkufa_till_2000!$D$6:$AB$100,16,FALSE),0)</f>
        <v>0</v>
      </c>
      <c r="AH45">
        <f>IFERROR(VLOOKUP(B45,CrossTabYitraLeTkufa_after_2000!$D$6:$AB$100,16,FALSE),0)</f>
        <v>0</v>
      </c>
      <c r="AI45">
        <f>IFERROR(VLOOKUP(B45,CrossTabYitraLeTkufa_till_2000!$D$6:$AB$100,17,FALSE),0)</f>
        <v>0</v>
      </c>
      <c r="AJ45">
        <f>IFERROR(VLOOKUP(B45,CrossTabYitraLeTkufa_after_2000!$D$6:$AB$100,17,FALSE),0)</f>
        <v>0</v>
      </c>
      <c r="AK45" s="5">
        <f t="shared" si="7"/>
        <v>0</v>
      </c>
      <c r="AN45">
        <f>IFERROR(VLOOKUP(B45,PirteiKisuiBeMutzar_procerur!$C$6:$AA$100,2,FALSE),0)</f>
        <v>0</v>
      </c>
      <c r="AP45">
        <f>IFERROR(VLOOKUP($B45,PirteiKisuiBeMutzar_procerur!$C$6:$AA$100,5,FALSE),0)</f>
        <v>0</v>
      </c>
      <c r="AQ45">
        <f>IFERROR(VLOOKUP($B45,PirteiKisuiBeMutzar_procerur!$C$6:$AA$100,3,FALSE),0)</f>
        <v>0</v>
      </c>
      <c r="AR45">
        <f>IFERROR(VLOOKUP($B45,PirteiKisuiBeMutzar_procerur!$C$6:$AA$100,6,FALSE),0)</f>
        <v>0</v>
      </c>
      <c r="AS45">
        <f>IFERROR(VLOOKUP($B45,PirteiKisuiBeMutzar_procerur!$C$6:$AA$100,7,FALSE),0)</f>
        <v>0</v>
      </c>
      <c r="AW45">
        <f t="shared" si="8"/>
        <v>0</v>
      </c>
      <c r="AX45">
        <f t="shared" si="9"/>
        <v>0</v>
      </c>
      <c r="AY45">
        <f t="shared" si="10"/>
        <v>0</v>
      </c>
      <c r="AZ45">
        <f t="shared" si="11"/>
        <v>0</v>
      </c>
      <c r="BA45">
        <f t="shared" si="12"/>
        <v>0</v>
      </c>
      <c r="BB45">
        <f t="shared" si="13"/>
        <v>0</v>
      </c>
      <c r="BC45">
        <f t="shared" si="14"/>
        <v>0</v>
      </c>
      <c r="BD45">
        <f t="shared" si="15"/>
        <v>0</v>
      </c>
      <c r="BE45">
        <f t="shared" si="16"/>
        <v>0</v>
      </c>
      <c r="BF45">
        <f t="shared" si="49"/>
        <v>0</v>
      </c>
      <c r="BG45">
        <f t="shared" si="17"/>
        <v>0</v>
      </c>
      <c r="BH45">
        <f t="shared" si="18"/>
        <v>0</v>
      </c>
      <c r="BI45">
        <f t="shared" si="19"/>
        <v>0</v>
      </c>
      <c r="BK45">
        <f t="shared" si="20"/>
        <v>0</v>
      </c>
      <c r="BL45">
        <f t="shared" si="21"/>
        <v>0</v>
      </c>
      <c r="BM45">
        <f t="shared" si="22"/>
        <v>0</v>
      </c>
      <c r="BN45">
        <f t="shared" si="23"/>
        <v>0</v>
      </c>
      <c r="BO45">
        <f t="shared" si="24"/>
        <v>0</v>
      </c>
      <c r="BR45">
        <f t="shared" si="25"/>
        <v>0</v>
      </c>
      <c r="BS45">
        <f t="shared" si="26"/>
        <v>0</v>
      </c>
      <c r="BT45">
        <f t="shared" si="27"/>
        <v>0</v>
      </c>
      <c r="BU45">
        <f t="shared" si="28"/>
        <v>0</v>
      </c>
      <c r="BV45">
        <f t="shared" si="29"/>
        <v>0</v>
      </c>
      <c r="BX45">
        <f t="shared" si="30"/>
        <v>0</v>
      </c>
      <c r="BY45">
        <f t="shared" si="31"/>
        <v>0</v>
      </c>
      <c r="BZ45">
        <f t="shared" si="32"/>
        <v>0</v>
      </c>
      <c r="CA45">
        <f t="shared" si="33"/>
        <v>0</v>
      </c>
      <c r="CB45">
        <f t="shared" si="34"/>
        <v>0</v>
      </c>
      <c r="CE45">
        <f t="shared" si="35"/>
        <v>0</v>
      </c>
      <c r="CF45">
        <f t="shared" si="36"/>
        <v>0</v>
      </c>
      <c r="CG45">
        <f t="shared" si="37"/>
        <v>0</v>
      </c>
      <c r="CH45">
        <f t="shared" si="38"/>
        <v>0</v>
      </c>
      <c r="CI45">
        <f t="shared" si="39"/>
        <v>0</v>
      </c>
      <c r="CL45">
        <f t="shared" si="40"/>
        <v>0</v>
      </c>
      <c r="CM45">
        <f t="shared" si="41"/>
        <v>0</v>
      </c>
      <c r="CN45">
        <f t="shared" si="42"/>
        <v>0</v>
      </c>
      <c r="CO45">
        <f t="shared" si="43"/>
        <v>0</v>
      </c>
      <c r="CP45">
        <f t="shared" si="44"/>
        <v>0</v>
      </c>
      <c r="CQ45">
        <f>IFERROR(VLOOKUP($B45,SchumeiBituahYesodi!$C$6:$AA$100,8,FALSE),0)</f>
        <v>0</v>
      </c>
      <c r="CR45">
        <f>IFERROR(VLOOKUP($B45,PirteiKisuiBeMutzar_procerur!$C$6:$AA$100,2,FALSE),0)</f>
        <v>0</v>
      </c>
      <c r="CS45">
        <f>IFERROR(VLOOKUP($B45,PirteiKisuiBeMutzar_procerur!$C$6:$AA$100,3,FALSE),0)</f>
        <v>0</v>
      </c>
      <c r="CT45">
        <f>IFERROR(VLOOKUP($B45,PirteiKisuiBeMutzar_procerur!$C$6:$AA$100,4,FALSE),0)</f>
        <v>0</v>
      </c>
      <c r="CU45">
        <f>IFERROR(VLOOKUP($B45,PirteiKisuiBeMutzar_procerur!$C$6:$AA$100,5,FALSE),0)</f>
        <v>0</v>
      </c>
      <c r="CV45">
        <f>IFERROR(VLOOKUP($B45,PirteiKisuiBeMutzar_procerur!$C$6:$AA$100,6,FALSE),0)</f>
        <v>0</v>
      </c>
      <c r="CW45">
        <f>IFERROR(VLOOKUP($B45,PirteiKisuiBeMutzar_procerur!$C$6:$AA$100,7,FALSE),0)</f>
        <v>0</v>
      </c>
      <c r="CX45">
        <f>IFERROR(VLOOKUP($B45,PirteiKisuiBeMutzar_procerur!$C$6:$AA$100,8,FALSE),0)</f>
        <v>0</v>
      </c>
      <c r="CY45">
        <f>IFERROR(VLOOKUP($B45,PirteiKisuiBeMutzar_procerur!$C$6:$AA$100,9,FALSE),0)</f>
        <v>0</v>
      </c>
      <c r="CZ45">
        <f>IFERROR(VLOOKUP($B45,PirteiKisuiBeMutzar_procerur!$C$6:$AA$100,10,FALSE),0)</f>
        <v>0</v>
      </c>
      <c r="DA45">
        <f>IFERROR(VLOOKUP($B45,PirteiKisuiBeMutzar_procerur!$C$6:$AA$100,11,FALSE),0)</f>
        <v>0</v>
      </c>
      <c r="DB45">
        <f>IFERROR(VLOOKUP($B45,PirteiKisuiBeMutzarPrmia!$C$6:$AA$100,2,FALSE),0)</f>
        <v>0</v>
      </c>
      <c r="DC45">
        <f>IFERROR(VLOOKUP($B45,PirteiKisuiBeMutzarPrmia!$C$6:$AA$100,3,FALSE),0)</f>
        <v>0</v>
      </c>
      <c r="DD45">
        <f>IFERROR(VLOOKUP($B45,PirteiKisuiBeMutzarPrmia!$C$6:$AA$100,4,FALSE),0)</f>
        <v>0</v>
      </c>
      <c r="DE45">
        <f>IFERROR(VLOOKUP($B45,PirteiKisuiBeMutzarPrmia!$C$6:$AA$100,5,FALSE),0)</f>
        <v>0</v>
      </c>
      <c r="DF45">
        <f>IFERROR(VLOOKUP($B45,PirteiKisuiBeMutzarPrmia!$C$6:$AA$100,6,FALSE),0)</f>
        <v>0</v>
      </c>
      <c r="DG45">
        <f>IFERROR(VLOOKUP($B45,PirteiKisuiBeMutzarPrmia!$C$6:$AA$100,7,FALSE),0)</f>
        <v>0</v>
      </c>
      <c r="DH45">
        <f>IFERROR(VLOOKUP($B45,PirteiKisuiBeMutzarPrmia!$C$6:$AA$100,8,FALSE),0)</f>
        <v>0</v>
      </c>
      <c r="DI45">
        <f>IFERROR(VLOOKUP($B45,PirteiKisuiBeMutzarPrmia!$C$6:$AA$100,9,FALSE),0)</f>
        <v>0</v>
      </c>
      <c r="DJ45">
        <f>IFERROR(VLOOKUP($B45,PirteiKisuiBeMutzarPrmia!$C$6:$AA$100,10,FALSE),0)</f>
        <v>0</v>
      </c>
      <c r="DK45">
        <f>IFERROR(VLOOKUP($B45,PirteiKisuiBeMutzarPrmia!$C$6:$AA$100,11,FALSE),0)</f>
        <v>0</v>
      </c>
      <c r="DL45">
        <f t="shared" si="1"/>
        <v>0</v>
      </c>
      <c r="DM45">
        <f t="shared" si="45"/>
        <v>0</v>
      </c>
      <c r="DN45">
        <f t="shared" si="46"/>
        <v>0</v>
      </c>
      <c r="DO45">
        <f t="shared" si="2"/>
        <v>0</v>
      </c>
      <c r="DP45">
        <f t="shared" si="50"/>
        <v>0</v>
      </c>
      <c r="DQ45">
        <f>IF(OR(L45=1,L45=3),IFERROR(VLOOKUP($B45,PerutHafkadotMetchilatShanaAvgM!$C$6:$G$100,3,FALSE),0),0)</f>
        <v>0</v>
      </c>
      <c r="DR45">
        <f>IF(OR(L45=2,L45=4),IFERROR(VLOOKUP($B45,PerutHafkadotMetchilatShanaAvgM!$C$6:$G$100,3,FALSE),0),0)</f>
        <v>0</v>
      </c>
      <c r="DS45">
        <f>IFERROR(VLOOKUP($B45,PerutHafkadotMetchilatShanaAvgM!$C$6:$G$100,4,FALSE),0)</f>
        <v>0</v>
      </c>
      <c r="DT45">
        <f>IFERROR(VLOOKUP($B45,Kupa!$D$6:$AA$100,5,FALSE),0)</f>
        <v>0</v>
      </c>
      <c r="DU45">
        <f>IFERROR(VLOOKUP($B45,Kupa!$D$6:$AA$100,6,FALSE),0)</f>
        <v>0</v>
      </c>
      <c r="DV45">
        <f>IFERROR(VLOOKUP($B45,KisuiBKerenPensiaDBWithParams!$D$6:$AP$100,9,FALSE),0)</f>
        <v>0</v>
      </c>
      <c r="DW45">
        <f>IFERROR(VLOOKUP($B45,KisuiBKerenPensiaDBWithParams!$D$6:$AP$100,12,FALSE),0)</f>
        <v>0</v>
      </c>
      <c r="DX45">
        <f>IFERROR(VLOOKUP($B45,KisuiBKerenPensiaDBWithParams!$D$6:$AP$100,13,FALSE),0)</f>
        <v>0</v>
      </c>
      <c r="DY45">
        <f>IFERROR(VLOOKUP($B45,KisuiBKerenPensiaDBWithParams!$D$6:$AP$100,7,FALSE),0)</f>
        <v>0</v>
      </c>
      <c r="DZ45">
        <f>IFERROR(VLOOKUP($B45,KisuiBKerenPensiaDBWithParams!$D$6:$AP$100,17,FALSE),0)</f>
        <v>0</v>
      </c>
      <c r="EA45">
        <f>IFERROR(VLOOKUP($B45,KisuiBKerenPensiaDBWithParams!$D$6:$AP$100,20,FALSE),0)</f>
        <v>0</v>
      </c>
      <c r="EB45">
        <f>IFERROR(VLOOKUP($B45,KisuiBKerenPensiaDBWithParams!$D$6:$AP$100,21,FALSE),0)</f>
        <v>0</v>
      </c>
      <c r="EC45">
        <f t="shared" si="47"/>
        <v>0</v>
      </c>
      <c r="EG45">
        <f>IF(OR(G45=MyData!$J$50,G45=MyData!$J$51,G45=MyData!$J$52),1,IF(G45=MyData!$J$49,2,0))</f>
        <v>0</v>
      </c>
    </row>
    <row r="46" spans="1:137">
      <c r="A46">
        <f t="shared" si="48"/>
        <v>0</v>
      </c>
      <c r="B46" s="20">
        <f>RicusPolice!E43</f>
        <v>0</v>
      </c>
      <c r="C46" s="20">
        <f>RicusPolice!AL43</f>
        <v>0</v>
      </c>
      <c r="D46" s="20">
        <f>RicusPolice!F43</f>
        <v>0</v>
      </c>
      <c r="E46" s="20">
        <f>RicusPolice!R43</f>
        <v>0</v>
      </c>
      <c r="F46" s="20">
        <f>RicusPolice!N43</f>
        <v>0</v>
      </c>
      <c r="G46" s="20">
        <f>IFERROR(VLOOKUP($B46,PerutYitrot!$D$6:$P$100,4,FALSE),0)</f>
        <v>0</v>
      </c>
      <c r="H46" s="20">
        <f t="shared" si="4"/>
        <v>0</v>
      </c>
      <c r="I46" s="20">
        <f>RicusPolice!L43</f>
        <v>0</v>
      </c>
      <c r="J46" s="179">
        <f>IFERROR(VLOOKUP(TRIM(K46),MyData!$J$43:$K$49,2,FALSE),0)</f>
        <v>0</v>
      </c>
      <c r="K46" s="20">
        <f>RicusPolice!M43</f>
        <v>0</v>
      </c>
      <c r="L46" s="20">
        <f>RicusPolice!AM43</f>
        <v>0</v>
      </c>
      <c r="M46" s="20" t="str">
        <f>IF(B46&gt;0,RicusPolice!Y43," ")</f>
        <v xml:space="preserve"> </v>
      </c>
      <c r="N46" s="20" t="str">
        <f t="shared" si="5"/>
        <v/>
      </c>
      <c r="O46" s="20">
        <f>RicusPolice!N43</f>
        <v>0</v>
      </c>
      <c r="P46" s="20">
        <f>IFERROR(VLOOKUP(B46,PerutMasluleiHashkaa!$D$6:$R$100,4,FALSE),0)</f>
        <v>0</v>
      </c>
      <c r="Q46" s="19"/>
      <c r="R46" s="20">
        <f>RicusPolice!P43</f>
        <v>0</v>
      </c>
      <c r="S46" s="20"/>
      <c r="T46" s="21">
        <f>'נתונים ידניים'!H46</f>
        <v>0</v>
      </c>
      <c r="U46" s="21"/>
      <c r="V46" s="20">
        <f>PerutHafrashotLePolisa!E43</f>
        <v>0</v>
      </c>
      <c r="W46" s="20">
        <f>PerutHafrashotLePolisa!F43</f>
        <v>0</v>
      </c>
      <c r="X46" s="20">
        <f>PerutHafrashotLePolisa!G43</f>
        <v>0</v>
      </c>
      <c r="Y46">
        <f t="shared" si="6"/>
        <v>0</v>
      </c>
      <c r="Z46">
        <f>IFERROR(VLOOKUP(B46,PirteiHaasaka!$D$6:$R$100,5,FALSE),0)</f>
        <v>0</v>
      </c>
      <c r="AB46">
        <f>IFERROR(VLOOKUP(B46,HafkadotMetchilatShanaAverages!$D$6:$E$100,2,FALSE),0)</f>
        <v>0</v>
      </c>
      <c r="AF46">
        <f>IFERROR(VLOOKUP(B46,CrossTabYitraLeTkufa_till_2000!$D$6:$AB$100,6,FALSE),0)+IFERROR(VLOOKUP(B46,CrossTabYitraLeTkufa_after_2000!$D$6:$AB$100,6,FALSE),0)</f>
        <v>0</v>
      </c>
      <c r="AG46">
        <f>IFERROR(VLOOKUP(B46,CrossTabYitraLeTkufa_till_2000!$D$6:$AB$100,16,FALSE),0)</f>
        <v>0</v>
      </c>
      <c r="AH46">
        <f>IFERROR(VLOOKUP(B46,CrossTabYitraLeTkufa_after_2000!$D$6:$AB$100,16,FALSE),0)</f>
        <v>0</v>
      </c>
      <c r="AI46">
        <f>IFERROR(VLOOKUP(B46,CrossTabYitraLeTkufa_till_2000!$D$6:$AB$100,17,FALSE),0)</f>
        <v>0</v>
      </c>
      <c r="AJ46">
        <f>IFERROR(VLOOKUP(B46,CrossTabYitraLeTkufa_after_2000!$D$6:$AB$100,17,FALSE),0)</f>
        <v>0</v>
      </c>
      <c r="AK46" s="5">
        <f t="shared" si="7"/>
        <v>0</v>
      </c>
      <c r="AN46">
        <f>IFERROR(VLOOKUP(B46,PirteiKisuiBeMutzar_procerur!$C$6:$AA$100,2,FALSE),0)</f>
        <v>0</v>
      </c>
      <c r="AP46">
        <f>IFERROR(VLOOKUP($B46,PirteiKisuiBeMutzar_procerur!$C$6:$AA$100,5,FALSE),0)</f>
        <v>0</v>
      </c>
      <c r="AQ46">
        <f>IFERROR(VLOOKUP($B46,PirteiKisuiBeMutzar_procerur!$C$6:$AA$100,3,FALSE),0)</f>
        <v>0</v>
      </c>
      <c r="AR46">
        <f>IFERROR(VLOOKUP($B46,PirteiKisuiBeMutzar_procerur!$C$6:$AA$100,6,FALSE),0)</f>
        <v>0</v>
      </c>
      <c r="AS46">
        <f>IFERROR(VLOOKUP($B46,PirteiKisuiBeMutzar_procerur!$C$6:$AA$100,7,FALSE),0)</f>
        <v>0</v>
      </c>
      <c r="AW46">
        <f t="shared" si="8"/>
        <v>0</v>
      </c>
      <c r="AX46">
        <f t="shared" si="9"/>
        <v>0</v>
      </c>
      <c r="AY46">
        <f t="shared" si="10"/>
        <v>0</v>
      </c>
      <c r="AZ46">
        <f t="shared" si="11"/>
        <v>0</v>
      </c>
      <c r="BA46">
        <f t="shared" si="12"/>
        <v>0</v>
      </c>
      <c r="BB46">
        <f t="shared" si="13"/>
        <v>0</v>
      </c>
      <c r="BC46">
        <f t="shared" si="14"/>
        <v>0</v>
      </c>
      <c r="BD46">
        <f t="shared" si="15"/>
        <v>0</v>
      </c>
      <c r="BE46">
        <f t="shared" si="16"/>
        <v>0</v>
      </c>
      <c r="BF46">
        <f t="shared" si="49"/>
        <v>0</v>
      </c>
      <c r="BG46">
        <f t="shared" si="17"/>
        <v>0</v>
      </c>
      <c r="BH46">
        <f t="shared" si="18"/>
        <v>0</v>
      </c>
      <c r="BI46">
        <f t="shared" si="19"/>
        <v>0</v>
      </c>
      <c r="BK46">
        <f t="shared" si="20"/>
        <v>0</v>
      </c>
      <c r="BL46">
        <f t="shared" si="21"/>
        <v>0</v>
      </c>
      <c r="BM46">
        <f t="shared" si="22"/>
        <v>0</v>
      </c>
      <c r="BN46">
        <f t="shared" si="23"/>
        <v>0</v>
      </c>
      <c r="BO46">
        <f t="shared" si="24"/>
        <v>0</v>
      </c>
      <c r="BR46">
        <f t="shared" si="25"/>
        <v>0</v>
      </c>
      <c r="BS46">
        <f t="shared" si="26"/>
        <v>0</v>
      </c>
      <c r="BT46">
        <f t="shared" si="27"/>
        <v>0</v>
      </c>
      <c r="BU46">
        <f t="shared" si="28"/>
        <v>0</v>
      </c>
      <c r="BV46">
        <f t="shared" si="29"/>
        <v>0</v>
      </c>
      <c r="BX46">
        <f t="shared" si="30"/>
        <v>0</v>
      </c>
      <c r="BY46">
        <f t="shared" si="31"/>
        <v>0</v>
      </c>
      <c r="BZ46">
        <f t="shared" si="32"/>
        <v>0</v>
      </c>
      <c r="CA46">
        <f t="shared" si="33"/>
        <v>0</v>
      </c>
      <c r="CB46">
        <f t="shared" si="34"/>
        <v>0</v>
      </c>
      <c r="CE46">
        <f t="shared" si="35"/>
        <v>0</v>
      </c>
      <c r="CF46">
        <f t="shared" si="36"/>
        <v>0</v>
      </c>
      <c r="CG46">
        <f t="shared" si="37"/>
        <v>0</v>
      </c>
      <c r="CH46">
        <f t="shared" si="38"/>
        <v>0</v>
      </c>
      <c r="CI46">
        <f t="shared" si="39"/>
        <v>0</v>
      </c>
      <c r="CL46">
        <f t="shared" si="40"/>
        <v>0</v>
      </c>
      <c r="CM46">
        <f t="shared" si="41"/>
        <v>0</v>
      </c>
      <c r="CN46">
        <f t="shared" si="42"/>
        <v>0</v>
      </c>
      <c r="CO46">
        <f t="shared" si="43"/>
        <v>0</v>
      </c>
      <c r="CP46">
        <f t="shared" si="44"/>
        <v>0</v>
      </c>
      <c r="CQ46">
        <f>IFERROR(VLOOKUP($B46,SchumeiBituahYesodi!$C$6:$AA$100,8,FALSE),0)</f>
        <v>0</v>
      </c>
      <c r="CR46">
        <f>IFERROR(VLOOKUP($B46,PirteiKisuiBeMutzar_procerur!$C$6:$AA$100,2,FALSE),0)</f>
        <v>0</v>
      </c>
      <c r="CS46">
        <f>IFERROR(VLOOKUP($B46,PirteiKisuiBeMutzar_procerur!$C$6:$AA$100,3,FALSE),0)</f>
        <v>0</v>
      </c>
      <c r="CT46">
        <f>IFERROR(VLOOKUP($B46,PirteiKisuiBeMutzar_procerur!$C$6:$AA$100,4,FALSE),0)</f>
        <v>0</v>
      </c>
      <c r="CU46">
        <f>IFERROR(VLOOKUP($B46,PirteiKisuiBeMutzar_procerur!$C$6:$AA$100,5,FALSE),0)</f>
        <v>0</v>
      </c>
      <c r="CV46">
        <f>IFERROR(VLOOKUP($B46,PirteiKisuiBeMutzar_procerur!$C$6:$AA$100,6,FALSE),0)</f>
        <v>0</v>
      </c>
      <c r="CW46">
        <f>IFERROR(VLOOKUP($B46,PirteiKisuiBeMutzar_procerur!$C$6:$AA$100,7,FALSE),0)</f>
        <v>0</v>
      </c>
      <c r="CX46">
        <f>IFERROR(VLOOKUP($B46,PirteiKisuiBeMutzar_procerur!$C$6:$AA$100,8,FALSE),0)</f>
        <v>0</v>
      </c>
      <c r="CY46">
        <f>IFERROR(VLOOKUP($B46,PirteiKisuiBeMutzar_procerur!$C$6:$AA$100,9,FALSE),0)</f>
        <v>0</v>
      </c>
      <c r="CZ46">
        <f>IFERROR(VLOOKUP($B46,PirteiKisuiBeMutzar_procerur!$C$6:$AA$100,10,FALSE),0)</f>
        <v>0</v>
      </c>
      <c r="DA46">
        <f>IFERROR(VLOOKUP($B46,PirteiKisuiBeMutzar_procerur!$C$6:$AA$100,11,FALSE),0)</f>
        <v>0</v>
      </c>
      <c r="DB46">
        <f>IFERROR(VLOOKUP($B46,PirteiKisuiBeMutzarPrmia!$C$6:$AA$100,2,FALSE),0)</f>
        <v>0</v>
      </c>
      <c r="DC46">
        <f>IFERROR(VLOOKUP($B46,PirteiKisuiBeMutzarPrmia!$C$6:$AA$100,3,FALSE),0)</f>
        <v>0</v>
      </c>
      <c r="DD46">
        <f>IFERROR(VLOOKUP($B46,PirteiKisuiBeMutzarPrmia!$C$6:$AA$100,4,FALSE),0)</f>
        <v>0</v>
      </c>
      <c r="DE46">
        <f>IFERROR(VLOOKUP($B46,PirteiKisuiBeMutzarPrmia!$C$6:$AA$100,5,FALSE),0)</f>
        <v>0</v>
      </c>
      <c r="DF46">
        <f>IFERROR(VLOOKUP($B46,PirteiKisuiBeMutzarPrmia!$C$6:$AA$100,6,FALSE),0)</f>
        <v>0</v>
      </c>
      <c r="DG46">
        <f>IFERROR(VLOOKUP($B46,PirteiKisuiBeMutzarPrmia!$C$6:$AA$100,7,FALSE),0)</f>
        <v>0</v>
      </c>
      <c r="DH46">
        <f>IFERROR(VLOOKUP($B46,PirteiKisuiBeMutzarPrmia!$C$6:$AA$100,8,FALSE),0)</f>
        <v>0</v>
      </c>
      <c r="DI46">
        <f>IFERROR(VLOOKUP($B46,PirteiKisuiBeMutzarPrmia!$C$6:$AA$100,9,FALSE),0)</f>
        <v>0</v>
      </c>
      <c r="DJ46">
        <f>IFERROR(VLOOKUP($B46,PirteiKisuiBeMutzarPrmia!$C$6:$AA$100,10,FALSE),0)</f>
        <v>0</v>
      </c>
      <c r="DK46">
        <f>IFERROR(VLOOKUP($B46,PirteiKisuiBeMutzarPrmia!$C$6:$AA$100,11,FALSE),0)</f>
        <v>0</v>
      </c>
      <c r="DL46">
        <f t="shared" si="1"/>
        <v>0</v>
      </c>
      <c r="DM46">
        <f t="shared" si="45"/>
        <v>0</v>
      </c>
      <c r="DN46">
        <f t="shared" si="46"/>
        <v>0</v>
      </c>
      <c r="DO46">
        <f t="shared" si="2"/>
        <v>0</v>
      </c>
      <c r="DP46">
        <f t="shared" si="50"/>
        <v>0</v>
      </c>
      <c r="DQ46">
        <f>IF(OR(L46=1,L46=3),IFERROR(VLOOKUP($B46,PerutHafkadotMetchilatShanaAvgM!$C$6:$G$100,3,FALSE),0),0)</f>
        <v>0</v>
      </c>
      <c r="DR46">
        <f>IF(OR(L46=2,L46=4),IFERROR(VLOOKUP($B46,PerutHafkadotMetchilatShanaAvgM!$C$6:$G$100,3,FALSE),0),0)</f>
        <v>0</v>
      </c>
      <c r="DS46">
        <f>IFERROR(VLOOKUP($B46,PerutHafkadotMetchilatShanaAvgM!$C$6:$G$100,4,FALSE),0)</f>
        <v>0</v>
      </c>
      <c r="DT46">
        <f>IFERROR(VLOOKUP($B46,Kupa!$D$6:$AA$100,5,FALSE),0)</f>
        <v>0</v>
      </c>
      <c r="DU46">
        <f>IFERROR(VLOOKUP($B46,Kupa!$D$6:$AA$100,6,FALSE),0)</f>
        <v>0</v>
      </c>
      <c r="DV46">
        <f>IFERROR(VLOOKUP($B46,KisuiBKerenPensiaDBWithParams!$D$6:$AP$100,9,FALSE),0)</f>
        <v>0</v>
      </c>
      <c r="DW46">
        <f>IFERROR(VLOOKUP($B46,KisuiBKerenPensiaDBWithParams!$D$6:$AP$100,12,FALSE),0)</f>
        <v>0</v>
      </c>
      <c r="DX46">
        <f>IFERROR(VLOOKUP($B46,KisuiBKerenPensiaDBWithParams!$D$6:$AP$100,13,FALSE),0)</f>
        <v>0</v>
      </c>
      <c r="DY46">
        <f>IFERROR(VLOOKUP($B46,KisuiBKerenPensiaDBWithParams!$D$6:$AP$100,7,FALSE),0)</f>
        <v>0</v>
      </c>
      <c r="DZ46">
        <f>IFERROR(VLOOKUP($B46,KisuiBKerenPensiaDBWithParams!$D$6:$AP$100,17,FALSE),0)</f>
        <v>0</v>
      </c>
      <c r="EA46">
        <f>IFERROR(VLOOKUP($B46,KisuiBKerenPensiaDBWithParams!$D$6:$AP$100,20,FALSE),0)</f>
        <v>0</v>
      </c>
      <c r="EB46">
        <f>IFERROR(VLOOKUP($B46,KisuiBKerenPensiaDBWithParams!$D$6:$AP$100,21,FALSE),0)</f>
        <v>0</v>
      </c>
      <c r="EC46">
        <f t="shared" si="47"/>
        <v>0</v>
      </c>
      <c r="EG46">
        <f>IF(OR(G46=MyData!$J$50,G46=MyData!$J$51,G46=MyData!$J$52),1,IF(G46=MyData!$J$49,2,0))</f>
        <v>0</v>
      </c>
    </row>
    <row r="47" spans="1:137">
      <c r="A47">
        <f t="shared" si="48"/>
        <v>0</v>
      </c>
      <c r="B47" s="20">
        <f>RicusPolice!E44</f>
        <v>0</v>
      </c>
      <c r="C47" s="20">
        <f>RicusPolice!AL44</f>
        <v>0</v>
      </c>
      <c r="D47" s="20">
        <f>RicusPolice!F44</f>
        <v>0</v>
      </c>
      <c r="E47" s="20">
        <f>RicusPolice!R44</f>
        <v>0</v>
      </c>
      <c r="F47" s="20">
        <f>RicusPolice!N44</f>
        <v>0</v>
      </c>
      <c r="G47" s="20">
        <f>IFERROR(VLOOKUP($B47,PerutYitrot!$D$6:$P$100,4,FALSE),0)</f>
        <v>0</v>
      </c>
      <c r="H47" s="20">
        <f t="shared" si="4"/>
        <v>0</v>
      </c>
      <c r="I47" s="20">
        <f>RicusPolice!L44</f>
        <v>0</v>
      </c>
      <c r="J47" s="179">
        <f>IFERROR(VLOOKUP(TRIM(K47),MyData!$J$43:$K$49,2,FALSE),0)</f>
        <v>0</v>
      </c>
      <c r="K47" s="20">
        <f>RicusPolice!M44</f>
        <v>0</v>
      </c>
      <c r="L47" s="20">
        <f>RicusPolice!AM44</f>
        <v>0</v>
      </c>
      <c r="M47" s="20" t="str">
        <f>IF(B47&gt;0,RicusPolice!Y44," ")</f>
        <v xml:space="preserve"> </v>
      </c>
      <c r="N47" s="20" t="str">
        <f t="shared" si="5"/>
        <v/>
      </c>
      <c r="O47" s="20">
        <f>RicusPolice!N44</f>
        <v>0</v>
      </c>
      <c r="P47" s="20">
        <f>IFERROR(VLOOKUP(B47,PerutMasluleiHashkaa!$D$6:$R$100,4,FALSE),0)</f>
        <v>0</v>
      </c>
      <c r="Q47" s="19"/>
      <c r="R47" s="20">
        <f>RicusPolice!P44</f>
        <v>0</v>
      </c>
      <c r="S47" s="20"/>
      <c r="T47" s="21">
        <f>'נתונים ידניים'!H47</f>
        <v>0</v>
      </c>
      <c r="U47" s="21"/>
      <c r="V47" s="20">
        <f>PerutHafrashotLePolisa!E44</f>
        <v>0</v>
      </c>
      <c r="W47" s="20">
        <f>PerutHafrashotLePolisa!F44</f>
        <v>0</v>
      </c>
      <c r="X47" s="20">
        <f>PerutHafrashotLePolisa!G44</f>
        <v>0</v>
      </c>
      <c r="Y47">
        <f t="shared" si="6"/>
        <v>0</v>
      </c>
      <c r="Z47">
        <f>IFERROR(VLOOKUP(B47,PirteiHaasaka!$D$6:$R$100,5,FALSE),0)</f>
        <v>0</v>
      </c>
      <c r="AB47">
        <f>IFERROR(VLOOKUP(B47,HafkadotMetchilatShanaAverages!$D$6:$E$100,2,FALSE),0)</f>
        <v>0</v>
      </c>
      <c r="AF47">
        <f>IFERROR(VLOOKUP(B47,CrossTabYitraLeTkufa_till_2000!$D$6:$AB$100,6,FALSE),0)+IFERROR(VLOOKUP(B47,CrossTabYitraLeTkufa_after_2000!$D$6:$AB$100,6,FALSE),0)</f>
        <v>0</v>
      </c>
      <c r="AG47">
        <f>IFERROR(VLOOKUP(B47,CrossTabYitraLeTkufa_till_2000!$D$6:$AB$100,16,FALSE),0)</f>
        <v>0</v>
      </c>
      <c r="AH47">
        <f>IFERROR(VLOOKUP(B47,CrossTabYitraLeTkufa_after_2000!$D$6:$AB$100,16,FALSE),0)</f>
        <v>0</v>
      </c>
      <c r="AI47">
        <f>IFERROR(VLOOKUP(B47,CrossTabYitraLeTkufa_till_2000!$D$6:$AB$100,17,FALSE),0)</f>
        <v>0</v>
      </c>
      <c r="AJ47">
        <f>IFERROR(VLOOKUP(B47,CrossTabYitraLeTkufa_after_2000!$D$6:$AB$100,17,FALSE),0)</f>
        <v>0</v>
      </c>
      <c r="AK47" s="5">
        <f t="shared" si="7"/>
        <v>0</v>
      </c>
      <c r="AN47">
        <f>IFERROR(VLOOKUP(B47,PirteiKisuiBeMutzar_procerur!$C$6:$AA$100,2,FALSE),0)</f>
        <v>0</v>
      </c>
      <c r="AP47">
        <f>IFERROR(VLOOKUP($B47,PirteiKisuiBeMutzar_procerur!$C$6:$AA$100,5,FALSE),0)</f>
        <v>0</v>
      </c>
      <c r="AQ47">
        <f>IFERROR(VLOOKUP($B47,PirteiKisuiBeMutzar_procerur!$C$6:$AA$100,3,FALSE),0)</f>
        <v>0</v>
      </c>
      <c r="AR47">
        <f>IFERROR(VLOOKUP($B47,PirteiKisuiBeMutzar_procerur!$C$6:$AA$100,6,FALSE),0)</f>
        <v>0</v>
      </c>
      <c r="AS47">
        <f>IFERROR(VLOOKUP($B47,PirteiKisuiBeMutzar_procerur!$C$6:$AA$100,7,FALSE),0)</f>
        <v>0</v>
      </c>
      <c r="AW47">
        <f t="shared" si="8"/>
        <v>0</v>
      </c>
      <c r="AX47">
        <f t="shared" si="9"/>
        <v>0</v>
      </c>
      <c r="AY47">
        <f t="shared" si="10"/>
        <v>0</v>
      </c>
      <c r="AZ47">
        <f t="shared" si="11"/>
        <v>0</v>
      </c>
      <c r="BA47">
        <f t="shared" si="12"/>
        <v>0</v>
      </c>
      <c r="BB47">
        <f t="shared" si="13"/>
        <v>0</v>
      </c>
      <c r="BC47">
        <f t="shared" si="14"/>
        <v>0</v>
      </c>
      <c r="BD47">
        <f t="shared" si="15"/>
        <v>0</v>
      </c>
      <c r="BE47">
        <f t="shared" si="16"/>
        <v>0</v>
      </c>
      <c r="BF47">
        <f t="shared" si="49"/>
        <v>0</v>
      </c>
      <c r="BG47">
        <f t="shared" si="17"/>
        <v>0</v>
      </c>
      <c r="BH47">
        <f t="shared" si="18"/>
        <v>0</v>
      </c>
      <c r="BI47">
        <f t="shared" si="19"/>
        <v>0</v>
      </c>
      <c r="BK47">
        <f t="shared" si="20"/>
        <v>0</v>
      </c>
      <c r="BL47">
        <f t="shared" si="21"/>
        <v>0</v>
      </c>
      <c r="BM47">
        <f t="shared" si="22"/>
        <v>0</v>
      </c>
      <c r="BN47">
        <f t="shared" si="23"/>
        <v>0</v>
      </c>
      <c r="BO47">
        <f t="shared" si="24"/>
        <v>0</v>
      </c>
      <c r="BR47">
        <f t="shared" si="25"/>
        <v>0</v>
      </c>
      <c r="BS47">
        <f t="shared" si="26"/>
        <v>0</v>
      </c>
      <c r="BT47">
        <f t="shared" si="27"/>
        <v>0</v>
      </c>
      <c r="BU47">
        <f t="shared" si="28"/>
        <v>0</v>
      </c>
      <c r="BV47">
        <f t="shared" si="29"/>
        <v>0</v>
      </c>
      <c r="BX47">
        <f t="shared" si="30"/>
        <v>0</v>
      </c>
      <c r="BY47">
        <f t="shared" si="31"/>
        <v>0</v>
      </c>
      <c r="BZ47">
        <f t="shared" si="32"/>
        <v>0</v>
      </c>
      <c r="CA47">
        <f t="shared" si="33"/>
        <v>0</v>
      </c>
      <c r="CB47">
        <f t="shared" si="34"/>
        <v>0</v>
      </c>
      <c r="CE47">
        <f t="shared" si="35"/>
        <v>0</v>
      </c>
      <c r="CF47">
        <f t="shared" si="36"/>
        <v>0</v>
      </c>
      <c r="CG47">
        <f t="shared" si="37"/>
        <v>0</v>
      </c>
      <c r="CH47">
        <f t="shared" si="38"/>
        <v>0</v>
      </c>
      <c r="CI47">
        <f t="shared" si="39"/>
        <v>0</v>
      </c>
      <c r="CL47">
        <f t="shared" si="40"/>
        <v>0</v>
      </c>
      <c r="CM47">
        <f t="shared" si="41"/>
        <v>0</v>
      </c>
      <c r="CN47">
        <f t="shared" si="42"/>
        <v>0</v>
      </c>
      <c r="CO47">
        <f t="shared" si="43"/>
        <v>0</v>
      </c>
      <c r="CP47">
        <f t="shared" si="44"/>
        <v>0</v>
      </c>
      <c r="CQ47">
        <f>IFERROR(VLOOKUP($B47,SchumeiBituahYesodi!$C$6:$AA$100,8,FALSE),0)</f>
        <v>0</v>
      </c>
      <c r="CR47">
        <f>IFERROR(VLOOKUP($B47,PirteiKisuiBeMutzar_procerur!$C$6:$AA$100,2,FALSE),0)</f>
        <v>0</v>
      </c>
      <c r="CS47">
        <f>IFERROR(VLOOKUP($B47,PirteiKisuiBeMutzar_procerur!$C$6:$AA$100,3,FALSE),0)</f>
        <v>0</v>
      </c>
      <c r="CT47">
        <f>IFERROR(VLOOKUP($B47,PirteiKisuiBeMutzar_procerur!$C$6:$AA$100,4,FALSE),0)</f>
        <v>0</v>
      </c>
      <c r="CU47">
        <f>IFERROR(VLOOKUP($B47,PirteiKisuiBeMutzar_procerur!$C$6:$AA$100,5,FALSE),0)</f>
        <v>0</v>
      </c>
      <c r="CV47">
        <f>IFERROR(VLOOKUP($B47,PirteiKisuiBeMutzar_procerur!$C$6:$AA$100,6,FALSE),0)</f>
        <v>0</v>
      </c>
      <c r="CW47">
        <f>IFERROR(VLOOKUP($B47,PirteiKisuiBeMutzar_procerur!$C$6:$AA$100,7,FALSE),0)</f>
        <v>0</v>
      </c>
      <c r="CX47">
        <f>IFERROR(VLOOKUP($B47,PirteiKisuiBeMutzar_procerur!$C$6:$AA$100,8,FALSE),0)</f>
        <v>0</v>
      </c>
      <c r="CY47">
        <f>IFERROR(VLOOKUP($B47,PirteiKisuiBeMutzar_procerur!$C$6:$AA$100,9,FALSE),0)</f>
        <v>0</v>
      </c>
      <c r="CZ47">
        <f>IFERROR(VLOOKUP($B47,PirteiKisuiBeMutzar_procerur!$C$6:$AA$100,10,FALSE),0)</f>
        <v>0</v>
      </c>
      <c r="DA47">
        <f>IFERROR(VLOOKUP($B47,PirteiKisuiBeMutzar_procerur!$C$6:$AA$100,11,FALSE),0)</f>
        <v>0</v>
      </c>
      <c r="DB47">
        <f>IFERROR(VLOOKUP($B47,PirteiKisuiBeMutzarPrmia!$C$6:$AA$100,2,FALSE),0)</f>
        <v>0</v>
      </c>
      <c r="DC47">
        <f>IFERROR(VLOOKUP($B47,PirteiKisuiBeMutzarPrmia!$C$6:$AA$100,3,FALSE),0)</f>
        <v>0</v>
      </c>
      <c r="DD47">
        <f>IFERROR(VLOOKUP($B47,PirteiKisuiBeMutzarPrmia!$C$6:$AA$100,4,FALSE),0)</f>
        <v>0</v>
      </c>
      <c r="DE47">
        <f>IFERROR(VLOOKUP($B47,PirteiKisuiBeMutzarPrmia!$C$6:$AA$100,5,FALSE),0)</f>
        <v>0</v>
      </c>
      <c r="DF47">
        <f>IFERROR(VLOOKUP($B47,PirteiKisuiBeMutzarPrmia!$C$6:$AA$100,6,FALSE),0)</f>
        <v>0</v>
      </c>
      <c r="DG47">
        <f>IFERROR(VLOOKUP($B47,PirteiKisuiBeMutzarPrmia!$C$6:$AA$100,7,FALSE),0)</f>
        <v>0</v>
      </c>
      <c r="DH47">
        <f>IFERROR(VLOOKUP($B47,PirteiKisuiBeMutzarPrmia!$C$6:$AA$100,8,FALSE),0)</f>
        <v>0</v>
      </c>
      <c r="DI47">
        <f>IFERROR(VLOOKUP($B47,PirteiKisuiBeMutzarPrmia!$C$6:$AA$100,9,FALSE),0)</f>
        <v>0</v>
      </c>
      <c r="DJ47">
        <f>IFERROR(VLOOKUP($B47,PirteiKisuiBeMutzarPrmia!$C$6:$AA$100,10,FALSE),0)</f>
        <v>0</v>
      </c>
      <c r="DK47">
        <f>IFERROR(VLOOKUP($B47,PirteiKisuiBeMutzarPrmia!$C$6:$AA$100,11,FALSE),0)</f>
        <v>0</v>
      </c>
      <c r="DL47">
        <f t="shared" si="1"/>
        <v>0</v>
      </c>
      <c r="DM47">
        <f t="shared" si="45"/>
        <v>0</v>
      </c>
      <c r="DN47">
        <f t="shared" si="46"/>
        <v>0</v>
      </c>
      <c r="DO47">
        <f t="shared" si="2"/>
        <v>0</v>
      </c>
      <c r="DP47">
        <f t="shared" si="50"/>
        <v>0</v>
      </c>
      <c r="DQ47">
        <f>IF(OR(L47=1,L47=3),IFERROR(VLOOKUP($B47,PerutHafkadotMetchilatShanaAvgM!$C$6:$G$100,3,FALSE),0),0)</f>
        <v>0</v>
      </c>
      <c r="DR47">
        <f>IF(OR(L47=2,L47=4),IFERROR(VLOOKUP($B47,PerutHafkadotMetchilatShanaAvgM!$C$6:$G$100,3,FALSE),0),0)</f>
        <v>0</v>
      </c>
      <c r="DS47">
        <f>IFERROR(VLOOKUP($B47,PerutHafkadotMetchilatShanaAvgM!$C$6:$G$100,4,FALSE),0)</f>
        <v>0</v>
      </c>
      <c r="DT47">
        <f>IFERROR(VLOOKUP($B47,Kupa!$D$6:$AA$100,5,FALSE),0)</f>
        <v>0</v>
      </c>
      <c r="DU47">
        <f>IFERROR(VLOOKUP($B47,Kupa!$D$6:$AA$100,6,FALSE),0)</f>
        <v>0</v>
      </c>
      <c r="DV47">
        <f>IFERROR(VLOOKUP($B47,KisuiBKerenPensiaDBWithParams!$D$6:$AP$100,9,FALSE),0)</f>
        <v>0</v>
      </c>
      <c r="DW47">
        <f>IFERROR(VLOOKUP($B47,KisuiBKerenPensiaDBWithParams!$D$6:$AP$100,12,FALSE),0)</f>
        <v>0</v>
      </c>
      <c r="DX47">
        <f>IFERROR(VLOOKUP($B47,KisuiBKerenPensiaDBWithParams!$D$6:$AP$100,13,FALSE),0)</f>
        <v>0</v>
      </c>
      <c r="DY47">
        <f>IFERROR(VLOOKUP($B47,KisuiBKerenPensiaDBWithParams!$D$6:$AP$100,7,FALSE),0)</f>
        <v>0</v>
      </c>
      <c r="DZ47">
        <f>IFERROR(VLOOKUP($B47,KisuiBKerenPensiaDBWithParams!$D$6:$AP$100,17,FALSE),0)</f>
        <v>0</v>
      </c>
      <c r="EA47">
        <f>IFERROR(VLOOKUP($B47,KisuiBKerenPensiaDBWithParams!$D$6:$AP$100,20,FALSE),0)</f>
        <v>0</v>
      </c>
      <c r="EB47">
        <f>IFERROR(VLOOKUP($B47,KisuiBKerenPensiaDBWithParams!$D$6:$AP$100,21,FALSE),0)</f>
        <v>0</v>
      </c>
      <c r="EC47">
        <f t="shared" si="47"/>
        <v>0</v>
      </c>
      <c r="EG47">
        <f>IF(OR(G47=MyData!$J$50,G47=MyData!$J$51,G47=MyData!$J$52),1,IF(G47=MyData!$J$49,2,0))</f>
        <v>0</v>
      </c>
    </row>
    <row r="48" spans="1:137">
      <c r="A48">
        <f t="shared" si="48"/>
        <v>0</v>
      </c>
      <c r="B48" s="20">
        <f>RicusPolice!E45</f>
        <v>0</v>
      </c>
      <c r="C48" s="20">
        <f>RicusPolice!AL45</f>
        <v>0</v>
      </c>
      <c r="D48" s="20">
        <f>RicusPolice!F45</f>
        <v>0</v>
      </c>
      <c r="E48" s="20">
        <f>RicusPolice!R45</f>
        <v>0</v>
      </c>
      <c r="F48" s="20">
        <f>RicusPolice!N45</f>
        <v>0</v>
      </c>
      <c r="G48" s="20">
        <f>IFERROR(VLOOKUP($B48,PerutYitrot!$D$6:$P$100,4,FALSE),0)</f>
        <v>0</v>
      </c>
      <c r="H48" s="20">
        <f t="shared" si="4"/>
        <v>0</v>
      </c>
      <c r="I48" s="20">
        <f>RicusPolice!L45</f>
        <v>0</v>
      </c>
      <c r="J48" s="179">
        <f>IFERROR(VLOOKUP(TRIM(K48),MyData!$J$43:$K$49,2,FALSE),0)</f>
        <v>0</v>
      </c>
      <c r="K48" s="20">
        <f>RicusPolice!M45</f>
        <v>0</v>
      </c>
      <c r="L48" s="20">
        <f>RicusPolice!AM45</f>
        <v>0</v>
      </c>
      <c r="M48" s="20" t="str">
        <f>IF(B48&gt;0,RicusPolice!Y45," ")</f>
        <v xml:space="preserve"> </v>
      </c>
      <c r="N48" s="20" t="str">
        <f t="shared" si="5"/>
        <v/>
      </c>
      <c r="O48" s="20">
        <f>RicusPolice!N45</f>
        <v>0</v>
      </c>
      <c r="P48" s="20">
        <f>IFERROR(VLOOKUP(B48,PerutMasluleiHashkaa!$D$6:$R$100,4,FALSE),0)</f>
        <v>0</v>
      </c>
      <c r="Q48" s="19"/>
      <c r="R48" s="20">
        <f>RicusPolice!P45</f>
        <v>0</v>
      </c>
      <c r="S48" s="20"/>
      <c r="T48" s="21">
        <f>'נתונים ידניים'!H48</f>
        <v>0</v>
      </c>
      <c r="U48" s="21"/>
      <c r="V48" s="20">
        <f>PerutHafrashotLePolisa!E45</f>
        <v>0</v>
      </c>
      <c r="W48" s="20">
        <f>PerutHafrashotLePolisa!F45</f>
        <v>0</v>
      </c>
      <c r="X48" s="20">
        <f>PerutHafrashotLePolisa!G45</f>
        <v>0</v>
      </c>
      <c r="Y48">
        <f t="shared" si="6"/>
        <v>0</v>
      </c>
      <c r="Z48">
        <f>IFERROR(VLOOKUP(B48,PirteiHaasaka!$D$6:$R$100,5,FALSE),0)</f>
        <v>0</v>
      </c>
      <c r="AB48">
        <f>IFERROR(VLOOKUP(B48,HafkadotMetchilatShanaAverages!$D$6:$E$100,2,FALSE),0)</f>
        <v>0</v>
      </c>
      <c r="AF48">
        <f>IFERROR(VLOOKUP(B48,CrossTabYitraLeTkufa_till_2000!$D$6:$AB$100,6,FALSE),0)+IFERROR(VLOOKUP(B48,CrossTabYitraLeTkufa_after_2000!$D$6:$AB$100,6,FALSE),0)</f>
        <v>0</v>
      </c>
      <c r="AG48">
        <f>IFERROR(VLOOKUP(B48,CrossTabYitraLeTkufa_till_2000!$D$6:$AB$100,16,FALSE),0)</f>
        <v>0</v>
      </c>
      <c r="AH48">
        <f>IFERROR(VLOOKUP(B48,CrossTabYitraLeTkufa_after_2000!$D$6:$AB$100,16,FALSE),0)</f>
        <v>0</v>
      </c>
      <c r="AI48">
        <f>IFERROR(VLOOKUP(B48,CrossTabYitraLeTkufa_till_2000!$D$6:$AB$100,17,FALSE),0)</f>
        <v>0</v>
      </c>
      <c r="AJ48">
        <f>IFERROR(VLOOKUP(B48,CrossTabYitraLeTkufa_after_2000!$D$6:$AB$100,17,FALSE),0)</f>
        <v>0</v>
      </c>
      <c r="AK48" s="5">
        <f t="shared" si="7"/>
        <v>0</v>
      </c>
      <c r="AN48">
        <f>IFERROR(VLOOKUP(B48,PirteiKisuiBeMutzar_procerur!$C$6:$AA$100,2,FALSE),0)</f>
        <v>0</v>
      </c>
      <c r="AP48">
        <f>IFERROR(VLOOKUP($B48,PirteiKisuiBeMutzar_procerur!$C$6:$AA$100,5,FALSE),0)</f>
        <v>0</v>
      </c>
      <c r="AQ48">
        <f>IFERROR(VLOOKUP($B48,PirteiKisuiBeMutzar_procerur!$C$6:$AA$100,3,FALSE),0)</f>
        <v>0</v>
      </c>
      <c r="AR48">
        <f>IFERROR(VLOOKUP($B48,PirteiKisuiBeMutzar_procerur!$C$6:$AA$100,6,FALSE),0)</f>
        <v>0</v>
      </c>
      <c r="AS48">
        <f>IFERROR(VLOOKUP($B48,PirteiKisuiBeMutzar_procerur!$C$6:$AA$100,7,FALSE),0)</f>
        <v>0</v>
      </c>
      <c r="AW48">
        <f t="shared" si="8"/>
        <v>0</v>
      </c>
      <c r="AX48">
        <f t="shared" si="9"/>
        <v>0</v>
      </c>
      <c r="AY48">
        <f t="shared" si="10"/>
        <v>0</v>
      </c>
      <c r="AZ48">
        <f t="shared" si="11"/>
        <v>0</v>
      </c>
      <c r="BA48">
        <f t="shared" si="12"/>
        <v>0</v>
      </c>
      <c r="BB48">
        <f t="shared" si="13"/>
        <v>0</v>
      </c>
      <c r="BC48">
        <f t="shared" si="14"/>
        <v>0</v>
      </c>
      <c r="BD48">
        <f t="shared" si="15"/>
        <v>0</v>
      </c>
      <c r="BE48">
        <f t="shared" si="16"/>
        <v>0</v>
      </c>
      <c r="BF48">
        <f t="shared" si="49"/>
        <v>0</v>
      </c>
      <c r="BG48">
        <f t="shared" si="17"/>
        <v>0</v>
      </c>
      <c r="BH48">
        <f t="shared" si="18"/>
        <v>0</v>
      </c>
      <c r="BI48">
        <f t="shared" si="19"/>
        <v>0</v>
      </c>
      <c r="BK48">
        <f t="shared" si="20"/>
        <v>0</v>
      </c>
      <c r="BL48">
        <f t="shared" si="21"/>
        <v>0</v>
      </c>
      <c r="BM48">
        <f t="shared" si="22"/>
        <v>0</v>
      </c>
      <c r="BN48">
        <f t="shared" si="23"/>
        <v>0</v>
      </c>
      <c r="BO48">
        <f t="shared" si="24"/>
        <v>0</v>
      </c>
      <c r="BR48">
        <f t="shared" si="25"/>
        <v>0</v>
      </c>
      <c r="BS48">
        <f t="shared" si="26"/>
        <v>0</v>
      </c>
      <c r="BT48">
        <f t="shared" si="27"/>
        <v>0</v>
      </c>
      <c r="BU48">
        <f t="shared" si="28"/>
        <v>0</v>
      </c>
      <c r="BV48">
        <f t="shared" si="29"/>
        <v>0</v>
      </c>
      <c r="BX48">
        <f t="shared" si="30"/>
        <v>0</v>
      </c>
      <c r="BY48">
        <f t="shared" si="31"/>
        <v>0</v>
      </c>
      <c r="BZ48">
        <f t="shared" si="32"/>
        <v>0</v>
      </c>
      <c r="CA48">
        <f t="shared" si="33"/>
        <v>0</v>
      </c>
      <c r="CB48">
        <f t="shared" si="34"/>
        <v>0</v>
      </c>
      <c r="CE48">
        <f t="shared" si="35"/>
        <v>0</v>
      </c>
      <c r="CF48">
        <f t="shared" si="36"/>
        <v>0</v>
      </c>
      <c r="CG48">
        <f t="shared" si="37"/>
        <v>0</v>
      </c>
      <c r="CH48">
        <f t="shared" si="38"/>
        <v>0</v>
      </c>
      <c r="CI48">
        <f t="shared" si="39"/>
        <v>0</v>
      </c>
      <c r="CL48">
        <f t="shared" si="40"/>
        <v>0</v>
      </c>
      <c r="CM48">
        <f t="shared" si="41"/>
        <v>0</v>
      </c>
      <c r="CN48">
        <f t="shared" si="42"/>
        <v>0</v>
      </c>
      <c r="CO48">
        <f t="shared" si="43"/>
        <v>0</v>
      </c>
      <c r="CP48">
        <f t="shared" si="44"/>
        <v>0</v>
      </c>
      <c r="CQ48">
        <f>IFERROR(VLOOKUP($B48,SchumeiBituahYesodi!$C$6:$AA$100,8,FALSE),0)</f>
        <v>0</v>
      </c>
      <c r="CR48">
        <f>IFERROR(VLOOKUP($B48,PirteiKisuiBeMutzar_procerur!$C$6:$AA$100,2,FALSE),0)</f>
        <v>0</v>
      </c>
      <c r="CS48">
        <f>IFERROR(VLOOKUP($B48,PirteiKisuiBeMutzar_procerur!$C$6:$AA$100,3,FALSE),0)</f>
        <v>0</v>
      </c>
      <c r="CT48">
        <f>IFERROR(VLOOKUP($B48,PirteiKisuiBeMutzar_procerur!$C$6:$AA$100,4,FALSE),0)</f>
        <v>0</v>
      </c>
      <c r="CU48">
        <f>IFERROR(VLOOKUP($B48,PirteiKisuiBeMutzar_procerur!$C$6:$AA$100,5,FALSE),0)</f>
        <v>0</v>
      </c>
      <c r="CV48">
        <f>IFERROR(VLOOKUP($B48,PirteiKisuiBeMutzar_procerur!$C$6:$AA$100,6,FALSE),0)</f>
        <v>0</v>
      </c>
      <c r="CW48">
        <f>IFERROR(VLOOKUP($B48,PirteiKisuiBeMutzar_procerur!$C$6:$AA$100,7,FALSE),0)</f>
        <v>0</v>
      </c>
      <c r="CX48">
        <f>IFERROR(VLOOKUP($B48,PirteiKisuiBeMutzar_procerur!$C$6:$AA$100,8,FALSE),0)</f>
        <v>0</v>
      </c>
      <c r="CY48">
        <f>IFERROR(VLOOKUP($B48,PirteiKisuiBeMutzar_procerur!$C$6:$AA$100,9,FALSE),0)</f>
        <v>0</v>
      </c>
      <c r="CZ48">
        <f>IFERROR(VLOOKUP($B48,PirteiKisuiBeMutzar_procerur!$C$6:$AA$100,10,FALSE),0)</f>
        <v>0</v>
      </c>
      <c r="DA48">
        <f>IFERROR(VLOOKUP($B48,PirteiKisuiBeMutzar_procerur!$C$6:$AA$100,11,FALSE),0)</f>
        <v>0</v>
      </c>
      <c r="DB48">
        <f>IFERROR(VLOOKUP($B48,PirteiKisuiBeMutzarPrmia!$C$6:$AA$100,2,FALSE),0)</f>
        <v>0</v>
      </c>
      <c r="DC48">
        <f>IFERROR(VLOOKUP($B48,PirteiKisuiBeMutzarPrmia!$C$6:$AA$100,3,FALSE),0)</f>
        <v>0</v>
      </c>
      <c r="DD48">
        <f>IFERROR(VLOOKUP($B48,PirteiKisuiBeMutzarPrmia!$C$6:$AA$100,4,FALSE),0)</f>
        <v>0</v>
      </c>
      <c r="DE48">
        <f>IFERROR(VLOOKUP($B48,PirteiKisuiBeMutzarPrmia!$C$6:$AA$100,5,FALSE),0)</f>
        <v>0</v>
      </c>
      <c r="DF48">
        <f>IFERROR(VLOOKUP($B48,PirteiKisuiBeMutzarPrmia!$C$6:$AA$100,6,FALSE),0)</f>
        <v>0</v>
      </c>
      <c r="DG48">
        <f>IFERROR(VLOOKUP($B48,PirteiKisuiBeMutzarPrmia!$C$6:$AA$100,7,FALSE),0)</f>
        <v>0</v>
      </c>
      <c r="DH48">
        <f>IFERROR(VLOOKUP($B48,PirteiKisuiBeMutzarPrmia!$C$6:$AA$100,8,FALSE),0)</f>
        <v>0</v>
      </c>
      <c r="DI48">
        <f>IFERROR(VLOOKUP($B48,PirteiKisuiBeMutzarPrmia!$C$6:$AA$100,9,FALSE),0)</f>
        <v>0</v>
      </c>
      <c r="DJ48">
        <f>IFERROR(VLOOKUP($B48,PirteiKisuiBeMutzarPrmia!$C$6:$AA$100,10,FALSE),0)</f>
        <v>0</v>
      </c>
      <c r="DK48">
        <f>IFERROR(VLOOKUP($B48,PirteiKisuiBeMutzarPrmia!$C$6:$AA$100,11,FALSE),0)</f>
        <v>0</v>
      </c>
      <c r="DL48">
        <f t="shared" si="1"/>
        <v>0</v>
      </c>
      <c r="DM48">
        <f t="shared" si="45"/>
        <v>0</v>
      </c>
      <c r="DN48">
        <f t="shared" si="46"/>
        <v>0</v>
      </c>
      <c r="DO48">
        <f t="shared" si="2"/>
        <v>0</v>
      </c>
      <c r="DP48">
        <f t="shared" si="50"/>
        <v>0</v>
      </c>
      <c r="DQ48">
        <f>IF(OR(L48=1,L48=3),IFERROR(VLOOKUP($B48,PerutHafkadotMetchilatShanaAvgM!$C$6:$G$100,3,FALSE),0),0)</f>
        <v>0</v>
      </c>
      <c r="DR48">
        <f>IF(OR(L48=2,L48=4),IFERROR(VLOOKUP($B48,PerutHafkadotMetchilatShanaAvgM!$C$6:$G$100,3,FALSE),0),0)</f>
        <v>0</v>
      </c>
      <c r="DS48">
        <f>IFERROR(VLOOKUP($B48,PerutHafkadotMetchilatShanaAvgM!$C$6:$G$100,4,FALSE),0)</f>
        <v>0</v>
      </c>
      <c r="DT48">
        <f>IFERROR(VLOOKUP($B48,Kupa!$D$6:$AA$100,5,FALSE),0)</f>
        <v>0</v>
      </c>
      <c r="DU48">
        <f>IFERROR(VLOOKUP($B48,Kupa!$D$6:$AA$100,6,FALSE),0)</f>
        <v>0</v>
      </c>
      <c r="DV48">
        <f>IFERROR(VLOOKUP($B48,KisuiBKerenPensiaDBWithParams!$D$6:$AP$100,9,FALSE),0)</f>
        <v>0</v>
      </c>
      <c r="DW48">
        <f>IFERROR(VLOOKUP($B48,KisuiBKerenPensiaDBWithParams!$D$6:$AP$100,12,FALSE),0)</f>
        <v>0</v>
      </c>
      <c r="DX48">
        <f>IFERROR(VLOOKUP($B48,KisuiBKerenPensiaDBWithParams!$D$6:$AP$100,13,FALSE),0)</f>
        <v>0</v>
      </c>
      <c r="DY48">
        <f>IFERROR(VLOOKUP($B48,KisuiBKerenPensiaDBWithParams!$D$6:$AP$100,7,FALSE),0)</f>
        <v>0</v>
      </c>
      <c r="DZ48">
        <f>IFERROR(VLOOKUP($B48,KisuiBKerenPensiaDBWithParams!$D$6:$AP$100,17,FALSE),0)</f>
        <v>0</v>
      </c>
      <c r="EA48">
        <f>IFERROR(VLOOKUP($B48,KisuiBKerenPensiaDBWithParams!$D$6:$AP$100,20,FALSE),0)</f>
        <v>0</v>
      </c>
      <c r="EB48">
        <f>IFERROR(VLOOKUP($B48,KisuiBKerenPensiaDBWithParams!$D$6:$AP$100,21,FALSE),0)</f>
        <v>0</v>
      </c>
      <c r="EC48">
        <f t="shared" si="47"/>
        <v>0</v>
      </c>
      <c r="EG48">
        <f>IF(OR(G48=MyData!$J$50,G48=MyData!$J$51,G48=MyData!$J$52),1,IF(G48=MyData!$J$49,2,0))</f>
        <v>0</v>
      </c>
    </row>
    <row r="49" spans="1:137">
      <c r="A49">
        <f t="shared" si="48"/>
        <v>0</v>
      </c>
      <c r="B49" s="20">
        <f>RicusPolice!E46</f>
        <v>0</v>
      </c>
      <c r="C49" s="20">
        <f>RicusPolice!AL46</f>
        <v>0</v>
      </c>
      <c r="D49" s="20">
        <f>RicusPolice!F46</f>
        <v>0</v>
      </c>
      <c r="E49" s="20">
        <f>RicusPolice!R46</f>
        <v>0</v>
      </c>
      <c r="F49" s="20">
        <f>RicusPolice!N46</f>
        <v>0</v>
      </c>
      <c r="G49" s="20">
        <f>IFERROR(VLOOKUP($B49,PerutYitrot!$D$6:$P$100,4,FALSE),0)</f>
        <v>0</v>
      </c>
      <c r="H49" s="20">
        <f t="shared" si="4"/>
        <v>0</v>
      </c>
      <c r="I49" s="20">
        <f>RicusPolice!L46</f>
        <v>0</v>
      </c>
      <c r="J49" s="179">
        <f>IFERROR(VLOOKUP(TRIM(K49),MyData!$J$43:$K$49,2,FALSE),0)</f>
        <v>0</v>
      </c>
      <c r="K49" s="20">
        <f>RicusPolice!M46</f>
        <v>0</v>
      </c>
      <c r="L49" s="20">
        <f>RicusPolice!AM46</f>
        <v>0</v>
      </c>
      <c r="M49" s="20" t="str">
        <f>IF(B49&gt;0,RicusPolice!Y46," ")</f>
        <v xml:space="preserve"> </v>
      </c>
      <c r="N49" s="20" t="str">
        <f t="shared" si="5"/>
        <v/>
      </c>
      <c r="O49" s="20">
        <f>RicusPolice!N46</f>
        <v>0</v>
      </c>
      <c r="P49" s="20">
        <f>IFERROR(VLOOKUP(B49,PerutMasluleiHashkaa!$D$6:$R$100,4,FALSE),0)</f>
        <v>0</v>
      </c>
      <c r="Q49" s="19"/>
      <c r="R49" s="20">
        <f>RicusPolice!P46</f>
        <v>0</v>
      </c>
      <c r="S49" s="20"/>
      <c r="T49" s="21">
        <f>'נתונים ידניים'!H49</f>
        <v>0</v>
      </c>
      <c r="U49" s="21"/>
      <c r="V49" s="20">
        <f>PerutHafrashotLePolisa!E46</f>
        <v>0</v>
      </c>
      <c r="W49" s="20">
        <f>PerutHafrashotLePolisa!F46</f>
        <v>0</v>
      </c>
      <c r="X49" s="20">
        <f>PerutHafrashotLePolisa!G46</f>
        <v>0</v>
      </c>
      <c r="Y49">
        <f t="shared" si="6"/>
        <v>0</v>
      </c>
      <c r="Z49">
        <f>IFERROR(VLOOKUP(B49,PirteiHaasaka!$D$6:$R$100,5,FALSE),0)</f>
        <v>0</v>
      </c>
      <c r="AB49">
        <f>IFERROR(VLOOKUP(B49,HafkadotMetchilatShanaAverages!$D$6:$E$100,2,FALSE),0)</f>
        <v>0</v>
      </c>
      <c r="AF49">
        <f>IFERROR(VLOOKUP(B49,CrossTabYitraLeTkufa_till_2000!$D$6:$AB$100,6,FALSE),0)+IFERROR(VLOOKUP(B49,CrossTabYitraLeTkufa_after_2000!$D$6:$AB$100,6,FALSE),0)</f>
        <v>0</v>
      </c>
      <c r="AG49">
        <f>IFERROR(VLOOKUP(B49,CrossTabYitraLeTkufa_till_2000!$D$6:$AB$100,16,FALSE),0)</f>
        <v>0</v>
      </c>
      <c r="AH49">
        <f>IFERROR(VLOOKUP(B49,CrossTabYitraLeTkufa_after_2000!$D$6:$AB$100,16,FALSE),0)</f>
        <v>0</v>
      </c>
      <c r="AI49">
        <f>IFERROR(VLOOKUP(B49,CrossTabYitraLeTkufa_till_2000!$D$6:$AB$100,17,FALSE),0)</f>
        <v>0</v>
      </c>
      <c r="AJ49">
        <f>IFERROR(VLOOKUP(B49,CrossTabYitraLeTkufa_after_2000!$D$6:$AB$100,17,FALSE),0)</f>
        <v>0</v>
      </c>
      <c r="AK49" s="5">
        <f t="shared" si="7"/>
        <v>0</v>
      </c>
      <c r="AN49">
        <f>IFERROR(VLOOKUP(B49,PirteiKisuiBeMutzar_procerur!$C$6:$AA$100,2,FALSE),0)</f>
        <v>0</v>
      </c>
      <c r="AP49">
        <f>IFERROR(VLOOKUP($B49,PirteiKisuiBeMutzar_procerur!$C$6:$AA$100,5,FALSE),0)</f>
        <v>0</v>
      </c>
      <c r="AQ49">
        <f>IFERROR(VLOOKUP($B49,PirteiKisuiBeMutzar_procerur!$C$6:$AA$100,3,FALSE),0)</f>
        <v>0</v>
      </c>
      <c r="AR49">
        <f>IFERROR(VLOOKUP($B49,PirteiKisuiBeMutzar_procerur!$C$6:$AA$100,6,FALSE),0)</f>
        <v>0</v>
      </c>
      <c r="AS49">
        <f>IFERROR(VLOOKUP($B49,PirteiKisuiBeMutzar_procerur!$C$6:$AA$100,7,FALSE),0)</f>
        <v>0</v>
      </c>
      <c r="AW49">
        <f t="shared" si="8"/>
        <v>0</v>
      </c>
      <c r="AX49">
        <f t="shared" si="9"/>
        <v>0</v>
      </c>
      <c r="AY49">
        <f t="shared" si="10"/>
        <v>0</v>
      </c>
      <c r="AZ49">
        <f t="shared" si="11"/>
        <v>0</v>
      </c>
      <c r="BA49">
        <f t="shared" si="12"/>
        <v>0</v>
      </c>
      <c r="BB49">
        <f t="shared" si="13"/>
        <v>0</v>
      </c>
      <c r="BC49">
        <f t="shared" si="14"/>
        <v>0</v>
      </c>
      <c r="BD49">
        <f t="shared" si="15"/>
        <v>0</v>
      </c>
      <c r="BE49">
        <f t="shared" si="16"/>
        <v>0</v>
      </c>
      <c r="BF49">
        <f t="shared" si="49"/>
        <v>0</v>
      </c>
      <c r="BG49">
        <f t="shared" si="17"/>
        <v>0</v>
      </c>
      <c r="BH49">
        <f t="shared" si="18"/>
        <v>0</v>
      </c>
      <c r="BI49">
        <f t="shared" si="19"/>
        <v>0</v>
      </c>
      <c r="BK49">
        <f t="shared" si="20"/>
        <v>0</v>
      </c>
      <c r="BL49">
        <f t="shared" si="21"/>
        <v>0</v>
      </c>
      <c r="BM49">
        <f t="shared" si="22"/>
        <v>0</v>
      </c>
      <c r="BN49">
        <f t="shared" si="23"/>
        <v>0</v>
      </c>
      <c r="BO49">
        <f t="shared" si="24"/>
        <v>0</v>
      </c>
      <c r="BR49">
        <f t="shared" si="25"/>
        <v>0</v>
      </c>
      <c r="BS49">
        <f t="shared" si="26"/>
        <v>0</v>
      </c>
      <c r="BT49">
        <f t="shared" si="27"/>
        <v>0</v>
      </c>
      <c r="BU49">
        <f t="shared" si="28"/>
        <v>0</v>
      </c>
      <c r="BV49">
        <f t="shared" si="29"/>
        <v>0</v>
      </c>
      <c r="BX49">
        <f t="shared" si="30"/>
        <v>0</v>
      </c>
      <c r="BY49">
        <f t="shared" si="31"/>
        <v>0</v>
      </c>
      <c r="BZ49">
        <f t="shared" si="32"/>
        <v>0</v>
      </c>
      <c r="CA49">
        <f t="shared" si="33"/>
        <v>0</v>
      </c>
      <c r="CB49">
        <f t="shared" si="34"/>
        <v>0</v>
      </c>
      <c r="CE49">
        <f t="shared" si="35"/>
        <v>0</v>
      </c>
      <c r="CF49">
        <f t="shared" si="36"/>
        <v>0</v>
      </c>
      <c r="CG49">
        <f t="shared" si="37"/>
        <v>0</v>
      </c>
      <c r="CH49">
        <f t="shared" si="38"/>
        <v>0</v>
      </c>
      <c r="CI49">
        <f t="shared" si="39"/>
        <v>0</v>
      </c>
      <c r="CL49">
        <f t="shared" si="40"/>
        <v>0</v>
      </c>
      <c r="CM49">
        <f t="shared" si="41"/>
        <v>0</v>
      </c>
      <c r="CN49">
        <f t="shared" si="42"/>
        <v>0</v>
      </c>
      <c r="CO49">
        <f t="shared" si="43"/>
        <v>0</v>
      </c>
      <c r="CP49">
        <f t="shared" si="44"/>
        <v>0</v>
      </c>
      <c r="CQ49">
        <f>IFERROR(VLOOKUP($B49,SchumeiBituahYesodi!$C$6:$AA$100,8,FALSE),0)</f>
        <v>0</v>
      </c>
      <c r="CR49">
        <f>IFERROR(VLOOKUP($B49,PirteiKisuiBeMutzar_procerur!$C$6:$AA$100,2,FALSE),0)</f>
        <v>0</v>
      </c>
      <c r="CS49">
        <f>IFERROR(VLOOKUP($B49,PirteiKisuiBeMutzar_procerur!$C$6:$AA$100,3,FALSE),0)</f>
        <v>0</v>
      </c>
      <c r="CT49">
        <f>IFERROR(VLOOKUP($B49,PirteiKisuiBeMutzar_procerur!$C$6:$AA$100,4,FALSE),0)</f>
        <v>0</v>
      </c>
      <c r="CU49">
        <f>IFERROR(VLOOKUP($B49,PirteiKisuiBeMutzar_procerur!$C$6:$AA$100,5,FALSE),0)</f>
        <v>0</v>
      </c>
      <c r="CV49">
        <f>IFERROR(VLOOKUP($B49,PirteiKisuiBeMutzar_procerur!$C$6:$AA$100,6,FALSE),0)</f>
        <v>0</v>
      </c>
      <c r="CW49">
        <f>IFERROR(VLOOKUP($B49,PirteiKisuiBeMutzar_procerur!$C$6:$AA$100,7,FALSE),0)</f>
        <v>0</v>
      </c>
      <c r="CX49">
        <f>IFERROR(VLOOKUP($B49,PirteiKisuiBeMutzar_procerur!$C$6:$AA$100,8,FALSE),0)</f>
        <v>0</v>
      </c>
      <c r="CY49">
        <f>IFERROR(VLOOKUP($B49,PirteiKisuiBeMutzar_procerur!$C$6:$AA$100,9,FALSE),0)</f>
        <v>0</v>
      </c>
      <c r="CZ49">
        <f>IFERROR(VLOOKUP($B49,PirteiKisuiBeMutzar_procerur!$C$6:$AA$100,10,FALSE),0)</f>
        <v>0</v>
      </c>
      <c r="DA49">
        <f>IFERROR(VLOOKUP($B49,PirteiKisuiBeMutzar_procerur!$C$6:$AA$100,11,FALSE),0)</f>
        <v>0</v>
      </c>
      <c r="DB49">
        <f>IFERROR(VLOOKUP($B49,PirteiKisuiBeMutzarPrmia!$C$6:$AA$100,2,FALSE),0)</f>
        <v>0</v>
      </c>
      <c r="DC49">
        <f>IFERROR(VLOOKUP($B49,PirteiKisuiBeMutzarPrmia!$C$6:$AA$100,3,FALSE),0)</f>
        <v>0</v>
      </c>
      <c r="DD49">
        <f>IFERROR(VLOOKUP($B49,PirteiKisuiBeMutzarPrmia!$C$6:$AA$100,4,FALSE),0)</f>
        <v>0</v>
      </c>
      <c r="DE49">
        <f>IFERROR(VLOOKUP($B49,PirteiKisuiBeMutzarPrmia!$C$6:$AA$100,5,FALSE),0)</f>
        <v>0</v>
      </c>
      <c r="DF49">
        <f>IFERROR(VLOOKUP($B49,PirteiKisuiBeMutzarPrmia!$C$6:$AA$100,6,FALSE),0)</f>
        <v>0</v>
      </c>
      <c r="DG49">
        <f>IFERROR(VLOOKUP($B49,PirteiKisuiBeMutzarPrmia!$C$6:$AA$100,7,FALSE),0)</f>
        <v>0</v>
      </c>
      <c r="DH49">
        <f>IFERROR(VLOOKUP($B49,PirteiKisuiBeMutzarPrmia!$C$6:$AA$100,8,FALSE),0)</f>
        <v>0</v>
      </c>
      <c r="DI49">
        <f>IFERROR(VLOOKUP($B49,PirteiKisuiBeMutzarPrmia!$C$6:$AA$100,9,FALSE),0)</f>
        <v>0</v>
      </c>
      <c r="DJ49">
        <f>IFERROR(VLOOKUP($B49,PirteiKisuiBeMutzarPrmia!$C$6:$AA$100,10,FALSE),0)</f>
        <v>0</v>
      </c>
      <c r="DK49">
        <f>IFERROR(VLOOKUP($B49,PirteiKisuiBeMutzarPrmia!$C$6:$AA$100,11,FALSE),0)</f>
        <v>0</v>
      </c>
      <c r="DL49">
        <f t="shared" si="1"/>
        <v>0</v>
      </c>
      <c r="DM49">
        <f t="shared" si="45"/>
        <v>0</v>
      </c>
      <c r="DN49">
        <f t="shared" si="46"/>
        <v>0</v>
      </c>
      <c r="DO49">
        <f t="shared" si="2"/>
        <v>0</v>
      </c>
      <c r="DP49">
        <f t="shared" si="50"/>
        <v>0</v>
      </c>
      <c r="DQ49">
        <f>IF(OR(L49=1,L49=3),IFERROR(VLOOKUP($B49,PerutHafkadotMetchilatShanaAvgM!$C$6:$G$100,3,FALSE),0),0)</f>
        <v>0</v>
      </c>
      <c r="DR49">
        <f>IF(OR(L49=2,L49=4),IFERROR(VLOOKUP($B49,PerutHafkadotMetchilatShanaAvgM!$C$6:$G$100,3,FALSE),0),0)</f>
        <v>0</v>
      </c>
      <c r="DS49">
        <f>IFERROR(VLOOKUP($B49,PerutHafkadotMetchilatShanaAvgM!$C$6:$G$100,4,FALSE),0)</f>
        <v>0</v>
      </c>
      <c r="DT49">
        <f>IFERROR(VLOOKUP($B49,Kupa!$D$6:$AA$100,5,FALSE),0)</f>
        <v>0</v>
      </c>
      <c r="DU49">
        <f>IFERROR(VLOOKUP($B49,Kupa!$D$6:$AA$100,6,FALSE),0)</f>
        <v>0</v>
      </c>
      <c r="DV49">
        <f>IFERROR(VLOOKUP($B49,KisuiBKerenPensiaDBWithParams!$D$6:$AP$100,9,FALSE),0)</f>
        <v>0</v>
      </c>
      <c r="DW49">
        <f>IFERROR(VLOOKUP($B49,KisuiBKerenPensiaDBWithParams!$D$6:$AP$100,12,FALSE),0)</f>
        <v>0</v>
      </c>
      <c r="DX49">
        <f>IFERROR(VLOOKUP($B49,KisuiBKerenPensiaDBWithParams!$D$6:$AP$100,13,FALSE),0)</f>
        <v>0</v>
      </c>
      <c r="DY49">
        <f>IFERROR(VLOOKUP($B49,KisuiBKerenPensiaDBWithParams!$D$6:$AP$100,7,FALSE),0)</f>
        <v>0</v>
      </c>
      <c r="DZ49">
        <f>IFERROR(VLOOKUP($B49,KisuiBKerenPensiaDBWithParams!$D$6:$AP$100,17,FALSE),0)</f>
        <v>0</v>
      </c>
      <c r="EA49">
        <f>IFERROR(VLOOKUP($B49,KisuiBKerenPensiaDBWithParams!$D$6:$AP$100,20,FALSE),0)</f>
        <v>0</v>
      </c>
      <c r="EB49">
        <f>IFERROR(VLOOKUP($B49,KisuiBKerenPensiaDBWithParams!$D$6:$AP$100,21,FALSE),0)</f>
        <v>0</v>
      </c>
      <c r="EC49">
        <f t="shared" si="47"/>
        <v>0</v>
      </c>
      <c r="EG49">
        <f>IF(OR(G49=MyData!$J$50,G49=MyData!$J$51,G49=MyData!$J$52),1,IF(G49=MyData!$J$49,2,0))</f>
        <v>0</v>
      </c>
    </row>
    <row r="50" spans="1:137">
      <c r="A50">
        <f t="shared" si="48"/>
        <v>0</v>
      </c>
      <c r="B50" s="20">
        <f>RicusPolice!E47</f>
        <v>0</v>
      </c>
      <c r="C50" s="20">
        <f>RicusPolice!AL47</f>
        <v>0</v>
      </c>
      <c r="D50" s="20">
        <f>RicusPolice!F47</f>
        <v>0</v>
      </c>
      <c r="E50" s="20">
        <f>RicusPolice!R47</f>
        <v>0</v>
      </c>
      <c r="F50" s="20">
        <f>RicusPolice!N47</f>
        <v>0</v>
      </c>
      <c r="G50" s="20">
        <f>IFERROR(VLOOKUP($B50,PerutYitrot!$D$6:$P$100,4,FALSE),0)</f>
        <v>0</v>
      </c>
      <c r="H50" s="20">
        <f t="shared" si="4"/>
        <v>0</v>
      </c>
      <c r="I50" s="20">
        <f>RicusPolice!L47</f>
        <v>0</v>
      </c>
      <c r="J50" s="179">
        <f>IFERROR(VLOOKUP(TRIM(K50),MyData!$J$43:$K$49,2,FALSE),0)</f>
        <v>0</v>
      </c>
      <c r="K50" s="20">
        <f>RicusPolice!M47</f>
        <v>0</v>
      </c>
      <c r="L50" s="20">
        <f>RicusPolice!AM47</f>
        <v>0</v>
      </c>
      <c r="M50" s="20" t="str">
        <f>IF(B50&gt;0,RicusPolice!Y47," ")</f>
        <v xml:space="preserve"> </v>
      </c>
      <c r="N50" s="20" t="str">
        <f t="shared" si="5"/>
        <v/>
      </c>
      <c r="O50" s="20">
        <f>RicusPolice!N47</f>
        <v>0</v>
      </c>
      <c r="P50" s="20">
        <f>IFERROR(VLOOKUP(B50,PerutMasluleiHashkaa!$D$6:$R$100,4,FALSE),0)</f>
        <v>0</v>
      </c>
      <c r="Q50" s="19"/>
      <c r="R50" s="20">
        <f>RicusPolice!P47</f>
        <v>0</v>
      </c>
      <c r="S50" s="20"/>
      <c r="T50" s="21">
        <f>'נתונים ידניים'!H50</f>
        <v>0</v>
      </c>
      <c r="U50" s="21"/>
      <c r="V50" s="20">
        <f>PerutHafrashotLePolisa!E47</f>
        <v>0</v>
      </c>
      <c r="W50" s="20">
        <f>PerutHafrashotLePolisa!F47</f>
        <v>0</v>
      </c>
      <c r="X50" s="20">
        <f>PerutHafrashotLePolisa!G47</f>
        <v>0</v>
      </c>
      <c r="Y50">
        <f t="shared" si="6"/>
        <v>0</v>
      </c>
      <c r="Z50">
        <f>IFERROR(VLOOKUP(B50,PirteiHaasaka!$D$6:$R$100,5,FALSE),0)</f>
        <v>0</v>
      </c>
      <c r="AB50">
        <f>IFERROR(VLOOKUP(B50,HafkadotMetchilatShanaAverages!$D$6:$E$100,2,FALSE),0)</f>
        <v>0</v>
      </c>
      <c r="AF50">
        <f>IFERROR(VLOOKUP(B50,CrossTabYitraLeTkufa_till_2000!$D$6:$AB$100,6,FALSE),0)+IFERROR(VLOOKUP(B50,CrossTabYitraLeTkufa_after_2000!$D$6:$AB$100,6,FALSE),0)</f>
        <v>0</v>
      </c>
      <c r="AG50">
        <f>IFERROR(VLOOKUP(B50,CrossTabYitraLeTkufa_till_2000!$D$6:$AB$100,16,FALSE),0)</f>
        <v>0</v>
      </c>
      <c r="AH50">
        <f>IFERROR(VLOOKUP(B50,CrossTabYitraLeTkufa_after_2000!$D$6:$AB$100,16,FALSE),0)</f>
        <v>0</v>
      </c>
      <c r="AI50">
        <f>IFERROR(VLOOKUP(B50,CrossTabYitraLeTkufa_till_2000!$D$6:$AB$100,17,FALSE),0)</f>
        <v>0</v>
      </c>
      <c r="AJ50">
        <f>IFERROR(VLOOKUP(B50,CrossTabYitraLeTkufa_after_2000!$D$6:$AB$100,17,FALSE),0)</f>
        <v>0</v>
      </c>
      <c r="AK50" s="5">
        <f t="shared" si="7"/>
        <v>0</v>
      </c>
      <c r="AN50">
        <f>IFERROR(VLOOKUP(B50,PirteiKisuiBeMutzar_procerur!$C$6:$AA$100,2,FALSE),0)</f>
        <v>0</v>
      </c>
      <c r="AP50">
        <f>IFERROR(VLOOKUP($B50,PirteiKisuiBeMutzar_procerur!$C$6:$AA$100,5,FALSE),0)</f>
        <v>0</v>
      </c>
      <c r="AQ50">
        <f>IFERROR(VLOOKUP($B50,PirteiKisuiBeMutzar_procerur!$C$6:$AA$100,3,FALSE),0)</f>
        <v>0</v>
      </c>
      <c r="AR50">
        <f>IFERROR(VLOOKUP($B50,PirteiKisuiBeMutzar_procerur!$C$6:$AA$100,6,FALSE),0)</f>
        <v>0</v>
      </c>
      <c r="AS50">
        <f>IFERROR(VLOOKUP($B50,PirteiKisuiBeMutzar_procerur!$C$6:$AA$100,7,FALSE),0)</f>
        <v>0</v>
      </c>
      <c r="AW50">
        <f t="shared" si="8"/>
        <v>0</v>
      </c>
      <c r="AX50">
        <f t="shared" si="9"/>
        <v>0</v>
      </c>
      <c r="AY50">
        <f t="shared" si="10"/>
        <v>0</v>
      </c>
      <c r="AZ50">
        <f t="shared" si="11"/>
        <v>0</v>
      </c>
      <c r="BA50">
        <f t="shared" si="12"/>
        <v>0</v>
      </c>
      <c r="BB50">
        <f t="shared" si="13"/>
        <v>0</v>
      </c>
      <c r="BC50">
        <f t="shared" si="14"/>
        <v>0</v>
      </c>
      <c r="BD50">
        <f t="shared" si="15"/>
        <v>0</v>
      </c>
      <c r="BE50">
        <f t="shared" si="16"/>
        <v>0</v>
      </c>
      <c r="BF50">
        <f t="shared" si="49"/>
        <v>0</v>
      </c>
      <c r="BG50">
        <f t="shared" si="17"/>
        <v>0</v>
      </c>
      <c r="BH50">
        <f t="shared" si="18"/>
        <v>0</v>
      </c>
      <c r="BI50">
        <f t="shared" si="19"/>
        <v>0</v>
      </c>
      <c r="BK50">
        <f t="shared" si="20"/>
        <v>0</v>
      </c>
      <c r="BL50">
        <f t="shared" si="21"/>
        <v>0</v>
      </c>
      <c r="BM50">
        <f t="shared" si="22"/>
        <v>0</v>
      </c>
      <c r="BN50">
        <f t="shared" si="23"/>
        <v>0</v>
      </c>
      <c r="BO50">
        <f t="shared" si="24"/>
        <v>0</v>
      </c>
      <c r="BR50">
        <f t="shared" si="25"/>
        <v>0</v>
      </c>
      <c r="BS50">
        <f t="shared" si="26"/>
        <v>0</v>
      </c>
      <c r="BT50">
        <f t="shared" si="27"/>
        <v>0</v>
      </c>
      <c r="BU50">
        <f t="shared" si="28"/>
        <v>0</v>
      </c>
      <c r="BV50">
        <f t="shared" si="29"/>
        <v>0</v>
      </c>
      <c r="BX50">
        <f t="shared" si="30"/>
        <v>0</v>
      </c>
      <c r="BY50">
        <f t="shared" si="31"/>
        <v>0</v>
      </c>
      <c r="BZ50">
        <f t="shared" si="32"/>
        <v>0</v>
      </c>
      <c r="CA50">
        <f t="shared" si="33"/>
        <v>0</v>
      </c>
      <c r="CB50">
        <f t="shared" si="34"/>
        <v>0</v>
      </c>
      <c r="CE50">
        <f t="shared" si="35"/>
        <v>0</v>
      </c>
      <c r="CF50">
        <f t="shared" si="36"/>
        <v>0</v>
      </c>
      <c r="CG50">
        <f t="shared" si="37"/>
        <v>0</v>
      </c>
      <c r="CH50">
        <f t="shared" si="38"/>
        <v>0</v>
      </c>
      <c r="CI50">
        <f t="shared" si="39"/>
        <v>0</v>
      </c>
      <c r="CL50">
        <f t="shared" si="40"/>
        <v>0</v>
      </c>
      <c r="CM50">
        <f t="shared" si="41"/>
        <v>0</v>
      </c>
      <c r="CN50">
        <f t="shared" si="42"/>
        <v>0</v>
      </c>
      <c r="CO50">
        <f t="shared" si="43"/>
        <v>0</v>
      </c>
      <c r="CP50">
        <f t="shared" si="44"/>
        <v>0</v>
      </c>
      <c r="CQ50">
        <f>IFERROR(VLOOKUP($B50,SchumeiBituahYesodi!$C$6:$AA$100,8,FALSE),0)</f>
        <v>0</v>
      </c>
      <c r="CR50">
        <f>IFERROR(VLOOKUP($B50,PirteiKisuiBeMutzar_procerur!$C$6:$AA$100,2,FALSE),0)</f>
        <v>0</v>
      </c>
      <c r="CS50">
        <f>IFERROR(VLOOKUP($B50,PirteiKisuiBeMutzar_procerur!$C$6:$AA$100,3,FALSE),0)</f>
        <v>0</v>
      </c>
      <c r="CT50">
        <f>IFERROR(VLOOKUP($B50,PirteiKisuiBeMutzar_procerur!$C$6:$AA$100,4,FALSE),0)</f>
        <v>0</v>
      </c>
      <c r="CU50">
        <f>IFERROR(VLOOKUP($B50,PirteiKisuiBeMutzar_procerur!$C$6:$AA$100,5,FALSE),0)</f>
        <v>0</v>
      </c>
      <c r="CV50">
        <f>IFERROR(VLOOKUP($B50,PirteiKisuiBeMutzar_procerur!$C$6:$AA$100,6,FALSE),0)</f>
        <v>0</v>
      </c>
      <c r="CW50">
        <f>IFERROR(VLOOKUP($B50,PirteiKisuiBeMutzar_procerur!$C$6:$AA$100,7,FALSE),0)</f>
        <v>0</v>
      </c>
      <c r="CX50">
        <f>IFERROR(VLOOKUP($B50,PirteiKisuiBeMutzar_procerur!$C$6:$AA$100,8,FALSE),0)</f>
        <v>0</v>
      </c>
      <c r="CY50">
        <f>IFERROR(VLOOKUP($B50,PirteiKisuiBeMutzar_procerur!$C$6:$AA$100,9,FALSE),0)</f>
        <v>0</v>
      </c>
      <c r="CZ50">
        <f>IFERROR(VLOOKUP($B50,PirteiKisuiBeMutzar_procerur!$C$6:$AA$100,10,FALSE),0)</f>
        <v>0</v>
      </c>
      <c r="DA50">
        <f>IFERROR(VLOOKUP($B50,PirteiKisuiBeMutzar_procerur!$C$6:$AA$100,11,FALSE),0)</f>
        <v>0</v>
      </c>
      <c r="DB50">
        <f>IFERROR(VLOOKUP($B50,PirteiKisuiBeMutzarPrmia!$C$6:$AA$100,2,FALSE),0)</f>
        <v>0</v>
      </c>
      <c r="DC50">
        <f>IFERROR(VLOOKUP($B50,PirteiKisuiBeMutzarPrmia!$C$6:$AA$100,3,FALSE),0)</f>
        <v>0</v>
      </c>
      <c r="DD50">
        <f>IFERROR(VLOOKUP($B50,PirteiKisuiBeMutzarPrmia!$C$6:$AA$100,4,FALSE),0)</f>
        <v>0</v>
      </c>
      <c r="DE50">
        <f>IFERROR(VLOOKUP($B50,PirteiKisuiBeMutzarPrmia!$C$6:$AA$100,5,FALSE),0)</f>
        <v>0</v>
      </c>
      <c r="DF50">
        <f>IFERROR(VLOOKUP($B50,PirteiKisuiBeMutzarPrmia!$C$6:$AA$100,6,FALSE),0)</f>
        <v>0</v>
      </c>
      <c r="DG50">
        <f>IFERROR(VLOOKUP($B50,PirteiKisuiBeMutzarPrmia!$C$6:$AA$100,7,FALSE),0)</f>
        <v>0</v>
      </c>
      <c r="DH50">
        <f>IFERROR(VLOOKUP($B50,PirteiKisuiBeMutzarPrmia!$C$6:$AA$100,8,FALSE),0)</f>
        <v>0</v>
      </c>
      <c r="DI50">
        <f>IFERROR(VLOOKUP($B50,PirteiKisuiBeMutzarPrmia!$C$6:$AA$100,9,FALSE),0)</f>
        <v>0</v>
      </c>
      <c r="DJ50">
        <f>IFERROR(VLOOKUP($B50,PirteiKisuiBeMutzarPrmia!$C$6:$AA$100,10,FALSE),0)</f>
        <v>0</v>
      </c>
      <c r="DK50">
        <f>IFERROR(VLOOKUP($B50,PirteiKisuiBeMutzarPrmia!$C$6:$AA$100,11,FALSE),0)</f>
        <v>0</v>
      </c>
      <c r="DL50">
        <f t="shared" si="1"/>
        <v>0</v>
      </c>
      <c r="DM50">
        <f t="shared" si="45"/>
        <v>0</v>
      </c>
      <c r="DN50">
        <f t="shared" si="46"/>
        <v>0</v>
      </c>
      <c r="DO50">
        <f t="shared" si="2"/>
        <v>0</v>
      </c>
      <c r="DP50">
        <f t="shared" si="50"/>
        <v>0</v>
      </c>
      <c r="DQ50">
        <f>IF(OR(L50=1,L50=3),IFERROR(VLOOKUP($B50,PerutHafkadotMetchilatShanaAvgM!$C$6:$G$100,3,FALSE),0),0)</f>
        <v>0</v>
      </c>
      <c r="DR50">
        <f>IF(OR(L50=2,L50=4),IFERROR(VLOOKUP($B50,PerutHafkadotMetchilatShanaAvgM!$C$6:$G$100,3,FALSE),0),0)</f>
        <v>0</v>
      </c>
      <c r="DS50">
        <f>IFERROR(VLOOKUP($B50,PerutHafkadotMetchilatShanaAvgM!$C$6:$G$100,4,FALSE),0)</f>
        <v>0</v>
      </c>
      <c r="DT50">
        <f>IFERROR(VLOOKUP($B50,Kupa!$D$6:$AA$100,5,FALSE),0)</f>
        <v>0</v>
      </c>
      <c r="DU50">
        <f>IFERROR(VLOOKUP($B50,Kupa!$D$6:$AA$100,6,FALSE),0)</f>
        <v>0</v>
      </c>
      <c r="DV50">
        <f>IFERROR(VLOOKUP($B50,KisuiBKerenPensiaDBWithParams!$D$6:$AP$100,9,FALSE),0)</f>
        <v>0</v>
      </c>
      <c r="DW50">
        <f>IFERROR(VLOOKUP($B50,KisuiBKerenPensiaDBWithParams!$D$6:$AP$100,12,FALSE),0)</f>
        <v>0</v>
      </c>
      <c r="DX50">
        <f>IFERROR(VLOOKUP($B50,KisuiBKerenPensiaDBWithParams!$D$6:$AP$100,13,FALSE),0)</f>
        <v>0</v>
      </c>
      <c r="DY50">
        <f>IFERROR(VLOOKUP($B50,KisuiBKerenPensiaDBWithParams!$D$6:$AP$100,7,FALSE),0)</f>
        <v>0</v>
      </c>
      <c r="DZ50">
        <f>IFERROR(VLOOKUP($B50,KisuiBKerenPensiaDBWithParams!$D$6:$AP$100,17,FALSE),0)</f>
        <v>0</v>
      </c>
      <c r="EA50">
        <f>IFERROR(VLOOKUP($B50,KisuiBKerenPensiaDBWithParams!$D$6:$AP$100,20,FALSE),0)</f>
        <v>0</v>
      </c>
      <c r="EB50">
        <f>IFERROR(VLOOKUP($B50,KisuiBKerenPensiaDBWithParams!$D$6:$AP$100,21,FALSE),0)</f>
        <v>0</v>
      </c>
      <c r="EC50">
        <f t="shared" si="47"/>
        <v>0</v>
      </c>
      <c r="EG50">
        <f>IF(OR(G50=MyData!$J$50,G50=MyData!$J$51,G50=MyData!$J$52),1,IF(G50=MyData!$J$49,2,0))</f>
        <v>0</v>
      </c>
    </row>
    <row r="51" spans="1:137">
      <c r="A51">
        <f t="shared" si="48"/>
        <v>0</v>
      </c>
      <c r="B51" s="20">
        <f>RicusPolice!E48</f>
        <v>0</v>
      </c>
      <c r="C51" s="20">
        <f>RicusPolice!AL48</f>
        <v>0</v>
      </c>
      <c r="D51" s="20">
        <f>RicusPolice!F48</f>
        <v>0</v>
      </c>
      <c r="E51" s="20">
        <f>RicusPolice!R48</f>
        <v>0</v>
      </c>
      <c r="F51" s="20">
        <f>RicusPolice!N48</f>
        <v>0</v>
      </c>
      <c r="G51" s="20">
        <f>IFERROR(VLOOKUP($B51,PerutYitrot!$D$6:$P$100,4,FALSE),0)</f>
        <v>0</v>
      </c>
      <c r="H51" s="20">
        <f t="shared" si="4"/>
        <v>0</v>
      </c>
      <c r="I51" s="20">
        <f>RicusPolice!L48</f>
        <v>0</v>
      </c>
      <c r="J51" s="179">
        <f>IFERROR(VLOOKUP(TRIM(K51),MyData!$J$43:$K$49,2,FALSE),0)</f>
        <v>0</v>
      </c>
      <c r="K51" s="20">
        <f>RicusPolice!M48</f>
        <v>0</v>
      </c>
      <c r="L51" s="20">
        <f>RicusPolice!AM48</f>
        <v>0</v>
      </c>
      <c r="M51" s="20" t="str">
        <f>IF(B51&gt;0,RicusPolice!Y48," ")</f>
        <v xml:space="preserve"> </v>
      </c>
      <c r="N51" s="20" t="str">
        <f t="shared" si="5"/>
        <v/>
      </c>
      <c r="O51" s="20">
        <f>RicusPolice!N48</f>
        <v>0</v>
      </c>
      <c r="P51" s="20">
        <f>IFERROR(VLOOKUP(B51,PerutMasluleiHashkaa!$D$6:$R$100,4,FALSE),0)</f>
        <v>0</v>
      </c>
      <c r="Q51" s="19"/>
      <c r="R51" s="20">
        <f>RicusPolice!P48</f>
        <v>0</v>
      </c>
      <c r="S51" s="20"/>
      <c r="T51" s="21">
        <f>'נתונים ידניים'!H51</f>
        <v>0</v>
      </c>
      <c r="U51" s="21"/>
      <c r="V51" s="20">
        <f>PerutHafrashotLePolisa!E48</f>
        <v>0</v>
      </c>
      <c r="W51" s="20">
        <f>PerutHafrashotLePolisa!F48</f>
        <v>0</v>
      </c>
      <c r="X51" s="20">
        <f>PerutHafrashotLePolisa!G48</f>
        <v>0</v>
      </c>
      <c r="Y51">
        <f t="shared" si="6"/>
        <v>0</v>
      </c>
      <c r="Z51">
        <f>IFERROR(VLOOKUP(B51,PirteiHaasaka!$D$6:$R$100,5,FALSE),0)</f>
        <v>0</v>
      </c>
      <c r="AB51">
        <f>IFERROR(VLOOKUP(B51,HafkadotMetchilatShanaAverages!$D$6:$E$100,2,FALSE),0)</f>
        <v>0</v>
      </c>
      <c r="AF51">
        <f>IFERROR(VLOOKUP(B51,CrossTabYitraLeTkufa_till_2000!$D$6:$AB$100,6,FALSE),0)+IFERROR(VLOOKUP(B51,CrossTabYitraLeTkufa_after_2000!$D$6:$AB$100,6,FALSE),0)</f>
        <v>0</v>
      </c>
      <c r="AG51">
        <f>IFERROR(VLOOKUP(B51,CrossTabYitraLeTkufa_till_2000!$D$6:$AB$100,16,FALSE),0)</f>
        <v>0</v>
      </c>
      <c r="AH51">
        <f>IFERROR(VLOOKUP(B51,CrossTabYitraLeTkufa_after_2000!$D$6:$AB$100,16,FALSE),0)</f>
        <v>0</v>
      </c>
      <c r="AI51">
        <f>IFERROR(VLOOKUP(B51,CrossTabYitraLeTkufa_till_2000!$D$6:$AB$100,17,FALSE),0)</f>
        <v>0</v>
      </c>
      <c r="AJ51">
        <f>IFERROR(VLOOKUP(B51,CrossTabYitraLeTkufa_after_2000!$D$6:$AB$100,17,FALSE),0)</f>
        <v>0</v>
      </c>
      <c r="AK51" s="5">
        <f t="shared" si="7"/>
        <v>0</v>
      </c>
      <c r="AN51">
        <f>IFERROR(VLOOKUP(B51,PirteiKisuiBeMutzar_procerur!$C$6:$AA$100,2,FALSE),0)</f>
        <v>0</v>
      </c>
      <c r="AP51">
        <f>IFERROR(VLOOKUP($B51,PirteiKisuiBeMutzar_procerur!$C$6:$AA$100,5,FALSE),0)</f>
        <v>0</v>
      </c>
      <c r="AQ51">
        <f>IFERROR(VLOOKUP($B51,PirteiKisuiBeMutzar_procerur!$C$6:$AA$100,3,FALSE),0)</f>
        <v>0</v>
      </c>
      <c r="AR51">
        <f>IFERROR(VLOOKUP($B51,PirteiKisuiBeMutzar_procerur!$C$6:$AA$100,6,FALSE),0)</f>
        <v>0</v>
      </c>
      <c r="AS51">
        <f>IFERROR(VLOOKUP($B51,PirteiKisuiBeMutzar_procerur!$C$6:$AA$100,7,FALSE),0)</f>
        <v>0</v>
      </c>
      <c r="AW51">
        <f t="shared" si="8"/>
        <v>0</v>
      </c>
      <c r="AX51">
        <f t="shared" si="9"/>
        <v>0</v>
      </c>
      <c r="AY51">
        <f t="shared" si="10"/>
        <v>0</v>
      </c>
      <c r="AZ51">
        <f t="shared" si="11"/>
        <v>0</v>
      </c>
      <c r="BA51">
        <f t="shared" si="12"/>
        <v>0</v>
      </c>
      <c r="BB51">
        <f t="shared" si="13"/>
        <v>0</v>
      </c>
      <c r="BC51">
        <f t="shared" si="14"/>
        <v>0</v>
      </c>
      <c r="BD51">
        <f t="shared" si="15"/>
        <v>0</v>
      </c>
      <c r="BE51">
        <f t="shared" si="16"/>
        <v>0</v>
      </c>
      <c r="BF51">
        <f t="shared" si="49"/>
        <v>0</v>
      </c>
      <c r="BG51">
        <f t="shared" si="17"/>
        <v>0</v>
      </c>
      <c r="BH51">
        <f t="shared" si="18"/>
        <v>0</v>
      </c>
      <c r="BI51">
        <f t="shared" si="19"/>
        <v>0</v>
      </c>
      <c r="BK51">
        <f t="shared" si="20"/>
        <v>0</v>
      </c>
      <c r="BL51">
        <f t="shared" si="21"/>
        <v>0</v>
      </c>
      <c r="BM51">
        <f t="shared" si="22"/>
        <v>0</v>
      </c>
      <c r="BN51">
        <f t="shared" si="23"/>
        <v>0</v>
      </c>
      <c r="BO51">
        <f t="shared" si="24"/>
        <v>0</v>
      </c>
      <c r="BR51">
        <f t="shared" si="25"/>
        <v>0</v>
      </c>
      <c r="BS51">
        <f t="shared" si="26"/>
        <v>0</v>
      </c>
      <c r="BT51">
        <f t="shared" si="27"/>
        <v>0</v>
      </c>
      <c r="BU51">
        <f t="shared" si="28"/>
        <v>0</v>
      </c>
      <c r="BV51">
        <f t="shared" si="29"/>
        <v>0</v>
      </c>
      <c r="BX51">
        <f t="shared" si="30"/>
        <v>0</v>
      </c>
      <c r="BY51">
        <f t="shared" si="31"/>
        <v>0</v>
      </c>
      <c r="BZ51">
        <f t="shared" si="32"/>
        <v>0</v>
      </c>
      <c r="CA51">
        <f t="shared" si="33"/>
        <v>0</v>
      </c>
      <c r="CB51">
        <f t="shared" si="34"/>
        <v>0</v>
      </c>
      <c r="CE51">
        <f t="shared" si="35"/>
        <v>0</v>
      </c>
      <c r="CF51">
        <f t="shared" si="36"/>
        <v>0</v>
      </c>
      <c r="CG51">
        <f t="shared" si="37"/>
        <v>0</v>
      </c>
      <c r="CH51">
        <f t="shared" si="38"/>
        <v>0</v>
      </c>
      <c r="CI51">
        <f t="shared" si="39"/>
        <v>0</v>
      </c>
      <c r="CL51">
        <f t="shared" si="40"/>
        <v>0</v>
      </c>
      <c r="CM51">
        <f t="shared" si="41"/>
        <v>0</v>
      </c>
      <c r="CN51">
        <f t="shared" si="42"/>
        <v>0</v>
      </c>
      <c r="CO51">
        <f t="shared" si="43"/>
        <v>0</v>
      </c>
      <c r="CP51">
        <f t="shared" si="44"/>
        <v>0</v>
      </c>
      <c r="CQ51">
        <f>IFERROR(VLOOKUP($B51,SchumeiBituahYesodi!$C$6:$AA$100,8,FALSE),0)</f>
        <v>0</v>
      </c>
      <c r="CR51">
        <f>IFERROR(VLOOKUP($B51,PirteiKisuiBeMutzar_procerur!$C$6:$AA$100,2,FALSE),0)</f>
        <v>0</v>
      </c>
      <c r="CS51">
        <f>IFERROR(VLOOKUP($B51,PirteiKisuiBeMutzar_procerur!$C$6:$AA$100,3,FALSE),0)</f>
        <v>0</v>
      </c>
      <c r="CT51">
        <f>IFERROR(VLOOKUP($B51,PirteiKisuiBeMutzar_procerur!$C$6:$AA$100,4,FALSE),0)</f>
        <v>0</v>
      </c>
      <c r="CU51">
        <f>IFERROR(VLOOKUP($B51,PirteiKisuiBeMutzar_procerur!$C$6:$AA$100,5,FALSE),0)</f>
        <v>0</v>
      </c>
      <c r="CV51">
        <f>IFERROR(VLOOKUP($B51,PirteiKisuiBeMutzar_procerur!$C$6:$AA$100,6,FALSE),0)</f>
        <v>0</v>
      </c>
      <c r="CW51">
        <f>IFERROR(VLOOKUP($B51,PirteiKisuiBeMutzar_procerur!$C$6:$AA$100,7,FALSE),0)</f>
        <v>0</v>
      </c>
      <c r="CX51">
        <f>IFERROR(VLOOKUP($B51,PirteiKisuiBeMutzar_procerur!$C$6:$AA$100,8,FALSE),0)</f>
        <v>0</v>
      </c>
      <c r="CY51">
        <f>IFERROR(VLOOKUP($B51,PirteiKisuiBeMutzar_procerur!$C$6:$AA$100,9,FALSE),0)</f>
        <v>0</v>
      </c>
      <c r="CZ51">
        <f>IFERROR(VLOOKUP($B51,PirteiKisuiBeMutzar_procerur!$C$6:$AA$100,10,FALSE),0)</f>
        <v>0</v>
      </c>
      <c r="DA51">
        <f>IFERROR(VLOOKUP($B51,PirteiKisuiBeMutzar_procerur!$C$6:$AA$100,11,FALSE),0)</f>
        <v>0</v>
      </c>
      <c r="DB51">
        <f>IFERROR(VLOOKUP($B51,PirteiKisuiBeMutzarPrmia!$C$6:$AA$100,2,FALSE),0)</f>
        <v>0</v>
      </c>
      <c r="DC51">
        <f>IFERROR(VLOOKUP($B51,PirteiKisuiBeMutzarPrmia!$C$6:$AA$100,3,FALSE),0)</f>
        <v>0</v>
      </c>
      <c r="DD51">
        <f>IFERROR(VLOOKUP($B51,PirteiKisuiBeMutzarPrmia!$C$6:$AA$100,4,FALSE),0)</f>
        <v>0</v>
      </c>
      <c r="DE51">
        <f>IFERROR(VLOOKUP($B51,PirteiKisuiBeMutzarPrmia!$C$6:$AA$100,5,FALSE),0)</f>
        <v>0</v>
      </c>
      <c r="DF51">
        <f>IFERROR(VLOOKUP($B51,PirteiKisuiBeMutzarPrmia!$C$6:$AA$100,6,FALSE),0)</f>
        <v>0</v>
      </c>
      <c r="DG51">
        <f>IFERROR(VLOOKUP($B51,PirteiKisuiBeMutzarPrmia!$C$6:$AA$100,7,FALSE),0)</f>
        <v>0</v>
      </c>
      <c r="DH51">
        <f>IFERROR(VLOOKUP($B51,PirteiKisuiBeMutzarPrmia!$C$6:$AA$100,8,FALSE),0)</f>
        <v>0</v>
      </c>
      <c r="DI51">
        <f>IFERROR(VLOOKUP($B51,PirteiKisuiBeMutzarPrmia!$C$6:$AA$100,9,FALSE),0)</f>
        <v>0</v>
      </c>
      <c r="DJ51">
        <f>IFERROR(VLOOKUP($B51,PirteiKisuiBeMutzarPrmia!$C$6:$AA$100,10,FALSE),0)</f>
        <v>0</v>
      </c>
      <c r="DK51">
        <f>IFERROR(VLOOKUP($B51,PirteiKisuiBeMutzarPrmia!$C$6:$AA$100,11,FALSE),0)</f>
        <v>0</v>
      </c>
      <c r="DL51">
        <f t="shared" ref="DL51:DL73" si="51">SUM(DB51:DK51)</f>
        <v>0</v>
      </c>
      <c r="DM51">
        <f t="shared" si="45"/>
        <v>0</v>
      </c>
      <c r="DN51">
        <f t="shared" si="46"/>
        <v>0</v>
      </c>
      <c r="DO51">
        <f t="shared" ref="DO51:DO97" si="52">AG51+AH51+AI51+AJ51</f>
        <v>0</v>
      </c>
      <c r="DP51">
        <f t="shared" si="50"/>
        <v>0</v>
      </c>
      <c r="DQ51">
        <f>IF(OR(L51=1,L51=3),IFERROR(VLOOKUP($B51,PerutHafkadotMetchilatShanaAvgM!$C$6:$G$100,3,FALSE),0),0)</f>
        <v>0</v>
      </c>
      <c r="DR51">
        <f>IF(OR(L51=2,L51=4),IFERROR(VLOOKUP($B51,PerutHafkadotMetchilatShanaAvgM!$C$6:$G$100,3,FALSE),0),0)</f>
        <v>0</v>
      </c>
      <c r="DS51">
        <f>IFERROR(VLOOKUP($B51,PerutHafkadotMetchilatShanaAvgM!$C$6:$G$100,4,FALSE),0)</f>
        <v>0</v>
      </c>
      <c r="DT51">
        <f>IFERROR(VLOOKUP($B51,Kupa!$D$6:$AA$100,5,FALSE),0)</f>
        <v>0</v>
      </c>
      <c r="DU51">
        <f>IFERROR(VLOOKUP($B51,Kupa!$D$6:$AA$100,6,FALSE),0)</f>
        <v>0</v>
      </c>
      <c r="DV51">
        <f>IFERROR(VLOOKUP($B51,KisuiBKerenPensiaDBWithParams!$D$6:$AP$100,9,FALSE),0)</f>
        <v>0</v>
      </c>
      <c r="DW51">
        <f>IFERROR(VLOOKUP($B51,KisuiBKerenPensiaDBWithParams!$D$6:$AP$100,12,FALSE),0)</f>
        <v>0</v>
      </c>
      <c r="DX51">
        <f>IFERROR(VLOOKUP($B51,KisuiBKerenPensiaDBWithParams!$D$6:$AP$100,13,FALSE),0)</f>
        <v>0</v>
      </c>
      <c r="DY51">
        <f>IFERROR(VLOOKUP($B51,KisuiBKerenPensiaDBWithParams!$D$6:$AP$100,7,FALSE),0)</f>
        <v>0</v>
      </c>
      <c r="DZ51">
        <f>IFERROR(VLOOKUP($B51,KisuiBKerenPensiaDBWithParams!$D$6:$AP$100,17,FALSE),0)</f>
        <v>0</v>
      </c>
      <c r="EA51">
        <f>IFERROR(VLOOKUP($B51,KisuiBKerenPensiaDBWithParams!$D$6:$AP$100,20,FALSE),0)</f>
        <v>0</v>
      </c>
      <c r="EB51">
        <f>IFERROR(VLOOKUP($B51,KisuiBKerenPensiaDBWithParams!$D$6:$AP$100,21,FALSE),0)</f>
        <v>0</v>
      </c>
      <c r="EC51">
        <f t="shared" si="47"/>
        <v>0</v>
      </c>
      <c r="EG51">
        <f>IF(OR(G51=MyData!$J$50,G51=MyData!$J$51,G51=MyData!$J$52),1,IF(G51=MyData!$J$49,2,0))</f>
        <v>0</v>
      </c>
    </row>
    <row r="52" spans="1:137">
      <c r="A52">
        <f t="shared" si="48"/>
        <v>0</v>
      </c>
      <c r="B52" s="20">
        <f>RicusPolice!E49</f>
        <v>0</v>
      </c>
      <c r="C52" s="20">
        <f>RicusPolice!AL49</f>
        <v>0</v>
      </c>
      <c r="D52" s="20">
        <f>RicusPolice!F49</f>
        <v>0</v>
      </c>
      <c r="E52" s="20">
        <f>RicusPolice!R49</f>
        <v>0</v>
      </c>
      <c r="F52" s="20">
        <f>RicusPolice!N49</f>
        <v>0</v>
      </c>
      <c r="G52" s="20">
        <f>IFERROR(VLOOKUP($B52,PerutYitrot!$D$6:$P$100,4,FALSE),0)</f>
        <v>0</v>
      </c>
      <c r="H52" s="20">
        <f t="shared" si="4"/>
        <v>0</v>
      </c>
      <c r="I52" s="20">
        <f>RicusPolice!L49</f>
        <v>0</v>
      </c>
      <c r="J52" s="179">
        <f>IFERROR(VLOOKUP(TRIM(K52),MyData!$J$43:$K$49,2,FALSE),0)</f>
        <v>0</v>
      </c>
      <c r="K52" s="20">
        <f>RicusPolice!M49</f>
        <v>0</v>
      </c>
      <c r="L52" s="20">
        <f>RicusPolice!AM49</f>
        <v>0</v>
      </c>
      <c r="M52" s="20" t="str">
        <f>IF(B52&gt;0,RicusPolice!Y49," ")</f>
        <v xml:space="preserve"> </v>
      </c>
      <c r="N52" s="20" t="str">
        <f t="shared" si="5"/>
        <v/>
      </c>
      <c r="O52" s="20">
        <f>RicusPolice!N49</f>
        <v>0</v>
      </c>
      <c r="P52" s="20">
        <f>IFERROR(VLOOKUP(B52,PerutMasluleiHashkaa!$D$6:$R$100,4,FALSE),0)</f>
        <v>0</v>
      </c>
      <c r="Q52" s="19"/>
      <c r="R52" s="20">
        <f>RicusPolice!P49</f>
        <v>0</v>
      </c>
      <c r="S52" s="20"/>
      <c r="T52" s="21" t="str">
        <f>'נתונים ידניים'!H52</f>
        <v/>
      </c>
      <c r="U52" s="21"/>
      <c r="V52" s="20">
        <f>PerutHafrashotLePolisa!E49</f>
        <v>0</v>
      </c>
      <c r="W52" s="20">
        <f>PerutHafrashotLePolisa!F49</f>
        <v>0</v>
      </c>
      <c r="X52" s="20">
        <f>PerutHafrashotLePolisa!G49</f>
        <v>0</v>
      </c>
      <c r="Y52">
        <f t="shared" si="6"/>
        <v>0</v>
      </c>
      <c r="Z52">
        <f>IFERROR(VLOOKUP(B52,PirteiHaasaka!$D$6:$R$100,5,FALSE),0)</f>
        <v>0</v>
      </c>
      <c r="AB52">
        <f>IFERROR(VLOOKUP(B52,HafkadotMetchilatShanaAverages!$D$6:$E$100,2,FALSE),0)</f>
        <v>0</v>
      </c>
      <c r="AF52">
        <f>IFERROR(VLOOKUP(B52,CrossTabYitraLeTkufa_till_2000!$D$6:$AB$100,6,FALSE),0)+IFERROR(VLOOKUP(B52,CrossTabYitraLeTkufa_after_2000!$D$6:$AB$100,6,FALSE),0)</f>
        <v>0</v>
      </c>
      <c r="AG52">
        <f>IFERROR(VLOOKUP(B52,CrossTabYitraLeTkufa_till_2000!$D$6:$AB$100,16,FALSE),0)</f>
        <v>0</v>
      </c>
      <c r="AH52">
        <f>IFERROR(VLOOKUP(B52,CrossTabYitraLeTkufa_after_2000!$D$6:$AB$100,16,FALSE),0)</f>
        <v>0</v>
      </c>
      <c r="AI52">
        <f>IFERROR(VLOOKUP(B52,CrossTabYitraLeTkufa_till_2000!$D$6:$AB$100,17,FALSE),0)</f>
        <v>0</v>
      </c>
      <c r="AJ52">
        <f>IFERROR(VLOOKUP(B52,CrossTabYitraLeTkufa_after_2000!$D$6:$AB$100,17,FALSE),0)</f>
        <v>0</v>
      </c>
      <c r="AK52" s="5">
        <f t="shared" si="7"/>
        <v>0</v>
      </c>
      <c r="AN52">
        <f>IFERROR(VLOOKUP(B52,PirteiKisuiBeMutzar_procerur!$C$6:$AA$100,2,FALSE),0)</f>
        <v>0</v>
      </c>
      <c r="AP52">
        <f>IFERROR(VLOOKUP($B52,PirteiKisuiBeMutzar_procerur!$C$6:$AA$100,5,FALSE),0)</f>
        <v>0</v>
      </c>
      <c r="AQ52">
        <f>IFERROR(VLOOKUP($B52,PirteiKisuiBeMutzar_procerur!$C$6:$AA$100,3,FALSE),0)</f>
        <v>0</v>
      </c>
      <c r="AR52">
        <f>IFERROR(VLOOKUP($B52,PirteiKisuiBeMutzar_procerur!$C$6:$AA$100,6,FALSE),0)</f>
        <v>0</v>
      </c>
      <c r="AS52">
        <f>IFERROR(VLOOKUP($B52,PirteiKisuiBeMutzar_procerur!$C$6:$AA$100,7,FALSE),0)</f>
        <v>0</v>
      </c>
      <c r="AW52">
        <f t="shared" si="8"/>
        <v>0</v>
      </c>
      <c r="AX52">
        <f t="shared" si="9"/>
        <v>0</v>
      </c>
      <c r="AY52">
        <f t="shared" si="10"/>
        <v>0</v>
      </c>
      <c r="AZ52">
        <f t="shared" si="11"/>
        <v>0</v>
      </c>
      <c r="BA52">
        <f t="shared" si="12"/>
        <v>0</v>
      </c>
      <c r="BB52">
        <f t="shared" si="13"/>
        <v>0</v>
      </c>
      <c r="BC52">
        <f t="shared" si="14"/>
        <v>0</v>
      </c>
      <c r="BD52">
        <f t="shared" si="15"/>
        <v>0</v>
      </c>
      <c r="BE52">
        <f t="shared" si="16"/>
        <v>0</v>
      </c>
      <c r="BF52">
        <f t="shared" si="49"/>
        <v>0</v>
      </c>
      <c r="BG52">
        <f t="shared" si="17"/>
        <v>0</v>
      </c>
      <c r="BH52">
        <f t="shared" si="18"/>
        <v>0</v>
      </c>
      <c r="BI52">
        <f t="shared" si="19"/>
        <v>0</v>
      </c>
      <c r="BK52">
        <f t="shared" si="20"/>
        <v>0</v>
      </c>
      <c r="BL52">
        <f t="shared" si="21"/>
        <v>0</v>
      </c>
      <c r="BM52">
        <f t="shared" si="22"/>
        <v>0</v>
      </c>
      <c r="BN52">
        <f t="shared" si="23"/>
        <v>0</v>
      </c>
      <c r="BO52">
        <f t="shared" si="24"/>
        <v>0</v>
      </c>
      <c r="BR52">
        <f t="shared" si="25"/>
        <v>0</v>
      </c>
      <c r="BS52">
        <f t="shared" si="26"/>
        <v>0</v>
      </c>
      <c r="BT52">
        <f t="shared" si="27"/>
        <v>0</v>
      </c>
      <c r="BU52">
        <f t="shared" si="28"/>
        <v>0</v>
      </c>
      <c r="BV52">
        <f t="shared" si="29"/>
        <v>0</v>
      </c>
      <c r="BX52">
        <f t="shared" si="30"/>
        <v>0</v>
      </c>
      <c r="BY52">
        <f t="shared" si="31"/>
        <v>0</v>
      </c>
      <c r="BZ52">
        <f t="shared" si="32"/>
        <v>0</v>
      </c>
      <c r="CA52">
        <f t="shared" si="33"/>
        <v>0</v>
      </c>
      <c r="CB52">
        <f t="shared" si="34"/>
        <v>0</v>
      </c>
      <c r="CE52">
        <f t="shared" si="35"/>
        <v>0</v>
      </c>
      <c r="CF52">
        <f t="shared" si="36"/>
        <v>0</v>
      </c>
      <c r="CG52">
        <f t="shared" si="37"/>
        <v>0</v>
      </c>
      <c r="CH52">
        <f t="shared" si="38"/>
        <v>0</v>
      </c>
      <c r="CI52">
        <f t="shared" si="39"/>
        <v>0</v>
      </c>
      <c r="CL52">
        <f t="shared" si="40"/>
        <v>0</v>
      </c>
      <c r="CM52">
        <f t="shared" si="41"/>
        <v>0</v>
      </c>
      <c r="CN52">
        <f t="shared" si="42"/>
        <v>0</v>
      </c>
      <c r="CO52">
        <f t="shared" si="43"/>
        <v>0</v>
      </c>
      <c r="CP52">
        <f t="shared" si="44"/>
        <v>0</v>
      </c>
      <c r="CQ52">
        <f>IFERROR(VLOOKUP($B52,SchumeiBituahYesodi!$C$6:$AA$100,8,FALSE),0)</f>
        <v>0</v>
      </c>
      <c r="CR52">
        <f>IFERROR(VLOOKUP($B52,PirteiKisuiBeMutzar_procerur!$C$6:$AA$100,2,FALSE),0)</f>
        <v>0</v>
      </c>
      <c r="CS52">
        <f>IFERROR(VLOOKUP($B52,PirteiKisuiBeMutzar_procerur!$C$6:$AA$100,3,FALSE),0)</f>
        <v>0</v>
      </c>
      <c r="CT52">
        <f>IFERROR(VLOOKUP($B52,PirteiKisuiBeMutzar_procerur!$C$6:$AA$100,4,FALSE),0)</f>
        <v>0</v>
      </c>
      <c r="CU52">
        <f>IFERROR(VLOOKUP($B52,PirteiKisuiBeMutzar_procerur!$C$6:$AA$100,5,FALSE),0)</f>
        <v>0</v>
      </c>
      <c r="CV52">
        <f>IFERROR(VLOOKUP($B52,PirteiKisuiBeMutzar_procerur!$C$6:$AA$100,6,FALSE),0)</f>
        <v>0</v>
      </c>
      <c r="CW52">
        <f>IFERROR(VLOOKUP($B52,PirteiKisuiBeMutzar_procerur!$C$6:$AA$100,7,FALSE),0)</f>
        <v>0</v>
      </c>
      <c r="CX52">
        <f>IFERROR(VLOOKUP($B52,PirteiKisuiBeMutzar_procerur!$C$6:$AA$100,8,FALSE),0)</f>
        <v>0</v>
      </c>
      <c r="CY52">
        <f>IFERROR(VLOOKUP($B52,PirteiKisuiBeMutzar_procerur!$C$6:$AA$100,9,FALSE),0)</f>
        <v>0</v>
      </c>
      <c r="CZ52">
        <f>IFERROR(VLOOKUP($B52,PirteiKisuiBeMutzar_procerur!$C$6:$AA$100,10,FALSE),0)</f>
        <v>0</v>
      </c>
      <c r="DA52">
        <f>IFERROR(VLOOKUP($B52,PirteiKisuiBeMutzar_procerur!$C$6:$AA$100,11,FALSE),0)</f>
        <v>0</v>
      </c>
      <c r="DB52">
        <f>IFERROR(VLOOKUP($B52,PirteiKisuiBeMutzarPrmia!$C$6:$AA$100,2,FALSE),0)</f>
        <v>0</v>
      </c>
      <c r="DC52">
        <f>IFERROR(VLOOKUP($B52,PirteiKisuiBeMutzarPrmia!$C$6:$AA$100,3,FALSE),0)</f>
        <v>0</v>
      </c>
      <c r="DD52">
        <f>IFERROR(VLOOKUP($B52,PirteiKisuiBeMutzarPrmia!$C$6:$AA$100,4,FALSE),0)</f>
        <v>0</v>
      </c>
      <c r="DE52">
        <f>IFERROR(VLOOKUP($B52,PirteiKisuiBeMutzarPrmia!$C$6:$AA$100,5,FALSE),0)</f>
        <v>0</v>
      </c>
      <c r="DF52">
        <f>IFERROR(VLOOKUP($B52,PirteiKisuiBeMutzarPrmia!$C$6:$AA$100,6,FALSE),0)</f>
        <v>0</v>
      </c>
      <c r="DG52">
        <f>IFERROR(VLOOKUP($B52,PirteiKisuiBeMutzarPrmia!$C$6:$AA$100,7,FALSE),0)</f>
        <v>0</v>
      </c>
      <c r="DH52">
        <f>IFERROR(VLOOKUP($B52,PirteiKisuiBeMutzarPrmia!$C$6:$AA$100,8,FALSE),0)</f>
        <v>0</v>
      </c>
      <c r="DI52">
        <f>IFERROR(VLOOKUP($B52,PirteiKisuiBeMutzarPrmia!$C$6:$AA$100,9,FALSE),0)</f>
        <v>0</v>
      </c>
      <c r="DJ52">
        <f>IFERROR(VLOOKUP($B52,PirteiKisuiBeMutzarPrmia!$C$6:$AA$100,10,FALSE),0)</f>
        <v>0</v>
      </c>
      <c r="DK52">
        <f>IFERROR(VLOOKUP($B52,PirteiKisuiBeMutzarPrmia!$C$6:$AA$100,11,FALSE),0)</f>
        <v>0</v>
      </c>
      <c r="DL52">
        <f t="shared" si="51"/>
        <v>0</v>
      </c>
      <c r="DM52">
        <f t="shared" si="45"/>
        <v>0</v>
      </c>
      <c r="DN52">
        <f t="shared" si="46"/>
        <v>0</v>
      </c>
      <c r="DO52">
        <f t="shared" si="52"/>
        <v>0</v>
      </c>
      <c r="DP52">
        <f t="shared" si="50"/>
        <v>0</v>
      </c>
      <c r="DQ52">
        <f>IF(OR(L52=1,L52=3),IFERROR(VLOOKUP($B52,PerutHafkadotMetchilatShanaAvgM!$C$6:$G$100,3,FALSE),0),0)</f>
        <v>0</v>
      </c>
      <c r="DR52">
        <f>IF(OR(L52=2,L52=4),IFERROR(VLOOKUP($B52,PerutHafkadotMetchilatShanaAvgM!$C$6:$G$100,3,FALSE),0),0)</f>
        <v>0</v>
      </c>
      <c r="DS52">
        <f>IFERROR(VLOOKUP($B52,PerutHafkadotMetchilatShanaAvgM!$C$6:$G$100,4,FALSE),0)</f>
        <v>0</v>
      </c>
      <c r="DT52">
        <f>IFERROR(VLOOKUP($B52,Kupa!$D$6:$AA$100,5,FALSE),0)</f>
        <v>0</v>
      </c>
      <c r="DU52">
        <f>IFERROR(VLOOKUP($B52,Kupa!$D$6:$AA$100,6,FALSE),0)</f>
        <v>0</v>
      </c>
      <c r="DV52">
        <f>IFERROR(VLOOKUP($B52,KisuiBKerenPensiaDBWithParams!$D$6:$AP$100,9,FALSE),0)</f>
        <v>0</v>
      </c>
      <c r="DW52">
        <f>IFERROR(VLOOKUP($B52,KisuiBKerenPensiaDBWithParams!$D$6:$AP$100,12,FALSE),0)</f>
        <v>0</v>
      </c>
      <c r="DX52">
        <f>IFERROR(VLOOKUP($B52,KisuiBKerenPensiaDBWithParams!$D$6:$AP$100,13,FALSE),0)</f>
        <v>0</v>
      </c>
      <c r="DY52">
        <f>IFERROR(VLOOKUP($B52,KisuiBKerenPensiaDBWithParams!$D$6:$AP$100,7,FALSE),0)</f>
        <v>0</v>
      </c>
      <c r="DZ52">
        <f>IFERROR(VLOOKUP($B52,KisuiBKerenPensiaDBWithParams!$D$6:$AP$100,17,FALSE),0)</f>
        <v>0</v>
      </c>
      <c r="EA52">
        <f>IFERROR(VLOOKUP($B52,KisuiBKerenPensiaDBWithParams!$D$6:$AP$100,20,FALSE),0)</f>
        <v>0</v>
      </c>
      <c r="EB52">
        <f>IFERROR(VLOOKUP($B52,KisuiBKerenPensiaDBWithParams!$D$6:$AP$100,21,FALSE),0)</f>
        <v>0</v>
      </c>
      <c r="EC52">
        <f t="shared" si="47"/>
        <v>0</v>
      </c>
      <c r="EG52">
        <f>IF(OR(G52=MyData!$J$50,G52=MyData!$J$51,G52=MyData!$J$52),1,IF(G52=MyData!$J$49,2,0))</f>
        <v>0</v>
      </c>
    </row>
    <row r="53" spans="1:137">
      <c r="A53">
        <f t="shared" si="48"/>
        <v>0</v>
      </c>
      <c r="B53" s="20">
        <f>RicusPolice!E50</f>
        <v>0</v>
      </c>
      <c r="C53" s="20">
        <f>RicusPolice!AL50</f>
        <v>0</v>
      </c>
      <c r="D53" s="20">
        <f>RicusPolice!F50</f>
        <v>0</v>
      </c>
      <c r="E53" s="20">
        <f>RicusPolice!R50</f>
        <v>0</v>
      </c>
      <c r="F53" s="20">
        <f>RicusPolice!N50</f>
        <v>0</v>
      </c>
      <c r="G53" s="20">
        <f>IFERROR(VLOOKUP($B53,PerutYitrot!$D$6:$P$100,4,FALSE),0)</f>
        <v>0</v>
      </c>
      <c r="H53" s="20">
        <f t="shared" si="4"/>
        <v>0</v>
      </c>
      <c r="I53" s="20">
        <f>RicusPolice!L50</f>
        <v>0</v>
      </c>
      <c r="J53" s="179">
        <f>IFERROR(VLOOKUP(TRIM(K53),MyData!$J$43:$K$49,2,FALSE),0)</f>
        <v>0</v>
      </c>
      <c r="K53" s="20">
        <f>RicusPolice!M50</f>
        <v>0</v>
      </c>
      <c r="L53" s="20">
        <f>RicusPolice!AM50</f>
        <v>0</v>
      </c>
      <c r="M53" s="20" t="str">
        <f>IF(B53&gt;0,RicusPolice!Y50," ")</f>
        <v xml:space="preserve"> </v>
      </c>
      <c r="N53" s="20" t="str">
        <f t="shared" si="5"/>
        <v/>
      </c>
      <c r="O53" s="20">
        <f>RicusPolice!N50</f>
        <v>0</v>
      </c>
      <c r="P53" s="20">
        <f>IFERROR(VLOOKUP(B53,PerutMasluleiHashkaa!$D$6:$R$100,4,FALSE),0)</f>
        <v>0</v>
      </c>
      <c r="Q53" s="19"/>
      <c r="R53" s="20">
        <f>RicusPolice!P50</f>
        <v>0</v>
      </c>
      <c r="S53" s="20"/>
      <c r="T53" s="21">
        <f>'נתונים ידניים'!H53</f>
        <v>0</v>
      </c>
      <c r="U53" s="21"/>
      <c r="V53" s="20">
        <f>PerutHafrashotLePolisa!E50</f>
        <v>0</v>
      </c>
      <c r="W53" s="20">
        <f>PerutHafrashotLePolisa!F50</f>
        <v>0</v>
      </c>
      <c r="X53" s="20">
        <f>PerutHafrashotLePolisa!G50</f>
        <v>0</v>
      </c>
      <c r="Y53">
        <f t="shared" si="6"/>
        <v>0</v>
      </c>
      <c r="Z53">
        <f>IFERROR(VLOOKUP(B53,PirteiHaasaka!$D$6:$R$100,5,FALSE),0)</f>
        <v>0</v>
      </c>
      <c r="AB53">
        <f>IFERROR(VLOOKUP(B53,HafkadotMetchilatShanaAverages!$D$6:$E$100,2,FALSE),0)</f>
        <v>0</v>
      </c>
      <c r="AF53">
        <f>IFERROR(VLOOKUP(B53,CrossTabYitraLeTkufa_till_2000!$D$6:$AB$100,6,FALSE),0)+IFERROR(VLOOKUP(B53,CrossTabYitraLeTkufa_after_2000!$D$6:$AB$100,6,FALSE),0)</f>
        <v>0</v>
      </c>
      <c r="AG53">
        <f>IFERROR(VLOOKUP(B53,CrossTabYitraLeTkufa_till_2000!$D$6:$AB$100,16,FALSE),0)</f>
        <v>0</v>
      </c>
      <c r="AH53">
        <f>IFERROR(VLOOKUP(B53,CrossTabYitraLeTkufa_after_2000!$D$6:$AB$100,16,FALSE),0)</f>
        <v>0</v>
      </c>
      <c r="AI53">
        <f>IFERROR(VLOOKUP(B53,CrossTabYitraLeTkufa_till_2000!$D$6:$AB$100,17,FALSE),0)</f>
        <v>0</v>
      </c>
      <c r="AJ53">
        <f>IFERROR(VLOOKUP(B53,CrossTabYitraLeTkufa_after_2000!$D$6:$AB$100,17,FALSE),0)</f>
        <v>0</v>
      </c>
      <c r="AK53" s="5">
        <f t="shared" si="7"/>
        <v>0</v>
      </c>
      <c r="AN53">
        <f>IFERROR(VLOOKUP(B53,PirteiKisuiBeMutzar_procerur!$C$6:$AA$100,2,FALSE),0)</f>
        <v>0</v>
      </c>
      <c r="AP53">
        <f>IFERROR(VLOOKUP($B53,PirteiKisuiBeMutzar_procerur!$C$6:$AA$100,5,FALSE),0)</f>
        <v>0</v>
      </c>
      <c r="AQ53">
        <f>IFERROR(VLOOKUP($B53,PirteiKisuiBeMutzar_procerur!$C$6:$AA$100,3,FALSE),0)</f>
        <v>0</v>
      </c>
      <c r="AR53">
        <f>IFERROR(VLOOKUP($B53,PirteiKisuiBeMutzar_procerur!$C$6:$AA$100,6,FALSE),0)</f>
        <v>0</v>
      </c>
      <c r="AS53">
        <f>IFERROR(VLOOKUP($B53,PirteiKisuiBeMutzar_procerur!$C$6:$AA$100,7,FALSE),0)</f>
        <v>0</v>
      </c>
      <c r="AW53">
        <f t="shared" si="8"/>
        <v>0</v>
      </c>
      <c r="AX53">
        <f t="shared" si="9"/>
        <v>0</v>
      </c>
      <c r="AY53">
        <f t="shared" si="10"/>
        <v>0</v>
      </c>
      <c r="AZ53">
        <f t="shared" si="11"/>
        <v>0</v>
      </c>
      <c r="BA53">
        <f t="shared" si="12"/>
        <v>0</v>
      </c>
      <c r="BB53">
        <f t="shared" si="13"/>
        <v>0</v>
      </c>
      <c r="BC53">
        <f t="shared" si="14"/>
        <v>0</v>
      </c>
      <c r="BD53">
        <f t="shared" si="15"/>
        <v>0</v>
      </c>
      <c r="BE53">
        <f t="shared" si="16"/>
        <v>0</v>
      </c>
      <c r="BF53">
        <f t="shared" si="49"/>
        <v>0</v>
      </c>
      <c r="BG53">
        <f t="shared" si="17"/>
        <v>0</v>
      </c>
      <c r="BH53">
        <f t="shared" si="18"/>
        <v>0</v>
      </c>
      <c r="BI53">
        <f t="shared" si="19"/>
        <v>0</v>
      </c>
      <c r="BK53">
        <f t="shared" si="20"/>
        <v>0</v>
      </c>
      <c r="BL53">
        <f t="shared" si="21"/>
        <v>0</v>
      </c>
      <c r="BM53">
        <f t="shared" si="22"/>
        <v>0</v>
      </c>
      <c r="BN53">
        <f t="shared" si="23"/>
        <v>0</v>
      </c>
      <c r="BO53">
        <f t="shared" si="24"/>
        <v>0</v>
      </c>
      <c r="BR53">
        <f t="shared" si="25"/>
        <v>0</v>
      </c>
      <c r="BS53">
        <f t="shared" si="26"/>
        <v>0</v>
      </c>
      <c r="BT53">
        <f t="shared" si="27"/>
        <v>0</v>
      </c>
      <c r="BU53">
        <f t="shared" si="28"/>
        <v>0</v>
      </c>
      <c r="BV53">
        <f t="shared" si="29"/>
        <v>0</v>
      </c>
      <c r="BX53">
        <f t="shared" si="30"/>
        <v>0</v>
      </c>
      <c r="BY53">
        <f t="shared" si="31"/>
        <v>0</v>
      </c>
      <c r="BZ53">
        <f t="shared" si="32"/>
        <v>0</v>
      </c>
      <c r="CA53">
        <f t="shared" si="33"/>
        <v>0</v>
      </c>
      <c r="CB53">
        <f t="shared" si="34"/>
        <v>0</v>
      </c>
      <c r="CE53">
        <f t="shared" si="35"/>
        <v>0</v>
      </c>
      <c r="CF53">
        <f t="shared" si="36"/>
        <v>0</v>
      </c>
      <c r="CG53">
        <f t="shared" si="37"/>
        <v>0</v>
      </c>
      <c r="CH53">
        <f t="shared" si="38"/>
        <v>0</v>
      </c>
      <c r="CI53">
        <f t="shared" si="39"/>
        <v>0</v>
      </c>
      <c r="CL53">
        <f t="shared" si="40"/>
        <v>0</v>
      </c>
      <c r="CM53">
        <f t="shared" si="41"/>
        <v>0</v>
      </c>
      <c r="CN53">
        <f t="shared" si="42"/>
        <v>0</v>
      </c>
      <c r="CO53">
        <f t="shared" si="43"/>
        <v>0</v>
      </c>
      <c r="CP53">
        <f t="shared" si="44"/>
        <v>0</v>
      </c>
      <c r="CQ53">
        <f>IFERROR(VLOOKUP($B53,SchumeiBituahYesodi!$C$6:$AA$100,8,FALSE),0)</f>
        <v>0</v>
      </c>
      <c r="CR53">
        <f>IFERROR(VLOOKUP($B53,PirteiKisuiBeMutzar_procerur!$C$6:$AA$100,2,FALSE),0)</f>
        <v>0</v>
      </c>
      <c r="CS53">
        <f>IFERROR(VLOOKUP($B53,PirteiKisuiBeMutzar_procerur!$C$6:$AA$100,3,FALSE),0)</f>
        <v>0</v>
      </c>
      <c r="CT53">
        <f>IFERROR(VLOOKUP($B53,PirteiKisuiBeMutzar_procerur!$C$6:$AA$100,4,FALSE),0)</f>
        <v>0</v>
      </c>
      <c r="CU53">
        <f>IFERROR(VLOOKUP($B53,PirteiKisuiBeMutzar_procerur!$C$6:$AA$100,5,FALSE),0)</f>
        <v>0</v>
      </c>
      <c r="CV53">
        <f>IFERROR(VLOOKUP($B53,PirteiKisuiBeMutzar_procerur!$C$6:$AA$100,6,FALSE),0)</f>
        <v>0</v>
      </c>
      <c r="CW53">
        <f>IFERROR(VLOOKUP($B53,PirteiKisuiBeMutzar_procerur!$C$6:$AA$100,7,FALSE),0)</f>
        <v>0</v>
      </c>
      <c r="CX53">
        <f>IFERROR(VLOOKUP($B53,PirteiKisuiBeMutzar_procerur!$C$6:$AA$100,8,FALSE),0)</f>
        <v>0</v>
      </c>
      <c r="CY53">
        <f>IFERROR(VLOOKUP($B53,PirteiKisuiBeMutzar_procerur!$C$6:$AA$100,9,FALSE),0)</f>
        <v>0</v>
      </c>
      <c r="CZ53">
        <f>IFERROR(VLOOKUP($B53,PirteiKisuiBeMutzar_procerur!$C$6:$AA$100,10,FALSE),0)</f>
        <v>0</v>
      </c>
      <c r="DA53">
        <f>IFERROR(VLOOKUP($B53,PirteiKisuiBeMutzar_procerur!$C$6:$AA$100,11,FALSE),0)</f>
        <v>0</v>
      </c>
      <c r="DB53">
        <f>IFERROR(VLOOKUP($B53,PirteiKisuiBeMutzarPrmia!$C$6:$AA$100,2,FALSE),0)</f>
        <v>0</v>
      </c>
      <c r="DC53">
        <f>IFERROR(VLOOKUP($B53,PirteiKisuiBeMutzarPrmia!$C$6:$AA$100,3,FALSE),0)</f>
        <v>0</v>
      </c>
      <c r="DD53">
        <f>IFERROR(VLOOKUP($B53,PirteiKisuiBeMutzarPrmia!$C$6:$AA$100,4,FALSE),0)</f>
        <v>0</v>
      </c>
      <c r="DE53">
        <f>IFERROR(VLOOKUP($B53,PirteiKisuiBeMutzarPrmia!$C$6:$AA$100,5,FALSE),0)</f>
        <v>0</v>
      </c>
      <c r="DF53">
        <f>IFERROR(VLOOKUP($B53,PirteiKisuiBeMutzarPrmia!$C$6:$AA$100,6,FALSE),0)</f>
        <v>0</v>
      </c>
      <c r="DG53">
        <f>IFERROR(VLOOKUP($B53,PirteiKisuiBeMutzarPrmia!$C$6:$AA$100,7,FALSE),0)</f>
        <v>0</v>
      </c>
      <c r="DH53">
        <f>IFERROR(VLOOKUP($B53,PirteiKisuiBeMutzarPrmia!$C$6:$AA$100,8,FALSE),0)</f>
        <v>0</v>
      </c>
      <c r="DI53">
        <f>IFERROR(VLOOKUP($B53,PirteiKisuiBeMutzarPrmia!$C$6:$AA$100,9,FALSE),0)</f>
        <v>0</v>
      </c>
      <c r="DJ53">
        <f>IFERROR(VLOOKUP($B53,PirteiKisuiBeMutzarPrmia!$C$6:$AA$100,10,FALSE),0)</f>
        <v>0</v>
      </c>
      <c r="DK53">
        <f>IFERROR(VLOOKUP($B53,PirteiKisuiBeMutzarPrmia!$C$6:$AA$100,11,FALSE),0)</f>
        <v>0</v>
      </c>
      <c r="DL53">
        <f t="shared" si="51"/>
        <v>0</v>
      </c>
      <c r="DM53">
        <f t="shared" si="45"/>
        <v>0</v>
      </c>
      <c r="DN53">
        <f t="shared" si="46"/>
        <v>0</v>
      </c>
      <c r="DO53">
        <f t="shared" si="52"/>
        <v>0</v>
      </c>
      <c r="DP53">
        <f t="shared" si="50"/>
        <v>0</v>
      </c>
      <c r="DQ53">
        <f>IF(OR(L53=1,L53=3),IFERROR(VLOOKUP($B53,PerutHafkadotMetchilatShanaAvgM!$C$6:$G$100,3,FALSE),0),0)</f>
        <v>0</v>
      </c>
      <c r="DR53">
        <f>IF(OR(L53=2,L53=4),IFERROR(VLOOKUP($B53,PerutHafkadotMetchilatShanaAvgM!$C$6:$G$100,3,FALSE),0),0)</f>
        <v>0</v>
      </c>
      <c r="DS53">
        <f>IFERROR(VLOOKUP($B53,PerutHafkadotMetchilatShanaAvgM!$C$6:$G$100,4,FALSE),0)</f>
        <v>0</v>
      </c>
      <c r="DT53">
        <f>IFERROR(VLOOKUP($B53,Kupa!$D$6:$AA$100,5,FALSE),0)</f>
        <v>0</v>
      </c>
      <c r="DU53">
        <f>IFERROR(VLOOKUP($B53,Kupa!$D$6:$AA$100,6,FALSE),0)</f>
        <v>0</v>
      </c>
      <c r="DV53">
        <f>IFERROR(VLOOKUP($B53,KisuiBKerenPensiaDBWithParams!$D$6:$AP$100,9,FALSE),0)</f>
        <v>0</v>
      </c>
      <c r="DW53">
        <f>IFERROR(VLOOKUP($B53,KisuiBKerenPensiaDBWithParams!$D$6:$AP$100,12,FALSE),0)</f>
        <v>0</v>
      </c>
      <c r="DX53">
        <f>IFERROR(VLOOKUP($B53,KisuiBKerenPensiaDBWithParams!$D$6:$AP$100,13,FALSE),0)</f>
        <v>0</v>
      </c>
      <c r="DY53">
        <f>IFERROR(VLOOKUP($B53,KisuiBKerenPensiaDBWithParams!$D$6:$AP$100,7,FALSE),0)</f>
        <v>0</v>
      </c>
      <c r="DZ53">
        <f>IFERROR(VLOOKUP($B53,KisuiBKerenPensiaDBWithParams!$D$6:$AP$100,17,FALSE),0)</f>
        <v>0</v>
      </c>
      <c r="EA53">
        <f>IFERROR(VLOOKUP($B53,KisuiBKerenPensiaDBWithParams!$D$6:$AP$100,20,FALSE),0)</f>
        <v>0</v>
      </c>
      <c r="EB53">
        <f>IFERROR(VLOOKUP($B53,KisuiBKerenPensiaDBWithParams!$D$6:$AP$100,21,FALSE),0)</f>
        <v>0</v>
      </c>
      <c r="EC53">
        <f t="shared" si="47"/>
        <v>0</v>
      </c>
      <c r="EG53">
        <f>IF(OR(G53=MyData!$J$50,G53=MyData!$J$51,G53=MyData!$J$52),1,IF(G53=MyData!$J$49,2,0))</f>
        <v>0</v>
      </c>
    </row>
    <row r="54" spans="1:137">
      <c r="A54">
        <f t="shared" si="48"/>
        <v>0</v>
      </c>
      <c r="B54" s="20">
        <f>RicusPolice!E51</f>
        <v>0</v>
      </c>
      <c r="C54" s="20">
        <f>RicusPolice!AL51</f>
        <v>0</v>
      </c>
      <c r="D54" s="20">
        <f>RicusPolice!F51</f>
        <v>0</v>
      </c>
      <c r="E54" s="20">
        <f>RicusPolice!R51</f>
        <v>0</v>
      </c>
      <c r="F54" s="20">
        <f>RicusPolice!N51</f>
        <v>0</v>
      </c>
      <c r="G54" s="20">
        <f>IFERROR(VLOOKUP($B54,PerutYitrot!$D$6:$P$100,4,FALSE),0)</f>
        <v>0</v>
      </c>
      <c r="H54" s="20">
        <f t="shared" si="4"/>
        <v>0</v>
      </c>
      <c r="I54" s="20">
        <f>RicusPolice!L51</f>
        <v>0</v>
      </c>
      <c r="J54" s="179">
        <f>IFERROR(VLOOKUP(TRIM(K54),MyData!$J$43:$K$49,2,FALSE),0)</f>
        <v>0</v>
      </c>
      <c r="K54" s="20">
        <f>RicusPolice!M51</f>
        <v>0</v>
      </c>
      <c r="L54" s="20">
        <f>RicusPolice!AM51</f>
        <v>0</v>
      </c>
      <c r="M54" s="20" t="str">
        <f>IF(B54&gt;0,RicusPolice!Y51," ")</f>
        <v xml:space="preserve"> </v>
      </c>
      <c r="N54" s="20" t="str">
        <f t="shared" si="5"/>
        <v/>
      </c>
      <c r="O54" s="20">
        <f>RicusPolice!N51</f>
        <v>0</v>
      </c>
      <c r="P54" s="20">
        <f>IFERROR(VLOOKUP(B54,PerutMasluleiHashkaa!$D$6:$R$100,4,FALSE),0)</f>
        <v>0</v>
      </c>
      <c r="Q54" s="19"/>
      <c r="R54" s="20">
        <f>RicusPolice!P51</f>
        <v>0</v>
      </c>
      <c r="S54" s="20"/>
      <c r="T54" s="21">
        <f>'נתונים ידניים'!H54</f>
        <v>0</v>
      </c>
      <c r="U54" s="21"/>
      <c r="V54" s="20">
        <f>PerutHafrashotLePolisa!E51</f>
        <v>0</v>
      </c>
      <c r="W54" s="20">
        <f>PerutHafrashotLePolisa!F51</f>
        <v>0</v>
      </c>
      <c r="X54" s="20">
        <f>PerutHafrashotLePolisa!G51</f>
        <v>0</v>
      </c>
      <c r="Y54">
        <f t="shared" si="6"/>
        <v>0</v>
      </c>
      <c r="Z54">
        <f>IFERROR(VLOOKUP(B54,PirteiHaasaka!$D$6:$R$100,5,FALSE),0)</f>
        <v>0</v>
      </c>
      <c r="AB54">
        <f>IFERROR(VLOOKUP(B54,HafkadotMetchilatShanaAverages!$D$6:$E$100,2,FALSE),0)</f>
        <v>0</v>
      </c>
      <c r="AF54">
        <f>IFERROR(VLOOKUP(B54,CrossTabYitraLeTkufa_till_2000!$D$6:$AB$100,6,FALSE),0)+IFERROR(VLOOKUP(B54,CrossTabYitraLeTkufa_after_2000!$D$6:$AB$100,6,FALSE),0)</f>
        <v>0</v>
      </c>
      <c r="AG54">
        <f>IFERROR(VLOOKUP(B54,CrossTabYitraLeTkufa_till_2000!$D$6:$AB$100,16,FALSE),0)</f>
        <v>0</v>
      </c>
      <c r="AH54">
        <f>IFERROR(VLOOKUP(B54,CrossTabYitraLeTkufa_after_2000!$D$6:$AB$100,16,FALSE),0)</f>
        <v>0</v>
      </c>
      <c r="AI54">
        <f>IFERROR(VLOOKUP(B54,CrossTabYitraLeTkufa_till_2000!$D$6:$AB$100,17,FALSE),0)</f>
        <v>0</v>
      </c>
      <c r="AJ54">
        <f>IFERROR(VLOOKUP(B54,CrossTabYitraLeTkufa_after_2000!$D$6:$AB$100,17,FALSE),0)</f>
        <v>0</v>
      </c>
      <c r="AK54" s="5">
        <f t="shared" si="7"/>
        <v>0</v>
      </c>
      <c r="AN54">
        <f>IFERROR(VLOOKUP(B54,PirteiKisuiBeMutzar_procerur!$C$6:$AA$100,2,FALSE),0)</f>
        <v>0</v>
      </c>
      <c r="AP54">
        <f>IFERROR(VLOOKUP($B54,PirteiKisuiBeMutzar_procerur!$C$6:$AA$100,5,FALSE),0)</f>
        <v>0</v>
      </c>
      <c r="AQ54">
        <f>IFERROR(VLOOKUP($B54,PirteiKisuiBeMutzar_procerur!$C$6:$AA$100,3,FALSE),0)</f>
        <v>0</v>
      </c>
      <c r="AR54">
        <f>IFERROR(VLOOKUP($B54,PirteiKisuiBeMutzar_procerur!$C$6:$AA$100,6,FALSE),0)</f>
        <v>0</v>
      </c>
      <c r="AS54">
        <f>IFERROR(VLOOKUP($B54,PirteiKisuiBeMutzar_procerur!$C$6:$AA$100,7,FALSE),0)</f>
        <v>0</v>
      </c>
      <c r="AW54">
        <f t="shared" si="8"/>
        <v>0</v>
      </c>
      <c r="AX54">
        <f t="shared" si="9"/>
        <v>0</v>
      </c>
      <c r="AY54">
        <f t="shared" si="10"/>
        <v>0</v>
      </c>
      <c r="AZ54">
        <f t="shared" si="11"/>
        <v>0</v>
      </c>
      <c r="BA54">
        <f t="shared" si="12"/>
        <v>0</v>
      </c>
      <c r="BB54">
        <f t="shared" si="13"/>
        <v>0</v>
      </c>
      <c r="BC54">
        <f t="shared" si="14"/>
        <v>0</v>
      </c>
      <c r="BD54">
        <f t="shared" si="15"/>
        <v>0</v>
      </c>
      <c r="BE54">
        <f t="shared" si="16"/>
        <v>0</v>
      </c>
      <c r="BF54">
        <f t="shared" si="49"/>
        <v>0</v>
      </c>
      <c r="BG54">
        <f t="shared" si="17"/>
        <v>0</v>
      </c>
      <c r="BH54">
        <f t="shared" si="18"/>
        <v>0</v>
      </c>
      <c r="BI54">
        <f t="shared" si="19"/>
        <v>0</v>
      </c>
      <c r="BK54">
        <f t="shared" si="20"/>
        <v>0</v>
      </c>
      <c r="BL54">
        <f t="shared" si="21"/>
        <v>0</v>
      </c>
      <c r="BM54">
        <f t="shared" si="22"/>
        <v>0</v>
      </c>
      <c r="BN54">
        <f t="shared" si="23"/>
        <v>0</v>
      </c>
      <c r="BO54">
        <f t="shared" si="24"/>
        <v>0</v>
      </c>
      <c r="BR54">
        <f t="shared" si="25"/>
        <v>0</v>
      </c>
      <c r="BS54">
        <f t="shared" si="26"/>
        <v>0</v>
      </c>
      <c r="BT54">
        <f t="shared" si="27"/>
        <v>0</v>
      </c>
      <c r="BU54">
        <f t="shared" si="28"/>
        <v>0</v>
      </c>
      <c r="BV54">
        <f t="shared" si="29"/>
        <v>0</v>
      </c>
      <c r="BX54">
        <f t="shared" si="30"/>
        <v>0</v>
      </c>
      <c r="BY54">
        <f t="shared" si="31"/>
        <v>0</v>
      </c>
      <c r="BZ54">
        <f t="shared" si="32"/>
        <v>0</v>
      </c>
      <c r="CA54">
        <f t="shared" si="33"/>
        <v>0</v>
      </c>
      <c r="CB54">
        <f t="shared" si="34"/>
        <v>0</v>
      </c>
      <c r="CE54">
        <f t="shared" si="35"/>
        <v>0</v>
      </c>
      <c r="CF54">
        <f t="shared" si="36"/>
        <v>0</v>
      </c>
      <c r="CG54">
        <f t="shared" si="37"/>
        <v>0</v>
      </c>
      <c r="CH54">
        <f t="shared" si="38"/>
        <v>0</v>
      </c>
      <c r="CI54">
        <f t="shared" si="39"/>
        <v>0</v>
      </c>
      <c r="CL54">
        <f t="shared" si="40"/>
        <v>0</v>
      </c>
      <c r="CM54">
        <f t="shared" si="41"/>
        <v>0</v>
      </c>
      <c r="CN54">
        <f t="shared" si="42"/>
        <v>0</v>
      </c>
      <c r="CO54">
        <f t="shared" si="43"/>
        <v>0</v>
      </c>
      <c r="CP54">
        <f t="shared" si="44"/>
        <v>0</v>
      </c>
      <c r="CQ54">
        <f>IFERROR(VLOOKUP($B54,SchumeiBituahYesodi!$C$6:$AA$100,8,FALSE),0)</f>
        <v>0</v>
      </c>
      <c r="CR54">
        <f>IFERROR(VLOOKUP($B54,PirteiKisuiBeMutzar_procerur!$C$6:$AA$100,2,FALSE),0)</f>
        <v>0</v>
      </c>
      <c r="CS54">
        <f>IFERROR(VLOOKUP($B54,PirteiKisuiBeMutzar_procerur!$C$6:$AA$100,3,FALSE),0)</f>
        <v>0</v>
      </c>
      <c r="CT54">
        <f>IFERROR(VLOOKUP($B54,PirteiKisuiBeMutzar_procerur!$C$6:$AA$100,4,FALSE),0)</f>
        <v>0</v>
      </c>
      <c r="CU54">
        <f>IFERROR(VLOOKUP($B54,PirteiKisuiBeMutzar_procerur!$C$6:$AA$100,5,FALSE),0)</f>
        <v>0</v>
      </c>
      <c r="CV54">
        <f>IFERROR(VLOOKUP($B54,PirteiKisuiBeMutzar_procerur!$C$6:$AA$100,6,FALSE),0)</f>
        <v>0</v>
      </c>
      <c r="CW54">
        <f>IFERROR(VLOOKUP($B54,PirteiKisuiBeMutzar_procerur!$C$6:$AA$100,7,FALSE),0)</f>
        <v>0</v>
      </c>
      <c r="CX54">
        <f>IFERROR(VLOOKUP($B54,PirteiKisuiBeMutzar_procerur!$C$6:$AA$100,8,FALSE),0)</f>
        <v>0</v>
      </c>
      <c r="CY54">
        <f>IFERROR(VLOOKUP($B54,PirteiKisuiBeMutzar_procerur!$C$6:$AA$100,9,FALSE),0)</f>
        <v>0</v>
      </c>
      <c r="CZ54">
        <f>IFERROR(VLOOKUP($B54,PirteiKisuiBeMutzar_procerur!$C$6:$AA$100,10,FALSE),0)</f>
        <v>0</v>
      </c>
      <c r="DA54">
        <f>IFERROR(VLOOKUP($B54,PirteiKisuiBeMutzar_procerur!$C$6:$AA$100,11,FALSE),0)</f>
        <v>0</v>
      </c>
      <c r="DB54">
        <f>IFERROR(VLOOKUP($B54,PirteiKisuiBeMutzarPrmia!$C$6:$AA$100,2,FALSE),0)</f>
        <v>0</v>
      </c>
      <c r="DC54">
        <f>IFERROR(VLOOKUP($B54,PirteiKisuiBeMutzarPrmia!$C$6:$AA$100,3,FALSE),0)</f>
        <v>0</v>
      </c>
      <c r="DD54">
        <f>IFERROR(VLOOKUP($B54,PirteiKisuiBeMutzarPrmia!$C$6:$AA$100,4,FALSE),0)</f>
        <v>0</v>
      </c>
      <c r="DE54">
        <f>IFERROR(VLOOKUP($B54,PirteiKisuiBeMutzarPrmia!$C$6:$AA$100,5,FALSE),0)</f>
        <v>0</v>
      </c>
      <c r="DF54">
        <f>IFERROR(VLOOKUP($B54,PirteiKisuiBeMutzarPrmia!$C$6:$AA$100,6,FALSE),0)</f>
        <v>0</v>
      </c>
      <c r="DG54">
        <f>IFERROR(VLOOKUP($B54,PirteiKisuiBeMutzarPrmia!$C$6:$AA$100,7,FALSE),0)</f>
        <v>0</v>
      </c>
      <c r="DH54">
        <f>IFERROR(VLOOKUP($B54,PirteiKisuiBeMutzarPrmia!$C$6:$AA$100,8,FALSE),0)</f>
        <v>0</v>
      </c>
      <c r="DI54">
        <f>IFERROR(VLOOKUP($B54,PirteiKisuiBeMutzarPrmia!$C$6:$AA$100,9,FALSE),0)</f>
        <v>0</v>
      </c>
      <c r="DJ54">
        <f>IFERROR(VLOOKUP($B54,PirteiKisuiBeMutzarPrmia!$C$6:$AA$100,10,FALSE),0)</f>
        <v>0</v>
      </c>
      <c r="DK54">
        <f>IFERROR(VLOOKUP($B54,PirteiKisuiBeMutzarPrmia!$C$6:$AA$100,11,FALSE),0)</f>
        <v>0</v>
      </c>
      <c r="DL54">
        <f t="shared" si="51"/>
        <v>0</v>
      </c>
      <c r="DM54">
        <f t="shared" si="45"/>
        <v>0</v>
      </c>
      <c r="DN54">
        <f t="shared" si="46"/>
        <v>0</v>
      </c>
      <c r="DO54">
        <f t="shared" si="52"/>
        <v>0</v>
      </c>
      <c r="DP54">
        <f t="shared" si="50"/>
        <v>0</v>
      </c>
      <c r="DQ54">
        <f>IF(OR(L54=1,L54=3),IFERROR(VLOOKUP($B54,PerutHafkadotMetchilatShanaAvgM!$C$6:$G$100,3,FALSE),0),0)</f>
        <v>0</v>
      </c>
      <c r="DR54">
        <f>IF(OR(L54=2,L54=4),IFERROR(VLOOKUP($B54,PerutHafkadotMetchilatShanaAvgM!$C$6:$G$100,3,FALSE),0),0)</f>
        <v>0</v>
      </c>
      <c r="DS54">
        <f>IFERROR(VLOOKUP($B54,PerutHafkadotMetchilatShanaAvgM!$C$6:$G$100,4,FALSE),0)</f>
        <v>0</v>
      </c>
      <c r="DT54">
        <f>IFERROR(VLOOKUP($B54,Kupa!$D$6:$AA$100,5,FALSE),0)</f>
        <v>0</v>
      </c>
      <c r="DU54">
        <f>IFERROR(VLOOKUP($B54,Kupa!$D$6:$AA$100,6,FALSE),0)</f>
        <v>0</v>
      </c>
      <c r="DV54">
        <f>IFERROR(VLOOKUP($B54,KisuiBKerenPensiaDBWithParams!$D$6:$AP$100,9,FALSE),0)</f>
        <v>0</v>
      </c>
      <c r="DW54">
        <f>IFERROR(VLOOKUP($B54,KisuiBKerenPensiaDBWithParams!$D$6:$AP$100,12,FALSE),0)</f>
        <v>0</v>
      </c>
      <c r="DX54">
        <f>IFERROR(VLOOKUP($B54,KisuiBKerenPensiaDBWithParams!$D$6:$AP$100,13,FALSE),0)</f>
        <v>0</v>
      </c>
      <c r="DY54">
        <f>IFERROR(VLOOKUP($B54,KisuiBKerenPensiaDBWithParams!$D$6:$AP$100,7,FALSE),0)</f>
        <v>0</v>
      </c>
      <c r="DZ54">
        <f>IFERROR(VLOOKUP($B54,KisuiBKerenPensiaDBWithParams!$D$6:$AP$100,17,FALSE),0)</f>
        <v>0</v>
      </c>
      <c r="EA54">
        <f>IFERROR(VLOOKUP($B54,KisuiBKerenPensiaDBWithParams!$D$6:$AP$100,20,FALSE),0)</f>
        <v>0</v>
      </c>
      <c r="EB54">
        <f>IFERROR(VLOOKUP($B54,KisuiBKerenPensiaDBWithParams!$D$6:$AP$100,21,FALSE),0)</f>
        <v>0</v>
      </c>
      <c r="EC54">
        <f t="shared" si="47"/>
        <v>0</v>
      </c>
      <c r="EG54">
        <f>IF(OR(G54=MyData!$J$50,G54=MyData!$J$51,G54=MyData!$J$52),1,IF(G54=MyData!$J$49,2,0))</f>
        <v>0</v>
      </c>
    </row>
    <row r="55" spans="1:137">
      <c r="A55">
        <f t="shared" si="48"/>
        <v>0</v>
      </c>
      <c r="B55" s="20">
        <f>RicusPolice!E52</f>
        <v>0</v>
      </c>
      <c r="C55" s="20">
        <f>RicusPolice!AL52</f>
        <v>0</v>
      </c>
      <c r="D55" s="20">
        <f>RicusPolice!F52</f>
        <v>0</v>
      </c>
      <c r="E55" s="20">
        <f>RicusPolice!R52</f>
        <v>0</v>
      </c>
      <c r="F55" s="20">
        <f>RicusPolice!N52</f>
        <v>0</v>
      </c>
      <c r="G55" s="20">
        <f>IFERROR(VLOOKUP($B55,PerutYitrot!$D$6:$P$100,4,FALSE),0)</f>
        <v>0</v>
      </c>
      <c r="H55" s="20">
        <f t="shared" si="4"/>
        <v>0</v>
      </c>
      <c r="I55" s="20">
        <f>RicusPolice!L52</f>
        <v>0</v>
      </c>
      <c r="J55" s="179">
        <f>IFERROR(VLOOKUP(TRIM(K55),MyData!$J$43:$K$49,2,FALSE),0)</f>
        <v>0</v>
      </c>
      <c r="K55" s="20">
        <f>RicusPolice!M52</f>
        <v>0</v>
      </c>
      <c r="L55" s="20">
        <f>RicusPolice!AM52</f>
        <v>0</v>
      </c>
      <c r="M55" s="20" t="str">
        <f>IF(B55&gt;0,RicusPolice!Y52," ")</f>
        <v xml:space="preserve"> </v>
      </c>
      <c r="N55" s="20" t="str">
        <f t="shared" si="5"/>
        <v/>
      </c>
      <c r="O55" s="20">
        <f>RicusPolice!N52</f>
        <v>0</v>
      </c>
      <c r="P55" s="20">
        <f>IFERROR(VLOOKUP(B55,PerutMasluleiHashkaa!$D$6:$R$100,4,FALSE),0)</f>
        <v>0</v>
      </c>
      <c r="Q55" s="19"/>
      <c r="R55" s="20">
        <f>RicusPolice!P52</f>
        <v>0</v>
      </c>
      <c r="S55" s="20"/>
      <c r="T55" s="21">
        <f>'נתונים ידניים'!H55</f>
        <v>0</v>
      </c>
      <c r="U55" s="21"/>
      <c r="V55" s="20">
        <f>PerutHafrashotLePolisa!E52</f>
        <v>0</v>
      </c>
      <c r="W55" s="20">
        <f>PerutHafrashotLePolisa!F52</f>
        <v>0</v>
      </c>
      <c r="X55" s="20">
        <f>PerutHafrashotLePolisa!G52</f>
        <v>0</v>
      </c>
      <c r="Y55">
        <f t="shared" si="6"/>
        <v>0</v>
      </c>
      <c r="Z55">
        <f>IFERROR(VLOOKUP(B55,PirteiHaasaka!$D$6:$R$100,5,FALSE),0)</f>
        <v>0</v>
      </c>
      <c r="AB55">
        <f>IFERROR(VLOOKUP(B55,HafkadotMetchilatShanaAverages!$D$6:$E$100,2,FALSE),0)</f>
        <v>0</v>
      </c>
      <c r="AF55">
        <f>IFERROR(VLOOKUP(B55,CrossTabYitraLeTkufa_till_2000!$D$6:$AB$100,6,FALSE),0)+IFERROR(VLOOKUP(B55,CrossTabYitraLeTkufa_after_2000!$D$6:$AB$100,6,FALSE),0)</f>
        <v>0</v>
      </c>
      <c r="AG55">
        <f>IFERROR(VLOOKUP(B55,CrossTabYitraLeTkufa_till_2000!$D$6:$AB$100,16,FALSE),0)</f>
        <v>0</v>
      </c>
      <c r="AH55">
        <f>IFERROR(VLOOKUP(B55,CrossTabYitraLeTkufa_after_2000!$D$6:$AB$100,16,FALSE),0)</f>
        <v>0</v>
      </c>
      <c r="AI55">
        <f>IFERROR(VLOOKUP(B55,CrossTabYitraLeTkufa_till_2000!$D$6:$AB$100,17,FALSE),0)</f>
        <v>0</v>
      </c>
      <c r="AJ55">
        <f>IFERROR(VLOOKUP(B55,CrossTabYitraLeTkufa_after_2000!$D$6:$AB$100,17,FALSE),0)</f>
        <v>0</v>
      </c>
      <c r="AK55" s="5">
        <f t="shared" si="7"/>
        <v>0</v>
      </c>
      <c r="AN55">
        <f>IFERROR(VLOOKUP(B55,PirteiKisuiBeMutzar_procerur!$C$6:$AA$100,2,FALSE),0)</f>
        <v>0</v>
      </c>
      <c r="AP55">
        <f>IFERROR(VLOOKUP($B55,PirteiKisuiBeMutzar_procerur!$C$6:$AA$100,5,FALSE),0)</f>
        <v>0</v>
      </c>
      <c r="AQ55">
        <f>IFERROR(VLOOKUP($B55,PirteiKisuiBeMutzar_procerur!$C$6:$AA$100,3,FALSE),0)</f>
        <v>0</v>
      </c>
      <c r="AR55">
        <f>IFERROR(VLOOKUP($B55,PirteiKisuiBeMutzar_procerur!$C$6:$AA$100,6,FALSE),0)</f>
        <v>0</v>
      </c>
      <c r="AS55">
        <f>IFERROR(VLOOKUP($B55,PirteiKisuiBeMutzar_procerur!$C$6:$AA$100,7,FALSE),0)</f>
        <v>0</v>
      </c>
      <c r="AW55">
        <f t="shared" si="8"/>
        <v>0</v>
      </c>
      <c r="AX55">
        <f t="shared" si="9"/>
        <v>0</v>
      </c>
      <c r="AY55">
        <f t="shared" si="10"/>
        <v>0</v>
      </c>
      <c r="AZ55">
        <f t="shared" si="11"/>
        <v>0</v>
      </c>
      <c r="BA55">
        <f t="shared" si="12"/>
        <v>0</v>
      </c>
      <c r="BB55">
        <f t="shared" si="13"/>
        <v>0</v>
      </c>
      <c r="BC55">
        <f t="shared" si="14"/>
        <v>0</v>
      </c>
      <c r="BD55">
        <f t="shared" si="15"/>
        <v>0</v>
      </c>
      <c r="BE55">
        <f t="shared" si="16"/>
        <v>0</v>
      </c>
      <c r="BF55">
        <f t="shared" si="49"/>
        <v>0</v>
      </c>
      <c r="BG55">
        <f t="shared" si="17"/>
        <v>0</v>
      </c>
      <c r="BH55">
        <f t="shared" si="18"/>
        <v>0</v>
      </c>
      <c r="BI55">
        <f t="shared" si="19"/>
        <v>0</v>
      </c>
      <c r="BK55">
        <f t="shared" si="20"/>
        <v>0</v>
      </c>
      <c r="BL55">
        <f t="shared" si="21"/>
        <v>0</v>
      </c>
      <c r="BM55">
        <f t="shared" si="22"/>
        <v>0</v>
      </c>
      <c r="BN55">
        <f t="shared" si="23"/>
        <v>0</v>
      </c>
      <c r="BO55">
        <f t="shared" si="24"/>
        <v>0</v>
      </c>
      <c r="BR55">
        <f t="shared" si="25"/>
        <v>0</v>
      </c>
      <c r="BS55">
        <f t="shared" si="26"/>
        <v>0</v>
      </c>
      <c r="BT55">
        <f t="shared" si="27"/>
        <v>0</v>
      </c>
      <c r="BU55">
        <f t="shared" si="28"/>
        <v>0</v>
      </c>
      <c r="BV55">
        <f t="shared" si="29"/>
        <v>0</v>
      </c>
      <c r="BX55">
        <f t="shared" si="30"/>
        <v>0</v>
      </c>
      <c r="BY55">
        <f t="shared" si="31"/>
        <v>0</v>
      </c>
      <c r="BZ55">
        <f t="shared" si="32"/>
        <v>0</v>
      </c>
      <c r="CA55">
        <f t="shared" si="33"/>
        <v>0</v>
      </c>
      <c r="CB55">
        <f t="shared" si="34"/>
        <v>0</v>
      </c>
      <c r="CE55">
        <f t="shared" si="35"/>
        <v>0</v>
      </c>
      <c r="CF55">
        <f t="shared" si="36"/>
        <v>0</v>
      </c>
      <c r="CG55">
        <f t="shared" si="37"/>
        <v>0</v>
      </c>
      <c r="CH55">
        <f t="shared" si="38"/>
        <v>0</v>
      </c>
      <c r="CI55">
        <f t="shared" si="39"/>
        <v>0</v>
      </c>
      <c r="CL55">
        <f t="shared" si="40"/>
        <v>0</v>
      </c>
      <c r="CM55">
        <f t="shared" si="41"/>
        <v>0</v>
      </c>
      <c r="CN55">
        <f t="shared" si="42"/>
        <v>0</v>
      </c>
      <c r="CO55">
        <f t="shared" si="43"/>
        <v>0</v>
      </c>
      <c r="CP55">
        <f t="shared" si="44"/>
        <v>0</v>
      </c>
      <c r="CQ55">
        <f>IFERROR(VLOOKUP($B55,SchumeiBituahYesodi!$C$6:$AA$100,8,FALSE),0)</f>
        <v>0</v>
      </c>
      <c r="CR55">
        <f>IFERROR(VLOOKUP($B55,PirteiKisuiBeMutzar_procerur!$C$6:$AA$100,2,FALSE),0)</f>
        <v>0</v>
      </c>
      <c r="CS55">
        <f>IFERROR(VLOOKUP($B55,PirteiKisuiBeMutzar_procerur!$C$6:$AA$100,3,FALSE),0)</f>
        <v>0</v>
      </c>
      <c r="CT55">
        <f>IFERROR(VLOOKUP($B55,PirteiKisuiBeMutzar_procerur!$C$6:$AA$100,4,FALSE),0)</f>
        <v>0</v>
      </c>
      <c r="CU55">
        <f>IFERROR(VLOOKUP($B55,PirteiKisuiBeMutzar_procerur!$C$6:$AA$100,5,FALSE),0)</f>
        <v>0</v>
      </c>
      <c r="CV55">
        <f>IFERROR(VLOOKUP($B55,PirteiKisuiBeMutzar_procerur!$C$6:$AA$100,6,FALSE),0)</f>
        <v>0</v>
      </c>
      <c r="CW55">
        <f>IFERROR(VLOOKUP($B55,PirteiKisuiBeMutzar_procerur!$C$6:$AA$100,7,FALSE),0)</f>
        <v>0</v>
      </c>
      <c r="CX55">
        <f>IFERROR(VLOOKUP($B55,PirteiKisuiBeMutzar_procerur!$C$6:$AA$100,8,FALSE),0)</f>
        <v>0</v>
      </c>
      <c r="CY55">
        <f>IFERROR(VLOOKUP($B55,PirteiKisuiBeMutzar_procerur!$C$6:$AA$100,9,FALSE),0)</f>
        <v>0</v>
      </c>
      <c r="CZ55">
        <f>IFERROR(VLOOKUP($B55,PirteiKisuiBeMutzar_procerur!$C$6:$AA$100,10,FALSE),0)</f>
        <v>0</v>
      </c>
      <c r="DA55">
        <f>IFERROR(VLOOKUP($B55,PirteiKisuiBeMutzar_procerur!$C$6:$AA$100,11,FALSE),0)</f>
        <v>0</v>
      </c>
      <c r="DB55">
        <f>IFERROR(VLOOKUP($B55,PirteiKisuiBeMutzarPrmia!$C$6:$AA$100,2,FALSE),0)</f>
        <v>0</v>
      </c>
      <c r="DC55">
        <f>IFERROR(VLOOKUP($B55,PirteiKisuiBeMutzarPrmia!$C$6:$AA$100,3,FALSE),0)</f>
        <v>0</v>
      </c>
      <c r="DD55">
        <f>IFERROR(VLOOKUP($B55,PirteiKisuiBeMutzarPrmia!$C$6:$AA$100,4,FALSE),0)</f>
        <v>0</v>
      </c>
      <c r="DE55">
        <f>IFERROR(VLOOKUP($B55,PirteiKisuiBeMutzarPrmia!$C$6:$AA$100,5,FALSE),0)</f>
        <v>0</v>
      </c>
      <c r="DF55">
        <f>IFERROR(VLOOKUP($B55,PirteiKisuiBeMutzarPrmia!$C$6:$AA$100,6,FALSE),0)</f>
        <v>0</v>
      </c>
      <c r="DG55">
        <f>IFERROR(VLOOKUP($B55,PirteiKisuiBeMutzarPrmia!$C$6:$AA$100,7,FALSE),0)</f>
        <v>0</v>
      </c>
      <c r="DH55">
        <f>IFERROR(VLOOKUP($B55,PirteiKisuiBeMutzarPrmia!$C$6:$AA$100,8,FALSE),0)</f>
        <v>0</v>
      </c>
      <c r="DI55">
        <f>IFERROR(VLOOKUP($B55,PirteiKisuiBeMutzarPrmia!$C$6:$AA$100,9,FALSE),0)</f>
        <v>0</v>
      </c>
      <c r="DJ55">
        <f>IFERROR(VLOOKUP($B55,PirteiKisuiBeMutzarPrmia!$C$6:$AA$100,10,FALSE),0)</f>
        <v>0</v>
      </c>
      <c r="DK55">
        <f>IFERROR(VLOOKUP($B55,PirteiKisuiBeMutzarPrmia!$C$6:$AA$100,11,FALSE),0)</f>
        <v>0</v>
      </c>
      <c r="DL55">
        <f t="shared" si="51"/>
        <v>0</v>
      </c>
      <c r="DM55">
        <f t="shared" si="45"/>
        <v>0</v>
      </c>
      <c r="DN55">
        <f t="shared" si="46"/>
        <v>0</v>
      </c>
      <c r="DO55">
        <f t="shared" si="52"/>
        <v>0</v>
      </c>
      <c r="DP55">
        <f t="shared" si="50"/>
        <v>0</v>
      </c>
      <c r="DQ55">
        <f>IF(OR(L55=1,L55=3),IFERROR(VLOOKUP($B55,PerutHafkadotMetchilatShanaAvgM!$C$6:$G$100,3,FALSE),0),0)</f>
        <v>0</v>
      </c>
      <c r="DR55">
        <f>IF(OR(L55=2,L55=4),IFERROR(VLOOKUP($B55,PerutHafkadotMetchilatShanaAvgM!$C$6:$G$100,3,FALSE),0),0)</f>
        <v>0</v>
      </c>
      <c r="DS55">
        <f>IFERROR(VLOOKUP($B55,PerutHafkadotMetchilatShanaAvgM!$C$6:$G$100,4,FALSE),0)</f>
        <v>0</v>
      </c>
      <c r="DT55">
        <f>IFERROR(VLOOKUP($B55,Kupa!$D$6:$AA$100,5,FALSE),0)</f>
        <v>0</v>
      </c>
      <c r="DU55">
        <f>IFERROR(VLOOKUP($B55,Kupa!$D$6:$AA$100,6,FALSE),0)</f>
        <v>0</v>
      </c>
      <c r="DV55">
        <f>IFERROR(VLOOKUP($B55,KisuiBKerenPensiaDBWithParams!$D$6:$AP$100,9,FALSE),0)</f>
        <v>0</v>
      </c>
      <c r="DW55">
        <f>IFERROR(VLOOKUP($B55,KisuiBKerenPensiaDBWithParams!$D$6:$AP$100,12,FALSE),0)</f>
        <v>0</v>
      </c>
      <c r="DX55">
        <f>IFERROR(VLOOKUP($B55,KisuiBKerenPensiaDBWithParams!$D$6:$AP$100,13,FALSE),0)</f>
        <v>0</v>
      </c>
      <c r="DY55">
        <f>IFERROR(VLOOKUP($B55,KisuiBKerenPensiaDBWithParams!$D$6:$AP$100,7,FALSE),0)</f>
        <v>0</v>
      </c>
      <c r="DZ55">
        <f>IFERROR(VLOOKUP($B55,KisuiBKerenPensiaDBWithParams!$D$6:$AP$100,17,FALSE),0)</f>
        <v>0</v>
      </c>
      <c r="EA55">
        <f>IFERROR(VLOOKUP($B55,KisuiBKerenPensiaDBWithParams!$D$6:$AP$100,20,FALSE),0)</f>
        <v>0</v>
      </c>
      <c r="EB55">
        <f>IFERROR(VLOOKUP($B55,KisuiBKerenPensiaDBWithParams!$D$6:$AP$100,21,FALSE),0)</f>
        <v>0</v>
      </c>
      <c r="EC55">
        <f t="shared" si="47"/>
        <v>0</v>
      </c>
      <c r="EG55">
        <f>IF(OR(G55=MyData!$J$50,G55=MyData!$J$51,G55=MyData!$J$52),1,IF(G55=MyData!$J$49,2,0))</f>
        <v>0</v>
      </c>
    </row>
    <row r="56" spans="1:137">
      <c r="A56">
        <f t="shared" si="48"/>
        <v>0</v>
      </c>
      <c r="B56" s="20">
        <f>RicusPolice!E53</f>
        <v>0</v>
      </c>
      <c r="C56" s="20">
        <f>RicusPolice!AL53</f>
        <v>0</v>
      </c>
      <c r="D56" s="20">
        <f>RicusPolice!F53</f>
        <v>0</v>
      </c>
      <c r="E56" s="20">
        <f>RicusPolice!R53</f>
        <v>0</v>
      </c>
      <c r="F56" s="20">
        <f>RicusPolice!N53</f>
        <v>0</v>
      </c>
      <c r="G56" s="20">
        <f>IFERROR(VLOOKUP($B56,PerutYitrot!$D$6:$P$100,4,FALSE),0)</f>
        <v>0</v>
      </c>
      <c r="H56" s="20">
        <f t="shared" si="4"/>
        <v>0</v>
      </c>
      <c r="I56" s="20">
        <f>RicusPolice!L53</f>
        <v>0</v>
      </c>
      <c r="J56" s="179">
        <f>IFERROR(VLOOKUP(TRIM(K56),MyData!$J$43:$K$49,2,FALSE),0)</f>
        <v>0</v>
      </c>
      <c r="K56" s="20">
        <f>RicusPolice!M53</f>
        <v>0</v>
      </c>
      <c r="L56" s="20">
        <f>RicusPolice!AM53</f>
        <v>0</v>
      </c>
      <c r="M56" s="20" t="str">
        <f>IF(B56&gt;0,RicusPolice!Y53," ")</f>
        <v xml:space="preserve"> </v>
      </c>
      <c r="N56" s="20" t="str">
        <f t="shared" si="5"/>
        <v/>
      </c>
      <c r="O56" s="20">
        <f>RicusPolice!N53</f>
        <v>0</v>
      </c>
      <c r="P56" s="20">
        <f>IFERROR(VLOOKUP(B56,PerutMasluleiHashkaa!$D$6:$R$100,4,FALSE),0)</f>
        <v>0</v>
      </c>
      <c r="Q56" s="19"/>
      <c r="R56" s="20">
        <f>RicusPolice!P53</f>
        <v>0</v>
      </c>
      <c r="S56" s="20"/>
      <c r="T56" s="21">
        <f>'נתונים ידניים'!H56</f>
        <v>0</v>
      </c>
      <c r="U56" s="21"/>
      <c r="V56" s="20">
        <f>PerutHafrashotLePolisa!E53</f>
        <v>0</v>
      </c>
      <c r="W56" s="20">
        <f>PerutHafrashotLePolisa!F53</f>
        <v>0</v>
      </c>
      <c r="X56" s="20">
        <f>PerutHafrashotLePolisa!G53</f>
        <v>0</v>
      </c>
      <c r="Y56">
        <f t="shared" si="6"/>
        <v>0</v>
      </c>
      <c r="Z56">
        <f>IFERROR(VLOOKUP(B56,PirteiHaasaka!$D$6:$R$100,5,FALSE),0)</f>
        <v>0</v>
      </c>
      <c r="AB56">
        <f>IFERROR(VLOOKUP(B56,HafkadotMetchilatShanaAverages!$D$6:$E$100,2,FALSE),0)</f>
        <v>0</v>
      </c>
      <c r="AF56">
        <f>IFERROR(VLOOKUP(B56,CrossTabYitraLeTkufa_till_2000!$D$6:$AB$100,6,FALSE),0)+IFERROR(VLOOKUP(B56,CrossTabYitraLeTkufa_after_2000!$D$6:$AB$100,6,FALSE),0)</f>
        <v>0</v>
      </c>
      <c r="AG56">
        <f>IFERROR(VLOOKUP(B56,CrossTabYitraLeTkufa_till_2000!$D$6:$AB$100,16,FALSE),0)</f>
        <v>0</v>
      </c>
      <c r="AH56">
        <f>IFERROR(VLOOKUP(B56,CrossTabYitraLeTkufa_after_2000!$D$6:$AB$100,16,FALSE),0)</f>
        <v>0</v>
      </c>
      <c r="AI56">
        <f>IFERROR(VLOOKUP(B56,CrossTabYitraLeTkufa_till_2000!$D$6:$AB$100,17,FALSE),0)</f>
        <v>0</v>
      </c>
      <c r="AJ56">
        <f>IFERROR(VLOOKUP(B56,CrossTabYitraLeTkufa_after_2000!$D$6:$AB$100,17,FALSE),0)</f>
        <v>0</v>
      </c>
      <c r="AK56" s="5">
        <f t="shared" si="7"/>
        <v>0</v>
      </c>
      <c r="AN56">
        <f>IFERROR(VLOOKUP(B56,PirteiKisuiBeMutzar_procerur!$C$6:$AA$100,2,FALSE),0)</f>
        <v>0</v>
      </c>
      <c r="AP56">
        <f>IFERROR(VLOOKUP($B56,PirteiKisuiBeMutzar_procerur!$C$6:$AA$100,5,FALSE),0)</f>
        <v>0</v>
      </c>
      <c r="AQ56">
        <f>IFERROR(VLOOKUP($B56,PirteiKisuiBeMutzar_procerur!$C$6:$AA$100,3,FALSE),0)</f>
        <v>0</v>
      </c>
      <c r="AR56">
        <f>IFERROR(VLOOKUP($B56,PirteiKisuiBeMutzar_procerur!$C$6:$AA$100,6,FALSE),0)</f>
        <v>0</v>
      </c>
      <c r="AS56">
        <f>IFERROR(VLOOKUP($B56,PirteiKisuiBeMutzar_procerur!$C$6:$AA$100,7,FALSE),0)</f>
        <v>0</v>
      </c>
      <c r="AW56">
        <f t="shared" si="8"/>
        <v>0</v>
      </c>
      <c r="AX56">
        <f t="shared" si="9"/>
        <v>0</v>
      </c>
      <c r="AY56">
        <f t="shared" si="10"/>
        <v>0</v>
      </c>
      <c r="AZ56">
        <f t="shared" si="11"/>
        <v>0</v>
      </c>
      <c r="BA56">
        <f t="shared" si="12"/>
        <v>0</v>
      </c>
      <c r="BB56">
        <f t="shared" si="13"/>
        <v>0</v>
      </c>
      <c r="BC56">
        <f t="shared" si="14"/>
        <v>0</v>
      </c>
      <c r="BD56">
        <f t="shared" si="15"/>
        <v>0</v>
      </c>
      <c r="BE56">
        <f t="shared" si="16"/>
        <v>0</v>
      </c>
      <c r="BF56">
        <f t="shared" si="49"/>
        <v>0</v>
      </c>
      <c r="BG56">
        <f t="shared" si="17"/>
        <v>0</v>
      </c>
      <c r="BH56">
        <f t="shared" si="18"/>
        <v>0</v>
      </c>
      <c r="BI56">
        <f t="shared" si="19"/>
        <v>0</v>
      </c>
      <c r="BK56">
        <f t="shared" si="20"/>
        <v>0</v>
      </c>
      <c r="BL56">
        <f t="shared" si="21"/>
        <v>0</v>
      </c>
      <c r="BM56">
        <f t="shared" si="22"/>
        <v>0</v>
      </c>
      <c r="BN56">
        <f t="shared" si="23"/>
        <v>0</v>
      </c>
      <c r="BO56">
        <f t="shared" si="24"/>
        <v>0</v>
      </c>
      <c r="BR56">
        <f t="shared" si="25"/>
        <v>0</v>
      </c>
      <c r="BS56">
        <f t="shared" si="26"/>
        <v>0</v>
      </c>
      <c r="BT56">
        <f t="shared" si="27"/>
        <v>0</v>
      </c>
      <c r="BU56">
        <f t="shared" si="28"/>
        <v>0</v>
      </c>
      <c r="BV56">
        <f t="shared" si="29"/>
        <v>0</v>
      </c>
      <c r="BX56">
        <f t="shared" si="30"/>
        <v>0</v>
      </c>
      <c r="BY56">
        <f t="shared" si="31"/>
        <v>0</v>
      </c>
      <c r="BZ56">
        <f t="shared" si="32"/>
        <v>0</v>
      </c>
      <c r="CA56">
        <f t="shared" si="33"/>
        <v>0</v>
      </c>
      <c r="CB56">
        <f t="shared" si="34"/>
        <v>0</v>
      </c>
      <c r="CE56">
        <f t="shared" si="35"/>
        <v>0</v>
      </c>
      <c r="CF56">
        <f t="shared" si="36"/>
        <v>0</v>
      </c>
      <c r="CG56">
        <f t="shared" si="37"/>
        <v>0</v>
      </c>
      <c r="CH56">
        <f t="shared" si="38"/>
        <v>0</v>
      </c>
      <c r="CI56">
        <f t="shared" si="39"/>
        <v>0</v>
      </c>
      <c r="CL56">
        <f t="shared" si="40"/>
        <v>0</v>
      </c>
      <c r="CM56">
        <f t="shared" si="41"/>
        <v>0</v>
      </c>
      <c r="CN56">
        <f t="shared" si="42"/>
        <v>0</v>
      </c>
      <c r="CO56">
        <f t="shared" si="43"/>
        <v>0</v>
      </c>
      <c r="CP56">
        <f t="shared" si="44"/>
        <v>0</v>
      </c>
      <c r="CQ56">
        <f>IFERROR(VLOOKUP($B56,SchumeiBituahYesodi!$C$6:$AA$100,8,FALSE),0)</f>
        <v>0</v>
      </c>
      <c r="CR56">
        <f>IFERROR(VLOOKUP($B56,PirteiKisuiBeMutzar_procerur!$C$6:$AA$100,2,FALSE),0)</f>
        <v>0</v>
      </c>
      <c r="CS56">
        <f>IFERROR(VLOOKUP($B56,PirteiKisuiBeMutzar_procerur!$C$6:$AA$100,3,FALSE),0)</f>
        <v>0</v>
      </c>
      <c r="CT56">
        <f>IFERROR(VLOOKUP($B56,PirteiKisuiBeMutzar_procerur!$C$6:$AA$100,4,FALSE),0)</f>
        <v>0</v>
      </c>
      <c r="CU56">
        <f>IFERROR(VLOOKUP($B56,PirteiKisuiBeMutzar_procerur!$C$6:$AA$100,5,FALSE),0)</f>
        <v>0</v>
      </c>
      <c r="CV56">
        <f>IFERROR(VLOOKUP($B56,PirteiKisuiBeMutzar_procerur!$C$6:$AA$100,6,FALSE),0)</f>
        <v>0</v>
      </c>
      <c r="CW56">
        <f>IFERROR(VLOOKUP($B56,PirteiKisuiBeMutzar_procerur!$C$6:$AA$100,7,FALSE),0)</f>
        <v>0</v>
      </c>
      <c r="CX56">
        <f>IFERROR(VLOOKUP($B56,PirteiKisuiBeMutzar_procerur!$C$6:$AA$100,8,FALSE),0)</f>
        <v>0</v>
      </c>
      <c r="CY56">
        <f>IFERROR(VLOOKUP($B56,PirteiKisuiBeMutzar_procerur!$C$6:$AA$100,9,FALSE),0)</f>
        <v>0</v>
      </c>
      <c r="CZ56">
        <f>IFERROR(VLOOKUP($B56,PirteiKisuiBeMutzar_procerur!$C$6:$AA$100,10,FALSE),0)</f>
        <v>0</v>
      </c>
      <c r="DA56">
        <f>IFERROR(VLOOKUP($B56,PirteiKisuiBeMutzar_procerur!$C$6:$AA$100,11,FALSE),0)</f>
        <v>0</v>
      </c>
      <c r="DB56">
        <f>IFERROR(VLOOKUP($B56,PirteiKisuiBeMutzarPrmia!$C$6:$AA$100,2,FALSE),0)</f>
        <v>0</v>
      </c>
      <c r="DC56">
        <f>IFERROR(VLOOKUP($B56,PirteiKisuiBeMutzarPrmia!$C$6:$AA$100,3,FALSE),0)</f>
        <v>0</v>
      </c>
      <c r="DD56">
        <f>IFERROR(VLOOKUP($B56,PirteiKisuiBeMutzarPrmia!$C$6:$AA$100,4,FALSE),0)</f>
        <v>0</v>
      </c>
      <c r="DE56">
        <f>IFERROR(VLOOKUP($B56,PirteiKisuiBeMutzarPrmia!$C$6:$AA$100,5,FALSE),0)</f>
        <v>0</v>
      </c>
      <c r="DF56">
        <f>IFERROR(VLOOKUP($B56,PirteiKisuiBeMutzarPrmia!$C$6:$AA$100,6,FALSE),0)</f>
        <v>0</v>
      </c>
      <c r="DG56">
        <f>IFERROR(VLOOKUP($B56,PirteiKisuiBeMutzarPrmia!$C$6:$AA$100,7,FALSE),0)</f>
        <v>0</v>
      </c>
      <c r="DH56">
        <f>IFERROR(VLOOKUP($B56,PirteiKisuiBeMutzarPrmia!$C$6:$AA$100,8,FALSE),0)</f>
        <v>0</v>
      </c>
      <c r="DI56">
        <f>IFERROR(VLOOKUP($B56,PirteiKisuiBeMutzarPrmia!$C$6:$AA$100,9,FALSE),0)</f>
        <v>0</v>
      </c>
      <c r="DJ56">
        <f>IFERROR(VLOOKUP($B56,PirteiKisuiBeMutzarPrmia!$C$6:$AA$100,10,FALSE),0)</f>
        <v>0</v>
      </c>
      <c r="DK56">
        <f>IFERROR(VLOOKUP($B56,PirteiKisuiBeMutzarPrmia!$C$6:$AA$100,11,FALSE),0)</f>
        <v>0</v>
      </c>
      <c r="DL56">
        <f t="shared" si="51"/>
        <v>0</v>
      </c>
      <c r="DM56">
        <f t="shared" si="45"/>
        <v>0</v>
      </c>
      <c r="DN56">
        <f t="shared" si="46"/>
        <v>0</v>
      </c>
      <c r="DO56">
        <f t="shared" si="52"/>
        <v>0</v>
      </c>
      <c r="DP56">
        <f t="shared" si="50"/>
        <v>0</v>
      </c>
      <c r="DQ56">
        <f>IF(OR(L56=1,L56=3),IFERROR(VLOOKUP($B56,PerutHafkadotMetchilatShanaAvgM!$C$6:$G$100,3,FALSE),0),0)</f>
        <v>0</v>
      </c>
      <c r="DR56">
        <f>IF(OR(L56=2,L56=4),IFERROR(VLOOKUP($B56,PerutHafkadotMetchilatShanaAvgM!$C$6:$G$100,3,FALSE),0),0)</f>
        <v>0</v>
      </c>
      <c r="DS56">
        <f>IFERROR(VLOOKUP($B56,PerutHafkadotMetchilatShanaAvgM!$C$6:$G$100,4,FALSE),0)</f>
        <v>0</v>
      </c>
      <c r="DT56">
        <f>IFERROR(VLOOKUP($B56,Kupa!$D$6:$AA$100,5,FALSE),0)</f>
        <v>0</v>
      </c>
      <c r="DU56">
        <f>IFERROR(VLOOKUP($B56,Kupa!$D$6:$AA$100,6,FALSE),0)</f>
        <v>0</v>
      </c>
      <c r="DV56">
        <f>IFERROR(VLOOKUP($B56,KisuiBKerenPensiaDBWithParams!$D$6:$AP$100,9,FALSE),0)</f>
        <v>0</v>
      </c>
      <c r="DW56">
        <f>IFERROR(VLOOKUP($B56,KisuiBKerenPensiaDBWithParams!$D$6:$AP$100,12,FALSE),0)</f>
        <v>0</v>
      </c>
      <c r="DX56">
        <f>IFERROR(VLOOKUP($B56,KisuiBKerenPensiaDBWithParams!$D$6:$AP$100,13,FALSE),0)</f>
        <v>0</v>
      </c>
      <c r="DY56">
        <f>IFERROR(VLOOKUP($B56,KisuiBKerenPensiaDBWithParams!$D$6:$AP$100,7,FALSE),0)</f>
        <v>0</v>
      </c>
      <c r="DZ56">
        <f>IFERROR(VLOOKUP($B56,KisuiBKerenPensiaDBWithParams!$D$6:$AP$100,17,FALSE),0)</f>
        <v>0</v>
      </c>
      <c r="EA56">
        <f>IFERROR(VLOOKUP($B56,KisuiBKerenPensiaDBWithParams!$D$6:$AP$100,20,FALSE),0)</f>
        <v>0</v>
      </c>
      <c r="EB56">
        <f>IFERROR(VLOOKUP($B56,KisuiBKerenPensiaDBWithParams!$D$6:$AP$100,21,FALSE),0)</f>
        <v>0</v>
      </c>
      <c r="EC56">
        <f t="shared" si="47"/>
        <v>0</v>
      </c>
      <c r="EG56">
        <f>IF(OR(G56=MyData!$J$50,G56=MyData!$J$51,G56=MyData!$J$52),1,IF(G56=MyData!$J$49,2,0))</f>
        <v>0</v>
      </c>
    </row>
    <row r="57" spans="1:137">
      <c r="A57">
        <f t="shared" si="48"/>
        <v>0</v>
      </c>
      <c r="B57" s="20">
        <f>RicusPolice!E54</f>
        <v>0</v>
      </c>
      <c r="C57" s="20">
        <f>RicusPolice!AL54</f>
        <v>0</v>
      </c>
      <c r="D57" s="20">
        <f>RicusPolice!F54</f>
        <v>0</v>
      </c>
      <c r="E57" s="20">
        <f>RicusPolice!R54</f>
        <v>0</v>
      </c>
      <c r="F57" s="20">
        <f>RicusPolice!N54</f>
        <v>0</v>
      </c>
      <c r="G57" s="20">
        <f>IFERROR(VLOOKUP($B57,PerutYitrot!$D$6:$P$100,4,FALSE),0)</f>
        <v>0</v>
      </c>
      <c r="H57" s="20">
        <f t="shared" si="4"/>
        <v>0</v>
      </c>
      <c r="I57" s="20">
        <f>RicusPolice!L54</f>
        <v>0</v>
      </c>
      <c r="J57" s="179">
        <f>IFERROR(VLOOKUP(TRIM(K57),MyData!$J$43:$K$49,2,FALSE),0)</f>
        <v>0</v>
      </c>
      <c r="K57" s="20">
        <f>RicusPolice!M54</f>
        <v>0</v>
      </c>
      <c r="L57" s="20">
        <f>RicusPolice!AM54</f>
        <v>0</v>
      </c>
      <c r="M57" s="20" t="str">
        <f>IF(B57&gt;0,RicusPolice!Y54," ")</f>
        <v xml:space="preserve"> </v>
      </c>
      <c r="N57" s="20" t="str">
        <f t="shared" si="5"/>
        <v/>
      </c>
      <c r="O57" s="20">
        <f>RicusPolice!N54</f>
        <v>0</v>
      </c>
      <c r="P57" s="20">
        <f>IFERROR(VLOOKUP(B57,PerutMasluleiHashkaa!$D$6:$R$100,4,FALSE),0)</f>
        <v>0</v>
      </c>
      <c r="Q57" s="19"/>
      <c r="R57" s="20">
        <f>RicusPolice!P54</f>
        <v>0</v>
      </c>
      <c r="S57" s="20"/>
      <c r="T57" s="21">
        <f>'נתונים ידניים'!H57</f>
        <v>0</v>
      </c>
      <c r="U57" s="21"/>
      <c r="V57" s="20">
        <f>PerutHafrashotLePolisa!E54</f>
        <v>0</v>
      </c>
      <c r="W57" s="20">
        <f>PerutHafrashotLePolisa!F54</f>
        <v>0</v>
      </c>
      <c r="X57" s="20">
        <f>PerutHafrashotLePolisa!G54</f>
        <v>0</v>
      </c>
      <c r="Y57">
        <f t="shared" si="6"/>
        <v>0</v>
      </c>
      <c r="Z57">
        <f>IFERROR(VLOOKUP(B57,PirteiHaasaka!$D$6:$R$100,5,FALSE),0)</f>
        <v>0</v>
      </c>
      <c r="AB57">
        <f>IFERROR(VLOOKUP(B57,HafkadotMetchilatShanaAverages!$D$6:$E$100,2,FALSE),0)</f>
        <v>0</v>
      </c>
      <c r="AF57">
        <f>IFERROR(VLOOKUP(B57,CrossTabYitraLeTkufa_till_2000!$D$6:$AB$100,6,FALSE),0)+IFERROR(VLOOKUP(B57,CrossTabYitraLeTkufa_after_2000!$D$6:$AB$100,6,FALSE),0)</f>
        <v>0</v>
      </c>
      <c r="AG57">
        <f>IFERROR(VLOOKUP(B57,CrossTabYitraLeTkufa_till_2000!$D$6:$AB$100,16,FALSE),0)</f>
        <v>0</v>
      </c>
      <c r="AH57">
        <f>IFERROR(VLOOKUP(B57,CrossTabYitraLeTkufa_after_2000!$D$6:$AB$100,16,FALSE),0)</f>
        <v>0</v>
      </c>
      <c r="AI57">
        <f>IFERROR(VLOOKUP(B57,CrossTabYitraLeTkufa_till_2000!$D$6:$AB$100,17,FALSE),0)</f>
        <v>0</v>
      </c>
      <c r="AJ57">
        <f>IFERROR(VLOOKUP(B57,CrossTabYitraLeTkufa_after_2000!$D$6:$AB$100,17,FALSE),0)</f>
        <v>0</v>
      </c>
      <c r="AK57" s="5">
        <f t="shared" si="7"/>
        <v>0</v>
      </c>
      <c r="AN57">
        <f>IFERROR(VLOOKUP(B57,PirteiKisuiBeMutzar_procerur!$C$6:$AA$100,2,FALSE),0)</f>
        <v>0</v>
      </c>
      <c r="AP57">
        <f>IFERROR(VLOOKUP($B57,PirteiKisuiBeMutzar_procerur!$C$6:$AA$100,5,FALSE),0)</f>
        <v>0</v>
      </c>
      <c r="AQ57">
        <f>IFERROR(VLOOKUP($B57,PirteiKisuiBeMutzar_procerur!$C$6:$AA$100,3,FALSE),0)</f>
        <v>0</v>
      </c>
      <c r="AR57">
        <f>IFERROR(VLOOKUP($B57,PirteiKisuiBeMutzar_procerur!$C$6:$AA$100,6,FALSE),0)</f>
        <v>0</v>
      </c>
      <c r="AS57">
        <f>IFERROR(VLOOKUP($B57,PirteiKisuiBeMutzar_procerur!$C$6:$AA$100,7,FALSE),0)</f>
        <v>0</v>
      </c>
      <c r="AW57">
        <f t="shared" si="8"/>
        <v>0</v>
      </c>
      <c r="AX57">
        <f t="shared" si="9"/>
        <v>0</v>
      </c>
      <c r="AY57">
        <f t="shared" si="10"/>
        <v>0</v>
      </c>
      <c r="AZ57">
        <f t="shared" si="11"/>
        <v>0</v>
      </c>
      <c r="BA57">
        <f t="shared" si="12"/>
        <v>0</v>
      </c>
      <c r="BB57">
        <f t="shared" si="13"/>
        <v>0</v>
      </c>
      <c r="BC57">
        <f t="shared" si="14"/>
        <v>0</v>
      </c>
      <c r="BD57">
        <f t="shared" si="15"/>
        <v>0</v>
      </c>
      <c r="BE57">
        <f t="shared" si="16"/>
        <v>0</v>
      </c>
      <c r="BF57">
        <f t="shared" si="49"/>
        <v>0</v>
      </c>
      <c r="BG57">
        <f t="shared" si="17"/>
        <v>0</v>
      </c>
      <c r="BH57">
        <f t="shared" si="18"/>
        <v>0</v>
      </c>
      <c r="BI57">
        <f t="shared" si="19"/>
        <v>0</v>
      </c>
      <c r="BK57">
        <f t="shared" si="20"/>
        <v>0</v>
      </c>
      <c r="BL57">
        <f t="shared" si="21"/>
        <v>0</v>
      </c>
      <c r="BM57">
        <f t="shared" si="22"/>
        <v>0</v>
      </c>
      <c r="BN57">
        <f t="shared" si="23"/>
        <v>0</v>
      </c>
      <c r="BO57">
        <f t="shared" si="24"/>
        <v>0</v>
      </c>
      <c r="BR57">
        <f t="shared" si="25"/>
        <v>0</v>
      </c>
      <c r="BS57">
        <f t="shared" si="26"/>
        <v>0</v>
      </c>
      <c r="BT57">
        <f t="shared" si="27"/>
        <v>0</v>
      </c>
      <c r="BU57">
        <f t="shared" si="28"/>
        <v>0</v>
      </c>
      <c r="BV57">
        <f t="shared" si="29"/>
        <v>0</v>
      </c>
      <c r="BX57">
        <f t="shared" si="30"/>
        <v>0</v>
      </c>
      <c r="BY57">
        <f t="shared" si="31"/>
        <v>0</v>
      </c>
      <c r="BZ57">
        <f t="shared" si="32"/>
        <v>0</v>
      </c>
      <c r="CA57">
        <f t="shared" si="33"/>
        <v>0</v>
      </c>
      <c r="CB57">
        <f t="shared" si="34"/>
        <v>0</v>
      </c>
      <c r="CE57">
        <f t="shared" si="35"/>
        <v>0</v>
      </c>
      <c r="CF57">
        <f t="shared" si="36"/>
        <v>0</v>
      </c>
      <c r="CG57">
        <f t="shared" si="37"/>
        <v>0</v>
      </c>
      <c r="CH57">
        <f t="shared" si="38"/>
        <v>0</v>
      </c>
      <c r="CI57">
        <f t="shared" si="39"/>
        <v>0</v>
      </c>
      <c r="CL57">
        <f t="shared" si="40"/>
        <v>0</v>
      </c>
      <c r="CM57">
        <f t="shared" si="41"/>
        <v>0</v>
      </c>
      <c r="CN57">
        <f t="shared" si="42"/>
        <v>0</v>
      </c>
      <c r="CO57">
        <f t="shared" si="43"/>
        <v>0</v>
      </c>
      <c r="CP57">
        <f t="shared" si="44"/>
        <v>0</v>
      </c>
      <c r="CQ57">
        <f>IFERROR(VLOOKUP($B57,SchumeiBituahYesodi!$C$6:$AA$100,8,FALSE),0)</f>
        <v>0</v>
      </c>
      <c r="CR57">
        <f>IFERROR(VLOOKUP($B57,PirteiKisuiBeMutzar_procerur!$C$6:$AA$100,2,FALSE),0)</f>
        <v>0</v>
      </c>
      <c r="CS57">
        <f>IFERROR(VLOOKUP($B57,PirteiKisuiBeMutzar_procerur!$C$6:$AA$100,3,FALSE),0)</f>
        <v>0</v>
      </c>
      <c r="CT57">
        <f>IFERROR(VLOOKUP($B57,PirteiKisuiBeMutzar_procerur!$C$6:$AA$100,4,FALSE),0)</f>
        <v>0</v>
      </c>
      <c r="CU57">
        <f>IFERROR(VLOOKUP($B57,PirteiKisuiBeMutzar_procerur!$C$6:$AA$100,5,FALSE),0)</f>
        <v>0</v>
      </c>
      <c r="CV57">
        <f>IFERROR(VLOOKUP($B57,PirteiKisuiBeMutzar_procerur!$C$6:$AA$100,6,FALSE),0)</f>
        <v>0</v>
      </c>
      <c r="CW57">
        <f>IFERROR(VLOOKUP($B57,PirteiKisuiBeMutzar_procerur!$C$6:$AA$100,7,FALSE),0)</f>
        <v>0</v>
      </c>
      <c r="CX57">
        <f>IFERROR(VLOOKUP($B57,PirteiKisuiBeMutzar_procerur!$C$6:$AA$100,8,FALSE),0)</f>
        <v>0</v>
      </c>
      <c r="CY57">
        <f>IFERROR(VLOOKUP($B57,PirteiKisuiBeMutzar_procerur!$C$6:$AA$100,9,FALSE),0)</f>
        <v>0</v>
      </c>
      <c r="CZ57">
        <f>IFERROR(VLOOKUP($B57,PirteiKisuiBeMutzar_procerur!$C$6:$AA$100,10,FALSE),0)</f>
        <v>0</v>
      </c>
      <c r="DA57">
        <f>IFERROR(VLOOKUP($B57,PirteiKisuiBeMutzar_procerur!$C$6:$AA$100,11,FALSE),0)</f>
        <v>0</v>
      </c>
      <c r="DB57">
        <f>IFERROR(VLOOKUP($B57,PirteiKisuiBeMutzarPrmia!$C$6:$AA$100,2,FALSE),0)</f>
        <v>0</v>
      </c>
      <c r="DC57">
        <f>IFERROR(VLOOKUP($B57,PirteiKisuiBeMutzarPrmia!$C$6:$AA$100,3,FALSE),0)</f>
        <v>0</v>
      </c>
      <c r="DD57">
        <f>IFERROR(VLOOKUP($B57,PirteiKisuiBeMutzarPrmia!$C$6:$AA$100,4,FALSE),0)</f>
        <v>0</v>
      </c>
      <c r="DE57">
        <f>IFERROR(VLOOKUP($B57,PirteiKisuiBeMutzarPrmia!$C$6:$AA$100,5,FALSE),0)</f>
        <v>0</v>
      </c>
      <c r="DF57">
        <f>IFERROR(VLOOKUP($B57,PirteiKisuiBeMutzarPrmia!$C$6:$AA$100,6,FALSE),0)</f>
        <v>0</v>
      </c>
      <c r="DG57">
        <f>IFERROR(VLOOKUP($B57,PirteiKisuiBeMutzarPrmia!$C$6:$AA$100,7,FALSE),0)</f>
        <v>0</v>
      </c>
      <c r="DH57">
        <f>IFERROR(VLOOKUP($B57,PirteiKisuiBeMutzarPrmia!$C$6:$AA$100,8,FALSE),0)</f>
        <v>0</v>
      </c>
      <c r="DI57">
        <f>IFERROR(VLOOKUP($B57,PirteiKisuiBeMutzarPrmia!$C$6:$AA$100,9,FALSE),0)</f>
        <v>0</v>
      </c>
      <c r="DJ57">
        <f>IFERROR(VLOOKUP($B57,PirteiKisuiBeMutzarPrmia!$C$6:$AA$100,10,FALSE),0)</f>
        <v>0</v>
      </c>
      <c r="DK57">
        <f>IFERROR(VLOOKUP($B57,PirteiKisuiBeMutzarPrmia!$C$6:$AA$100,11,FALSE),0)</f>
        <v>0</v>
      </c>
      <c r="DL57">
        <f t="shared" si="51"/>
        <v>0</v>
      </c>
      <c r="DM57">
        <f t="shared" si="45"/>
        <v>0</v>
      </c>
      <c r="DN57">
        <f t="shared" si="46"/>
        <v>0</v>
      </c>
      <c r="DO57">
        <f t="shared" si="52"/>
        <v>0</v>
      </c>
      <c r="DP57">
        <f t="shared" si="50"/>
        <v>0</v>
      </c>
      <c r="DQ57">
        <f>IF(OR(L57=1,L57=3),IFERROR(VLOOKUP($B57,PerutHafkadotMetchilatShanaAvgM!$C$6:$G$100,3,FALSE),0),0)</f>
        <v>0</v>
      </c>
      <c r="DR57">
        <f>IF(OR(L57=2,L57=4),IFERROR(VLOOKUP($B57,PerutHafkadotMetchilatShanaAvgM!$C$6:$G$100,3,FALSE),0),0)</f>
        <v>0</v>
      </c>
      <c r="DS57">
        <f>IFERROR(VLOOKUP($B57,PerutHafkadotMetchilatShanaAvgM!$C$6:$G$100,4,FALSE),0)</f>
        <v>0</v>
      </c>
      <c r="DT57">
        <f>IFERROR(VLOOKUP($B57,Kupa!$D$6:$AA$100,5,FALSE),0)</f>
        <v>0</v>
      </c>
      <c r="DU57">
        <f>IFERROR(VLOOKUP($B57,Kupa!$D$6:$AA$100,6,FALSE),0)</f>
        <v>0</v>
      </c>
      <c r="DV57">
        <f>IFERROR(VLOOKUP($B57,KisuiBKerenPensiaDBWithParams!$D$6:$AP$100,9,FALSE),0)</f>
        <v>0</v>
      </c>
      <c r="DW57">
        <f>IFERROR(VLOOKUP($B57,KisuiBKerenPensiaDBWithParams!$D$6:$AP$100,12,FALSE),0)</f>
        <v>0</v>
      </c>
      <c r="DX57">
        <f>IFERROR(VLOOKUP($B57,KisuiBKerenPensiaDBWithParams!$D$6:$AP$100,13,FALSE),0)</f>
        <v>0</v>
      </c>
      <c r="DY57">
        <f>IFERROR(VLOOKUP($B57,KisuiBKerenPensiaDBWithParams!$D$6:$AP$100,7,FALSE),0)</f>
        <v>0</v>
      </c>
      <c r="DZ57">
        <f>IFERROR(VLOOKUP($B57,KisuiBKerenPensiaDBWithParams!$D$6:$AP$100,17,FALSE),0)</f>
        <v>0</v>
      </c>
      <c r="EA57">
        <f>IFERROR(VLOOKUP($B57,KisuiBKerenPensiaDBWithParams!$D$6:$AP$100,20,FALSE),0)</f>
        <v>0</v>
      </c>
      <c r="EB57">
        <f>IFERROR(VLOOKUP($B57,KisuiBKerenPensiaDBWithParams!$D$6:$AP$100,21,FALSE),0)</f>
        <v>0</v>
      </c>
      <c r="EC57">
        <f t="shared" si="47"/>
        <v>0</v>
      </c>
      <c r="EG57">
        <f>IF(OR(G57=MyData!$J$50,G57=MyData!$J$51,G57=MyData!$J$52),1,IF(G57=MyData!$J$49,2,0))</f>
        <v>0</v>
      </c>
    </row>
    <row r="58" spans="1:137">
      <c r="A58">
        <f t="shared" si="48"/>
        <v>0</v>
      </c>
      <c r="B58" s="20">
        <f>RicusPolice!E55</f>
        <v>0</v>
      </c>
      <c r="C58" s="20">
        <f>RicusPolice!AL55</f>
        <v>0</v>
      </c>
      <c r="D58" s="20">
        <f>RicusPolice!F55</f>
        <v>0</v>
      </c>
      <c r="E58" s="20">
        <f>RicusPolice!R55</f>
        <v>0</v>
      </c>
      <c r="F58" s="20">
        <f>RicusPolice!N55</f>
        <v>0</v>
      </c>
      <c r="G58" s="20">
        <f>IFERROR(VLOOKUP($B58,PerutYitrot!$D$6:$P$100,4,FALSE),0)</f>
        <v>0</v>
      </c>
      <c r="H58" s="20">
        <f t="shared" si="4"/>
        <v>0</v>
      </c>
      <c r="I58" s="20">
        <f>RicusPolice!L55</f>
        <v>0</v>
      </c>
      <c r="J58" s="179">
        <f>IFERROR(VLOOKUP(TRIM(K58),MyData!$J$43:$K$49,2,FALSE),0)</f>
        <v>0</v>
      </c>
      <c r="K58" s="20">
        <f>RicusPolice!M55</f>
        <v>0</v>
      </c>
      <c r="L58" s="20">
        <f>RicusPolice!AM55</f>
        <v>0</v>
      </c>
      <c r="M58" s="20" t="str">
        <f>IF(B58&gt;0,RicusPolice!Y55," ")</f>
        <v xml:space="preserve"> </v>
      </c>
      <c r="N58" s="20" t="str">
        <f t="shared" si="5"/>
        <v/>
      </c>
      <c r="O58" s="20">
        <f>RicusPolice!N55</f>
        <v>0</v>
      </c>
      <c r="P58" s="20">
        <f>IFERROR(VLOOKUP(B58,PerutMasluleiHashkaa!$D$6:$R$100,4,FALSE),0)</f>
        <v>0</v>
      </c>
      <c r="Q58" s="19"/>
      <c r="R58" s="20">
        <f>RicusPolice!P55</f>
        <v>0</v>
      </c>
      <c r="S58" s="20"/>
      <c r="T58" s="21">
        <f>'נתונים ידניים'!H58</f>
        <v>0</v>
      </c>
      <c r="U58" s="21"/>
      <c r="V58" s="20">
        <f>PerutHafrashotLePolisa!E55</f>
        <v>0</v>
      </c>
      <c r="W58" s="20">
        <f>PerutHafrashotLePolisa!F55</f>
        <v>0</v>
      </c>
      <c r="X58" s="20">
        <f>PerutHafrashotLePolisa!G55</f>
        <v>0</v>
      </c>
      <c r="Y58">
        <f t="shared" si="6"/>
        <v>0</v>
      </c>
      <c r="Z58">
        <f>IFERROR(VLOOKUP(B58,PirteiHaasaka!$D$6:$R$100,5,FALSE),0)</f>
        <v>0</v>
      </c>
      <c r="AB58">
        <f>IFERROR(VLOOKUP(B58,HafkadotMetchilatShanaAverages!$D$6:$E$100,2,FALSE),0)</f>
        <v>0</v>
      </c>
      <c r="AF58">
        <f>IFERROR(VLOOKUP(B58,CrossTabYitraLeTkufa_till_2000!$D$6:$AB$100,6,FALSE),0)+IFERROR(VLOOKUP(B58,CrossTabYitraLeTkufa_after_2000!$D$6:$AB$100,6,FALSE),0)</f>
        <v>0</v>
      </c>
      <c r="AG58">
        <f>IFERROR(VLOOKUP(B58,CrossTabYitraLeTkufa_till_2000!$D$6:$AB$100,16,FALSE),0)</f>
        <v>0</v>
      </c>
      <c r="AH58">
        <f>IFERROR(VLOOKUP(B58,CrossTabYitraLeTkufa_after_2000!$D$6:$AB$100,16,FALSE),0)</f>
        <v>0</v>
      </c>
      <c r="AI58">
        <f>IFERROR(VLOOKUP(B58,CrossTabYitraLeTkufa_till_2000!$D$6:$AB$100,17,FALSE),0)</f>
        <v>0</v>
      </c>
      <c r="AJ58">
        <f>IFERROR(VLOOKUP(B58,CrossTabYitraLeTkufa_after_2000!$D$6:$AB$100,17,FALSE),0)</f>
        <v>0</v>
      </c>
      <c r="AK58" s="5">
        <f t="shared" si="7"/>
        <v>0</v>
      </c>
      <c r="AN58">
        <f>IFERROR(VLOOKUP(B58,PirteiKisuiBeMutzar_procerur!$C$6:$AA$100,2,FALSE),0)</f>
        <v>0</v>
      </c>
      <c r="AP58">
        <f>IFERROR(VLOOKUP($B58,PirteiKisuiBeMutzar_procerur!$C$6:$AA$100,5,FALSE),0)</f>
        <v>0</v>
      </c>
      <c r="AQ58">
        <f>IFERROR(VLOOKUP($B58,PirteiKisuiBeMutzar_procerur!$C$6:$AA$100,3,FALSE),0)</f>
        <v>0</v>
      </c>
      <c r="AR58">
        <f>IFERROR(VLOOKUP($B58,PirteiKisuiBeMutzar_procerur!$C$6:$AA$100,6,FALSE),0)</f>
        <v>0</v>
      </c>
      <c r="AS58">
        <f>IFERROR(VLOOKUP($B58,PirteiKisuiBeMutzar_procerur!$C$6:$AA$100,7,FALSE),0)</f>
        <v>0</v>
      </c>
      <c r="AW58">
        <f t="shared" si="8"/>
        <v>0</v>
      </c>
      <c r="AX58">
        <f t="shared" si="9"/>
        <v>0</v>
      </c>
      <c r="AY58">
        <f t="shared" si="10"/>
        <v>0</v>
      </c>
      <c r="AZ58">
        <f t="shared" si="11"/>
        <v>0</v>
      </c>
      <c r="BA58">
        <f t="shared" si="12"/>
        <v>0</v>
      </c>
      <c r="BB58">
        <f t="shared" si="13"/>
        <v>0</v>
      </c>
      <c r="BC58">
        <f t="shared" si="14"/>
        <v>0</v>
      </c>
      <c r="BD58">
        <f t="shared" si="15"/>
        <v>0</v>
      </c>
      <c r="BE58">
        <f t="shared" si="16"/>
        <v>0</v>
      </c>
      <c r="BF58">
        <f t="shared" si="49"/>
        <v>0</v>
      </c>
      <c r="BG58">
        <f t="shared" si="17"/>
        <v>0</v>
      </c>
      <c r="BH58">
        <f t="shared" si="18"/>
        <v>0</v>
      </c>
      <c r="BI58">
        <f t="shared" si="19"/>
        <v>0</v>
      </c>
      <c r="BK58">
        <f t="shared" si="20"/>
        <v>0</v>
      </c>
      <c r="BL58">
        <f t="shared" si="21"/>
        <v>0</v>
      </c>
      <c r="BM58">
        <f t="shared" si="22"/>
        <v>0</v>
      </c>
      <c r="BN58">
        <f t="shared" si="23"/>
        <v>0</v>
      </c>
      <c r="BO58">
        <f t="shared" si="24"/>
        <v>0</v>
      </c>
      <c r="BR58">
        <f t="shared" si="25"/>
        <v>0</v>
      </c>
      <c r="BS58">
        <f t="shared" si="26"/>
        <v>0</v>
      </c>
      <c r="BT58">
        <f t="shared" si="27"/>
        <v>0</v>
      </c>
      <c r="BU58">
        <f t="shared" si="28"/>
        <v>0</v>
      </c>
      <c r="BV58">
        <f t="shared" si="29"/>
        <v>0</v>
      </c>
      <c r="BX58">
        <f t="shared" si="30"/>
        <v>0</v>
      </c>
      <c r="BY58">
        <f t="shared" si="31"/>
        <v>0</v>
      </c>
      <c r="BZ58">
        <f t="shared" si="32"/>
        <v>0</v>
      </c>
      <c r="CA58">
        <f t="shared" si="33"/>
        <v>0</v>
      </c>
      <c r="CB58">
        <f t="shared" si="34"/>
        <v>0</v>
      </c>
      <c r="CE58">
        <f t="shared" si="35"/>
        <v>0</v>
      </c>
      <c r="CF58">
        <f t="shared" si="36"/>
        <v>0</v>
      </c>
      <c r="CG58">
        <f t="shared" si="37"/>
        <v>0</v>
      </c>
      <c r="CH58">
        <f t="shared" si="38"/>
        <v>0</v>
      </c>
      <c r="CI58">
        <f t="shared" si="39"/>
        <v>0</v>
      </c>
      <c r="CL58">
        <f t="shared" si="40"/>
        <v>0</v>
      </c>
      <c r="CM58">
        <f t="shared" si="41"/>
        <v>0</v>
      </c>
      <c r="CN58">
        <f t="shared" si="42"/>
        <v>0</v>
      </c>
      <c r="CO58">
        <f t="shared" si="43"/>
        <v>0</v>
      </c>
      <c r="CP58">
        <f t="shared" si="44"/>
        <v>0</v>
      </c>
      <c r="CQ58">
        <f>IFERROR(VLOOKUP($B58,SchumeiBituahYesodi!$C$6:$AA$100,8,FALSE),0)</f>
        <v>0</v>
      </c>
      <c r="CR58">
        <f>IFERROR(VLOOKUP($B58,PirteiKisuiBeMutzar_procerur!$C$6:$AA$100,2,FALSE),0)</f>
        <v>0</v>
      </c>
      <c r="CS58">
        <f>IFERROR(VLOOKUP($B58,PirteiKisuiBeMutzar_procerur!$C$6:$AA$100,3,FALSE),0)</f>
        <v>0</v>
      </c>
      <c r="CT58">
        <f>IFERROR(VLOOKUP($B58,PirteiKisuiBeMutzar_procerur!$C$6:$AA$100,4,FALSE),0)</f>
        <v>0</v>
      </c>
      <c r="CU58">
        <f>IFERROR(VLOOKUP($B58,PirteiKisuiBeMutzar_procerur!$C$6:$AA$100,5,FALSE),0)</f>
        <v>0</v>
      </c>
      <c r="CV58">
        <f>IFERROR(VLOOKUP($B58,PirteiKisuiBeMutzar_procerur!$C$6:$AA$100,6,FALSE),0)</f>
        <v>0</v>
      </c>
      <c r="CW58">
        <f>IFERROR(VLOOKUP($B58,PirteiKisuiBeMutzar_procerur!$C$6:$AA$100,7,FALSE),0)</f>
        <v>0</v>
      </c>
      <c r="CX58">
        <f>IFERROR(VLOOKUP($B58,PirteiKisuiBeMutzar_procerur!$C$6:$AA$100,8,FALSE),0)</f>
        <v>0</v>
      </c>
      <c r="CY58">
        <f>IFERROR(VLOOKUP($B58,PirteiKisuiBeMutzar_procerur!$C$6:$AA$100,9,FALSE),0)</f>
        <v>0</v>
      </c>
      <c r="CZ58">
        <f>IFERROR(VLOOKUP($B58,PirteiKisuiBeMutzar_procerur!$C$6:$AA$100,10,FALSE),0)</f>
        <v>0</v>
      </c>
      <c r="DA58">
        <f>IFERROR(VLOOKUP($B58,PirteiKisuiBeMutzar_procerur!$C$6:$AA$100,11,FALSE),0)</f>
        <v>0</v>
      </c>
      <c r="DB58">
        <f>IFERROR(VLOOKUP($B58,PirteiKisuiBeMutzarPrmia!$C$6:$AA$100,2,FALSE),0)</f>
        <v>0</v>
      </c>
      <c r="DC58">
        <f>IFERROR(VLOOKUP($B58,PirteiKisuiBeMutzarPrmia!$C$6:$AA$100,3,FALSE),0)</f>
        <v>0</v>
      </c>
      <c r="DD58">
        <f>IFERROR(VLOOKUP($B58,PirteiKisuiBeMutzarPrmia!$C$6:$AA$100,4,FALSE),0)</f>
        <v>0</v>
      </c>
      <c r="DE58">
        <f>IFERROR(VLOOKUP($B58,PirteiKisuiBeMutzarPrmia!$C$6:$AA$100,5,FALSE),0)</f>
        <v>0</v>
      </c>
      <c r="DF58">
        <f>IFERROR(VLOOKUP($B58,PirteiKisuiBeMutzarPrmia!$C$6:$AA$100,6,FALSE),0)</f>
        <v>0</v>
      </c>
      <c r="DG58">
        <f>IFERROR(VLOOKUP($B58,PirteiKisuiBeMutzarPrmia!$C$6:$AA$100,7,FALSE),0)</f>
        <v>0</v>
      </c>
      <c r="DH58">
        <f>IFERROR(VLOOKUP($B58,PirteiKisuiBeMutzarPrmia!$C$6:$AA$100,8,FALSE),0)</f>
        <v>0</v>
      </c>
      <c r="DI58">
        <f>IFERROR(VLOOKUP($B58,PirteiKisuiBeMutzarPrmia!$C$6:$AA$100,9,FALSE),0)</f>
        <v>0</v>
      </c>
      <c r="DJ58">
        <f>IFERROR(VLOOKUP($B58,PirteiKisuiBeMutzarPrmia!$C$6:$AA$100,10,FALSE),0)</f>
        <v>0</v>
      </c>
      <c r="DK58">
        <f>IFERROR(VLOOKUP($B58,PirteiKisuiBeMutzarPrmia!$C$6:$AA$100,11,FALSE),0)</f>
        <v>0</v>
      </c>
      <c r="DL58">
        <f t="shared" si="51"/>
        <v>0</v>
      </c>
      <c r="DM58">
        <f t="shared" si="45"/>
        <v>0</v>
      </c>
      <c r="DN58">
        <f t="shared" si="46"/>
        <v>0</v>
      </c>
      <c r="DO58">
        <f t="shared" si="52"/>
        <v>0</v>
      </c>
      <c r="DP58">
        <f t="shared" si="50"/>
        <v>0</v>
      </c>
      <c r="DQ58">
        <f>IF(OR(L58=1,L58=3),IFERROR(VLOOKUP($B58,PerutHafkadotMetchilatShanaAvgM!$C$6:$G$100,3,FALSE),0),0)</f>
        <v>0</v>
      </c>
      <c r="DR58">
        <f>IF(OR(L58=2,L58=4),IFERROR(VLOOKUP($B58,PerutHafkadotMetchilatShanaAvgM!$C$6:$G$100,3,FALSE),0),0)</f>
        <v>0</v>
      </c>
      <c r="DS58">
        <f>IFERROR(VLOOKUP($B58,PerutHafkadotMetchilatShanaAvgM!$C$6:$G$100,4,FALSE),0)</f>
        <v>0</v>
      </c>
      <c r="DT58">
        <f>IFERROR(VLOOKUP($B58,Kupa!$D$6:$AA$100,5,FALSE),0)</f>
        <v>0</v>
      </c>
      <c r="DU58">
        <f>IFERROR(VLOOKUP($B58,Kupa!$D$6:$AA$100,6,FALSE),0)</f>
        <v>0</v>
      </c>
      <c r="DV58">
        <f>IFERROR(VLOOKUP($B58,KisuiBKerenPensiaDBWithParams!$D$6:$AP$100,9,FALSE),0)</f>
        <v>0</v>
      </c>
      <c r="DW58">
        <f>IFERROR(VLOOKUP($B58,KisuiBKerenPensiaDBWithParams!$D$6:$AP$100,12,FALSE),0)</f>
        <v>0</v>
      </c>
      <c r="DX58">
        <f>IFERROR(VLOOKUP($B58,KisuiBKerenPensiaDBWithParams!$D$6:$AP$100,13,FALSE),0)</f>
        <v>0</v>
      </c>
      <c r="DY58">
        <f>IFERROR(VLOOKUP($B58,KisuiBKerenPensiaDBWithParams!$D$6:$AP$100,7,FALSE),0)</f>
        <v>0</v>
      </c>
      <c r="DZ58">
        <f>IFERROR(VLOOKUP($B58,KisuiBKerenPensiaDBWithParams!$D$6:$AP$100,17,FALSE),0)</f>
        <v>0</v>
      </c>
      <c r="EA58">
        <f>IFERROR(VLOOKUP($B58,KisuiBKerenPensiaDBWithParams!$D$6:$AP$100,20,FALSE),0)</f>
        <v>0</v>
      </c>
      <c r="EB58">
        <f>IFERROR(VLOOKUP($B58,KisuiBKerenPensiaDBWithParams!$D$6:$AP$100,21,FALSE),0)</f>
        <v>0</v>
      </c>
      <c r="EC58">
        <f t="shared" si="47"/>
        <v>0</v>
      </c>
      <c r="EG58">
        <f>IF(OR(G58=MyData!$J$50,G58=MyData!$J$51,G58=MyData!$J$52),1,IF(G58=MyData!$J$49,2,0))</f>
        <v>0</v>
      </c>
    </row>
    <row r="59" spans="1:137">
      <c r="A59">
        <f t="shared" si="48"/>
        <v>0</v>
      </c>
      <c r="B59" s="20">
        <f>RicusPolice!E56</f>
        <v>0</v>
      </c>
      <c r="C59" s="20">
        <f>RicusPolice!AL56</f>
        <v>0</v>
      </c>
      <c r="D59" s="20">
        <f>RicusPolice!F56</f>
        <v>0</v>
      </c>
      <c r="E59" s="20">
        <f>RicusPolice!R56</f>
        <v>0</v>
      </c>
      <c r="F59" s="20">
        <f>RicusPolice!N56</f>
        <v>0</v>
      </c>
      <c r="G59" s="20">
        <f>IFERROR(VLOOKUP($B59,PerutYitrot!$D$6:$P$100,4,FALSE),0)</f>
        <v>0</v>
      </c>
      <c r="H59" s="20">
        <f t="shared" si="4"/>
        <v>0</v>
      </c>
      <c r="I59" s="20">
        <f>RicusPolice!L56</f>
        <v>0</v>
      </c>
      <c r="J59" s="179">
        <f>IFERROR(VLOOKUP(TRIM(K59),MyData!$J$43:$K$49,2,FALSE),0)</f>
        <v>0</v>
      </c>
      <c r="K59" s="20">
        <f>RicusPolice!M56</f>
        <v>0</v>
      </c>
      <c r="L59" s="20">
        <f>RicusPolice!AM56</f>
        <v>0</v>
      </c>
      <c r="M59" s="20" t="str">
        <f>IF(B59&gt;0,RicusPolice!Y56," ")</f>
        <v xml:space="preserve"> </v>
      </c>
      <c r="N59" s="20" t="str">
        <f t="shared" si="5"/>
        <v/>
      </c>
      <c r="O59" s="20">
        <f>RicusPolice!N56</f>
        <v>0</v>
      </c>
      <c r="P59" s="20">
        <f>IFERROR(VLOOKUP(B59,PerutMasluleiHashkaa!$D$6:$R$100,4,FALSE),0)</f>
        <v>0</v>
      </c>
      <c r="Q59" s="19"/>
      <c r="R59" s="20">
        <f>RicusPolice!P56</f>
        <v>0</v>
      </c>
      <c r="S59" s="20"/>
      <c r="T59" s="21">
        <f>'נתונים ידניים'!H59</f>
        <v>0</v>
      </c>
      <c r="U59" s="21"/>
      <c r="V59" s="20">
        <f>PerutHafrashotLePolisa!E56</f>
        <v>0</v>
      </c>
      <c r="W59" s="20">
        <f>PerutHafrashotLePolisa!F56</f>
        <v>0</v>
      </c>
      <c r="X59" s="20">
        <f>PerutHafrashotLePolisa!G56</f>
        <v>0</v>
      </c>
      <c r="Y59">
        <f t="shared" si="6"/>
        <v>0</v>
      </c>
      <c r="Z59">
        <f>IFERROR(VLOOKUP(B59,PirteiHaasaka!$D$6:$R$100,5,FALSE),0)</f>
        <v>0</v>
      </c>
      <c r="AB59">
        <f>IFERROR(VLOOKUP(B59,HafkadotMetchilatShanaAverages!$D$6:$E$100,2,FALSE),0)</f>
        <v>0</v>
      </c>
      <c r="AF59">
        <f>IFERROR(VLOOKUP(B59,CrossTabYitraLeTkufa_till_2000!$D$6:$AB$100,6,FALSE),0)+IFERROR(VLOOKUP(B59,CrossTabYitraLeTkufa_after_2000!$D$6:$AB$100,6,FALSE),0)</f>
        <v>0</v>
      </c>
      <c r="AG59">
        <f>IFERROR(VLOOKUP(B59,CrossTabYitraLeTkufa_till_2000!$D$6:$AB$100,16,FALSE),0)</f>
        <v>0</v>
      </c>
      <c r="AH59">
        <f>IFERROR(VLOOKUP(B59,CrossTabYitraLeTkufa_after_2000!$D$6:$AB$100,16,FALSE),0)</f>
        <v>0</v>
      </c>
      <c r="AI59">
        <f>IFERROR(VLOOKUP(B59,CrossTabYitraLeTkufa_till_2000!$D$6:$AB$100,17,FALSE),0)</f>
        <v>0</v>
      </c>
      <c r="AJ59">
        <f>IFERROR(VLOOKUP(B59,CrossTabYitraLeTkufa_after_2000!$D$6:$AB$100,17,FALSE),0)</f>
        <v>0</v>
      </c>
      <c r="AK59" s="5">
        <f t="shared" si="7"/>
        <v>0</v>
      </c>
      <c r="AN59">
        <f>IFERROR(VLOOKUP(B59,PirteiKisuiBeMutzar_procerur!$C$6:$AA$100,2,FALSE),0)</f>
        <v>0</v>
      </c>
      <c r="AP59">
        <f>IFERROR(VLOOKUP($B59,PirteiKisuiBeMutzar_procerur!$C$6:$AA$100,5,FALSE),0)</f>
        <v>0</v>
      </c>
      <c r="AQ59">
        <f>IFERROR(VLOOKUP($B59,PirteiKisuiBeMutzar_procerur!$C$6:$AA$100,3,FALSE),0)</f>
        <v>0</v>
      </c>
      <c r="AR59">
        <f>IFERROR(VLOOKUP($B59,PirteiKisuiBeMutzar_procerur!$C$6:$AA$100,6,FALSE),0)</f>
        <v>0</v>
      </c>
      <c r="AS59">
        <f>IFERROR(VLOOKUP($B59,PirteiKisuiBeMutzar_procerur!$C$6:$AA$100,7,FALSE),0)</f>
        <v>0</v>
      </c>
      <c r="AW59">
        <f t="shared" si="8"/>
        <v>0</v>
      </c>
      <c r="AX59">
        <f t="shared" si="9"/>
        <v>0</v>
      </c>
      <c r="AY59">
        <f t="shared" si="10"/>
        <v>0</v>
      </c>
      <c r="AZ59">
        <f t="shared" si="11"/>
        <v>0</v>
      </c>
      <c r="BA59">
        <f t="shared" si="12"/>
        <v>0</v>
      </c>
      <c r="BB59">
        <f t="shared" si="13"/>
        <v>0</v>
      </c>
      <c r="BC59">
        <f t="shared" si="14"/>
        <v>0</v>
      </c>
      <c r="BD59">
        <f t="shared" si="15"/>
        <v>0</v>
      </c>
      <c r="BE59">
        <f t="shared" si="16"/>
        <v>0</v>
      </c>
      <c r="BF59">
        <f t="shared" si="49"/>
        <v>0</v>
      </c>
      <c r="BG59">
        <f t="shared" si="17"/>
        <v>0</v>
      </c>
      <c r="BH59">
        <f t="shared" si="18"/>
        <v>0</v>
      </c>
      <c r="BI59">
        <f t="shared" si="19"/>
        <v>0</v>
      </c>
      <c r="BK59">
        <f t="shared" si="20"/>
        <v>0</v>
      </c>
      <c r="BL59">
        <f t="shared" si="21"/>
        <v>0</v>
      </c>
      <c r="BM59">
        <f t="shared" si="22"/>
        <v>0</v>
      </c>
      <c r="BN59">
        <f t="shared" si="23"/>
        <v>0</v>
      </c>
      <c r="BO59">
        <f t="shared" si="24"/>
        <v>0</v>
      </c>
      <c r="BR59">
        <f t="shared" si="25"/>
        <v>0</v>
      </c>
      <c r="BS59">
        <f t="shared" si="26"/>
        <v>0</v>
      </c>
      <c r="BT59">
        <f t="shared" si="27"/>
        <v>0</v>
      </c>
      <c r="BU59">
        <f t="shared" si="28"/>
        <v>0</v>
      </c>
      <c r="BV59">
        <f t="shared" si="29"/>
        <v>0</v>
      </c>
      <c r="BX59">
        <f t="shared" si="30"/>
        <v>0</v>
      </c>
      <c r="BY59">
        <f t="shared" si="31"/>
        <v>0</v>
      </c>
      <c r="BZ59">
        <f t="shared" si="32"/>
        <v>0</v>
      </c>
      <c r="CA59">
        <f t="shared" si="33"/>
        <v>0</v>
      </c>
      <c r="CB59">
        <f t="shared" si="34"/>
        <v>0</v>
      </c>
      <c r="CE59">
        <f t="shared" si="35"/>
        <v>0</v>
      </c>
      <c r="CF59">
        <f t="shared" si="36"/>
        <v>0</v>
      </c>
      <c r="CG59">
        <f t="shared" si="37"/>
        <v>0</v>
      </c>
      <c r="CH59">
        <f t="shared" si="38"/>
        <v>0</v>
      </c>
      <c r="CI59">
        <f t="shared" si="39"/>
        <v>0</v>
      </c>
      <c r="CL59">
        <f t="shared" si="40"/>
        <v>0</v>
      </c>
      <c r="CM59">
        <f t="shared" si="41"/>
        <v>0</v>
      </c>
      <c r="CN59">
        <f t="shared" si="42"/>
        <v>0</v>
      </c>
      <c r="CO59">
        <f t="shared" si="43"/>
        <v>0</v>
      </c>
      <c r="CP59">
        <f t="shared" si="44"/>
        <v>0</v>
      </c>
      <c r="CQ59">
        <f>IFERROR(VLOOKUP($B59,SchumeiBituahYesodi!$C$6:$AA$100,8,FALSE),0)</f>
        <v>0</v>
      </c>
      <c r="CR59">
        <f>IFERROR(VLOOKUP($B59,PirteiKisuiBeMutzar_procerur!$C$6:$AA$100,2,FALSE),0)</f>
        <v>0</v>
      </c>
      <c r="CS59">
        <f>IFERROR(VLOOKUP($B59,PirteiKisuiBeMutzar_procerur!$C$6:$AA$100,3,FALSE),0)</f>
        <v>0</v>
      </c>
      <c r="CT59">
        <f>IFERROR(VLOOKUP($B59,PirteiKisuiBeMutzar_procerur!$C$6:$AA$100,4,FALSE),0)</f>
        <v>0</v>
      </c>
      <c r="CU59">
        <f>IFERROR(VLOOKUP($B59,PirteiKisuiBeMutzar_procerur!$C$6:$AA$100,5,FALSE),0)</f>
        <v>0</v>
      </c>
      <c r="CV59">
        <f>IFERROR(VLOOKUP($B59,PirteiKisuiBeMutzar_procerur!$C$6:$AA$100,6,FALSE),0)</f>
        <v>0</v>
      </c>
      <c r="CW59">
        <f>IFERROR(VLOOKUP($B59,PirteiKisuiBeMutzar_procerur!$C$6:$AA$100,7,FALSE),0)</f>
        <v>0</v>
      </c>
      <c r="CX59">
        <f>IFERROR(VLOOKUP($B59,PirteiKisuiBeMutzar_procerur!$C$6:$AA$100,8,FALSE),0)</f>
        <v>0</v>
      </c>
      <c r="CY59">
        <f>IFERROR(VLOOKUP($B59,PirteiKisuiBeMutzar_procerur!$C$6:$AA$100,9,FALSE),0)</f>
        <v>0</v>
      </c>
      <c r="CZ59">
        <f>IFERROR(VLOOKUP($B59,PirteiKisuiBeMutzar_procerur!$C$6:$AA$100,10,FALSE),0)</f>
        <v>0</v>
      </c>
      <c r="DA59">
        <f>IFERROR(VLOOKUP($B59,PirteiKisuiBeMutzar_procerur!$C$6:$AA$100,11,FALSE),0)</f>
        <v>0</v>
      </c>
      <c r="DB59">
        <f>IFERROR(VLOOKUP($B59,PirteiKisuiBeMutzarPrmia!$C$6:$AA$100,2,FALSE),0)</f>
        <v>0</v>
      </c>
      <c r="DC59">
        <f>IFERROR(VLOOKUP($B59,PirteiKisuiBeMutzarPrmia!$C$6:$AA$100,3,FALSE),0)</f>
        <v>0</v>
      </c>
      <c r="DD59">
        <f>IFERROR(VLOOKUP($B59,PirteiKisuiBeMutzarPrmia!$C$6:$AA$100,4,FALSE),0)</f>
        <v>0</v>
      </c>
      <c r="DE59">
        <f>IFERROR(VLOOKUP($B59,PirteiKisuiBeMutzarPrmia!$C$6:$AA$100,5,FALSE),0)</f>
        <v>0</v>
      </c>
      <c r="DF59">
        <f>IFERROR(VLOOKUP($B59,PirteiKisuiBeMutzarPrmia!$C$6:$AA$100,6,FALSE),0)</f>
        <v>0</v>
      </c>
      <c r="DG59">
        <f>IFERROR(VLOOKUP($B59,PirteiKisuiBeMutzarPrmia!$C$6:$AA$100,7,FALSE),0)</f>
        <v>0</v>
      </c>
      <c r="DH59">
        <f>IFERROR(VLOOKUP($B59,PirteiKisuiBeMutzarPrmia!$C$6:$AA$100,8,FALSE),0)</f>
        <v>0</v>
      </c>
      <c r="DI59">
        <f>IFERROR(VLOOKUP($B59,PirteiKisuiBeMutzarPrmia!$C$6:$AA$100,9,FALSE),0)</f>
        <v>0</v>
      </c>
      <c r="DJ59">
        <f>IFERROR(VLOOKUP($B59,PirteiKisuiBeMutzarPrmia!$C$6:$AA$100,10,FALSE),0)</f>
        <v>0</v>
      </c>
      <c r="DK59">
        <f>IFERROR(VLOOKUP($B59,PirteiKisuiBeMutzarPrmia!$C$6:$AA$100,11,FALSE),0)</f>
        <v>0</v>
      </c>
      <c r="DL59">
        <f t="shared" si="51"/>
        <v>0</v>
      </c>
      <c r="DM59">
        <f t="shared" si="45"/>
        <v>0</v>
      </c>
      <c r="DN59">
        <f t="shared" si="46"/>
        <v>0</v>
      </c>
      <c r="DO59">
        <f t="shared" si="52"/>
        <v>0</v>
      </c>
      <c r="DP59">
        <f t="shared" si="50"/>
        <v>0</v>
      </c>
      <c r="DQ59">
        <f>IF(OR(L59=1,L59=3),IFERROR(VLOOKUP($B59,PerutHafkadotMetchilatShanaAvgM!$C$6:$G$100,3,FALSE),0),0)</f>
        <v>0</v>
      </c>
      <c r="DR59">
        <f>IF(OR(L59=2,L59=4),IFERROR(VLOOKUP($B59,PerutHafkadotMetchilatShanaAvgM!$C$6:$G$100,3,FALSE),0),0)</f>
        <v>0</v>
      </c>
      <c r="DS59">
        <f>IFERROR(VLOOKUP($B59,PerutHafkadotMetchilatShanaAvgM!$C$6:$G$100,4,FALSE),0)</f>
        <v>0</v>
      </c>
      <c r="DT59">
        <f>IFERROR(VLOOKUP($B59,Kupa!$D$6:$AA$100,5,FALSE),0)</f>
        <v>0</v>
      </c>
      <c r="DU59">
        <f>IFERROR(VLOOKUP($B59,Kupa!$D$6:$AA$100,6,FALSE),0)</f>
        <v>0</v>
      </c>
      <c r="DV59">
        <f>IFERROR(VLOOKUP($B59,KisuiBKerenPensiaDBWithParams!$D$6:$AP$100,9,FALSE),0)</f>
        <v>0</v>
      </c>
      <c r="DW59">
        <f>IFERROR(VLOOKUP($B59,KisuiBKerenPensiaDBWithParams!$D$6:$AP$100,12,FALSE),0)</f>
        <v>0</v>
      </c>
      <c r="DX59">
        <f>IFERROR(VLOOKUP($B59,KisuiBKerenPensiaDBWithParams!$D$6:$AP$100,13,FALSE),0)</f>
        <v>0</v>
      </c>
      <c r="DY59">
        <f>IFERROR(VLOOKUP($B59,KisuiBKerenPensiaDBWithParams!$D$6:$AP$100,7,FALSE),0)</f>
        <v>0</v>
      </c>
      <c r="DZ59">
        <f>IFERROR(VLOOKUP($B59,KisuiBKerenPensiaDBWithParams!$D$6:$AP$100,17,FALSE),0)</f>
        <v>0</v>
      </c>
      <c r="EA59">
        <f>IFERROR(VLOOKUP($B59,KisuiBKerenPensiaDBWithParams!$D$6:$AP$100,20,FALSE),0)</f>
        <v>0</v>
      </c>
      <c r="EB59">
        <f>IFERROR(VLOOKUP($B59,KisuiBKerenPensiaDBWithParams!$D$6:$AP$100,21,FALSE),0)</f>
        <v>0</v>
      </c>
      <c r="EC59">
        <f t="shared" si="47"/>
        <v>0</v>
      </c>
      <c r="EG59">
        <f>IF(OR(G59=MyData!$J$50,G59=MyData!$J$51,G59=MyData!$J$52),1,IF(G59=MyData!$J$49,2,0))</f>
        <v>0</v>
      </c>
    </row>
    <row r="60" spans="1:137">
      <c r="A60">
        <f t="shared" si="48"/>
        <v>0</v>
      </c>
      <c r="B60" s="20">
        <f>RicusPolice!E57</f>
        <v>0</v>
      </c>
      <c r="C60" s="20">
        <f>RicusPolice!AL57</f>
        <v>0</v>
      </c>
      <c r="D60" s="20">
        <f>RicusPolice!F57</f>
        <v>0</v>
      </c>
      <c r="E60" s="20">
        <f>RicusPolice!R57</f>
        <v>0</v>
      </c>
      <c r="F60" s="20">
        <f>RicusPolice!N57</f>
        <v>0</v>
      </c>
      <c r="G60" s="20">
        <f>IFERROR(VLOOKUP($B60,PerutYitrot!$D$6:$P$100,4,FALSE),0)</f>
        <v>0</v>
      </c>
      <c r="H60" s="20">
        <f t="shared" si="4"/>
        <v>0</v>
      </c>
      <c r="I60" s="20">
        <f>RicusPolice!L57</f>
        <v>0</v>
      </c>
      <c r="J60" s="179">
        <f>IFERROR(VLOOKUP(TRIM(K60),MyData!$J$43:$K$49,2,FALSE),0)</f>
        <v>0</v>
      </c>
      <c r="K60" s="20">
        <f>RicusPolice!M57</f>
        <v>0</v>
      </c>
      <c r="L60" s="20">
        <f>RicusPolice!AM57</f>
        <v>0</v>
      </c>
      <c r="M60" s="20" t="str">
        <f>IF(B60&gt;0,RicusPolice!Y57," ")</f>
        <v xml:space="preserve"> </v>
      </c>
      <c r="N60" s="20" t="str">
        <f t="shared" si="5"/>
        <v/>
      </c>
      <c r="O60" s="20">
        <f>RicusPolice!N57</f>
        <v>0</v>
      </c>
      <c r="P60" s="20">
        <f>IFERROR(VLOOKUP(B60,PerutMasluleiHashkaa!$D$6:$R$100,4,FALSE),0)</f>
        <v>0</v>
      </c>
      <c r="Q60" s="19"/>
      <c r="R60" s="20">
        <f>RicusPolice!P57</f>
        <v>0</v>
      </c>
      <c r="S60" s="20"/>
      <c r="T60" s="21">
        <f>'נתונים ידניים'!H60</f>
        <v>0</v>
      </c>
      <c r="U60" s="21"/>
      <c r="V60" s="20">
        <f>PerutHafrashotLePolisa!E57</f>
        <v>0</v>
      </c>
      <c r="W60" s="20">
        <f>PerutHafrashotLePolisa!F57</f>
        <v>0</v>
      </c>
      <c r="X60" s="20">
        <f>PerutHafrashotLePolisa!G57</f>
        <v>0</v>
      </c>
      <c r="Y60">
        <f t="shared" si="6"/>
        <v>0</v>
      </c>
      <c r="Z60">
        <f>IFERROR(VLOOKUP(B60,PirteiHaasaka!$D$6:$R$100,5,FALSE),0)</f>
        <v>0</v>
      </c>
      <c r="AB60">
        <f>IFERROR(VLOOKUP(B60,HafkadotMetchilatShanaAverages!$D$6:$E$100,2,FALSE),0)</f>
        <v>0</v>
      </c>
      <c r="AF60">
        <f>IFERROR(VLOOKUP(B60,CrossTabYitraLeTkufa_till_2000!$D$6:$AB$100,6,FALSE),0)+IFERROR(VLOOKUP(B60,CrossTabYitraLeTkufa_after_2000!$D$6:$AB$100,6,FALSE),0)</f>
        <v>0</v>
      </c>
      <c r="AG60">
        <f>IFERROR(VLOOKUP(B60,CrossTabYitraLeTkufa_till_2000!$D$6:$AB$100,16,FALSE),0)</f>
        <v>0</v>
      </c>
      <c r="AH60">
        <f>IFERROR(VLOOKUP(B60,CrossTabYitraLeTkufa_after_2000!$D$6:$AB$100,16,FALSE),0)</f>
        <v>0</v>
      </c>
      <c r="AI60">
        <f>IFERROR(VLOOKUP(B60,CrossTabYitraLeTkufa_till_2000!$D$6:$AB$100,17,FALSE),0)</f>
        <v>0</v>
      </c>
      <c r="AJ60">
        <f>IFERROR(VLOOKUP(B60,CrossTabYitraLeTkufa_after_2000!$D$6:$AB$100,17,FALSE),0)</f>
        <v>0</v>
      </c>
      <c r="AK60" s="5">
        <f t="shared" si="7"/>
        <v>0</v>
      </c>
      <c r="AN60">
        <f>IFERROR(VLOOKUP(B60,PirteiKisuiBeMutzar_procerur!$C$6:$AA$100,2,FALSE),0)</f>
        <v>0</v>
      </c>
      <c r="AP60">
        <f>IFERROR(VLOOKUP($B60,PirteiKisuiBeMutzar_procerur!$C$6:$AA$100,5,FALSE),0)</f>
        <v>0</v>
      </c>
      <c r="AQ60">
        <f>IFERROR(VLOOKUP($B60,PirteiKisuiBeMutzar_procerur!$C$6:$AA$100,3,FALSE),0)</f>
        <v>0</v>
      </c>
      <c r="AR60">
        <f>IFERROR(VLOOKUP($B60,PirteiKisuiBeMutzar_procerur!$C$6:$AA$100,6,FALSE),0)</f>
        <v>0</v>
      </c>
      <c r="AS60">
        <f>IFERROR(VLOOKUP($B60,PirteiKisuiBeMutzar_procerur!$C$6:$AA$100,7,FALSE),0)</f>
        <v>0</v>
      </c>
      <c r="AW60">
        <f t="shared" si="8"/>
        <v>0</v>
      </c>
      <c r="AX60">
        <f t="shared" si="9"/>
        <v>0</v>
      </c>
      <c r="AY60">
        <f t="shared" si="10"/>
        <v>0</v>
      </c>
      <c r="AZ60">
        <f t="shared" si="11"/>
        <v>0</v>
      </c>
      <c r="BA60">
        <f t="shared" si="12"/>
        <v>0</v>
      </c>
      <c r="BB60">
        <f t="shared" si="13"/>
        <v>0</v>
      </c>
      <c r="BC60">
        <f t="shared" si="14"/>
        <v>0</v>
      </c>
      <c r="BD60">
        <f t="shared" si="15"/>
        <v>0</v>
      </c>
      <c r="BE60">
        <f t="shared" si="16"/>
        <v>0</v>
      </c>
      <c r="BF60">
        <f t="shared" si="49"/>
        <v>0</v>
      </c>
      <c r="BG60">
        <f t="shared" si="17"/>
        <v>0</v>
      </c>
      <c r="BH60">
        <f t="shared" si="18"/>
        <v>0</v>
      </c>
      <c r="BI60">
        <f t="shared" si="19"/>
        <v>0</v>
      </c>
      <c r="BK60">
        <f t="shared" si="20"/>
        <v>0</v>
      </c>
      <c r="BL60">
        <f t="shared" si="21"/>
        <v>0</v>
      </c>
      <c r="BM60">
        <f t="shared" si="22"/>
        <v>0</v>
      </c>
      <c r="BN60">
        <f t="shared" si="23"/>
        <v>0</v>
      </c>
      <c r="BO60">
        <f t="shared" si="24"/>
        <v>0</v>
      </c>
      <c r="BR60">
        <f t="shared" si="25"/>
        <v>0</v>
      </c>
      <c r="BS60">
        <f t="shared" si="26"/>
        <v>0</v>
      </c>
      <c r="BT60">
        <f t="shared" si="27"/>
        <v>0</v>
      </c>
      <c r="BU60">
        <f t="shared" si="28"/>
        <v>0</v>
      </c>
      <c r="BV60">
        <f t="shared" si="29"/>
        <v>0</v>
      </c>
      <c r="BX60">
        <f t="shared" si="30"/>
        <v>0</v>
      </c>
      <c r="BY60">
        <f t="shared" si="31"/>
        <v>0</v>
      </c>
      <c r="BZ60">
        <f t="shared" si="32"/>
        <v>0</v>
      </c>
      <c r="CA60">
        <f t="shared" si="33"/>
        <v>0</v>
      </c>
      <c r="CB60">
        <f t="shared" si="34"/>
        <v>0</v>
      </c>
      <c r="CE60">
        <f t="shared" si="35"/>
        <v>0</v>
      </c>
      <c r="CF60">
        <f t="shared" si="36"/>
        <v>0</v>
      </c>
      <c r="CG60">
        <f t="shared" si="37"/>
        <v>0</v>
      </c>
      <c r="CH60">
        <f t="shared" si="38"/>
        <v>0</v>
      </c>
      <c r="CI60">
        <f t="shared" si="39"/>
        <v>0</v>
      </c>
      <c r="CL60">
        <f t="shared" si="40"/>
        <v>0</v>
      </c>
      <c r="CM60">
        <f t="shared" si="41"/>
        <v>0</v>
      </c>
      <c r="CN60">
        <f t="shared" si="42"/>
        <v>0</v>
      </c>
      <c r="CO60">
        <f t="shared" si="43"/>
        <v>0</v>
      </c>
      <c r="CP60">
        <f t="shared" si="44"/>
        <v>0</v>
      </c>
      <c r="CQ60">
        <f>IFERROR(VLOOKUP($B60,SchumeiBituahYesodi!$C$6:$AA$100,8,FALSE),0)</f>
        <v>0</v>
      </c>
      <c r="CR60">
        <f>IFERROR(VLOOKUP($B60,PirteiKisuiBeMutzar_procerur!$C$6:$AA$100,2,FALSE),0)</f>
        <v>0</v>
      </c>
      <c r="CS60">
        <f>IFERROR(VLOOKUP($B60,PirteiKisuiBeMutzar_procerur!$C$6:$AA$100,3,FALSE),0)</f>
        <v>0</v>
      </c>
      <c r="CT60">
        <f>IFERROR(VLOOKUP($B60,PirteiKisuiBeMutzar_procerur!$C$6:$AA$100,4,FALSE),0)</f>
        <v>0</v>
      </c>
      <c r="CU60">
        <f>IFERROR(VLOOKUP($B60,PirteiKisuiBeMutzar_procerur!$C$6:$AA$100,5,FALSE),0)</f>
        <v>0</v>
      </c>
      <c r="CV60">
        <f>IFERROR(VLOOKUP($B60,PirteiKisuiBeMutzar_procerur!$C$6:$AA$100,6,FALSE),0)</f>
        <v>0</v>
      </c>
      <c r="CW60">
        <f>IFERROR(VLOOKUP($B60,PirteiKisuiBeMutzar_procerur!$C$6:$AA$100,7,FALSE),0)</f>
        <v>0</v>
      </c>
      <c r="CX60">
        <f>IFERROR(VLOOKUP($B60,PirteiKisuiBeMutzar_procerur!$C$6:$AA$100,8,FALSE),0)</f>
        <v>0</v>
      </c>
      <c r="CY60">
        <f>IFERROR(VLOOKUP($B60,PirteiKisuiBeMutzar_procerur!$C$6:$AA$100,9,FALSE),0)</f>
        <v>0</v>
      </c>
      <c r="CZ60">
        <f>IFERROR(VLOOKUP($B60,PirteiKisuiBeMutzar_procerur!$C$6:$AA$100,10,FALSE),0)</f>
        <v>0</v>
      </c>
      <c r="DA60">
        <f>IFERROR(VLOOKUP($B60,PirteiKisuiBeMutzar_procerur!$C$6:$AA$100,11,FALSE),0)</f>
        <v>0</v>
      </c>
      <c r="DB60">
        <f>IFERROR(VLOOKUP($B60,PirteiKisuiBeMutzarPrmia!$C$6:$AA$100,2,FALSE),0)</f>
        <v>0</v>
      </c>
      <c r="DC60">
        <f>IFERROR(VLOOKUP($B60,PirteiKisuiBeMutzarPrmia!$C$6:$AA$100,3,FALSE),0)</f>
        <v>0</v>
      </c>
      <c r="DD60">
        <f>IFERROR(VLOOKUP($B60,PirteiKisuiBeMutzarPrmia!$C$6:$AA$100,4,FALSE),0)</f>
        <v>0</v>
      </c>
      <c r="DE60">
        <f>IFERROR(VLOOKUP($B60,PirteiKisuiBeMutzarPrmia!$C$6:$AA$100,5,FALSE),0)</f>
        <v>0</v>
      </c>
      <c r="DF60">
        <f>IFERROR(VLOOKUP($B60,PirteiKisuiBeMutzarPrmia!$C$6:$AA$100,6,FALSE),0)</f>
        <v>0</v>
      </c>
      <c r="DG60">
        <f>IFERROR(VLOOKUP($B60,PirteiKisuiBeMutzarPrmia!$C$6:$AA$100,7,FALSE),0)</f>
        <v>0</v>
      </c>
      <c r="DH60">
        <f>IFERROR(VLOOKUP($B60,PirteiKisuiBeMutzarPrmia!$C$6:$AA$100,8,FALSE),0)</f>
        <v>0</v>
      </c>
      <c r="DI60">
        <f>IFERROR(VLOOKUP($B60,PirteiKisuiBeMutzarPrmia!$C$6:$AA$100,9,FALSE),0)</f>
        <v>0</v>
      </c>
      <c r="DJ60">
        <f>IFERROR(VLOOKUP($B60,PirteiKisuiBeMutzarPrmia!$C$6:$AA$100,10,FALSE),0)</f>
        <v>0</v>
      </c>
      <c r="DK60">
        <f>IFERROR(VLOOKUP($B60,PirteiKisuiBeMutzarPrmia!$C$6:$AA$100,11,FALSE),0)</f>
        <v>0</v>
      </c>
      <c r="DL60">
        <f t="shared" si="51"/>
        <v>0</v>
      </c>
      <c r="DM60">
        <f t="shared" si="45"/>
        <v>0</v>
      </c>
      <c r="DN60">
        <f t="shared" si="46"/>
        <v>0</v>
      </c>
      <c r="DO60">
        <f t="shared" si="52"/>
        <v>0</v>
      </c>
      <c r="DP60">
        <f t="shared" si="50"/>
        <v>0</v>
      </c>
      <c r="DQ60">
        <f>IF(OR(L60=1,L60=3),IFERROR(VLOOKUP($B60,PerutHafkadotMetchilatShanaAvgM!$C$6:$G$100,3,FALSE),0),0)</f>
        <v>0</v>
      </c>
      <c r="DR60">
        <f>IF(OR(L60=2,L60=4),IFERROR(VLOOKUP($B60,PerutHafkadotMetchilatShanaAvgM!$C$6:$G$100,3,FALSE),0),0)</f>
        <v>0</v>
      </c>
      <c r="DS60">
        <f>IFERROR(VLOOKUP($B60,PerutHafkadotMetchilatShanaAvgM!$C$6:$G$100,4,FALSE),0)</f>
        <v>0</v>
      </c>
      <c r="DT60">
        <f>IFERROR(VLOOKUP($B60,Kupa!$D$6:$AA$100,5,FALSE),0)</f>
        <v>0</v>
      </c>
      <c r="DU60">
        <f>IFERROR(VLOOKUP($B60,Kupa!$D$6:$AA$100,6,FALSE),0)</f>
        <v>0</v>
      </c>
      <c r="DV60">
        <f>IFERROR(VLOOKUP($B60,KisuiBKerenPensiaDBWithParams!$D$6:$AP$100,9,FALSE),0)</f>
        <v>0</v>
      </c>
      <c r="DW60">
        <f>IFERROR(VLOOKUP($B60,KisuiBKerenPensiaDBWithParams!$D$6:$AP$100,12,FALSE),0)</f>
        <v>0</v>
      </c>
      <c r="DX60">
        <f>IFERROR(VLOOKUP($B60,KisuiBKerenPensiaDBWithParams!$D$6:$AP$100,13,FALSE),0)</f>
        <v>0</v>
      </c>
      <c r="DY60">
        <f>IFERROR(VLOOKUP($B60,KisuiBKerenPensiaDBWithParams!$D$6:$AP$100,7,FALSE),0)</f>
        <v>0</v>
      </c>
      <c r="DZ60">
        <f>IFERROR(VLOOKUP($B60,KisuiBKerenPensiaDBWithParams!$D$6:$AP$100,17,FALSE),0)</f>
        <v>0</v>
      </c>
      <c r="EA60">
        <f>IFERROR(VLOOKUP($B60,KisuiBKerenPensiaDBWithParams!$D$6:$AP$100,20,FALSE),0)</f>
        <v>0</v>
      </c>
      <c r="EB60">
        <f>IFERROR(VLOOKUP($B60,KisuiBKerenPensiaDBWithParams!$D$6:$AP$100,21,FALSE),0)</f>
        <v>0</v>
      </c>
      <c r="EC60">
        <f t="shared" si="47"/>
        <v>0</v>
      </c>
      <c r="EG60">
        <f>IF(OR(G60=MyData!$J$50,G60=MyData!$J$51,G60=MyData!$J$52),1,IF(G60=MyData!$J$49,2,0))</f>
        <v>0</v>
      </c>
    </row>
    <row r="61" spans="1:137">
      <c r="A61">
        <f t="shared" si="48"/>
        <v>0</v>
      </c>
      <c r="B61" s="20">
        <f>RicusPolice!E58</f>
        <v>0</v>
      </c>
      <c r="C61" s="20">
        <f>RicusPolice!AL58</f>
        <v>0</v>
      </c>
      <c r="D61" s="20">
        <f>RicusPolice!F58</f>
        <v>0</v>
      </c>
      <c r="E61" s="20">
        <f>RicusPolice!R58</f>
        <v>0</v>
      </c>
      <c r="F61" s="20">
        <f>RicusPolice!N58</f>
        <v>0</v>
      </c>
      <c r="G61" s="20">
        <f>IFERROR(VLOOKUP($B61,PerutYitrot!$D$6:$P$100,4,FALSE),0)</f>
        <v>0</v>
      </c>
      <c r="H61" s="20">
        <f t="shared" si="4"/>
        <v>0</v>
      </c>
      <c r="I61" s="20">
        <f>RicusPolice!L58</f>
        <v>0</v>
      </c>
      <c r="J61" s="179">
        <f>IFERROR(VLOOKUP(TRIM(K61),MyData!$J$43:$K$49,2,FALSE),0)</f>
        <v>0</v>
      </c>
      <c r="K61" s="20">
        <f>RicusPolice!M58</f>
        <v>0</v>
      </c>
      <c r="L61" s="20">
        <f>RicusPolice!AM58</f>
        <v>0</v>
      </c>
      <c r="M61" s="20" t="str">
        <f>IF(B61&gt;0,RicusPolice!Y58," ")</f>
        <v xml:space="preserve"> </v>
      </c>
      <c r="N61" s="20" t="str">
        <f t="shared" si="5"/>
        <v/>
      </c>
      <c r="O61" s="20">
        <f>RicusPolice!N58</f>
        <v>0</v>
      </c>
      <c r="P61" s="20">
        <f>IFERROR(VLOOKUP(B61,PerutMasluleiHashkaa!$D$6:$R$100,4,FALSE),0)</f>
        <v>0</v>
      </c>
      <c r="Q61" s="19"/>
      <c r="R61" s="20">
        <f>RicusPolice!P58</f>
        <v>0</v>
      </c>
      <c r="S61" s="20"/>
      <c r="T61" s="21">
        <f>'נתונים ידניים'!H61</f>
        <v>0</v>
      </c>
      <c r="U61" s="21"/>
      <c r="V61" s="20">
        <f>PerutHafrashotLePolisa!E58</f>
        <v>0</v>
      </c>
      <c r="W61" s="20">
        <f>PerutHafrashotLePolisa!F58</f>
        <v>0</v>
      </c>
      <c r="X61" s="20">
        <f>PerutHafrashotLePolisa!G58</f>
        <v>0</v>
      </c>
      <c r="Y61">
        <f t="shared" si="6"/>
        <v>0</v>
      </c>
      <c r="Z61">
        <f>IFERROR(VLOOKUP(B61,PirteiHaasaka!$D$6:$R$100,5,FALSE),0)</f>
        <v>0</v>
      </c>
      <c r="AB61">
        <f>IFERROR(VLOOKUP(B61,HafkadotMetchilatShanaAverages!$D$6:$E$100,2,FALSE),0)</f>
        <v>0</v>
      </c>
      <c r="AF61">
        <f>IFERROR(VLOOKUP(B61,CrossTabYitraLeTkufa_till_2000!$D$6:$AB$100,6,FALSE),0)+IFERROR(VLOOKUP(B61,CrossTabYitraLeTkufa_after_2000!$D$6:$AB$100,6,FALSE),0)</f>
        <v>0</v>
      </c>
      <c r="AG61">
        <f>IFERROR(VLOOKUP(B61,CrossTabYitraLeTkufa_till_2000!$D$6:$AB$100,16,FALSE),0)</f>
        <v>0</v>
      </c>
      <c r="AH61">
        <f>IFERROR(VLOOKUP(B61,CrossTabYitraLeTkufa_after_2000!$D$6:$AB$100,16,FALSE),0)</f>
        <v>0</v>
      </c>
      <c r="AI61">
        <f>IFERROR(VLOOKUP(B61,CrossTabYitraLeTkufa_till_2000!$D$6:$AB$100,17,FALSE),0)</f>
        <v>0</v>
      </c>
      <c r="AJ61">
        <f>IFERROR(VLOOKUP(B61,CrossTabYitraLeTkufa_after_2000!$D$6:$AB$100,17,FALSE),0)</f>
        <v>0</v>
      </c>
      <c r="AK61" s="5">
        <f t="shared" si="7"/>
        <v>0</v>
      </c>
      <c r="AN61">
        <f>IFERROR(VLOOKUP(B61,PirteiKisuiBeMutzar_procerur!$C$6:$AA$100,2,FALSE),0)</f>
        <v>0</v>
      </c>
      <c r="AP61">
        <f>IFERROR(VLOOKUP($B61,PirteiKisuiBeMutzar_procerur!$C$6:$AA$100,5,FALSE),0)</f>
        <v>0</v>
      </c>
      <c r="AQ61">
        <f>IFERROR(VLOOKUP($B61,PirteiKisuiBeMutzar_procerur!$C$6:$AA$100,3,FALSE),0)</f>
        <v>0</v>
      </c>
      <c r="AR61">
        <f>IFERROR(VLOOKUP($B61,PirteiKisuiBeMutzar_procerur!$C$6:$AA$100,6,FALSE),0)</f>
        <v>0</v>
      </c>
      <c r="AS61">
        <f>IFERROR(VLOOKUP($B61,PirteiKisuiBeMutzar_procerur!$C$6:$AA$100,7,FALSE),0)</f>
        <v>0</v>
      </c>
      <c r="AW61">
        <f t="shared" si="8"/>
        <v>0</v>
      </c>
      <c r="AX61">
        <f t="shared" si="9"/>
        <v>0</v>
      </c>
      <c r="AY61">
        <f t="shared" si="10"/>
        <v>0</v>
      </c>
      <c r="AZ61">
        <f t="shared" si="11"/>
        <v>0</v>
      </c>
      <c r="BA61">
        <f t="shared" si="12"/>
        <v>0</v>
      </c>
      <c r="BB61">
        <f t="shared" si="13"/>
        <v>0</v>
      </c>
      <c r="BC61">
        <f t="shared" si="14"/>
        <v>0</v>
      </c>
      <c r="BD61">
        <f t="shared" si="15"/>
        <v>0</v>
      </c>
      <c r="BE61">
        <f t="shared" si="16"/>
        <v>0</v>
      </c>
      <c r="BF61">
        <f t="shared" si="49"/>
        <v>0</v>
      </c>
      <c r="BG61">
        <f t="shared" si="17"/>
        <v>0</v>
      </c>
      <c r="BH61">
        <f t="shared" si="18"/>
        <v>0</v>
      </c>
      <c r="BI61">
        <f t="shared" si="19"/>
        <v>0</v>
      </c>
      <c r="BK61">
        <f t="shared" si="20"/>
        <v>0</v>
      </c>
      <c r="BL61">
        <f t="shared" si="21"/>
        <v>0</v>
      </c>
      <c r="BM61">
        <f t="shared" si="22"/>
        <v>0</v>
      </c>
      <c r="BN61">
        <f t="shared" si="23"/>
        <v>0</v>
      </c>
      <c r="BO61">
        <f t="shared" si="24"/>
        <v>0</v>
      </c>
      <c r="BR61">
        <f t="shared" si="25"/>
        <v>0</v>
      </c>
      <c r="BS61">
        <f t="shared" si="26"/>
        <v>0</v>
      </c>
      <c r="BT61">
        <f t="shared" si="27"/>
        <v>0</v>
      </c>
      <c r="BU61">
        <f t="shared" si="28"/>
        <v>0</v>
      </c>
      <c r="BV61">
        <f t="shared" si="29"/>
        <v>0</v>
      </c>
      <c r="BX61">
        <f t="shared" si="30"/>
        <v>0</v>
      </c>
      <c r="BY61">
        <f t="shared" si="31"/>
        <v>0</v>
      </c>
      <c r="BZ61">
        <f t="shared" si="32"/>
        <v>0</v>
      </c>
      <c r="CA61">
        <f t="shared" si="33"/>
        <v>0</v>
      </c>
      <c r="CB61">
        <f t="shared" si="34"/>
        <v>0</v>
      </c>
      <c r="CE61">
        <f t="shared" si="35"/>
        <v>0</v>
      </c>
      <c r="CF61">
        <f t="shared" si="36"/>
        <v>0</v>
      </c>
      <c r="CG61">
        <f t="shared" si="37"/>
        <v>0</v>
      </c>
      <c r="CH61">
        <f t="shared" si="38"/>
        <v>0</v>
      </c>
      <c r="CI61">
        <f t="shared" si="39"/>
        <v>0</v>
      </c>
      <c r="CL61">
        <f t="shared" si="40"/>
        <v>0</v>
      </c>
      <c r="CM61">
        <f t="shared" si="41"/>
        <v>0</v>
      </c>
      <c r="CN61">
        <f t="shared" si="42"/>
        <v>0</v>
      </c>
      <c r="CO61">
        <f t="shared" si="43"/>
        <v>0</v>
      </c>
      <c r="CP61">
        <f t="shared" si="44"/>
        <v>0</v>
      </c>
      <c r="CQ61">
        <f>IFERROR(VLOOKUP($B61,SchumeiBituahYesodi!$C$6:$AA$100,8,FALSE),0)</f>
        <v>0</v>
      </c>
      <c r="CR61">
        <f>IFERROR(VLOOKUP($B61,PirteiKisuiBeMutzar_procerur!$C$6:$AA$100,2,FALSE),0)</f>
        <v>0</v>
      </c>
      <c r="CS61">
        <f>IFERROR(VLOOKUP($B61,PirteiKisuiBeMutzar_procerur!$C$6:$AA$100,3,FALSE),0)</f>
        <v>0</v>
      </c>
      <c r="CT61">
        <f>IFERROR(VLOOKUP($B61,PirteiKisuiBeMutzar_procerur!$C$6:$AA$100,4,FALSE),0)</f>
        <v>0</v>
      </c>
      <c r="CU61">
        <f>IFERROR(VLOOKUP($B61,PirteiKisuiBeMutzar_procerur!$C$6:$AA$100,5,FALSE),0)</f>
        <v>0</v>
      </c>
      <c r="CV61">
        <f>IFERROR(VLOOKUP($B61,PirteiKisuiBeMutzar_procerur!$C$6:$AA$100,6,FALSE),0)</f>
        <v>0</v>
      </c>
      <c r="CW61">
        <f>IFERROR(VLOOKUP($B61,PirteiKisuiBeMutzar_procerur!$C$6:$AA$100,7,FALSE),0)</f>
        <v>0</v>
      </c>
      <c r="CX61">
        <f>IFERROR(VLOOKUP($B61,PirteiKisuiBeMutzar_procerur!$C$6:$AA$100,8,FALSE),0)</f>
        <v>0</v>
      </c>
      <c r="CY61">
        <f>IFERROR(VLOOKUP($B61,PirteiKisuiBeMutzar_procerur!$C$6:$AA$100,9,FALSE),0)</f>
        <v>0</v>
      </c>
      <c r="CZ61">
        <f>IFERROR(VLOOKUP($B61,PirteiKisuiBeMutzar_procerur!$C$6:$AA$100,10,FALSE),0)</f>
        <v>0</v>
      </c>
      <c r="DA61">
        <f>IFERROR(VLOOKUP($B61,PirteiKisuiBeMutzar_procerur!$C$6:$AA$100,11,FALSE),0)</f>
        <v>0</v>
      </c>
      <c r="DB61">
        <f>IFERROR(VLOOKUP($B61,PirteiKisuiBeMutzarPrmia!$C$6:$AA$100,2,FALSE),0)</f>
        <v>0</v>
      </c>
      <c r="DC61">
        <f>IFERROR(VLOOKUP($B61,PirteiKisuiBeMutzarPrmia!$C$6:$AA$100,3,FALSE),0)</f>
        <v>0</v>
      </c>
      <c r="DD61">
        <f>IFERROR(VLOOKUP($B61,PirteiKisuiBeMutzarPrmia!$C$6:$AA$100,4,FALSE),0)</f>
        <v>0</v>
      </c>
      <c r="DE61">
        <f>IFERROR(VLOOKUP($B61,PirteiKisuiBeMutzarPrmia!$C$6:$AA$100,5,FALSE),0)</f>
        <v>0</v>
      </c>
      <c r="DF61">
        <f>IFERROR(VLOOKUP($B61,PirteiKisuiBeMutzarPrmia!$C$6:$AA$100,6,FALSE),0)</f>
        <v>0</v>
      </c>
      <c r="DG61">
        <f>IFERROR(VLOOKUP($B61,PirteiKisuiBeMutzarPrmia!$C$6:$AA$100,7,FALSE),0)</f>
        <v>0</v>
      </c>
      <c r="DH61">
        <f>IFERROR(VLOOKUP($B61,PirteiKisuiBeMutzarPrmia!$C$6:$AA$100,8,FALSE),0)</f>
        <v>0</v>
      </c>
      <c r="DI61">
        <f>IFERROR(VLOOKUP($B61,PirteiKisuiBeMutzarPrmia!$C$6:$AA$100,9,FALSE),0)</f>
        <v>0</v>
      </c>
      <c r="DJ61">
        <f>IFERROR(VLOOKUP($B61,PirteiKisuiBeMutzarPrmia!$C$6:$AA$100,10,FALSE),0)</f>
        <v>0</v>
      </c>
      <c r="DK61">
        <f>IFERROR(VLOOKUP($B61,PirteiKisuiBeMutzarPrmia!$C$6:$AA$100,11,FALSE),0)</f>
        <v>0</v>
      </c>
      <c r="DL61">
        <f t="shared" si="51"/>
        <v>0</v>
      </c>
      <c r="DM61">
        <f t="shared" si="45"/>
        <v>0</v>
      </c>
      <c r="DN61">
        <f t="shared" si="46"/>
        <v>0</v>
      </c>
      <c r="DO61">
        <f t="shared" si="52"/>
        <v>0</v>
      </c>
      <c r="DP61">
        <f t="shared" si="50"/>
        <v>0</v>
      </c>
      <c r="DQ61">
        <f>IF(OR(L61=1,L61=3),IFERROR(VLOOKUP($B61,PerutHafkadotMetchilatShanaAvgM!$C$6:$G$100,3,FALSE),0),0)</f>
        <v>0</v>
      </c>
      <c r="DR61">
        <f>IF(OR(L61=2,L61=4),IFERROR(VLOOKUP($B61,PerutHafkadotMetchilatShanaAvgM!$C$6:$G$100,3,FALSE),0),0)</f>
        <v>0</v>
      </c>
      <c r="DS61">
        <f>IFERROR(VLOOKUP($B61,PerutHafkadotMetchilatShanaAvgM!$C$6:$G$100,4,FALSE),0)</f>
        <v>0</v>
      </c>
      <c r="DT61">
        <f>IFERROR(VLOOKUP($B61,Kupa!$D$6:$AA$100,5,FALSE),0)</f>
        <v>0</v>
      </c>
      <c r="DU61">
        <f>IFERROR(VLOOKUP($B61,Kupa!$D$6:$AA$100,6,FALSE),0)</f>
        <v>0</v>
      </c>
      <c r="DV61">
        <f>IFERROR(VLOOKUP($B61,KisuiBKerenPensiaDBWithParams!$D$6:$AP$100,9,FALSE),0)</f>
        <v>0</v>
      </c>
      <c r="DW61">
        <f>IFERROR(VLOOKUP($B61,KisuiBKerenPensiaDBWithParams!$D$6:$AP$100,12,FALSE),0)</f>
        <v>0</v>
      </c>
      <c r="DX61">
        <f>IFERROR(VLOOKUP($B61,KisuiBKerenPensiaDBWithParams!$D$6:$AP$100,13,FALSE),0)</f>
        <v>0</v>
      </c>
      <c r="DY61">
        <f>IFERROR(VLOOKUP($B61,KisuiBKerenPensiaDBWithParams!$D$6:$AP$100,7,FALSE),0)</f>
        <v>0</v>
      </c>
      <c r="DZ61">
        <f>IFERROR(VLOOKUP($B61,KisuiBKerenPensiaDBWithParams!$D$6:$AP$100,17,FALSE),0)</f>
        <v>0</v>
      </c>
      <c r="EA61">
        <f>IFERROR(VLOOKUP($B61,KisuiBKerenPensiaDBWithParams!$D$6:$AP$100,20,FALSE),0)</f>
        <v>0</v>
      </c>
      <c r="EB61">
        <f>IFERROR(VLOOKUP($B61,KisuiBKerenPensiaDBWithParams!$D$6:$AP$100,21,FALSE),0)</f>
        <v>0</v>
      </c>
      <c r="EC61">
        <f t="shared" si="47"/>
        <v>0</v>
      </c>
      <c r="EG61">
        <f>IF(OR(G61=MyData!$J$50,G61=MyData!$J$51,G61=MyData!$J$52),1,IF(G61=MyData!$J$49,2,0))</f>
        <v>0</v>
      </c>
    </row>
    <row r="62" spans="1:137">
      <c r="A62">
        <f t="shared" si="48"/>
        <v>0</v>
      </c>
      <c r="B62" s="20">
        <f>RicusPolice!E59</f>
        <v>0</v>
      </c>
      <c r="C62" s="20">
        <f>RicusPolice!AL59</f>
        <v>0</v>
      </c>
      <c r="D62" s="20">
        <f>RicusPolice!F59</f>
        <v>0</v>
      </c>
      <c r="E62" s="20">
        <f>RicusPolice!R59</f>
        <v>0</v>
      </c>
      <c r="F62" s="20">
        <f>RicusPolice!N59</f>
        <v>0</v>
      </c>
      <c r="G62" s="20">
        <f>IFERROR(VLOOKUP($B62,PerutYitrot!$D$6:$P$100,4,FALSE),0)</f>
        <v>0</v>
      </c>
      <c r="H62" s="20">
        <f t="shared" si="4"/>
        <v>0</v>
      </c>
      <c r="I62" s="20">
        <f>RicusPolice!L59</f>
        <v>0</v>
      </c>
      <c r="J62" s="179">
        <f>IFERROR(VLOOKUP(TRIM(K62),MyData!$J$43:$K$49,2,FALSE),0)</f>
        <v>0</v>
      </c>
      <c r="K62" s="20">
        <f>RicusPolice!M59</f>
        <v>0</v>
      </c>
      <c r="L62" s="20">
        <f>RicusPolice!AM59</f>
        <v>0</v>
      </c>
      <c r="M62" s="20" t="str">
        <f>IF(B62&gt;0,RicusPolice!Y59," ")</f>
        <v xml:space="preserve"> </v>
      </c>
      <c r="N62" s="20" t="str">
        <f t="shared" si="5"/>
        <v/>
      </c>
      <c r="O62" s="20">
        <f>RicusPolice!N59</f>
        <v>0</v>
      </c>
      <c r="P62" s="20">
        <f>IFERROR(VLOOKUP(B62,PerutMasluleiHashkaa!$D$6:$R$100,4,FALSE),0)</f>
        <v>0</v>
      </c>
      <c r="Q62" s="19"/>
      <c r="R62" s="20">
        <f>RicusPolice!P59</f>
        <v>0</v>
      </c>
      <c r="S62" s="20"/>
      <c r="T62" s="21">
        <f>'נתונים ידניים'!H62</f>
        <v>0</v>
      </c>
      <c r="U62" s="21"/>
      <c r="V62" s="20">
        <f>PerutHafrashotLePolisa!E59</f>
        <v>0</v>
      </c>
      <c r="W62" s="20">
        <f>PerutHafrashotLePolisa!F59</f>
        <v>0</v>
      </c>
      <c r="X62" s="20">
        <f>PerutHafrashotLePolisa!G59</f>
        <v>0</v>
      </c>
      <c r="Y62">
        <f t="shared" si="6"/>
        <v>0</v>
      </c>
      <c r="Z62">
        <f>IFERROR(VLOOKUP(B62,PirteiHaasaka!$D$6:$R$100,5,FALSE),0)</f>
        <v>0</v>
      </c>
      <c r="AB62">
        <f>IFERROR(VLOOKUP(B62,HafkadotMetchilatShanaAverages!$D$6:$E$100,2,FALSE),0)</f>
        <v>0</v>
      </c>
      <c r="AF62">
        <f>IFERROR(VLOOKUP(B62,CrossTabYitraLeTkufa_till_2000!$D$6:$AB$100,6,FALSE),0)+IFERROR(VLOOKUP(B62,CrossTabYitraLeTkufa_after_2000!$D$6:$AB$100,6,FALSE),0)</f>
        <v>0</v>
      </c>
      <c r="AG62">
        <f>IFERROR(VLOOKUP(B62,CrossTabYitraLeTkufa_till_2000!$D$6:$AB$100,16,FALSE),0)</f>
        <v>0</v>
      </c>
      <c r="AH62">
        <f>IFERROR(VLOOKUP(B62,CrossTabYitraLeTkufa_after_2000!$D$6:$AB$100,16,FALSE),0)</f>
        <v>0</v>
      </c>
      <c r="AI62">
        <f>IFERROR(VLOOKUP(B62,CrossTabYitraLeTkufa_till_2000!$D$6:$AB$100,17,FALSE),0)</f>
        <v>0</v>
      </c>
      <c r="AJ62">
        <f>IFERROR(VLOOKUP(B62,CrossTabYitraLeTkufa_after_2000!$D$6:$AB$100,17,FALSE),0)</f>
        <v>0</v>
      </c>
      <c r="AK62" s="5">
        <f t="shared" si="7"/>
        <v>0</v>
      </c>
      <c r="AN62">
        <f>IFERROR(VLOOKUP(B62,PirteiKisuiBeMutzar_procerur!$C$6:$AA$100,2,FALSE),0)</f>
        <v>0</v>
      </c>
      <c r="AP62">
        <f>IFERROR(VLOOKUP($B62,PirteiKisuiBeMutzar_procerur!$C$6:$AA$100,5,FALSE),0)</f>
        <v>0</v>
      </c>
      <c r="AQ62">
        <f>IFERROR(VLOOKUP($B62,PirteiKisuiBeMutzar_procerur!$C$6:$AA$100,3,FALSE),0)</f>
        <v>0</v>
      </c>
      <c r="AR62">
        <f>IFERROR(VLOOKUP($B62,PirteiKisuiBeMutzar_procerur!$C$6:$AA$100,6,FALSE),0)</f>
        <v>0</v>
      </c>
      <c r="AS62">
        <f>IFERROR(VLOOKUP($B62,PirteiKisuiBeMutzar_procerur!$C$6:$AA$100,7,FALSE),0)</f>
        <v>0</v>
      </c>
      <c r="AW62">
        <f t="shared" si="8"/>
        <v>0</v>
      </c>
      <c r="AX62">
        <f t="shared" si="9"/>
        <v>0</v>
      </c>
      <c r="AY62">
        <f t="shared" si="10"/>
        <v>0</v>
      </c>
      <c r="AZ62">
        <f t="shared" si="11"/>
        <v>0</v>
      </c>
      <c r="BA62">
        <f t="shared" si="12"/>
        <v>0</v>
      </c>
      <c r="BB62">
        <f t="shared" si="13"/>
        <v>0</v>
      </c>
      <c r="BC62">
        <f t="shared" si="14"/>
        <v>0</v>
      </c>
      <c r="BD62">
        <f t="shared" si="15"/>
        <v>0</v>
      </c>
      <c r="BE62">
        <f t="shared" si="16"/>
        <v>0</v>
      </c>
      <c r="BF62">
        <f t="shared" si="49"/>
        <v>0</v>
      </c>
      <c r="BG62">
        <f t="shared" si="17"/>
        <v>0</v>
      </c>
      <c r="BH62">
        <f t="shared" si="18"/>
        <v>0</v>
      </c>
      <c r="BI62">
        <f t="shared" si="19"/>
        <v>0</v>
      </c>
      <c r="BK62">
        <f t="shared" si="20"/>
        <v>0</v>
      </c>
      <c r="BL62">
        <f t="shared" si="21"/>
        <v>0</v>
      </c>
      <c r="BM62">
        <f t="shared" si="22"/>
        <v>0</v>
      </c>
      <c r="BN62">
        <f t="shared" si="23"/>
        <v>0</v>
      </c>
      <c r="BO62">
        <f t="shared" si="24"/>
        <v>0</v>
      </c>
      <c r="BR62">
        <f t="shared" si="25"/>
        <v>0</v>
      </c>
      <c r="BS62">
        <f t="shared" si="26"/>
        <v>0</v>
      </c>
      <c r="BT62">
        <f t="shared" si="27"/>
        <v>0</v>
      </c>
      <c r="BU62">
        <f t="shared" si="28"/>
        <v>0</v>
      </c>
      <c r="BV62">
        <f t="shared" si="29"/>
        <v>0</v>
      </c>
      <c r="BX62">
        <f t="shared" si="30"/>
        <v>0</v>
      </c>
      <c r="BY62">
        <f t="shared" si="31"/>
        <v>0</v>
      </c>
      <c r="BZ62">
        <f t="shared" si="32"/>
        <v>0</v>
      </c>
      <c r="CA62">
        <f t="shared" si="33"/>
        <v>0</v>
      </c>
      <c r="CB62">
        <f t="shared" si="34"/>
        <v>0</v>
      </c>
      <c r="CE62">
        <f t="shared" si="35"/>
        <v>0</v>
      </c>
      <c r="CF62">
        <f t="shared" si="36"/>
        <v>0</v>
      </c>
      <c r="CG62">
        <f t="shared" si="37"/>
        <v>0</v>
      </c>
      <c r="CH62">
        <f t="shared" si="38"/>
        <v>0</v>
      </c>
      <c r="CI62">
        <f t="shared" si="39"/>
        <v>0</v>
      </c>
      <c r="CL62">
        <f t="shared" si="40"/>
        <v>0</v>
      </c>
      <c r="CM62">
        <f t="shared" si="41"/>
        <v>0</v>
      </c>
      <c r="CN62">
        <f t="shared" si="42"/>
        <v>0</v>
      </c>
      <c r="CO62">
        <f t="shared" si="43"/>
        <v>0</v>
      </c>
      <c r="CP62">
        <f t="shared" si="44"/>
        <v>0</v>
      </c>
      <c r="CQ62">
        <f>IFERROR(VLOOKUP($B62,SchumeiBituahYesodi!$C$6:$AA$100,8,FALSE),0)</f>
        <v>0</v>
      </c>
      <c r="CR62">
        <f>IFERROR(VLOOKUP($B62,PirteiKisuiBeMutzar_procerur!$C$6:$AA$100,2,FALSE),0)</f>
        <v>0</v>
      </c>
      <c r="CS62">
        <f>IFERROR(VLOOKUP($B62,PirteiKisuiBeMutzar_procerur!$C$6:$AA$100,3,FALSE),0)</f>
        <v>0</v>
      </c>
      <c r="CT62">
        <f>IFERROR(VLOOKUP($B62,PirteiKisuiBeMutzar_procerur!$C$6:$AA$100,4,FALSE),0)</f>
        <v>0</v>
      </c>
      <c r="CU62">
        <f>IFERROR(VLOOKUP($B62,PirteiKisuiBeMutzar_procerur!$C$6:$AA$100,5,FALSE),0)</f>
        <v>0</v>
      </c>
      <c r="CV62">
        <f>IFERROR(VLOOKUP($B62,PirteiKisuiBeMutzar_procerur!$C$6:$AA$100,6,FALSE),0)</f>
        <v>0</v>
      </c>
      <c r="CW62">
        <f>IFERROR(VLOOKUP($B62,PirteiKisuiBeMutzar_procerur!$C$6:$AA$100,7,FALSE),0)</f>
        <v>0</v>
      </c>
      <c r="CX62">
        <f>IFERROR(VLOOKUP($B62,PirteiKisuiBeMutzar_procerur!$C$6:$AA$100,8,FALSE),0)</f>
        <v>0</v>
      </c>
      <c r="CY62">
        <f>IFERROR(VLOOKUP($B62,PirteiKisuiBeMutzar_procerur!$C$6:$AA$100,9,FALSE),0)</f>
        <v>0</v>
      </c>
      <c r="CZ62">
        <f>IFERROR(VLOOKUP($B62,PirteiKisuiBeMutzar_procerur!$C$6:$AA$100,10,FALSE),0)</f>
        <v>0</v>
      </c>
      <c r="DA62">
        <f>IFERROR(VLOOKUP($B62,PirteiKisuiBeMutzar_procerur!$C$6:$AA$100,11,FALSE),0)</f>
        <v>0</v>
      </c>
      <c r="DB62">
        <f>IFERROR(VLOOKUP($B62,PirteiKisuiBeMutzarPrmia!$C$6:$AA$100,2,FALSE),0)</f>
        <v>0</v>
      </c>
      <c r="DC62">
        <f>IFERROR(VLOOKUP($B62,PirteiKisuiBeMutzarPrmia!$C$6:$AA$100,3,FALSE),0)</f>
        <v>0</v>
      </c>
      <c r="DD62">
        <f>IFERROR(VLOOKUP($B62,PirteiKisuiBeMutzarPrmia!$C$6:$AA$100,4,FALSE),0)</f>
        <v>0</v>
      </c>
      <c r="DE62">
        <f>IFERROR(VLOOKUP($B62,PirteiKisuiBeMutzarPrmia!$C$6:$AA$100,5,FALSE),0)</f>
        <v>0</v>
      </c>
      <c r="DF62">
        <f>IFERROR(VLOOKUP($B62,PirteiKisuiBeMutzarPrmia!$C$6:$AA$100,6,FALSE),0)</f>
        <v>0</v>
      </c>
      <c r="DG62">
        <f>IFERROR(VLOOKUP($B62,PirteiKisuiBeMutzarPrmia!$C$6:$AA$100,7,FALSE),0)</f>
        <v>0</v>
      </c>
      <c r="DH62">
        <f>IFERROR(VLOOKUP($B62,PirteiKisuiBeMutzarPrmia!$C$6:$AA$100,8,FALSE),0)</f>
        <v>0</v>
      </c>
      <c r="DI62">
        <f>IFERROR(VLOOKUP($B62,PirteiKisuiBeMutzarPrmia!$C$6:$AA$100,9,FALSE),0)</f>
        <v>0</v>
      </c>
      <c r="DJ62">
        <f>IFERROR(VLOOKUP($B62,PirteiKisuiBeMutzarPrmia!$C$6:$AA$100,10,FALSE),0)</f>
        <v>0</v>
      </c>
      <c r="DK62">
        <f>IFERROR(VLOOKUP($B62,PirteiKisuiBeMutzarPrmia!$C$6:$AA$100,11,FALSE),0)</f>
        <v>0</v>
      </c>
      <c r="DL62">
        <f t="shared" si="51"/>
        <v>0</v>
      </c>
      <c r="DM62">
        <f t="shared" si="45"/>
        <v>0</v>
      </c>
      <c r="DN62">
        <f t="shared" si="46"/>
        <v>0</v>
      </c>
      <c r="DO62">
        <f t="shared" si="52"/>
        <v>0</v>
      </c>
      <c r="DP62">
        <f t="shared" si="50"/>
        <v>0</v>
      </c>
      <c r="DQ62">
        <f>IF(OR(L62=1,L62=3),IFERROR(VLOOKUP($B62,PerutHafkadotMetchilatShanaAvgM!$C$6:$G$100,3,FALSE),0),0)</f>
        <v>0</v>
      </c>
      <c r="DR62">
        <f>IF(OR(L62=2,L62=4),IFERROR(VLOOKUP($B62,PerutHafkadotMetchilatShanaAvgM!$C$6:$G$100,3,FALSE),0),0)</f>
        <v>0</v>
      </c>
      <c r="DS62">
        <f>IFERROR(VLOOKUP($B62,PerutHafkadotMetchilatShanaAvgM!$C$6:$G$100,4,FALSE),0)</f>
        <v>0</v>
      </c>
      <c r="DT62">
        <f>IFERROR(VLOOKUP($B62,Kupa!$D$6:$AA$100,5,FALSE),0)</f>
        <v>0</v>
      </c>
      <c r="DU62">
        <f>IFERROR(VLOOKUP($B62,Kupa!$D$6:$AA$100,6,FALSE),0)</f>
        <v>0</v>
      </c>
      <c r="DV62">
        <f>IFERROR(VLOOKUP($B62,KisuiBKerenPensiaDBWithParams!$D$6:$AP$100,9,FALSE),0)</f>
        <v>0</v>
      </c>
      <c r="DW62">
        <f>IFERROR(VLOOKUP($B62,KisuiBKerenPensiaDBWithParams!$D$6:$AP$100,12,FALSE),0)</f>
        <v>0</v>
      </c>
      <c r="DX62">
        <f>IFERROR(VLOOKUP($B62,KisuiBKerenPensiaDBWithParams!$D$6:$AP$100,13,FALSE),0)</f>
        <v>0</v>
      </c>
      <c r="DY62">
        <f>IFERROR(VLOOKUP($B62,KisuiBKerenPensiaDBWithParams!$D$6:$AP$100,7,FALSE),0)</f>
        <v>0</v>
      </c>
      <c r="DZ62">
        <f>IFERROR(VLOOKUP($B62,KisuiBKerenPensiaDBWithParams!$D$6:$AP$100,17,FALSE),0)</f>
        <v>0</v>
      </c>
      <c r="EA62">
        <f>IFERROR(VLOOKUP($B62,KisuiBKerenPensiaDBWithParams!$D$6:$AP$100,20,FALSE),0)</f>
        <v>0</v>
      </c>
      <c r="EB62">
        <f>IFERROR(VLOOKUP($B62,KisuiBKerenPensiaDBWithParams!$D$6:$AP$100,21,FALSE),0)</f>
        <v>0</v>
      </c>
      <c r="EC62">
        <f t="shared" si="47"/>
        <v>0</v>
      </c>
      <c r="EG62">
        <f>IF(OR(G62=MyData!$J$50,G62=MyData!$J$51,G62=MyData!$J$52),1,IF(G62=MyData!$J$49,2,0))</f>
        <v>0</v>
      </c>
    </row>
    <row r="63" spans="1:137">
      <c r="A63">
        <f t="shared" si="48"/>
        <v>0</v>
      </c>
      <c r="B63" s="20">
        <f>RicusPolice!E60</f>
        <v>0</v>
      </c>
      <c r="C63" s="20">
        <f>RicusPolice!AL60</f>
        <v>0</v>
      </c>
      <c r="D63" s="20">
        <f>RicusPolice!F60</f>
        <v>0</v>
      </c>
      <c r="E63" s="20">
        <f>RicusPolice!R60</f>
        <v>0</v>
      </c>
      <c r="F63" s="20">
        <f>RicusPolice!N60</f>
        <v>0</v>
      </c>
      <c r="G63" s="20">
        <f>IFERROR(VLOOKUP($B63,PerutYitrot!$D$6:$P$100,4,FALSE),0)</f>
        <v>0</v>
      </c>
      <c r="H63" s="20">
        <f t="shared" si="4"/>
        <v>0</v>
      </c>
      <c r="I63" s="20">
        <f>RicusPolice!L60</f>
        <v>0</v>
      </c>
      <c r="J63" s="179">
        <f>IFERROR(VLOOKUP(TRIM(K63),MyData!$J$43:$K$49,2,FALSE),0)</f>
        <v>0</v>
      </c>
      <c r="K63" s="20">
        <f>RicusPolice!M60</f>
        <v>0</v>
      </c>
      <c r="L63" s="20">
        <f>RicusPolice!AM60</f>
        <v>0</v>
      </c>
      <c r="M63" s="20" t="str">
        <f>IF(B63&gt;0,RicusPolice!Y60," ")</f>
        <v xml:space="preserve"> </v>
      </c>
      <c r="N63" s="20" t="str">
        <f t="shared" si="5"/>
        <v/>
      </c>
      <c r="O63" s="20">
        <f>RicusPolice!N60</f>
        <v>0</v>
      </c>
      <c r="P63" s="20">
        <f>IFERROR(VLOOKUP(B63,PerutMasluleiHashkaa!$D$6:$R$100,4,FALSE),0)</f>
        <v>0</v>
      </c>
      <c r="Q63" s="19"/>
      <c r="R63" s="20">
        <f>RicusPolice!P60</f>
        <v>0</v>
      </c>
      <c r="S63" s="20"/>
      <c r="T63" s="21">
        <f>'נתונים ידניים'!H63</f>
        <v>0</v>
      </c>
      <c r="U63" s="21"/>
      <c r="V63" s="20">
        <f>PerutHafrashotLePolisa!E60</f>
        <v>0</v>
      </c>
      <c r="W63" s="20">
        <f>PerutHafrashotLePolisa!F60</f>
        <v>0</v>
      </c>
      <c r="X63" s="20">
        <f>PerutHafrashotLePolisa!G60</f>
        <v>0</v>
      </c>
      <c r="Y63">
        <f t="shared" si="6"/>
        <v>0</v>
      </c>
      <c r="Z63">
        <f>IFERROR(VLOOKUP(B63,PirteiHaasaka!$D$6:$R$100,5,FALSE),0)</f>
        <v>0</v>
      </c>
      <c r="AB63">
        <f>IFERROR(VLOOKUP(B63,HafkadotMetchilatShanaAverages!$D$6:$E$100,2,FALSE),0)</f>
        <v>0</v>
      </c>
      <c r="AF63">
        <f>IFERROR(VLOOKUP(B63,CrossTabYitraLeTkufa_till_2000!$D$6:$AB$100,6,FALSE),0)+IFERROR(VLOOKUP(B63,CrossTabYitraLeTkufa_after_2000!$D$6:$AB$100,6,FALSE),0)</f>
        <v>0</v>
      </c>
      <c r="AG63">
        <f>IFERROR(VLOOKUP(B63,CrossTabYitraLeTkufa_till_2000!$D$6:$AB$100,16,FALSE),0)</f>
        <v>0</v>
      </c>
      <c r="AH63">
        <f>IFERROR(VLOOKUP(B63,CrossTabYitraLeTkufa_after_2000!$D$6:$AB$100,16,FALSE),0)</f>
        <v>0</v>
      </c>
      <c r="AI63">
        <f>IFERROR(VLOOKUP(B63,CrossTabYitraLeTkufa_till_2000!$D$6:$AB$100,17,FALSE),0)</f>
        <v>0</v>
      </c>
      <c r="AJ63">
        <f>IFERROR(VLOOKUP(B63,CrossTabYitraLeTkufa_after_2000!$D$6:$AB$100,17,FALSE),0)</f>
        <v>0</v>
      </c>
      <c r="AK63" s="5">
        <f t="shared" si="7"/>
        <v>0</v>
      </c>
      <c r="AN63">
        <f>IFERROR(VLOOKUP(B63,PirteiKisuiBeMutzar_procerur!$C$6:$AA$100,2,FALSE),0)</f>
        <v>0</v>
      </c>
      <c r="AP63">
        <f>IFERROR(VLOOKUP($B63,PirteiKisuiBeMutzar_procerur!$C$6:$AA$100,5,FALSE),0)</f>
        <v>0</v>
      </c>
      <c r="AQ63">
        <f>IFERROR(VLOOKUP($B63,PirteiKisuiBeMutzar_procerur!$C$6:$AA$100,3,FALSE),0)</f>
        <v>0</v>
      </c>
      <c r="AR63">
        <f>IFERROR(VLOOKUP($B63,PirteiKisuiBeMutzar_procerur!$C$6:$AA$100,6,FALSE),0)</f>
        <v>0</v>
      </c>
      <c r="AS63">
        <f>IFERROR(VLOOKUP($B63,PirteiKisuiBeMutzar_procerur!$C$6:$AA$100,7,FALSE),0)</f>
        <v>0</v>
      </c>
      <c r="AW63">
        <f t="shared" si="8"/>
        <v>0</v>
      </c>
      <c r="AX63">
        <f t="shared" si="9"/>
        <v>0</v>
      </c>
      <c r="AY63">
        <f t="shared" si="10"/>
        <v>0</v>
      </c>
      <c r="AZ63">
        <f t="shared" si="11"/>
        <v>0</v>
      </c>
      <c r="BA63">
        <f t="shared" si="12"/>
        <v>0</v>
      </c>
      <c r="BB63">
        <f t="shared" si="13"/>
        <v>0</v>
      </c>
      <c r="BC63">
        <f t="shared" si="14"/>
        <v>0</v>
      </c>
      <c r="BD63">
        <f t="shared" si="15"/>
        <v>0</v>
      </c>
      <c r="BE63">
        <f t="shared" si="16"/>
        <v>0</v>
      </c>
      <c r="BF63">
        <f t="shared" si="49"/>
        <v>0</v>
      </c>
      <c r="BG63">
        <f t="shared" si="17"/>
        <v>0</v>
      </c>
      <c r="BH63">
        <f t="shared" si="18"/>
        <v>0</v>
      </c>
      <c r="BI63">
        <f t="shared" si="19"/>
        <v>0</v>
      </c>
      <c r="BK63">
        <f t="shared" si="20"/>
        <v>0</v>
      </c>
      <c r="BL63">
        <f t="shared" si="21"/>
        <v>0</v>
      </c>
      <c r="BM63">
        <f t="shared" si="22"/>
        <v>0</v>
      </c>
      <c r="BN63">
        <f t="shared" si="23"/>
        <v>0</v>
      </c>
      <c r="BO63">
        <f t="shared" si="24"/>
        <v>0</v>
      </c>
      <c r="BR63">
        <f t="shared" si="25"/>
        <v>0</v>
      </c>
      <c r="BS63">
        <f t="shared" si="26"/>
        <v>0</v>
      </c>
      <c r="BT63">
        <f t="shared" si="27"/>
        <v>0</v>
      </c>
      <c r="BU63">
        <f t="shared" si="28"/>
        <v>0</v>
      </c>
      <c r="BV63">
        <f t="shared" si="29"/>
        <v>0</v>
      </c>
      <c r="BX63">
        <f t="shared" si="30"/>
        <v>0</v>
      </c>
      <c r="BY63">
        <f t="shared" si="31"/>
        <v>0</v>
      </c>
      <c r="BZ63">
        <f t="shared" si="32"/>
        <v>0</v>
      </c>
      <c r="CA63">
        <f t="shared" si="33"/>
        <v>0</v>
      </c>
      <c r="CB63">
        <f t="shared" si="34"/>
        <v>0</v>
      </c>
      <c r="CE63">
        <f t="shared" si="35"/>
        <v>0</v>
      </c>
      <c r="CF63">
        <f t="shared" si="36"/>
        <v>0</v>
      </c>
      <c r="CG63">
        <f t="shared" si="37"/>
        <v>0</v>
      </c>
      <c r="CH63">
        <f t="shared" si="38"/>
        <v>0</v>
      </c>
      <c r="CI63">
        <f t="shared" si="39"/>
        <v>0</v>
      </c>
      <c r="CL63">
        <f t="shared" si="40"/>
        <v>0</v>
      </c>
      <c r="CM63">
        <f t="shared" si="41"/>
        <v>0</v>
      </c>
      <c r="CN63">
        <f t="shared" si="42"/>
        <v>0</v>
      </c>
      <c r="CO63">
        <f t="shared" si="43"/>
        <v>0</v>
      </c>
      <c r="CP63">
        <f t="shared" si="44"/>
        <v>0</v>
      </c>
      <c r="CQ63">
        <f>IFERROR(VLOOKUP($B63,SchumeiBituahYesodi!$C$6:$AA$100,8,FALSE),0)</f>
        <v>0</v>
      </c>
      <c r="CR63">
        <f>IFERROR(VLOOKUP($B63,PirteiKisuiBeMutzar_procerur!$C$6:$AA$100,2,FALSE),0)</f>
        <v>0</v>
      </c>
      <c r="CS63">
        <f>IFERROR(VLOOKUP($B63,PirteiKisuiBeMutzar_procerur!$C$6:$AA$100,3,FALSE),0)</f>
        <v>0</v>
      </c>
      <c r="CT63">
        <f>IFERROR(VLOOKUP($B63,PirteiKisuiBeMutzar_procerur!$C$6:$AA$100,4,FALSE),0)</f>
        <v>0</v>
      </c>
      <c r="CU63">
        <f>IFERROR(VLOOKUP($B63,PirteiKisuiBeMutzar_procerur!$C$6:$AA$100,5,FALSE),0)</f>
        <v>0</v>
      </c>
      <c r="CV63">
        <f>IFERROR(VLOOKUP($B63,PirteiKisuiBeMutzar_procerur!$C$6:$AA$100,6,FALSE),0)</f>
        <v>0</v>
      </c>
      <c r="CW63">
        <f>IFERROR(VLOOKUP($B63,PirteiKisuiBeMutzar_procerur!$C$6:$AA$100,7,FALSE),0)</f>
        <v>0</v>
      </c>
      <c r="CX63">
        <f>IFERROR(VLOOKUP($B63,PirteiKisuiBeMutzar_procerur!$C$6:$AA$100,8,FALSE),0)</f>
        <v>0</v>
      </c>
      <c r="CY63">
        <f>IFERROR(VLOOKUP($B63,PirteiKisuiBeMutzar_procerur!$C$6:$AA$100,9,FALSE),0)</f>
        <v>0</v>
      </c>
      <c r="CZ63">
        <f>IFERROR(VLOOKUP($B63,PirteiKisuiBeMutzar_procerur!$C$6:$AA$100,10,FALSE),0)</f>
        <v>0</v>
      </c>
      <c r="DA63">
        <f>IFERROR(VLOOKUP($B63,PirteiKisuiBeMutzar_procerur!$C$6:$AA$100,11,FALSE),0)</f>
        <v>0</v>
      </c>
      <c r="DB63">
        <f>IFERROR(VLOOKUP($B63,PirteiKisuiBeMutzarPrmia!$C$6:$AA$100,2,FALSE),0)</f>
        <v>0</v>
      </c>
      <c r="DC63">
        <f>IFERROR(VLOOKUP($B63,PirteiKisuiBeMutzarPrmia!$C$6:$AA$100,3,FALSE),0)</f>
        <v>0</v>
      </c>
      <c r="DD63">
        <f>IFERROR(VLOOKUP($B63,PirteiKisuiBeMutzarPrmia!$C$6:$AA$100,4,FALSE),0)</f>
        <v>0</v>
      </c>
      <c r="DE63">
        <f>IFERROR(VLOOKUP($B63,PirteiKisuiBeMutzarPrmia!$C$6:$AA$100,5,FALSE),0)</f>
        <v>0</v>
      </c>
      <c r="DF63">
        <f>IFERROR(VLOOKUP($B63,PirteiKisuiBeMutzarPrmia!$C$6:$AA$100,6,FALSE),0)</f>
        <v>0</v>
      </c>
      <c r="DG63">
        <f>IFERROR(VLOOKUP($B63,PirteiKisuiBeMutzarPrmia!$C$6:$AA$100,7,FALSE),0)</f>
        <v>0</v>
      </c>
      <c r="DH63">
        <f>IFERROR(VLOOKUP($B63,PirteiKisuiBeMutzarPrmia!$C$6:$AA$100,8,FALSE),0)</f>
        <v>0</v>
      </c>
      <c r="DI63">
        <f>IFERROR(VLOOKUP($B63,PirteiKisuiBeMutzarPrmia!$C$6:$AA$100,9,FALSE),0)</f>
        <v>0</v>
      </c>
      <c r="DJ63">
        <f>IFERROR(VLOOKUP($B63,PirteiKisuiBeMutzarPrmia!$C$6:$AA$100,10,FALSE),0)</f>
        <v>0</v>
      </c>
      <c r="DK63">
        <f>IFERROR(VLOOKUP($B63,PirteiKisuiBeMutzarPrmia!$C$6:$AA$100,11,FALSE),0)</f>
        <v>0</v>
      </c>
      <c r="DL63">
        <f t="shared" si="51"/>
        <v>0</v>
      </c>
      <c r="DM63">
        <f t="shared" si="45"/>
        <v>0</v>
      </c>
      <c r="DN63">
        <f t="shared" si="46"/>
        <v>0</v>
      </c>
      <c r="DO63">
        <f t="shared" si="52"/>
        <v>0</v>
      </c>
      <c r="DP63">
        <f t="shared" si="50"/>
        <v>0</v>
      </c>
      <c r="DQ63">
        <f>IF(OR(L63=1,L63=3),IFERROR(VLOOKUP($B63,PerutHafkadotMetchilatShanaAvgM!$C$6:$G$100,3,FALSE),0),0)</f>
        <v>0</v>
      </c>
      <c r="DR63">
        <f>IF(OR(L63=2,L63=4),IFERROR(VLOOKUP($B63,PerutHafkadotMetchilatShanaAvgM!$C$6:$G$100,3,FALSE),0),0)</f>
        <v>0</v>
      </c>
      <c r="DS63">
        <f>IFERROR(VLOOKUP($B63,PerutHafkadotMetchilatShanaAvgM!$C$6:$G$100,4,FALSE),0)</f>
        <v>0</v>
      </c>
      <c r="DT63">
        <f>IFERROR(VLOOKUP($B63,Kupa!$D$6:$AA$100,5,FALSE),0)</f>
        <v>0</v>
      </c>
      <c r="DU63">
        <f>IFERROR(VLOOKUP($B63,Kupa!$D$6:$AA$100,6,FALSE),0)</f>
        <v>0</v>
      </c>
      <c r="DV63">
        <f>IFERROR(VLOOKUP($B63,KisuiBKerenPensiaDBWithParams!$D$6:$AP$100,9,FALSE),0)</f>
        <v>0</v>
      </c>
      <c r="DW63">
        <f>IFERROR(VLOOKUP($B63,KisuiBKerenPensiaDBWithParams!$D$6:$AP$100,12,FALSE),0)</f>
        <v>0</v>
      </c>
      <c r="DX63">
        <f>IFERROR(VLOOKUP($B63,KisuiBKerenPensiaDBWithParams!$D$6:$AP$100,13,FALSE),0)</f>
        <v>0</v>
      </c>
      <c r="DY63">
        <f>IFERROR(VLOOKUP($B63,KisuiBKerenPensiaDBWithParams!$D$6:$AP$100,7,FALSE),0)</f>
        <v>0</v>
      </c>
      <c r="DZ63">
        <f>IFERROR(VLOOKUP($B63,KisuiBKerenPensiaDBWithParams!$D$6:$AP$100,17,FALSE),0)</f>
        <v>0</v>
      </c>
      <c r="EA63">
        <f>IFERROR(VLOOKUP($B63,KisuiBKerenPensiaDBWithParams!$D$6:$AP$100,20,FALSE),0)</f>
        <v>0</v>
      </c>
      <c r="EB63">
        <f>IFERROR(VLOOKUP($B63,KisuiBKerenPensiaDBWithParams!$D$6:$AP$100,21,FALSE),0)</f>
        <v>0</v>
      </c>
      <c r="EC63">
        <f t="shared" si="47"/>
        <v>0</v>
      </c>
      <c r="EG63">
        <f>IF(OR(G63=MyData!$J$50,G63=MyData!$J$51,G63=MyData!$J$52),1,IF(G63=MyData!$J$49,2,0))</f>
        <v>0</v>
      </c>
    </row>
    <row r="64" spans="1:137">
      <c r="A64">
        <f t="shared" si="48"/>
        <v>0</v>
      </c>
      <c r="B64" s="20">
        <f>RicusPolice!E61</f>
        <v>0</v>
      </c>
      <c r="C64" s="20">
        <f>RicusPolice!AL61</f>
        <v>0</v>
      </c>
      <c r="D64" s="20">
        <f>RicusPolice!F61</f>
        <v>0</v>
      </c>
      <c r="E64" s="20">
        <f>RicusPolice!R61</f>
        <v>0</v>
      </c>
      <c r="F64" s="20">
        <f>RicusPolice!N61</f>
        <v>0</v>
      </c>
      <c r="G64" s="20">
        <f>IFERROR(VLOOKUP($B64,PerutYitrot!$D$6:$P$100,4,FALSE),0)</f>
        <v>0</v>
      </c>
      <c r="H64" s="20">
        <f t="shared" si="4"/>
        <v>0</v>
      </c>
      <c r="I64" s="20">
        <f>RicusPolice!L61</f>
        <v>0</v>
      </c>
      <c r="J64" s="179">
        <f>IFERROR(VLOOKUP(TRIM(K64),MyData!$J$43:$K$49,2,FALSE),0)</f>
        <v>0</v>
      </c>
      <c r="K64" s="20">
        <f>RicusPolice!M61</f>
        <v>0</v>
      </c>
      <c r="L64" s="20">
        <f>RicusPolice!AM61</f>
        <v>0</v>
      </c>
      <c r="M64" s="20" t="str">
        <f>IF(B64&gt;0,RicusPolice!Y61," ")</f>
        <v xml:space="preserve"> </v>
      </c>
      <c r="N64" s="20" t="str">
        <f t="shared" si="5"/>
        <v/>
      </c>
      <c r="O64" s="20">
        <f>RicusPolice!N61</f>
        <v>0</v>
      </c>
      <c r="P64" s="20">
        <f>IFERROR(VLOOKUP(B64,PerutMasluleiHashkaa!$D$6:$R$100,4,FALSE),0)</f>
        <v>0</v>
      </c>
      <c r="Q64" s="19"/>
      <c r="R64" s="20">
        <f>RicusPolice!P61</f>
        <v>0</v>
      </c>
      <c r="S64" s="20"/>
      <c r="T64" s="21">
        <f>'נתונים ידניים'!H64</f>
        <v>0</v>
      </c>
      <c r="U64" s="21"/>
      <c r="V64" s="20">
        <f>PerutHafrashotLePolisa!E61</f>
        <v>0</v>
      </c>
      <c r="W64" s="20">
        <f>PerutHafrashotLePolisa!F61</f>
        <v>0</v>
      </c>
      <c r="X64" s="20">
        <f>PerutHafrashotLePolisa!G61</f>
        <v>0</v>
      </c>
      <c r="Y64">
        <f t="shared" si="6"/>
        <v>0</v>
      </c>
      <c r="Z64">
        <f>IFERROR(VLOOKUP(B64,PirteiHaasaka!$D$6:$R$100,5,FALSE),0)</f>
        <v>0</v>
      </c>
      <c r="AB64">
        <f>IFERROR(VLOOKUP(B64,HafkadotMetchilatShanaAverages!$D$6:$E$100,2,FALSE),0)</f>
        <v>0</v>
      </c>
      <c r="AF64">
        <f>IFERROR(VLOOKUP(B64,CrossTabYitraLeTkufa_till_2000!$D$6:$AB$100,6,FALSE),0)+IFERROR(VLOOKUP(B64,CrossTabYitraLeTkufa_after_2000!$D$6:$AB$100,6,FALSE),0)</f>
        <v>0</v>
      </c>
      <c r="AG64">
        <f>IFERROR(VLOOKUP(B64,CrossTabYitraLeTkufa_till_2000!$D$6:$AB$100,16,FALSE),0)</f>
        <v>0</v>
      </c>
      <c r="AH64">
        <f>IFERROR(VLOOKUP(B64,CrossTabYitraLeTkufa_after_2000!$D$6:$AB$100,16,FALSE),0)</f>
        <v>0</v>
      </c>
      <c r="AI64">
        <f>IFERROR(VLOOKUP(B64,CrossTabYitraLeTkufa_till_2000!$D$6:$AB$100,17,FALSE),0)</f>
        <v>0</v>
      </c>
      <c r="AJ64">
        <f>IFERROR(VLOOKUP(B64,CrossTabYitraLeTkufa_after_2000!$D$6:$AB$100,17,FALSE),0)</f>
        <v>0</v>
      </c>
      <c r="AK64" s="5">
        <f t="shared" si="7"/>
        <v>0</v>
      </c>
      <c r="AN64">
        <f>IFERROR(VLOOKUP(B64,PirteiKisuiBeMutzar_procerur!$C$6:$AA$100,2,FALSE),0)</f>
        <v>0</v>
      </c>
      <c r="AP64">
        <f>IFERROR(VLOOKUP($B64,PirteiKisuiBeMutzar_procerur!$C$6:$AA$100,5,FALSE),0)</f>
        <v>0</v>
      </c>
      <c r="AQ64">
        <f>IFERROR(VLOOKUP($B64,PirteiKisuiBeMutzar_procerur!$C$6:$AA$100,3,FALSE),0)</f>
        <v>0</v>
      </c>
      <c r="AR64">
        <f>IFERROR(VLOOKUP($B64,PirteiKisuiBeMutzar_procerur!$C$6:$AA$100,6,FALSE),0)</f>
        <v>0</v>
      </c>
      <c r="AS64">
        <f>IFERROR(VLOOKUP($B64,PirteiKisuiBeMutzar_procerur!$C$6:$AA$100,7,FALSE),0)</f>
        <v>0</v>
      </c>
      <c r="AW64">
        <f t="shared" si="8"/>
        <v>0</v>
      </c>
      <c r="AX64">
        <f t="shared" si="9"/>
        <v>0</v>
      </c>
      <c r="AY64">
        <f t="shared" si="10"/>
        <v>0</v>
      </c>
      <c r="AZ64">
        <f t="shared" si="11"/>
        <v>0</v>
      </c>
      <c r="BA64">
        <f t="shared" si="12"/>
        <v>0</v>
      </c>
      <c r="BB64">
        <f t="shared" si="13"/>
        <v>0</v>
      </c>
      <c r="BC64">
        <f t="shared" si="14"/>
        <v>0</v>
      </c>
      <c r="BD64">
        <f t="shared" si="15"/>
        <v>0</v>
      </c>
      <c r="BE64">
        <f t="shared" si="16"/>
        <v>0</v>
      </c>
      <c r="BF64">
        <f t="shared" si="49"/>
        <v>0</v>
      </c>
      <c r="BG64">
        <f t="shared" si="17"/>
        <v>0</v>
      </c>
      <c r="BH64">
        <f t="shared" si="18"/>
        <v>0</v>
      </c>
      <c r="BI64">
        <f t="shared" si="19"/>
        <v>0</v>
      </c>
      <c r="BK64">
        <f t="shared" si="20"/>
        <v>0</v>
      </c>
      <c r="BL64">
        <f t="shared" si="21"/>
        <v>0</v>
      </c>
      <c r="BM64">
        <f t="shared" si="22"/>
        <v>0</v>
      </c>
      <c r="BN64">
        <f t="shared" si="23"/>
        <v>0</v>
      </c>
      <c r="BO64">
        <f t="shared" si="24"/>
        <v>0</v>
      </c>
      <c r="BR64">
        <f t="shared" si="25"/>
        <v>0</v>
      </c>
      <c r="BS64">
        <f t="shared" si="26"/>
        <v>0</v>
      </c>
      <c r="BT64">
        <f t="shared" si="27"/>
        <v>0</v>
      </c>
      <c r="BU64">
        <f t="shared" si="28"/>
        <v>0</v>
      </c>
      <c r="BV64">
        <f t="shared" si="29"/>
        <v>0</v>
      </c>
      <c r="BX64">
        <f t="shared" si="30"/>
        <v>0</v>
      </c>
      <c r="BY64">
        <f t="shared" si="31"/>
        <v>0</v>
      </c>
      <c r="BZ64">
        <f t="shared" si="32"/>
        <v>0</v>
      </c>
      <c r="CA64">
        <f t="shared" si="33"/>
        <v>0</v>
      </c>
      <c r="CB64">
        <f t="shared" si="34"/>
        <v>0</v>
      </c>
      <c r="CE64">
        <f t="shared" si="35"/>
        <v>0</v>
      </c>
      <c r="CF64">
        <f t="shared" si="36"/>
        <v>0</v>
      </c>
      <c r="CG64">
        <f t="shared" si="37"/>
        <v>0</v>
      </c>
      <c r="CH64">
        <f t="shared" si="38"/>
        <v>0</v>
      </c>
      <c r="CI64">
        <f t="shared" si="39"/>
        <v>0</v>
      </c>
      <c r="CL64">
        <f t="shared" si="40"/>
        <v>0</v>
      </c>
      <c r="CM64">
        <f t="shared" si="41"/>
        <v>0</v>
      </c>
      <c r="CN64">
        <f t="shared" si="42"/>
        <v>0</v>
      </c>
      <c r="CO64">
        <f t="shared" si="43"/>
        <v>0</v>
      </c>
      <c r="CP64">
        <f t="shared" si="44"/>
        <v>0</v>
      </c>
      <c r="CQ64">
        <f>IFERROR(VLOOKUP($B64,SchumeiBituahYesodi!$C$6:$AA$100,8,FALSE),0)</f>
        <v>0</v>
      </c>
      <c r="CR64">
        <f>IFERROR(VLOOKUP($B64,PirteiKisuiBeMutzar_procerur!$C$6:$AA$100,2,FALSE),0)</f>
        <v>0</v>
      </c>
      <c r="CS64">
        <f>IFERROR(VLOOKUP($B64,PirteiKisuiBeMutzar_procerur!$C$6:$AA$100,3,FALSE),0)</f>
        <v>0</v>
      </c>
      <c r="CT64">
        <f>IFERROR(VLOOKUP($B64,PirteiKisuiBeMutzar_procerur!$C$6:$AA$100,4,FALSE),0)</f>
        <v>0</v>
      </c>
      <c r="CU64">
        <f>IFERROR(VLOOKUP($B64,PirteiKisuiBeMutzar_procerur!$C$6:$AA$100,5,FALSE),0)</f>
        <v>0</v>
      </c>
      <c r="CV64">
        <f>IFERROR(VLOOKUP($B64,PirteiKisuiBeMutzar_procerur!$C$6:$AA$100,6,FALSE),0)</f>
        <v>0</v>
      </c>
      <c r="CW64">
        <f>IFERROR(VLOOKUP($B64,PirteiKisuiBeMutzar_procerur!$C$6:$AA$100,7,FALSE),0)</f>
        <v>0</v>
      </c>
      <c r="CX64">
        <f>IFERROR(VLOOKUP($B64,PirteiKisuiBeMutzar_procerur!$C$6:$AA$100,8,FALSE),0)</f>
        <v>0</v>
      </c>
      <c r="CY64">
        <f>IFERROR(VLOOKUP($B64,PirteiKisuiBeMutzar_procerur!$C$6:$AA$100,9,FALSE),0)</f>
        <v>0</v>
      </c>
      <c r="CZ64">
        <f>IFERROR(VLOOKUP($B64,PirteiKisuiBeMutzar_procerur!$C$6:$AA$100,10,FALSE),0)</f>
        <v>0</v>
      </c>
      <c r="DA64">
        <f>IFERROR(VLOOKUP($B64,PirteiKisuiBeMutzar_procerur!$C$6:$AA$100,11,FALSE),0)</f>
        <v>0</v>
      </c>
      <c r="DB64">
        <f>IFERROR(VLOOKUP($B64,PirteiKisuiBeMutzarPrmia!$C$6:$AA$100,2,FALSE),0)</f>
        <v>0</v>
      </c>
      <c r="DC64">
        <f>IFERROR(VLOOKUP($B64,PirteiKisuiBeMutzarPrmia!$C$6:$AA$100,3,FALSE),0)</f>
        <v>0</v>
      </c>
      <c r="DD64">
        <f>IFERROR(VLOOKUP($B64,PirteiKisuiBeMutzarPrmia!$C$6:$AA$100,4,FALSE),0)</f>
        <v>0</v>
      </c>
      <c r="DE64">
        <f>IFERROR(VLOOKUP($B64,PirteiKisuiBeMutzarPrmia!$C$6:$AA$100,5,FALSE),0)</f>
        <v>0</v>
      </c>
      <c r="DF64">
        <f>IFERROR(VLOOKUP($B64,PirteiKisuiBeMutzarPrmia!$C$6:$AA$100,6,FALSE),0)</f>
        <v>0</v>
      </c>
      <c r="DG64">
        <f>IFERROR(VLOOKUP($B64,PirteiKisuiBeMutzarPrmia!$C$6:$AA$100,7,FALSE),0)</f>
        <v>0</v>
      </c>
      <c r="DH64">
        <f>IFERROR(VLOOKUP($B64,PirteiKisuiBeMutzarPrmia!$C$6:$AA$100,8,FALSE),0)</f>
        <v>0</v>
      </c>
      <c r="DI64">
        <f>IFERROR(VLOOKUP($B64,PirteiKisuiBeMutzarPrmia!$C$6:$AA$100,9,FALSE),0)</f>
        <v>0</v>
      </c>
      <c r="DJ64">
        <f>IFERROR(VLOOKUP($B64,PirteiKisuiBeMutzarPrmia!$C$6:$AA$100,10,FALSE),0)</f>
        <v>0</v>
      </c>
      <c r="DK64">
        <f>IFERROR(VLOOKUP($B64,PirteiKisuiBeMutzarPrmia!$C$6:$AA$100,11,FALSE),0)</f>
        <v>0</v>
      </c>
      <c r="DL64">
        <f t="shared" si="51"/>
        <v>0</v>
      </c>
      <c r="DM64">
        <f t="shared" si="45"/>
        <v>0</v>
      </c>
      <c r="DN64">
        <f t="shared" si="46"/>
        <v>0</v>
      </c>
      <c r="DO64">
        <f t="shared" si="52"/>
        <v>0</v>
      </c>
      <c r="DP64">
        <f t="shared" si="50"/>
        <v>0</v>
      </c>
      <c r="DQ64">
        <f>IF(OR(L64=1,L64=3),IFERROR(VLOOKUP($B64,PerutHafkadotMetchilatShanaAvgM!$C$6:$G$100,3,FALSE),0),0)</f>
        <v>0</v>
      </c>
      <c r="DR64">
        <f>IF(OR(L64=2,L64=4),IFERROR(VLOOKUP($B64,PerutHafkadotMetchilatShanaAvgM!$C$6:$G$100,3,FALSE),0),0)</f>
        <v>0</v>
      </c>
      <c r="DS64">
        <f>IFERROR(VLOOKUP($B64,PerutHafkadotMetchilatShanaAvgM!$C$6:$G$100,4,FALSE),0)</f>
        <v>0</v>
      </c>
      <c r="DT64">
        <f>IFERROR(VLOOKUP($B64,Kupa!$D$6:$AA$100,5,FALSE),0)</f>
        <v>0</v>
      </c>
      <c r="DU64">
        <f>IFERROR(VLOOKUP($B64,Kupa!$D$6:$AA$100,6,FALSE),0)</f>
        <v>0</v>
      </c>
      <c r="DV64">
        <f>IFERROR(VLOOKUP($B64,KisuiBKerenPensiaDBWithParams!$D$6:$AP$100,9,FALSE),0)</f>
        <v>0</v>
      </c>
      <c r="DW64">
        <f>IFERROR(VLOOKUP($B64,KisuiBKerenPensiaDBWithParams!$D$6:$AP$100,12,FALSE),0)</f>
        <v>0</v>
      </c>
      <c r="DX64">
        <f>IFERROR(VLOOKUP($B64,KisuiBKerenPensiaDBWithParams!$D$6:$AP$100,13,FALSE),0)</f>
        <v>0</v>
      </c>
      <c r="DY64">
        <f>IFERROR(VLOOKUP($B64,KisuiBKerenPensiaDBWithParams!$D$6:$AP$100,7,FALSE),0)</f>
        <v>0</v>
      </c>
      <c r="DZ64">
        <f>IFERROR(VLOOKUP($B64,KisuiBKerenPensiaDBWithParams!$D$6:$AP$100,17,FALSE),0)</f>
        <v>0</v>
      </c>
      <c r="EA64">
        <f>IFERROR(VLOOKUP($B64,KisuiBKerenPensiaDBWithParams!$D$6:$AP$100,20,FALSE),0)</f>
        <v>0</v>
      </c>
      <c r="EB64">
        <f>IFERROR(VLOOKUP($B64,KisuiBKerenPensiaDBWithParams!$D$6:$AP$100,21,FALSE),0)</f>
        <v>0</v>
      </c>
      <c r="EC64">
        <f t="shared" si="47"/>
        <v>0</v>
      </c>
      <c r="EG64">
        <f>IF(OR(G64=MyData!$J$50,G64=MyData!$J$51,G64=MyData!$J$52),1,IF(G64=MyData!$J$49,2,0))</f>
        <v>0</v>
      </c>
    </row>
    <row r="65" spans="1:137">
      <c r="A65">
        <f t="shared" si="48"/>
        <v>0</v>
      </c>
      <c r="B65" s="20">
        <f>RicusPolice!E62</f>
        <v>0</v>
      </c>
      <c r="C65" s="20">
        <f>RicusPolice!AL62</f>
        <v>0</v>
      </c>
      <c r="D65" s="20">
        <f>RicusPolice!F62</f>
        <v>0</v>
      </c>
      <c r="E65" s="20">
        <f>RicusPolice!R62</f>
        <v>0</v>
      </c>
      <c r="F65" s="20">
        <f>RicusPolice!N62</f>
        <v>0</v>
      </c>
      <c r="G65" s="20">
        <f>IFERROR(VLOOKUP($B65,PerutYitrot!$D$6:$P$100,4,FALSE),0)</f>
        <v>0</v>
      </c>
      <c r="H65" s="20">
        <f t="shared" si="4"/>
        <v>0</v>
      </c>
      <c r="I65" s="20">
        <f>RicusPolice!L62</f>
        <v>0</v>
      </c>
      <c r="J65" s="179">
        <f>IFERROR(VLOOKUP(TRIM(K65),MyData!$J$43:$K$49,2,FALSE),0)</f>
        <v>0</v>
      </c>
      <c r="K65" s="20">
        <f>RicusPolice!M62</f>
        <v>0</v>
      </c>
      <c r="L65" s="20">
        <f>RicusPolice!AM62</f>
        <v>0</v>
      </c>
      <c r="M65" s="20" t="str">
        <f>IF(B65&gt;0,RicusPolice!Y62," ")</f>
        <v xml:space="preserve"> </v>
      </c>
      <c r="N65" s="20" t="str">
        <f t="shared" si="5"/>
        <v/>
      </c>
      <c r="O65" s="20">
        <f>RicusPolice!N62</f>
        <v>0</v>
      </c>
      <c r="P65" s="20">
        <f>IFERROR(VLOOKUP(B65,PerutMasluleiHashkaa!$D$6:$R$100,4,FALSE),0)</f>
        <v>0</v>
      </c>
      <c r="Q65" s="19"/>
      <c r="R65" s="20">
        <f>RicusPolice!P62</f>
        <v>0</v>
      </c>
      <c r="S65" s="20"/>
      <c r="T65" s="21">
        <f>'נתונים ידניים'!H65</f>
        <v>0</v>
      </c>
      <c r="U65" s="21"/>
      <c r="V65" s="20">
        <f>PerutHafrashotLePolisa!E62</f>
        <v>0</v>
      </c>
      <c r="W65" s="20">
        <f>PerutHafrashotLePolisa!F62</f>
        <v>0</v>
      </c>
      <c r="X65" s="20">
        <f>PerutHafrashotLePolisa!G62</f>
        <v>0</v>
      </c>
      <c r="Y65">
        <f t="shared" si="6"/>
        <v>0</v>
      </c>
      <c r="Z65">
        <f>IFERROR(VLOOKUP(B65,PirteiHaasaka!$D$6:$R$100,5,FALSE),0)</f>
        <v>0</v>
      </c>
      <c r="AB65">
        <f>IFERROR(VLOOKUP(B65,HafkadotMetchilatShanaAverages!$D$6:$E$100,2,FALSE),0)</f>
        <v>0</v>
      </c>
      <c r="AF65">
        <f>IFERROR(VLOOKUP(B65,CrossTabYitraLeTkufa_till_2000!$D$6:$AB$100,6,FALSE),0)+IFERROR(VLOOKUP(B65,CrossTabYitraLeTkufa_after_2000!$D$6:$AB$100,6,FALSE),0)</f>
        <v>0</v>
      </c>
      <c r="AG65">
        <f>IFERROR(VLOOKUP(B65,CrossTabYitraLeTkufa_till_2000!$D$6:$AB$100,16,FALSE),0)</f>
        <v>0</v>
      </c>
      <c r="AH65">
        <f>IFERROR(VLOOKUP(B65,CrossTabYitraLeTkufa_after_2000!$D$6:$AB$100,16,FALSE),0)</f>
        <v>0</v>
      </c>
      <c r="AI65">
        <f>IFERROR(VLOOKUP(B65,CrossTabYitraLeTkufa_till_2000!$D$6:$AB$100,17,FALSE),0)</f>
        <v>0</v>
      </c>
      <c r="AJ65">
        <f>IFERROR(VLOOKUP(B65,CrossTabYitraLeTkufa_after_2000!$D$6:$AB$100,17,FALSE),0)</f>
        <v>0</v>
      </c>
      <c r="AK65" s="5">
        <f t="shared" si="7"/>
        <v>0</v>
      </c>
      <c r="AN65">
        <f>IFERROR(VLOOKUP(B65,PirteiKisuiBeMutzar_procerur!$C$6:$AA$100,2,FALSE),0)</f>
        <v>0</v>
      </c>
      <c r="AP65">
        <f>IFERROR(VLOOKUP($B65,PirteiKisuiBeMutzar_procerur!$C$6:$AA$100,5,FALSE),0)</f>
        <v>0</v>
      </c>
      <c r="AQ65">
        <f>IFERROR(VLOOKUP($B65,PirteiKisuiBeMutzar_procerur!$C$6:$AA$100,3,FALSE),0)</f>
        <v>0</v>
      </c>
      <c r="AR65">
        <f>IFERROR(VLOOKUP($B65,PirteiKisuiBeMutzar_procerur!$C$6:$AA$100,6,FALSE),0)</f>
        <v>0</v>
      </c>
      <c r="AS65">
        <f>IFERROR(VLOOKUP($B65,PirteiKisuiBeMutzar_procerur!$C$6:$AA$100,7,FALSE),0)</f>
        <v>0</v>
      </c>
      <c r="AW65">
        <f t="shared" si="8"/>
        <v>0</v>
      </c>
      <c r="AX65">
        <f t="shared" si="9"/>
        <v>0</v>
      </c>
      <c r="AY65">
        <f t="shared" si="10"/>
        <v>0</v>
      </c>
      <c r="AZ65">
        <f t="shared" si="11"/>
        <v>0</v>
      </c>
      <c r="BA65">
        <f t="shared" si="12"/>
        <v>0</v>
      </c>
      <c r="BB65">
        <f t="shared" si="13"/>
        <v>0</v>
      </c>
      <c r="BC65">
        <f t="shared" si="14"/>
        <v>0</v>
      </c>
      <c r="BD65">
        <f t="shared" si="15"/>
        <v>0</v>
      </c>
      <c r="BE65">
        <f t="shared" si="16"/>
        <v>0</v>
      </c>
      <c r="BF65">
        <f t="shared" si="49"/>
        <v>0</v>
      </c>
      <c r="BG65">
        <f t="shared" si="17"/>
        <v>0</v>
      </c>
      <c r="BH65">
        <f t="shared" si="18"/>
        <v>0</v>
      </c>
      <c r="BI65">
        <f t="shared" si="19"/>
        <v>0</v>
      </c>
      <c r="BK65">
        <f t="shared" si="20"/>
        <v>0</v>
      </c>
      <c r="BL65">
        <f t="shared" si="21"/>
        <v>0</v>
      </c>
      <c r="BM65">
        <f t="shared" si="22"/>
        <v>0</v>
      </c>
      <c r="BN65">
        <f t="shared" si="23"/>
        <v>0</v>
      </c>
      <c r="BO65">
        <f t="shared" si="24"/>
        <v>0</v>
      </c>
      <c r="BR65">
        <f t="shared" si="25"/>
        <v>0</v>
      </c>
      <c r="BS65">
        <f t="shared" si="26"/>
        <v>0</v>
      </c>
      <c r="BT65">
        <f t="shared" si="27"/>
        <v>0</v>
      </c>
      <c r="BU65">
        <f t="shared" si="28"/>
        <v>0</v>
      </c>
      <c r="BV65">
        <f t="shared" si="29"/>
        <v>0</v>
      </c>
      <c r="BX65">
        <f t="shared" si="30"/>
        <v>0</v>
      </c>
      <c r="BY65">
        <f t="shared" si="31"/>
        <v>0</v>
      </c>
      <c r="BZ65">
        <f t="shared" si="32"/>
        <v>0</v>
      </c>
      <c r="CA65">
        <f t="shared" si="33"/>
        <v>0</v>
      </c>
      <c r="CB65">
        <f t="shared" si="34"/>
        <v>0</v>
      </c>
      <c r="CE65">
        <f t="shared" si="35"/>
        <v>0</v>
      </c>
      <c r="CF65">
        <f t="shared" si="36"/>
        <v>0</v>
      </c>
      <c r="CG65">
        <f t="shared" si="37"/>
        <v>0</v>
      </c>
      <c r="CH65">
        <f t="shared" si="38"/>
        <v>0</v>
      </c>
      <c r="CI65">
        <f t="shared" si="39"/>
        <v>0</v>
      </c>
      <c r="CL65">
        <f t="shared" si="40"/>
        <v>0</v>
      </c>
      <c r="CM65">
        <f t="shared" si="41"/>
        <v>0</v>
      </c>
      <c r="CN65">
        <f t="shared" si="42"/>
        <v>0</v>
      </c>
      <c r="CO65">
        <f t="shared" si="43"/>
        <v>0</v>
      </c>
      <c r="CP65">
        <f t="shared" si="44"/>
        <v>0</v>
      </c>
      <c r="CQ65">
        <f>IFERROR(VLOOKUP($B65,SchumeiBituahYesodi!$C$6:$AA$100,8,FALSE),0)</f>
        <v>0</v>
      </c>
      <c r="CR65">
        <f>IFERROR(VLOOKUP($B65,PirteiKisuiBeMutzar_procerur!$C$6:$AA$100,2,FALSE),0)</f>
        <v>0</v>
      </c>
      <c r="CS65">
        <f>IFERROR(VLOOKUP($B65,PirteiKisuiBeMutzar_procerur!$C$6:$AA$100,3,FALSE),0)</f>
        <v>0</v>
      </c>
      <c r="CT65">
        <f>IFERROR(VLOOKUP($B65,PirteiKisuiBeMutzar_procerur!$C$6:$AA$100,4,FALSE),0)</f>
        <v>0</v>
      </c>
      <c r="CU65">
        <f>IFERROR(VLOOKUP($B65,PirteiKisuiBeMutzar_procerur!$C$6:$AA$100,5,FALSE),0)</f>
        <v>0</v>
      </c>
      <c r="CV65">
        <f>IFERROR(VLOOKUP($B65,PirteiKisuiBeMutzar_procerur!$C$6:$AA$100,6,FALSE),0)</f>
        <v>0</v>
      </c>
      <c r="CW65">
        <f>IFERROR(VLOOKUP($B65,PirteiKisuiBeMutzar_procerur!$C$6:$AA$100,7,FALSE),0)</f>
        <v>0</v>
      </c>
      <c r="CX65">
        <f>IFERROR(VLOOKUP($B65,PirteiKisuiBeMutzar_procerur!$C$6:$AA$100,8,FALSE),0)</f>
        <v>0</v>
      </c>
      <c r="CY65">
        <f>IFERROR(VLOOKUP($B65,PirteiKisuiBeMutzar_procerur!$C$6:$AA$100,9,FALSE),0)</f>
        <v>0</v>
      </c>
      <c r="CZ65">
        <f>IFERROR(VLOOKUP($B65,PirteiKisuiBeMutzar_procerur!$C$6:$AA$100,10,FALSE),0)</f>
        <v>0</v>
      </c>
      <c r="DA65">
        <f>IFERROR(VLOOKUP($B65,PirteiKisuiBeMutzar_procerur!$C$6:$AA$100,11,FALSE),0)</f>
        <v>0</v>
      </c>
      <c r="DB65">
        <f>IFERROR(VLOOKUP($B65,PirteiKisuiBeMutzarPrmia!$C$6:$AA$100,2,FALSE),0)</f>
        <v>0</v>
      </c>
      <c r="DC65">
        <f>IFERROR(VLOOKUP($B65,PirteiKisuiBeMutzarPrmia!$C$6:$AA$100,3,FALSE),0)</f>
        <v>0</v>
      </c>
      <c r="DD65">
        <f>IFERROR(VLOOKUP($B65,PirteiKisuiBeMutzarPrmia!$C$6:$AA$100,4,FALSE),0)</f>
        <v>0</v>
      </c>
      <c r="DE65">
        <f>IFERROR(VLOOKUP($B65,PirteiKisuiBeMutzarPrmia!$C$6:$AA$100,5,FALSE),0)</f>
        <v>0</v>
      </c>
      <c r="DF65">
        <f>IFERROR(VLOOKUP($B65,PirteiKisuiBeMutzarPrmia!$C$6:$AA$100,6,FALSE),0)</f>
        <v>0</v>
      </c>
      <c r="DG65">
        <f>IFERROR(VLOOKUP($B65,PirteiKisuiBeMutzarPrmia!$C$6:$AA$100,7,FALSE),0)</f>
        <v>0</v>
      </c>
      <c r="DH65">
        <f>IFERROR(VLOOKUP($B65,PirteiKisuiBeMutzarPrmia!$C$6:$AA$100,8,FALSE),0)</f>
        <v>0</v>
      </c>
      <c r="DI65">
        <f>IFERROR(VLOOKUP($B65,PirteiKisuiBeMutzarPrmia!$C$6:$AA$100,9,FALSE),0)</f>
        <v>0</v>
      </c>
      <c r="DJ65">
        <f>IFERROR(VLOOKUP($B65,PirteiKisuiBeMutzarPrmia!$C$6:$AA$100,10,FALSE),0)</f>
        <v>0</v>
      </c>
      <c r="DK65">
        <f>IFERROR(VLOOKUP($B65,PirteiKisuiBeMutzarPrmia!$C$6:$AA$100,11,FALSE),0)</f>
        <v>0</v>
      </c>
      <c r="DL65">
        <f t="shared" si="51"/>
        <v>0</v>
      </c>
      <c r="DM65">
        <f t="shared" si="45"/>
        <v>0</v>
      </c>
      <c r="DN65">
        <f t="shared" si="46"/>
        <v>0</v>
      </c>
      <c r="DO65">
        <f t="shared" si="52"/>
        <v>0</v>
      </c>
      <c r="DP65">
        <f t="shared" si="50"/>
        <v>0</v>
      </c>
      <c r="DQ65">
        <f>IF(OR(L65=1,L65=3),IFERROR(VLOOKUP($B65,PerutHafkadotMetchilatShanaAvgM!$C$6:$G$100,3,FALSE),0),0)</f>
        <v>0</v>
      </c>
      <c r="DR65">
        <f>IF(OR(L65=2,L65=4),IFERROR(VLOOKUP($B65,PerutHafkadotMetchilatShanaAvgM!$C$6:$G$100,3,FALSE),0),0)</f>
        <v>0</v>
      </c>
      <c r="DS65">
        <f>IFERROR(VLOOKUP($B65,PerutHafkadotMetchilatShanaAvgM!$C$6:$G$100,4,FALSE),0)</f>
        <v>0</v>
      </c>
      <c r="DT65">
        <f>IFERROR(VLOOKUP($B65,Kupa!$D$6:$AA$100,5,FALSE),0)</f>
        <v>0</v>
      </c>
      <c r="DU65">
        <f>IFERROR(VLOOKUP($B65,Kupa!$D$6:$AA$100,6,FALSE),0)</f>
        <v>0</v>
      </c>
      <c r="DV65">
        <f>IFERROR(VLOOKUP($B65,KisuiBKerenPensiaDBWithParams!$D$6:$AP$100,9,FALSE),0)</f>
        <v>0</v>
      </c>
      <c r="DW65">
        <f>IFERROR(VLOOKUP($B65,KisuiBKerenPensiaDBWithParams!$D$6:$AP$100,12,FALSE),0)</f>
        <v>0</v>
      </c>
      <c r="DX65">
        <f>IFERROR(VLOOKUP($B65,KisuiBKerenPensiaDBWithParams!$D$6:$AP$100,13,FALSE),0)</f>
        <v>0</v>
      </c>
      <c r="DY65">
        <f>IFERROR(VLOOKUP($B65,KisuiBKerenPensiaDBWithParams!$D$6:$AP$100,7,FALSE),0)</f>
        <v>0</v>
      </c>
      <c r="DZ65">
        <f>IFERROR(VLOOKUP($B65,KisuiBKerenPensiaDBWithParams!$D$6:$AP$100,17,FALSE),0)</f>
        <v>0</v>
      </c>
      <c r="EA65">
        <f>IFERROR(VLOOKUP($B65,KisuiBKerenPensiaDBWithParams!$D$6:$AP$100,20,FALSE),0)</f>
        <v>0</v>
      </c>
      <c r="EB65">
        <f>IFERROR(VLOOKUP($B65,KisuiBKerenPensiaDBWithParams!$D$6:$AP$100,21,FALSE),0)</f>
        <v>0</v>
      </c>
      <c r="EC65">
        <f t="shared" si="47"/>
        <v>0</v>
      </c>
      <c r="EG65">
        <f>IF(OR(G65=MyData!$J$50,G65=MyData!$J$51,G65=MyData!$J$52),1,IF(G65=MyData!$J$49,2,0))</f>
        <v>0</v>
      </c>
    </row>
    <row r="66" spans="1:137">
      <c r="A66">
        <f t="shared" si="48"/>
        <v>0</v>
      </c>
      <c r="B66" s="20">
        <f>RicusPolice!E63</f>
        <v>0</v>
      </c>
      <c r="C66" s="20">
        <f>RicusPolice!AL63</f>
        <v>0</v>
      </c>
      <c r="D66" s="20">
        <f>RicusPolice!F63</f>
        <v>0</v>
      </c>
      <c r="E66" s="20">
        <f>RicusPolice!R63</f>
        <v>0</v>
      </c>
      <c r="F66" s="20">
        <f>RicusPolice!N63</f>
        <v>0</v>
      </c>
      <c r="G66" s="20">
        <f>IFERROR(VLOOKUP($B66,PerutYitrot!$D$6:$P$100,4,FALSE),0)</f>
        <v>0</v>
      </c>
      <c r="H66" s="20">
        <f t="shared" si="4"/>
        <v>0</v>
      </c>
      <c r="I66" s="20">
        <f>RicusPolice!L63</f>
        <v>0</v>
      </c>
      <c r="J66" s="179">
        <f>IFERROR(VLOOKUP(TRIM(K66),MyData!$J$43:$K$49,2,FALSE),0)</f>
        <v>0</v>
      </c>
      <c r="K66" s="20">
        <f>RicusPolice!M63</f>
        <v>0</v>
      </c>
      <c r="L66" s="20">
        <f>RicusPolice!AM63</f>
        <v>0</v>
      </c>
      <c r="M66" s="20" t="str">
        <f>IF(B66&gt;0,RicusPolice!Y63," ")</f>
        <v xml:space="preserve"> </v>
      </c>
      <c r="N66" s="20" t="str">
        <f t="shared" si="5"/>
        <v/>
      </c>
      <c r="O66" s="20">
        <f>RicusPolice!N63</f>
        <v>0</v>
      </c>
      <c r="P66" s="20">
        <f>IFERROR(VLOOKUP(B66,PerutMasluleiHashkaa!$D$6:$R$100,4,FALSE),0)</f>
        <v>0</v>
      </c>
      <c r="Q66" s="19"/>
      <c r="R66" s="20">
        <f>RicusPolice!P63</f>
        <v>0</v>
      </c>
      <c r="S66" s="20"/>
      <c r="T66" s="21">
        <f>'נתונים ידניים'!H66</f>
        <v>0</v>
      </c>
      <c r="U66" s="21"/>
      <c r="V66" s="20">
        <f>PerutHafrashotLePolisa!E63</f>
        <v>0</v>
      </c>
      <c r="W66" s="20">
        <f>PerutHafrashotLePolisa!F63</f>
        <v>0</v>
      </c>
      <c r="X66" s="20">
        <f>PerutHafrashotLePolisa!G63</f>
        <v>0</v>
      </c>
      <c r="Y66">
        <f t="shared" si="6"/>
        <v>0</v>
      </c>
      <c r="Z66">
        <f>IFERROR(VLOOKUP(B66,PirteiHaasaka!$D$6:$R$100,5,FALSE),0)</f>
        <v>0</v>
      </c>
      <c r="AB66">
        <f>IFERROR(VLOOKUP(B66,HafkadotMetchilatShanaAverages!$D$6:$E$100,2,FALSE),0)</f>
        <v>0</v>
      </c>
      <c r="AF66">
        <f>IFERROR(VLOOKUP(B66,CrossTabYitraLeTkufa_till_2000!$D$6:$AB$100,6,FALSE),0)+IFERROR(VLOOKUP(B66,CrossTabYitraLeTkufa_after_2000!$D$6:$AB$100,6,FALSE),0)</f>
        <v>0</v>
      </c>
      <c r="AG66">
        <f>IFERROR(VLOOKUP(B66,CrossTabYitraLeTkufa_till_2000!$D$6:$AB$100,16,FALSE),0)</f>
        <v>0</v>
      </c>
      <c r="AH66">
        <f>IFERROR(VLOOKUP(B66,CrossTabYitraLeTkufa_after_2000!$D$6:$AB$100,16,FALSE),0)</f>
        <v>0</v>
      </c>
      <c r="AI66">
        <f>IFERROR(VLOOKUP(B66,CrossTabYitraLeTkufa_till_2000!$D$6:$AB$100,17,FALSE),0)</f>
        <v>0</v>
      </c>
      <c r="AJ66">
        <f>IFERROR(VLOOKUP(B66,CrossTabYitraLeTkufa_after_2000!$D$6:$AB$100,17,FALSE),0)</f>
        <v>0</v>
      </c>
      <c r="AK66" s="5">
        <f t="shared" si="7"/>
        <v>0</v>
      </c>
      <c r="AN66">
        <f>IFERROR(VLOOKUP(B66,PirteiKisuiBeMutzar_procerur!$C$6:$AA$100,2,FALSE),0)</f>
        <v>0</v>
      </c>
      <c r="AP66">
        <f>IFERROR(VLOOKUP($B66,PirteiKisuiBeMutzar_procerur!$C$6:$AA$100,5,FALSE),0)</f>
        <v>0</v>
      </c>
      <c r="AQ66">
        <f>IFERROR(VLOOKUP($B66,PirteiKisuiBeMutzar_procerur!$C$6:$AA$100,3,FALSE),0)</f>
        <v>0</v>
      </c>
      <c r="AR66">
        <f>IFERROR(VLOOKUP($B66,PirteiKisuiBeMutzar_procerur!$C$6:$AA$100,6,FALSE),0)</f>
        <v>0</v>
      </c>
      <c r="AS66">
        <f>IFERROR(VLOOKUP($B66,PirteiKisuiBeMutzar_procerur!$C$6:$AA$100,7,FALSE),0)</f>
        <v>0</v>
      </c>
      <c r="AW66">
        <f t="shared" si="8"/>
        <v>0</v>
      </c>
      <c r="AX66">
        <f t="shared" si="9"/>
        <v>0</v>
      </c>
      <c r="AY66">
        <f t="shared" si="10"/>
        <v>0</v>
      </c>
      <c r="AZ66">
        <f t="shared" si="11"/>
        <v>0</v>
      </c>
      <c r="BA66">
        <f t="shared" si="12"/>
        <v>0</v>
      </c>
      <c r="BB66">
        <f t="shared" si="13"/>
        <v>0</v>
      </c>
      <c r="BC66">
        <f t="shared" si="14"/>
        <v>0</v>
      </c>
      <c r="BD66">
        <f t="shared" si="15"/>
        <v>0</v>
      </c>
      <c r="BE66">
        <f t="shared" si="16"/>
        <v>0</v>
      </c>
      <c r="BF66">
        <f t="shared" si="49"/>
        <v>0</v>
      </c>
      <c r="BG66">
        <f t="shared" si="17"/>
        <v>0</v>
      </c>
      <c r="BH66">
        <f t="shared" si="18"/>
        <v>0</v>
      </c>
      <c r="BI66">
        <f t="shared" si="19"/>
        <v>0</v>
      </c>
      <c r="BK66">
        <f t="shared" si="20"/>
        <v>0</v>
      </c>
      <c r="BL66">
        <f t="shared" si="21"/>
        <v>0</v>
      </c>
      <c r="BM66">
        <f t="shared" si="22"/>
        <v>0</v>
      </c>
      <c r="BN66">
        <f t="shared" si="23"/>
        <v>0</v>
      </c>
      <c r="BO66">
        <f t="shared" si="24"/>
        <v>0</v>
      </c>
      <c r="BR66">
        <f t="shared" si="25"/>
        <v>0</v>
      </c>
      <c r="BS66">
        <f t="shared" si="26"/>
        <v>0</v>
      </c>
      <c r="BT66">
        <f t="shared" si="27"/>
        <v>0</v>
      </c>
      <c r="BU66">
        <f t="shared" si="28"/>
        <v>0</v>
      </c>
      <c r="BV66">
        <f t="shared" si="29"/>
        <v>0</v>
      </c>
      <c r="BX66">
        <f t="shared" si="30"/>
        <v>0</v>
      </c>
      <c r="BY66">
        <f t="shared" si="31"/>
        <v>0</v>
      </c>
      <c r="BZ66">
        <f t="shared" si="32"/>
        <v>0</v>
      </c>
      <c r="CA66">
        <f t="shared" si="33"/>
        <v>0</v>
      </c>
      <c r="CB66">
        <f t="shared" si="34"/>
        <v>0</v>
      </c>
      <c r="CE66">
        <f t="shared" si="35"/>
        <v>0</v>
      </c>
      <c r="CF66">
        <f t="shared" si="36"/>
        <v>0</v>
      </c>
      <c r="CG66">
        <f t="shared" si="37"/>
        <v>0</v>
      </c>
      <c r="CH66">
        <f t="shared" si="38"/>
        <v>0</v>
      </c>
      <c r="CI66">
        <f t="shared" si="39"/>
        <v>0</v>
      </c>
      <c r="CL66">
        <f t="shared" si="40"/>
        <v>0</v>
      </c>
      <c r="CM66">
        <f t="shared" si="41"/>
        <v>0</v>
      </c>
      <c r="CN66">
        <f t="shared" si="42"/>
        <v>0</v>
      </c>
      <c r="CO66">
        <f t="shared" si="43"/>
        <v>0</v>
      </c>
      <c r="CP66">
        <f t="shared" si="44"/>
        <v>0</v>
      </c>
      <c r="CQ66">
        <f>IFERROR(VLOOKUP($B66,SchumeiBituahYesodi!$C$6:$AA$100,8,FALSE),0)</f>
        <v>0</v>
      </c>
      <c r="CR66">
        <f>IFERROR(VLOOKUP($B66,PirteiKisuiBeMutzar_procerur!$C$6:$AA$100,2,FALSE),0)</f>
        <v>0</v>
      </c>
      <c r="CS66">
        <f>IFERROR(VLOOKUP($B66,PirteiKisuiBeMutzar_procerur!$C$6:$AA$100,3,FALSE),0)</f>
        <v>0</v>
      </c>
      <c r="CT66">
        <f>IFERROR(VLOOKUP($B66,PirteiKisuiBeMutzar_procerur!$C$6:$AA$100,4,FALSE),0)</f>
        <v>0</v>
      </c>
      <c r="CU66">
        <f>IFERROR(VLOOKUP($B66,PirteiKisuiBeMutzar_procerur!$C$6:$AA$100,5,FALSE),0)</f>
        <v>0</v>
      </c>
      <c r="CV66">
        <f>IFERROR(VLOOKUP($B66,PirteiKisuiBeMutzar_procerur!$C$6:$AA$100,6,FALSE),0)</f>
        <v>0</v>
      </c>
      <c r="CW66">
        <f>IFERROR(VLOOKUP($B66,PirteiKisuiBeMutzar_procerur!$C$6:$AA$100,7,FALSE),0)</f>
        <v>0</v>
      </c>
      <c r="CX66">
        <f>IFERROR(VLOOKUP($B66,PirteiKisuiBeMutzar_procerur!$C$6:$AA$100,8,FALSE),0)</f>
        <v>0</v>
      </c>
      <c r="CY66">
        <f>IFERROR(VLOOKUP($B66,PirteiKisuiBeMutzar_procerur!$C$6:$AA$100,9,FALSE),0)</f>
        <v>0</v>
      </c>
      <c r="CZ66">
        <f>IFERROR(VLOOKUP($B66,PirteiKisuiBeMutzar_procerur!$C$6:$AA$100,10,FALSE),0)</f>
        <v>0</v>
      </c>
      <c r="DA66">
        <f>IFERROR(VLOOKUP($B66,PirteiKisuiBeMutzar_procerur!$C$6:$AA$100,11,FALSE),0)</f>
        <v>0</v>
      </c>
      <c r="DB66">
        <f>IFERROR(VLOOKUP($B66,PirteiKisuiBeMutzarPrmia!$C$6:$AA$100,2,FALSE),0)</f>
        <v>0</v>
      </c>
      <c r="DC66">
        <f>IFERROR(VLOOKUP($B66,PirteiKisuiBeMutzarPrmia!$C$6:$AA$100,3,FALSE),0)</f>
        <v>0</v>
      </c>
      <c r="DD66">
        <f>IFERROR(VLOOKUP($B66,PirteiKisuiBeMutzarPrmia!$C$6:$AA$100,4,FALSE),0)</f>
        <v>0</v>
      </c>
      <c r="DE66">
        <f>IFERROR(VLOOKUP($B66,PirteiKisuiBeMutzarPrmia!$C$6:$AA$100,5,FALSE),0)</f>
        <v>0</v>
      </c>
      <c r="DF66">
        <f>IFERROR(VLOOKUP($B66,PirteiKisuiBeMutzarPrmia!$C$6:$AA$100,6,FALSE),0)</f>
        <v>0</v>
      </c>
      <c r="DG66">
        <f>IFERROR(VLOOKUP($B66,PirteiKisuiBeMutzarPrmia!$C$6:$AA$100,7,FALSE),0)</f>
        <v>0</v>
      </c>
      <c r="DH66">
        <f>IFERROR(VLOOKUP($B66,PirteiKisuiBeMutzarPrmia!$C$6:$AA$100,8,FALSE),0)</f>
        <v>0</v>
      </c>
      <c r="DI66">
        <f>IFERROR(VLOOKUP($B66,PirteiKisuiBeMutzarPrmia!$C$6:$AA$100,9,FALSE),0)</f>
        <v>0</v>
      </c>
      <c r="DJ66">
        <f>IFERROR(VLOOKUP($B66,PirteiKisuiBeMutzarPrmia!$C$6:$AA$100,10,FALSE),0)</f>
        <v>0</v>
      </c>
      <c r="DK66">
        <f>IFERROR(VLOOKUP($B66,PirteiKisuiBeMutzarPrmia!$C$6:$AA$100,11,FALSE),0)</f>
        <v>0</v>
      </c>
      <c r="DL66">
        <f t="shared" si="51"/>
        <v>0</v>
      </c>
      <c r="DM66">
        <f t="shared" si="45"/>
        <v>0</v>
      </c>
      <c r="DN66">
        <f t="shared" si="46"/>
        <v>0</v>
      </c>
      <c r="DO66">
        <f t="shared" si="52"/>
        <v>0</v>
      </c>
      <c r="DP66">
        <f t="shared" si="50"/>
        <v>0</v>
      </c>
      <c r="DQ66">
        <f>IF(OR(L66=1,L66=3),IFERROR(VLOOKUP($B66,PerutHafkadotMetchilatShanaAvgM!$C$6:$G$100,3,FALSE),0),0)</f>
        <v>0</v>
      </c>
      <c r="DR66">
        <f>IF(OR(L66=2,L66=4),IFERROR(VLOOKUP($B66,PerutHafkadotMetchilatShanaAvgM!$C$6:$G$100,3,FALSE),0),0)</f>
        <v>0</v>
      </c>
      <c r="DS66">
        <f>IFERROR(VLOOKUP($B66,PerutHafkadotMetchilatShanaAvgM!$C$6:$G$100,4,FALSE),0)</f>
        <v>0</v>
      </c>
      <c r="DT66">
        <f>IFERROR(VLOOKUP($B66,Kupa!$D$6:$AA$100,5,FALSE),0)</f>
        <v>0</v>
      </c>
      <c r="DU66">
        <f>IFERROR(VLOOKUP($B66,Kupa!$D$6:$AA$100,6,FALSE),0)</f>
        <v>0</v>
      </c>
      <c r="DV66">
        <f>IFERROR(VLOOKUP($B66,KisuiBKerenPensiaDBWithParams!$D$6:$AP$100,9,FALSE),0)</f>
        <v>0</v>
      </c>
      <c r="DW66">
        <f>IFERROR(VLOOKUP($B66,KisuiBKerenPensiaDBWithParams!$D$6:$AP$100,12,FALSE),0)</f>
        <v>0</v>
      </c>
      <c r="DX66">
        <f>IFERROR(VLOOKUP($B66,KisuiBKerenPensiaDBWithParams!$D$6:$AP$100,13,FALSE),0)</f>
        <v>0</v>
      </c>
      <c r="DY66">
        <f>IFERROR(VLOOKUP($B66,KisuiBKerenPensiaDBWithParams!$D$6:$AP$100,7,FALSE),0)</f>
        <v>0</v>
      </c>
      <c r="DZ66">
        <f>IFERROR(VLOOKUP($B66,KisuiBKerenPensiaDBWithParams!$D$6:$AP$100,17,FALSE),0)</f>
        <v>0</v>
      </c>
      <c r="EA66">
        <f>IFERROR(VLOOKUP($B66,KisuiBKerenPensiaDBWithParams!$D$6:$AP$100,20,FALSE),0)</f>
        <v>0</v>
      </c>
      <c r="EB66">
        <f>IFERROR(VLOOKUP($B66,KisuiBKerenPensiaDBWithParams!$D$6:$AP$100,21,FALSE),0)</f>
        <v>0</v>
      </c>
      <c r="EC66">
        <f t="shared" si="47"/>
        <v>0</v>
      </c>
      <c r="EG66">
        <f>IF(OR(G66=MyData!$J$50,G66=MyData!$J$51,G66=MyData!$J$52),1,IF(G66=MyData!$J$49,2,0))</f>
        <v>0</v>
      </c>
    </row>
    <row r="67" spans="1:137">
      <c r="A67">
        <f t="shared" si="48"/>
        <v>0</v>
      </c>
      <c r="B67" s="20">
        <f>RicusPolice!E64</f>
        <v>0</v>
      </c>
      <c r="C67" s="20">
        <f>RicusPolice!AL64</f>
        <v>0</v>
      </c>
      <c r="D67" s="20">
        <f>RicusPolice!F64</f>
        <v>0</v>
      </c>
      <c r="E67" s="20">
        <f>RicusPolice!R64</f>
        <v>0</v>
      </c>
      <c r="F67" s="20">
        <f>RicusPolice!N64</f>
        <v>0</v>
      </c>
      <c r="G67" s="20">
        <f>IFERROR(VLOOKUP($B67,PerutYitrot!$D$6:$P$100,4,FALSE),0)</f>
        <v>0</v>
      </c>
      <c r="H67" s="20">
        <f t="shared" si="4"/>
        <v>0</v>
      </c>
      <c r="I67" s="20">
        <f>RicusPolice!L64</f>
        <v>0</v>
      </c>
      <c r="J67" s="179">
        <f>IFERROR(VLOOKUP(TRIM(K67),MyData!$J$43:$K$49,2,FALSE),0)</f>
        <v>0</v>
      </c>
      <c r="K67" s="20">
        <f>RicusPolice!M64</f>
        <v>0</v>
      </c>
      <c r="L67" s="20">
        <f>RicusPolice!AM64</f>
        <v>0</v>
      </c>
      <c r="M67" s="20" t="str">
        <f>IF(B67&gt;0,RicusPolice!Y64," ")</f>
        <v xml:space="preserve"> </v>
      </c>
      <c r="N67" s="20" t="str">
        <f t="shared" si="5"/>
        <v/>
      </c>
      <c r="O67" s="20">
        <f>RicusPolice!N64</f>
        <v>0</v>
      </c>
      <c r="P67" s="20">
        <f>IFERROR(VLOOKUP(B67,PerutMasluleiHashkaa!$D$6:$R$100,4,FALSE),0)</f>
        <v>0</v>
      </c>
      <c r="Q67" s="19"/>
      <c r="R67" s="20">
        <f>RicusPolice!P64</f>
        <v>0</v>
      </c>
      <c r="S67" s="20"/>
      <c r="T67" s="21">
        <f>'נתונים ידניים'!H67</f>
        <v>0</v>
      </c>
      <c r="U67" s="21"/>
      <c r="V67" s="20">
        <f>PerutHafrashotLePolisa!E64</f>
        <v>0</v>
      </c>
      <c r="W67" s="20">
        <f>PerutHafrashotLePolisa!F64</f>
        <v>0</v>
      </c>
      <c r="X67" s="20">
        <f>PerutHafrashotLePolisa!G64</f>
        <v>0</v>
      </c>
      <c r="Y67">
        <f t="shared" si="6"/>
        <v>0</v>
      </c>
      <c r="Z67">
        <f>IFERROR(VLOOKUP(B67,PirteiHaasaka!$D$6:$R$100,5,FALSE),0)</f>
        <v>0</v>
      </c>
      <c r="AB67">
        <f>IFERROR(VLOOKUP(B67,HafkadotMetchilatShanaAverages!$D$6:$E$100,2,FALSE),0)</f>
        <v>0</v>
      </c>
      <c r="AF67">
        <f>IFERROR(VLOOKUP(B67,CrossTabYitraLeTkufa_till_2000!$D$6:$AB$100,6,FALSE),0)+IFERROR(VLOOKUP(B67,CrossTabYitraLeTkufa_after_2000!$D$6:$AB$100,6,FALSE),0)</f>
        <v>0</v>
      </c>
      <c r="AG67">
        <f>IFERROR(VLOOKUP(B67,CrossTabYitraLeTkufa_till_2000!$D$6:$AB$100,16,FALSE),0)</f>
        <v>0</v>
      </c>
      <c r="AH67">
        <f>IFERROR(VLOOKUP(B67,CrossTabYitraLeTkufa_after_2000!$D$6:$AB$100,16,FALSE),0)</f>
        <v>0</v>
      </c>
      <c r="AI67">
        <f>IFERROR(VLOOKUP(B67,CrossTabYitraLeTkufa_till_2000!$D$6:$AB$100,17,FALSE),0)</f>
        <v>0</v>
      </c>
      <c r="AJ67">
        <f>IFERROR(VLOOKUP(B67,CrossTabYitraLeTkufa_after_2000!$D$6:$AB$100,17,FALSE),0)</f>
        <v>0</v>
      </c>
      <c r="AK67" s="5">
        <f t="shared" si="7"/>
        <v>0</v>
      </c>
      <c r="AN67">
        <f>IFERROR(VLOOKUP(B67,PirteiKisuiBeMutzar_procerur!$C$6:$AA$100,2,FALSE),0)</f>
        <v>0</v>
      </c>
      <c r="AP67">
        <f>IFERROR(VLOOKUP($B67,PirteiKisuiBeMutzar_procerur!$C$6:$AA$100,5,FALSE),0)</f>
        <v>0</v>
      </c>
      <c r="AQ67">
        <f>IFERROR(VLOOKUP($B67,PirteiKisuiBeMutzar_procerur!$C$6:$AA$100,3,FALSE),0)</f>
        <v>0</v>
      </c>
      <c r="AR67">
        <f>IFERROR(VLOOKUP($B67,PirteiKisuiBeMutzar_procerur!$C$6:$AA$100,6,FALSE),0)</f>
        <v>0</v>
      </c>
      <c r="AS67">
        <f>IFERROR(VLOOKUP($B67,PirteiKisuiBeMutzar_procerur!$C$6:$AA$100,7,FALSE),0)</f>
        <v>0</v>
      </c>
      <c r="AW67">
        <f t="shared" si="8"/>
        <v>0</v>
      </c>
      <c r="AX67">
        <f t="shared" si="9"/>
        <v>0</v>
      </c>
      <c r="AY67">
        <f t="shared" si="10"/>
        <v>0</v>
      </c>
      <c r="AZ67">
        <f t="shared" si="11"/>
        <v>0</v>
      </c>
      <c r="BA67">
        <f t="shared" si="12"/>
        <v>0</v>
      </c>
      <c r="BB67">
        <f t="shared" si="13"/>
        <v>0</v>
      </c>
      <c r="BC67">
        <f t="shared" si="14"/>
        <v>0</v>
      </c>
      <c r="BD67">
        <f t="shared" si="15"/>
        <v>0</v>
      </c>
      <c r="BE67">
        <f t="shared" si="16"/>
        <v>0</v>
      </c>
      <c r="BF67">
        <f t="shared" si="49"/>
        <v>0</v>
      </c>
      <c r="BG67">
        <f t="shared" si="17"/>
        <v>0</v>
      </c>
      <c r="BH67">
        <f t="shared" si="18"/>
        <v>0</v>
      </c>
      <c r="BI67">
        <f t="shared" si="19"/>
        <v>0</v>
      </c>
      <c r="BK67">
        <f t="shared" si="20"/>
        <v>0</v>
      </c>
      <c r="BL67">
        <f t="shared" si="21"/>
        <v>0</v>
      </c>
      <c r="BM67">
        <f t="shared" si="22"/>
        <v>0</v>
      </c>
      <c r="BN67">
        <f t="shared" si="23"/>
        <v>0</v>
      </c>
      <c r="BO67">
        <f t="shared" si="24"/>
        <v>0</v>
      </c>
      <c r="BR67">
        <f t="shared" si="25"/>
        <v>0</v>
      </c>
      <c r="BS67">
        <f t="shared" si="26"/>
        <v>0</v>
      </c>
      <c r="BT67">
        <f t="shared" si="27"/>
        <v>0</v>
      </c>
      <c r="BU67">
        <f t="shared" si="28"/>
        <v>0</v>
      </c>
      <c r="BV67">
        <f t="shared" si="29"/>
        <v>0</v>
      </c>
      <c r="BX67">
        <f t="shared" si="30"/>
        <v>0</v>
      </c>
      <c r="BY67">
        <f t="shared" si="31"/>
        <v>0</v>
      </c>
      <c r="BZ67">
        <f t="shared" si="32"/>
        <v>0</v>
      </c>
      <c r="CA67">
        <f t="shared" si="33"/>
        <v>0</v>
      </c>
      <c r="CB67">
        <f t="shared" si="34"/>
        <v>0</v>
      </c>
      <c r="CE67">
        <f t="shared" si="35"/>
        <v>0</v>
      </c>
      <c r="CF67">
        <f t="shared" si="36"/>
        <v>0</v>
      </c>
      <c r="CG67">
        <f t="shared" si="37"/>
        <v>0</v>
      </c>
      <c r="CH67">
        <f t="shared" si="38"/>
        <v>0</v>
      </c>
      <c r="CI67">
        <f t="shared" si="39"/>
        <v>0</v>
      </c>
      <c r="CL67">
        <f t="shared" si="40"/>
        <v>0</v>
      </c>
      <c r="CM67">
        <f t="shared" si="41"/>
        <v>0</v>
      </c>
      <c r="CN67">
        <f t="shared" si="42"/>
        <v>0</v>
      </c>
      <c r="CO67">
        <f t="shared" si="43"/>
        <v>0</v>
      </c>
      <c r="CP67">
        <f t="shared" si="44"/>
        <v>0</v>
      </c>
      <c r="CQ67">
        <f>IFERROR(VLOOKUP($B67,SchumeiBituahYesodi!$C$6:$AA$100,8,FALSE),0)</f>
        <v>0</v>
      </c>
      <c r="CR67">
        <f>IFERROR(VLOOKUP($B67,PirteiKisuiBeMutzar_procerur!$C$6:$AA$100,2,FALSE),0)</f>
        <v>0</v>
      </c>
      <c r="CS67">
        <f>IFERROR(VLOOKUP($B67,PirteiKisuiBeMutzar_procerur!$C$6:$AA$100,3,FALSE),0)</f>
        <v>0</v>
      </c>
      <c r="CT67">
        <f>IFERROR(VLOOKUP($B67,PirteiKisuiBeMutzar_procerur!$C$6:$AA$100,4,FALSE),0)</f>
        <v>0</v>
      </c>
      <c r="CU67">
        <f>IFERROR(VLOOKUP($B67,PirteiKisuiBeMutzar_procerur!$C$6:$AA$100,5,FALSE),0)</f>
        <v>0</v>
      </c>
      <c r="CV67">
        <f>IFERROR(VLOOKUP($B67,PirteiKisuiBeMutzar_procerur!$C$6:$AA$100,6,FALSE),0)</f>
        <v>0</v>
      </c>
      <c r="CW67">
        <f>IFERROR(VLOOKUP($B67,PirteiKisuiBeMutzar_procerur!$C$6:$AA$100,7,FALSE),0)</f>
        <v>0</v>
      </c>
      <c r="CX67">
        <f>IFERROR(VLOOKUP($B67,PirteiKisuiBeMutzar_procerur!$C$6:$AA$100,8,FALSE),0)</f>
        <v>0</v>
      </c>
      <c r="CY67">
        <f>IFERROR(VLOOKUP($B67,PirteiKisuiBeMutzar_procerur!$C$6:$AA$100,9,FALSE),0)</f>
        <v>0</v>
      </c>
      <c r="CZ67">
        <f>IFERROR(VLOOKUP($B67,PirteiKisuiBeMutzar_procerur!$C$6:$AA$100,10,FALSE),0)</f>
        <v>0</v>
      </c>
      <c r="DA67">
        <f>IFERROR(VLOOKUP($B67,PirteiKisuiBeMutzar_procerur!$C$6:$AA$100,11,FALSE),0)</f>
        <v>0</v>
      </c>
      <c r="DB67">
        <f>IFERROR(VLOOKUP($B67,PirteiKisuiBeMutzarPrmia!$C$6:$AA$100,2,FALSE),0)</f>
        <v>0</v>
      </c>
      <c r="DC67">
        <f>IFERROR(VLOOKUP($B67,PirteiKisuiBeMutzarPrmia!$C$6:$AA$100,3,FALSE),0)</f>
        <v>0</v>
      </c>
      <c r="DD67">
        <f>IFERROR(VLOOKUP($B67,PirteiKisuiBeMutzarPrmia!$C$6:$AA$100,4,FALSE),0)</f>
        <v>0</v>
      </c>
      <c r="DE67">
        <f>IFERROR(VLOOKUP($B67,PirteiKisuiBeMutzarPrmia!$C$6:$AA$100,5,FALSE),0)</f>
        <v>0</v>
      </c>
      <c r="DF67">
        <f>IFERROR(VLOOKUP($B67,PirteiKisuiBeMutzarPrmia!$C$6:$AA$100,6,FALSE),0)</f>
        <v>0</v>
      </c>
      <c r="DG67">
        <f>IFERROR(VLOOKUP($B67,PirteiKisuiBeMutzarPrmia!$C$6:$AA$100,7,FALSE),0)</f>
        <v>0</v>
      </c>
      <c r="DH67">
        <f>IFERROR(VLOOKUP($B67,PirteiKisuiBeMutzarPrmia!$C$6:$AA$100,8,FALSE),0)</f>
        <v>0</v>
      </c>
      <c r="DI67">
        <f>IFERROR(VLOOKUP($B67,PirteiKisuiBeMutzarPrmia!$C$6:$AA$100,9,FALSE),0)</f>
        <v>0</v>
      </c>
      <c r="DJ67">
        <f>IFERROR(VLOOKUP($B67,PirteiKisuiBeMutzarPrmia!$C$6:$AA$100,10,FALSE),0)</f>
        <v>0</v>
      </c>
      <c r="DK67">
        <f>IFERROR(VLOOKUP($B67,PirteiKisuiBeMutzarPrmia!$C$6:$AA$100,11,FALSE),0)</f>
        <v>0</v>
      </c>
      <c r="DL67">
        <f t="shared" si="51"/>
        <v>0</v>
      </c>
      <c r="DM67">
        <f t="shared" si="45"/>
        <v>0</v>
      </c>
      <c r="DN67">
        <f t="shared" si="46"/>
        <v>0</v>
      </c>
      <c r="DO67">
        <f t="shared" si="52"/>
        <v>0</v>
      </c>
      <c r="DP67">
        <f t="shared" si="50"/>
        <v>0</v>
      </c>
      <c r="DQ67">
        <f>IF(OR(L67=1,L67=3),IFERROR(VLOOKUP($B67,PerutHafkadotMetchilatShanaAvgM!$C$6:$G$100,3,FALSE),0),0)</f>
        <v>0</v>
      </c>
      <c r="DR67">
        <f>IF(OR(L67=2,L67=4),IFERROR(VLOOKUP($B67,PerutHafkadotMetchilatShanaAvgM!$C$6:$G$100,3,FALSE),0),0)</f>
        <v>0</v>
      </c>
      <c r="DS67">
        <f>IFERROR(VLOOKUP($B67,PerutHafkadotMetchilatShanaAvgM!$C$6:$G$100,4,FALSE),0)</f>
        <v>0</v>
      </c>
      <c r="DT67">
        <f>IFERROR(VLOOKUP($B67,Kupa!$D$6:$AA$100,5,FALSE),0)</f>
        <v>0</v>
      </c>
      <c r="DU67">
        <f>IFERROR(VLOOKUP($B67,Kupa!$D$6:$AA$100,6,FALSE),0)</f>
        <v>0</v>
      </c>
      <c r="DV67">
        <f>IFERROR(VLOOKUP($B67,KisuiBKerenPensiaDBWithParams!$D$6:$AP$100,9,FALSE),0)</f>
        <v>0</v>
      </c>
      <c r="DW67">
        <f>IFERROR(VLOOKUP($B67,KisuiBKerenPensiaDBWithParams!$D$6:$AP$100,12,FALSE),0)</f>
        <v>0</v>
      </c>
      <c r="DX67">
        <f>IFERROR(VLOOKUP($B67,KisuiBKerenPensiaDBWithParams!$D$6:$AP$100,13,FALSE),0)</f>
        <v>0</v>
      </c>
      <c r="DY67">
        <f>IFERROR(VLOOKUP($B67,KisuiBKerenPensiaDBWithParams!$D$6:$AP$100,7,FALSE),0)</f>
        <v>0</v>
      </c>
      <c r="DZ67">
        <f>IFERROR(VLOOKUP($B67,KisuiBKerenPensiaDBWithParams!$D$6:$AP$100,17,FALSE),0)</f>
        <v>0</v>
      </c>
      <c r="EA67">
        <f>IFERROR(VLOOKUP($B67,KisuiBKerenPensiaDBWithParams!$D$6:$AP$100,20,FALSE),0)</f>
        <v>0</v>
      </c>
      <c r="EB67">
        <f>IFERROR(VLOOKUP($B67,KisuiBKerenPensiaDBWithParams!$D$6:$AP$100,21,FALSE),0)</f>
        <v>0</v>
      </c>
      <c r="EC67">
        <f t="shared" si="47"/>
        <v>0</v>
      </c>
      <c r="EG67">
        <f>IF(OR(G67=MyData!$J$50,G67=MyData!$J$51,G67=MyData!$J$52),1,IF(G67=MyData!$J$49,2,0))</f>
        <v>0</v>
      </c>
    </row>
    <row r="68" spans="1:137">
      <c r="A68">
        <f t="shared" si="48"/>
        <v>0</v>
      </c>
      <c r="B68" s="20">
        <f>RicusPolice!E65</f>
        <v>0</v>
      </c>
      <c r="C68" s="20">
        <f>RicusPolice!AL65</f>
        <v>0</v>
      </c>
      <c r="D68" s="20">
        <f>RicusPolice!F65</f>
        <v>0</v>
      </c>
      <c r="E68" s="20">
        <f>RicusPolice!R65</f>
        <v>0</v>
      </c>
      <c r="F68" s="20">
        <f>RicusPolice!N65</f>
        <v>0</v>
      </c>
      <c r="G68" s="20">
        <f>IFERROR(VLOOKUP($B68,PerutYitrot!$D$6:$P$100,4,FALSE),0)</f>
        <v>0</v>
      </c>
      <c r="H68" s="20">
        <f t="shared" si="4"/>
        <v>0</v>
      </c>
      <c r="I68" s="20">
        <f>RicusPolice!L65</f>
        <v>0</v>
      </c>
      <c r="J68" s="179">
        <f>IFERROR(VLOOKUP(TRIM(K68),MyData!$J$43:$K$49,2,FALSE),0)</f>
        <v>0</v>
      </c>
      <c r="K68" s="20">
        <f>RicusPolice!M65</f>
        <v>0</v>
      </c>
      <c r="L68" s="20">
        <f>RicusPolice!AM65</f>
        <v>0</v>
      </c>
      <c r="M68" s="20" t="str">
        <f>IF(B68&gt;0,RicusPolice!Y65," ")</f>
        <v xml:space="preserve"> </v>
      </c>
      <c r="N68" s="20" t="str">
        <f t="shared" si="5"/>
        <v/>
      </c>
      <c r="O68" s="20">
        <f>RicusPolice!N65</f>
        <v>0</v>
      </c>
      <c r="P68" s="20">
        <f>IFERROR(VLOOKUP(B68,PerutMasluleiHashkaa!$D$6:$R$100,4,FALSE),0)</f>
        <v>0</v>
      </c>
      <c r="Q68" s="19"/>
      <c r="R68" s="20">
        <f>RicusPolice!P65</f>
        <v>0</v>
      </c>
      <c r="S68" s="20"/>
      <c r="T68" s="21">
        <f>'נתונים ידניים'!H68</f>
        <v>0</v>
      </c>
      <c r="U68" s="21"/>
      <c r="V68" s="20">
        <f>PerutHafrashotLePolisa!E65</f>
        <v>0</v>
      </c>
      <c r="W68" s="20">
        <f>PerutHafrashotLePolisa!F65</f>
        <v>0</v>
      </c>
      <c r="X68" s="20">
        <f>PerutHafrashotLePolisa!G65</f>
        <v>0</v>
      </c>
      <c r="Y68">
        <f t="shared" si="6"/>
        <v>0</v>
      </c>
      <c r="Z68">
        <f>IFERROR(VLOOKUP(B68,PirteiHaasaka!$D$6:$R$100,5,FALSE),0)</f>
        <v>0</v>
      </c>
      <c r="AB68">
        <f>IFERROR(VLOOKUP(B68,HafkadotMetchilatShanaAverages!$D$6:$E$100,2,FALSE),0)</f>
        <v>0</v>
      </c>
      <c r="AF68">
        <f>IFERROR(VLOOKUP(B68,CrossTabYitraLeTkufa_till_2000!$D$6:$AB$100,6,FALSE),0)+IFERROR(VLOOKUP(B68,CrossTabYitraLeTkufa_after_2000!$D$6:$AB$100,6,FALSE),0)</f>
        <v>0</v>
      </c>
      <c r="AG68">
        <f>IFERROR(VLOOKUP(B68,CrossTabYitraLeTkufa_till_2000!$D$6:$AB$100,16,FALSE),0)</f>
        <v>0</v>
      </c>
      <c r="AH68">
        <f>IFERROR(VLOOKUP(B68,CrossTabYitraLeTkufa_after_2000!$D$6:$AB$100,16,FALSE),0)</f>
        <v>0</v>
      </c>
      <c r="AI68">
        <f>IFERROR(VLOOKUP(B68,CrossTabYitraLeTkufa_till_2000!$D$6:$AB$100,17,FALSE),0)</f>
        <v>0</v>
      </c>
      <c r="AJ68">
        <f>IFERROR(VLOOKUP(B68,CrossTabYitraLeTkufa_after_2000!$D$6:$AB$100,17,FALSE),0)</f>
        <v>0</v>
      </c>
      <c r="AK68" s="5">
        <f t="shared" si="7"/>
        <v>0</v>
      </c>
      <c r="AN68">
        <f>IFERROR(VLOOKUP(B68,PirteiKisuiBeMutzar_procerur!$C$6:$AA$100,2,FALSE),0)</f>
        <v>0</v>
      </c>
      <c r="AP68">
        <f>IFERROR(VLOOKUP($B68,PirteiKisuiBeMutzar_procerur!$C$6:$AA$100,5,FALSE),0)</f>
        <v>0</v>
      </c>
      <c r="AQ68">
        <f>IFERROR(VLOOKUP($B68,PirteiKisuiBeMutzar_procerur!$C$6:$AA$100,3,FALSE),0)</f>
        <v>0</v>
      </c>
      <c r="AR68">
        <f>IFERROR(VLOOKUP($B68,PirteiKisuiBeMutzar_procerur!$C$6:$AA$100,6,FALSE),0)</f>
        <v>0</v>
      </c>
      <c r="AS68">
        <f>IFERROR(VLOOKUP($B68,PirteiKisuiBeMutzar_procerur!$C$6:$AA$100,7,FALSE),0)</f>
        <v>0</v>
      </c>
      <c r="AW68">
        <f t="shared" si="8"/>
        <v>0</v>
      </c>
      <c r="AX68">
        <f t="shared" si="9"/>
        <v>0</v>
      </c>
      <c r="AY68">
        <f t="shared" si="10"/>
        <v>0</v>
      </c>
      <c r="AZ68">
        <f t="shared" si="11"/>
        <v>0</v>
      </c>
      <c r="BA68">
        <f t="shared" si="12"/>
        <v>0</v>
      </c>
      <c r="BB68">
        <f t="shared" si="13"/>
        <v>0</v>
      </c>
      <c r="BC68">
        <f t="shared" si="14"/>
        <v>0</v>
      </c>
      <c r="BD68">
        <f t="shared" si="15"/>
        <v>0</v>
      </c>
      <c r="BE68">
        <f t="shared" si="16"/>
        <v>0</v>
      </c>
      <c r="BF68">
        <f t="shared" si="49"/>
        <v>0</v>
      </c>
      <c r="BG68">
        <f t="shared" si="17"/>
        <v>0</v>
      </c>
      <c r="BH68">
        <f t="shared" si="18"/>
        <v>0</v>
      </c>
      <c r="BI68">
        <f t="shared" si="19"/>
        <v>0</v>
      </c>
      <c r="BK68">
        <f t="shared" si="20"/>
        <v>0</v>
      </c>
      <c r="BL68">
        <f t="shared" si="21"/>
        <v>0</v>
      </c>
      <c r="BM68">
        <f t="shared" si="22"/>
        <v>0</v>
      </c>
      <c r="BN68">
        <f t="shared" si="23"/>
        <v>0</v>
      </c>
      <c r="BO68">
        <f t="shared" si="24"/>
        <v>0</v>
      </c>
      <c r="BR68">
        <f t="shared" si="25"/>
        <v>0</v>
      </c>
      <c r="BS68">
        <f t="shared" si="26"/>
        <v>0</v>
      </c>
      <c r="BT68">
        <f t="shared" si="27"/>
        <v>0</v>
      </c>
      <c r="BU68">
        <f t="shared" si="28"/>
        <v>0</v>
      </c>
      <c r="BV68">
        <f t="shared" si="29"/>
        <v>0</v>
      </c>
      <c r="BX68">
        <f t="shared" si="30"/>
        <v>0</v>
      </c>
      <c r="BY68">
        <f t="shared" si="31"/>
        <v>0</v>
      </c>
      <c r="BZ68">
        <f t="shared" si="32"/>
        <v>0</v>
      </c>
      <c r="CA68">
        <f t="shared" si="33"/>
        <v>0</v>
      </c>
      <c r="CB68">
        <f t="shared" si="34"/>
        <v>0</v>
      </c>
      <c r="CE68">
        <f t="shared" si="35"/>
        <v>0</v>
      </c>
      <c r="CF68">
        <f t="shared" si="36"/>
        <v>0</v>
      </c>
      <c r="CG68">
        <f t="shared" si="37"/>
        <v>0</v>
      </c>
      <c r="CH68">
        <f t="shared" si="38"/>
        <v>0</v>
      </c>
      <c r="CI68">
        <f t="shared" si="39"/>
        <v>0</v>
      </c>
      <c r="CL68">
        <f t="shared" si="40"/>
        <v>0</v>
      </c>
      <c r="CM68">
        <f t="shared" si="41"/>
        <v>0</v>
      </c>
      <c r="CN68">
        <f t="shared" si="42"/>
        <v>0</v>
      </c>
      <c r="CO68">
        <f t="shared" si="43"/>
        <v>0</v>
      </c>
      <c r="CP68">
        <f t="shared" si="44"/>
        <v>0</v>
      </c>
      <c r="CQ68">
        <f>IFERROR(VLOOKUP($B68,SchumeiBituahYesodi!$C$6:$AA$100,8,FALSE),0)</f>
        <v>0</v>
      </c>
      <c r="CR68">
        <f>IFERROR(VLOOKUP($B68,PirteiKisuiBeMutzar_procerur!$C$6:$AA$100,2,FALSE),0)</f>
        <v>0</v>
      </c>
      <c r="CS68">
        <f>IFERROR(VLOOKUP($B68,PirteiKisuiBeMutzar_procerur!$C$6:$AA$100,3,FALSE),0)</f>
        <v>0</v>
      </c>
      <c r="CT68">
        <f>IFERROR(VLOOKUP($B68,PirteiKisuiBeMutzar_procerur!$C$6:$AA$100,4,FALSE),0)</f>
        <v>0</v>
      </c>
      <c r="CU68">
        <f>IFERROR(VLOOKUP($B68,PirteiKisuiBeMutzar_procerur!$C$6:$AA$100,5,FALSE),0)</f>
        <v>0</v>
      </c>
      <c r="CV68">
        <f>IFERROR(VLOOKUP($B68,PirteiKisuiBeMutzar_procerur!$C$6:$AA$100,6,FALSE),0)</f>
        <v>0</v>
      </c>
      <c r="CW68">
        <f>IFERROR(VLOOKUP($B68,PirteiKisuiBeMutzar_procerur!$C$6:$AA$100,7,FALSE),0)</f>
        <v>0</v>
      </c>
      <c r="CX68">
        <f>IFERROR(VLOOKUP($B68,PirteiKisuiBeMutzar_procerur!$C$6:$AA$100,8,FALSE),0)</f>
        <v>0</v>
      </c>
      <c r="CY68">
        <f>IFERROR(VLOOKUP($B68,PirteiKisuiBeMutzar_procerur!$C$6:$AA$100,9,FALSE),0)</f>
        <v>0</v>
      </c>
      <c r="CZ68">
        <f>IFERROR(VLOOKUP($B68,PirteiKisuiBeMutzar_procerur!$C$6:$AA$100,10,FALSE),0)</f>
        <v>0</v>
      </c>
      <c r="DA68">
        <f>IFERROR(VLOOKUP($B68,PirteiKisuiBeMutzar_procerur!$C$6:$AA$100,11,FALSE),0)</f>
        <v>0</v>
      </c>
      <c r="DB68">
        <f>IFERROR(VLOOKUP($B68,PirteiKisuiBeMutzarPrmia!$C$6:$AA$100,2,FALSE),0)</f>
        <v>0</v>
      </c>
      <c r="DC68">
        <f>IFERROR(VLOOKUP($B68,PirteiKisuiBeMutzarPrmia!$C$6:$AA$100,3,FALSE),0)</f>
        <v>0</v>
      </c>
      <c r="DD68">
        <f>IFERROR(VLOOKUP($B68,PirteiKisuiBeMutzarPrmia!$C$6:$AA$100,4,FALSE),0)</f>
        <v>0</v>
      </c>
      <c r="DE68">
        <f>IFERROR(VLOOKUP($B68,PirteiKisuiBeMutzarPrmia!$C$6:$AA$100,5,FALSE),0)</f>
        <v>0</v>
      </c>
      <c r="DF68">
        <f>IFERROR(VLOOKUP($B68,PirteiKisuiBeMutzarPrmia!$C$6:$AA$100,6,FALSE),0)</f>
        <v>0</v>
      </c>
      <c r="DG68">
        <f>IFERROR(VLOOKUP($B68,PirteiKisuiBeMutzarPrmia!$C$6:$AA$100,7,FALSE),0)</f>
        <v>0</v>
      </c>
      <c r="DH68">
        <f>IFERROR(VLOOKUP($B68,PirteiKisuiBeMutzarPrmia!$C$6:$AA$100,8,FALSE),0)</f>
        <v>0</v>
      </c>
      <c r="DI68">
        <f>IFERROR(VLOOKUP($B68,PirteiKisuiBeMutzarPrmia!$C$6:$AA$100,9,FALSE),0)</f>
        <v>0</v>
      </c>
      <c r="DJ68">
        <f>IFERROR(VLOOKUP($B68,PirteiKisuiBeMutzarPrmia!$C$6:$AA$100,10,FALSE),0)</f>
        <v>0</v>
      </c>
      <c r="DK68">
        <f>IFERROR(VLOOKUP($B68,PirteiKisuiBeMutzarPrmia!$C$6:$AA$100,11,FALSE),0)</f>
        <v>0</v>
      </c>
      <c r="DL68">
        <f t="shared" si="51"/>
        <v>0</v>
      </c>
      <c r="DM68">
        <f t="shared" si="45"/>
        <v>0</v>
      </c>
      <c r="DN68">
        <f t="shared" si="46"/>
        <v>0</v>
      </c>
      <c r="DO68">
        <f t="shared" si="52"/>
        <v>0</v>
      </c>
      <c r="DP68">
        <f t="shared" si="50"/>
        <v>0</v>
      </c>
      <c r="DQ68">
        <f>IF(OR(L68=1,L68=3),IFERROR(VLOOKUP($B68,PerutHafkadotMetchilatShanaAvgM!$C$6:$G$100,3,FALSE),0),0)</f>
        <v>0</v>
      </c>
      <c r="DR68">
        <f>IF(OR(L68=2,L68=4),IFERROR(VLOOKUP($B68,PerutHafkadotMetchilatShanaAvgM!$C$6:$G$100,3,FALSE),0),0)</f>
        <v>0</v>
      </c>
      <c r="DS68">
        <f>IFERROR(VLOOKUP($B68,PerutHafkadotMetchilatShanaAvgM!$C$6:$G$100,4,FALSE),0)</f>
        <v>0</v>
      </c>
      <c r="DT68">
        <f>IFERROR(VLOOKUP($B68,Kupa!$D$6:$AA$100,5,FALSE),0)</f>
        <v>0</v>
      </c>
      <c r="DU68">
        <f>IFERROR(VLOOKUP($B68,Kupa!$D$6:$AA$100,6,FALSE),0)</f>
        <v>0</v>
      </c>
      <c r="DV68">
        <f>IFERROR(VLOOKUP($B68,KisuiBKerenPensiaDBWithParams!$D$6:$AP$100,9,FALSE),0)</f>
        <v>0</v>
      </c>
      <c r="DW68">
        <f>IFERROR(VLOOKUP($B68,KisuiBKerenPensiaDBWithParams!$D$6:$AP$100,12,FALSE),0)</f>
        <v>0</v>
      </c>
      <c r="DX68">
        <f>IFERROR(VLOOKUP($B68,KisuiBKerenPensiaDBWithParams!$D$6:$AP$100,13,FALSE),0)</f>
        <v>0</v>
      </c>
      <c r="DY68">
        <f>IFERROR(VLOOKUP($B68,KisuiBKerenPensiaDBWithParams!$D$6:$AP$100,7,FALSE),0)</f>
        <v>0</v>
      </c>
      <c r="DZ68">
        <f>IFERROR(VLOOKUP($B68,KisuiBKerenPensiaDBWithParams!$D$6:$AP$100,17,FALSE),0)</f>
        <v>0</v>
      </c>
      <c r="EA68">
        <f>IFERROR(VLOOKUP($B68,KisuiBKerenPensiaDBWithParams!$D$6:$AP$100,20,FALSE),0)</f>
        <v>0</v>
      </c>
      <c r="EB68">
        <f>IFERROR(VLOOKUP($B68,KisuiBKerenPensiaDBWithParams!$D$6:$AP$100,21,FALSE),0)</f>
        <v>0</v>
      </c>
      <c r="EC68">
        <f t="shared" si="47"/>
        <v>0</v>
      </c>
      <c r="EG68">
        <f>IF(OR(G68=MyData!$J$50,G68=MyData!$J$51,G68=MyData!$J$52),1,IF(G68=MyData!$J$49,2,0))</f>
        <v>0</v>
      </c>
    </row>
    <row r="69" spans="1:137">
      <c r="A69">
        <f t="shared" si="48"/>
        <v>0</v>
      </c>
      <c r="B69" s="20">
        <f>RicusPolice!E66</f>
        <v>0</v>
      </c>
      <c r="C69" s="20">
        <f>RicusPolice!AL66</f>
        <v>0</v>
      </c>
      <c r="D69" s="20">
        <f>RicusPolice!F66</f>
        <v>0</v>
      </c>
      <c r="E69" s="20">
        <f>RicusPolice!R66</f>
        <v>0</v>
      </c>
      <c r="F69" s="20">
        <f>RicusPolice!N66</f>
        <v>0</v>
      </c>
      <c r="G69" s="20">
        <f>IFERROR(VLOOKUP($B69,PerutYitrot!$D$6:$P$100,4,FALSE),0)</f>
        <v>0</v>
      </c>
      <c r="H69" s="20">
        <f t="shared" si="4"/>
        <v>0</v>
      </c>
      <c r="I69" s="20">
        <f>RicusPolice!L66</f>
        <v>0</v>
      </c>
      <c r="J69" s="179">
        <f>IFERROR(VLOOKUP(TRIM(K69),MyData!$J$43:$K$49,2,FALSE),0)</f>
        <v>0</v>
      </c>
      <c r="K69" s="20">
        <f>RicusPolice!M66</f>
        <v>0</v>
      </c>
      <c r="L69" s="20">
        <f>RicusPolice!AM66</f>
        <v>0</v>
      </c>
      <c r="M69" s="20" t="str">
        <f>IF(B69&gt;0,RicusPolice!Y66," ")</f>
        <v xml:space="preserve"> </v>
      </c>
      <c r="N69" s="20" t="str">
        <f t="shared" si="5"/>
        <v/>
      </c>
      <c r="O69" s="20">
        <f>RicusPolice!N66</f>
        <v>0</v>
      </c>
      <c r="P69" s="20">
        <f>IFERROR(VLOOKUP(B69,PerutMasluleiHashkaa!$D$6:$R$100,4,FALSE),0)</f>
        <v>0</v>
      </c>
      <c r="Q69" s="19"/>
      <c r="R69" s="20">
        <f>RicusPolice!P66</f>
        <v>0</v>
      </c>
      <c r="S69" s="20"/>
      <c r="T69" s="21">
        <f>'נתונים ידניים'!H69</f>
        <v>0</v>
      </c>
      <c r="U69" s="21"/>
      <c r="V69" s="20">
        <f>PerutHafrashotLePolisa!E66</f>
        <v>0</v>
      </c>
      <c r="W69" s="20">
        <f>PerutHafrashotLePolisa!F66</f>
        <v>0</v>
      </c>
      <c r="X69" s="20">
        <f>PerutHafrashotLePolisa!G66</f>
        <v>0</v>
      </c>
      <c r="Y69">
        <f t="shared" si="6"/>
        <v>0</v>
      </c>
      <c r="Z69">
        <f>IFERROR(VLOOKUP(B69,PirteiHaasaka!$D$6:$R$100,5,FALSE),0)</f>
        <v>0</v>
      </c>
      <c r="AB69">
        <f>IFERROR(VLOOKUP(B69,HafkadotMetchilatShanaAverages!$D$6:$E$100,2,FALSE),0)</f>
        <v>0</v>
      </c>
      <c r="AF69">
        <f>IFERROR(VLOOKUP(B69,CrossTabYitraLeTkufa_till_2000!$D$6:$AB$100,6,FALSE),0)+IFERROR(VLOOKUP(B69,CrossTabYitraLeTkufa_after_2000!$D$6:$AB$100,6,FALSE),0)</f>
        <v>0</v>
      </c>
      <c r="AG69">
        <f>IFERROR(VLOOKUP(B69,CrossTabYitraLeTkufa_till_2000!$D$6:$AB$100,16,FALSE),0)</f>
        <v>0</v>
      </c>
      <c r="AH69">
        <f>IFERROR(VLOOKUP(B69,CrossTabYitraLeTkufa_after_2000!$D$6:$AB$100,16,FALSE),0)</f>
        <v>0</v>
      </c>
      <c r="AI69">
        <f>IFERROR(VLOOKUP(B69,CrossTabYitraLeTkufa_till_2000!$D$6:$AB$100,17,FALSE),0)</f>
        <v>0</v>
      </c>
      <c r="AJ69">
        <f>IFERROR(VLOOKUP(B69,CrossTabYitraLeTkufa_after_2000!$D$6:$AB$100,17,FALSE),0)</f>
        <v>0</v>
      </c>
      <c r="AK69" s="5">
        <f t="shared" si="7"/>
        <v>0</v>
      </c>
      <c r="AN69">
        <f>IFERROR(VLOOKUP(B69,PirteiKisuiBeMutzar_procerur!$C$6:$AA$100,2,FALSE),0)</f>
        <v>0</v>
      </c>
      <c r="AP69">
        <f>IFERROR(VLOOKUP($B69,PirteiKisuiBeMutzar_procerur!$C$6:$AA$100,5,FALSE),0)</f>
        <v>0</v>
      </c>
      <c r="AQ69">
        <f>IFERROR(VLOOKUP($B69,PirteiKisuiBeMutzar_procerur!$C$6:$AA$100,3,FALSE),0)</f>
        <v>0</v>
      </c>
      <c r="AR69">
        <f>IFERROR(VLOOKUP($B69,PirteiKisuiBeMutzar_procerur!$C$6:$AA$100,6,FALSE),0)</f>
        <v>0</v>
      </c>
      <c r="AS69">
        <f>IFERROR(VLOOKUP($B69,PirteiKisuiBeMutzar_procerur!$C$6:$AA$100,7,FALSE),0)</f>
        <v>0</v>
      </c>
      <c r="AW69">
        <f t="shared" si="8"/>
        <v>0</v>
      </c>
      <c r="AX69">
        <f t="shared" si="9"/>
        <v>0</v>
      </c>
      <c r="AY69">
        <f t="shared" si="10"/>
        <v>0</v>
      </c>
      <c r="AZ69">
        <f t="shared" si="11"/>
        <v>0</v>
      </c>
      <c r="BA69">
        <f t="shared" si="12"/>
        <v>0</v>
      </c>
      <c r="BB69">
        <f t="shared" si="13"/>
        <v>0</v>
      </c>
      <c r="BC69">
        <f t="shared" si="14"/>
        <v>0</v>
      </c>
      <c r="BD69">
        <f t="shared" si="15"/>
        <v>0</v>
      </c>
      <c r="BE69">
        <f t="shared" si="16"/>
        <v>0</v>
      </c>
      <c r="BF69">
        <f t="shared" si="49"/>
        <v>0</v>
      </c>
      <c r="BG69">
        <f t="shared" si="17"/>
        <v>0</v>
      </c>
      <c r="BH69">
        <f t="shared" si="18"/>
        <v>0</v>
      </c>
      <c r="BI69">
        <f t="shared" si="19"/>
        <v>0</v>
      </c>
      <c r="BK69">
        <f t="shared" si="20"/>
        <v>0</v>
      </c>
      <c r="BL69">
        <f t="shared" si="21"/>
        <v>0</v>
      </c>
      <c r="BM69">
        <f t="shared" si="22"/>
        <v>0</v>
      </c>
      <c r="BN69">
        <f t="shared" si="23"/>
        <v>0</v>
      </c>
      <c r="BO69">
        <f t="shared" si="24"/>
        <v>0</v>
      </c>
      <c r="BR69">
        <f t="shared" si="25"/>
        <v>0</v>
      </c>
      <c r="BS69">
        <f t="shared" si="26"/>
        <v>0</v>
      </c>
      <c r="BT69">
        <f t="shared" si="27"/>
        <v>0</v>
      </c>
      <c r="BU69">
        <f t="shared" si="28"/>
        <v>0</v>
      </c>
      <c r="BV69">
        <f t="shared" si="29"/>
        <v>0</v>
      </c>
      <c r="BX69">
        <f t="shared" si="30"/>
        <v>0</v>
      </c>
      <c r="BY69">
        <f t="shared" si="31"/>
        <v>0</v>
      </c>
      <c r="BZ69">
        <f t="shared" si="32"/>
        <v>0</v>
      </c>
      <c r="CA69">
        <f t="shared" si="33"/>
        <v>0</v>
      </c>
      <c r="CB69">
        <f t="shared" si="34"/>
        <v>0</v>
      </c>
      <c r="CE69">
        <f t="shared" si="35"/>
        <v>0</v>
      </c>
      <c r="CF69">
        <f t="shared" si="36"/>
        <v>0</v>
      </c>
      <c r="CG69">
        <f t="shared" si="37"/>
        <v>0</v>
      </c>
      <c r="CH69">
        <f t="shared" si="38"/>
        <v>0</v>
      </c>
      <c r="CI69">
        <f t="shared" si="39"/>
        <v>0</v>
      </c>
      <c r="CL69">
        <f t="shared" si="40"/>
        <v>0</v>
      </c>
      <c r="CM69">
        <f t="shared" si="41"/>
        <v>0</v>
      </c>
      <c r="CN69">
        <f t="shared" si="42"/>
        <v>0</v>
      </c>
      <c r="CO69">
        <f t="shared" si="43"/>
        <v>0</v>
      </c>
      <c r="CP69">
        <f t="shared" si="44"/>
        <v>0</v>
      </c>
      <c r="CQ69">
        <f>IFERROR(VLOOKUP($B69,SchumeiBituahYesodi!$C$6:$AA$100,8,FALSE),0)</f>
        <v>0</v>
      </c>
      <c r="CR69">
        <f>IFERROR(VLOOKUP($B69,PirteiKisuiBeMutzar_procerur!$C$6:$AA$100,2,FALSE),0)</f>
        <v>0</v>
      </c>
      <c r="CS69">
        <f>IFERROR(VLOOKUP($B69,PirteiKisuiBeMutzar_procerur!$C$6:$AA$100,3,FALSE),0)</f>
        <v>0</v>
      </c>
      <c r="CT69">
        <f>IFERROR(VLOOKUP($B69,PirteiKisuiBeMutzar_procerur!$C$6:$AA$100,4,FALSE),0)</f>
        <v>0</v>
      </c>
      <c r="CU69">
        <f>IFERROR(VLOOKUP($B69,PirteiKisuiBeMutzar_procerur!$C$6:$AA$100,5,FALSE),0)</f>
        <v>0</v>
      </c>
      <c r="CV69">
        <f>IFERROR(VLOOKUP($B69,PirteiKisuiBeMutzar_procerur!$C$6:$AA$100,6,FALSE),0)</f>
        <v>0</v>
      </c>
      <c r="CW69">
        <f>IFERROR(VLOOKUP($B69,PirteiKisuiBeMutzar_procerur!$C$6:$AA$100,7,FALSE),0)</f>
        <v>0</v>
      </c>
      <c r="CX69">
        <f>IFERROR(VLOOKUP($B69,PirteiKisuiBeMutzar_procerur!$C$6:$AA$100,8,FALSE),0)</f>
        <v>0</v>
      </c>
      <c r="CY69">
        <f>IFERROR(VLOOKUP($B69,PirteiKisuiBeMutzar_procerur!$C$6:$AA$100,9,FALSE),0)</f>
        <v>0</v>
      </c>
      <c r="CZ69">
        <f>IFERROR(VLOOKUP($B69,PirteiKisuiBeMutzar_procerur!$C$6:$AA$100,10,FALSE),0)</f>
        <v>0</v>
      </c>
      <c r="DA69">
        <f>IFERROR(VLOOKUP($B69,PirteiKisuiBeMutzar_procerur!$C$6:$AA$100,11,FALSE),0)</f>
        <v>0</v>
      </c>
      <c r="DB69">
        <f>IFERROR(VLOOKUP($B69,PirteiKisuiBeMutzarPrmia!$C$6:$AA$100,2,FALSE),0)</f>
        <v>0</v>
      </c>
      <c r="DC69">
        <f>IFERROR(VLOOKUP($B69,PirteiKisuiBeMutzarPrmia!$C$6:$AA$100,3,FALSE),0)</f>
        <v>0</v>
      </c>
      <c r="DD69">
        <f>IFERROR(VLOOKUP($B69,PirteiKisuiBeMutzarPrmia!$C$6:$AA$100,4,FALSE),0)</f>
        <v>0</v>
      </c>
      <c r="DE69">
        <f>IFERROR(VLOOKUP($B69,PirteiKisuiBeMutzarPrmia!$C$6:$AA$100,5,FALSE),0)</f>
        <v>0</v>
      </c>
      <c r="DF69">
        <f>IFERROR(VLOOKUP($B69,PirteiKisuiBeMutzarPrmia!$C$6:$AA$100,6,FALSE),0)</f>
        <v>0</v>
      </c>
      <c r="DG69">
        <f>IFERROR(VLOOKUP($B69,PirteiKisuiBeMutzarPrmia!$C$6:$AA$100,7,FALSE),0)</f>
        <v>0</v>
      </c>
      <c r="DH69">
        <f>IFERROR(VLOOKUP($B69,PirteiKisuiBeMutzarPrmia!$C$6:$AA$100,8,FALSE),0)</f>
        <v>0</v>
      </c>
      <c r="DI69">
        <f>IFERROR(VLOOKUP($B69,PirteiKisuiBeMutzarPrmia!$C$6:$AA$100,9,FALSE),0)</f>
        <v>0</v>
      </c>
      <c r="DJ69">
        <f>IFERROR(VLOOKUP($B69,PirteiKisuiBeMutzarPrmia!$C$6:$AA$100,10,FALSE),0)</f>
        <v>0</v>
      </c>
      <c r="DK69">
        <f>IFERROR(VLOOKUP($B69,PirteiKisuiBeMutzarPrmia!$C$6:$AA$100,11,FALSE),0)</f>
        <v>0</v>
      </c>
      <c r="DL69">
        <f t="shared" si="51"/>
        <v>0</v>
      </c>
      <c r="DM69">
        <f t="shared" si="45"/>
        <v>0</v>
      </c>
      <c r="DN69">
        <f t="shared" si="46"/>
        <v>0</v>
      </c>
      <c r="DO69">
        <f t="shared" si="52"/>
        <v>0</v>
      </c>
      <c r="DP69">
        <f t="shared" si="50"/>
        <v>0</v>
      </c>
      <c r="DQ69">
        <f>IF(OR(L69=1,L69=3),IFERROR(VLOOKUP($B69,PerutHafkadotMetchilatShanaAvgM!$C$6:$G$100,3,FALSE),0),0)</f>
        <v>0</v>
      </c>
      <c r="DR69">
        <f>IF(OR(L69=2,L69=4),IFERROR(VLOOKUP($B69,PerutHafkadotMetchilatShanaAvgM!$C$6:$G$100,3,FALSE),0),0)</f>
        <v>0</v>
      </c>
      <c r="DS69">
        <f>IFERROR(VLOOKUP($B69,PerutHafkadotMetchilatShanaAvgM!$C$6:$G$100,4,FALSE),0)</f>
        <v>0</v>
      </c>
      <c r="DT69">
        <f>IFERROR(VLOOKUP($B69,Kupa!$D$6:$AA$100,5,FALSE),0)</f>
        <v>0</v>
      </c>
      <c r="DU69">
        <f>IFERROR(VLOOKUP($B69,Kupa!$D$6:$AA$100,6,FALSE),0)</f>
        <v>0</v>
      </c>
      <c r="DV69">
        <f>IFERROR(VLOOKUP($B69,KisuiBKerenPensiaDBWithParams!$D$6:$AP$100,9,FALSE),0)</f>
        <v>0</v>
      </c>
      <c r="DW69">
        <f>IFERROR(VLOOKUP($B69,KisuiBKerenPensiaDBWithParams!$D$6:$AP$100,12,FALSE),0)</f>
        <v>0</v>
      </c>
      <c r="DX69">
        <f>IFERROR(VLOOKUP($B69,KisuiBKerenPensiaDBWithParams!$D$6:$AP$100,13,FALSE),0)</f>
        <v>0</v>
      </c>
      <c r="DY69">
        <f>IFERROR(VLOOKUP($B69,KisuiBKerenPensiaDBWithParams!$D$6:$AP$100,7,FALSE),0)</f>
        <v>0</v>
      </c>
      <c r="DZ69">
        <f>IFERROR(VLOOKUP($B69,KisuiBKerenPensiaDBWithParams!$D$6:$AP$100,17,FALSE),0)</f>
        <v>0</v>
      </c>
      <c r="EA69">
        <f>IFERROR(VLOOKUP($B69,KisuiBKerenPensiaDBWithParams!$D$6:$AP$100,20,FALSE),0)</f>
        <v>0</v>
      </c>
      <c r="EB69">
        <f>IFERROR(VLOOKUP($B69,KisuiBKerenPensiaDBWithParams!$D$6:$AP$100,21,FALSE),0)</f>
        <v>0</v>
      </c>
      <c r="EC69">
        <f t="shared" si="47"/>
        <v>0</v>
      </c>
      <c r="EG69">
        <f>IF(OR(G69=MyData!$J$50,G69=MyData!$J$51,G69=MyData!$J$52),1,IF(G69=MyData!$J$49,2,0))</f>
        <v>0</v>
      </c>
    </row>
    <row r="70" spans="1:137">
      <c r="A70">
        <f t="shared" si="48"/>
        <v>0</v>
      </c>
      <c r="B70" s="20">
        <f>RicusPolice!E67</f>
        <v>0</v>
      </c>
      <c r="C70" s="20">
        <f>RicusPolice!AL67</f>
        <v>0</v>
      </c>
      <c r="D70" s="20">
        <f>RicusPolice!F67</f>
        <v>0</v>
      </c>
      <c r="E70" s="20">
        <f>RicusPolice!R67</f>
        <v>0</v>
      </c>
      <c r="F70" s="20">
        <f>RicusPolice!N67</f>
        <v>0</v>
      </c>
      <c r="G70" s="20">
        <f>IFERROR(VLOOKUP($B70,PerutYitrot!$D$6:$P$100,4,FALSE),0)</f>
        <v>0</v>
      </c>
      <c r="H70" s="20">
        <f t="shared" si="4"/>
        <v>0</v>
      </c>
      <c r="I70" s="20">
        <f>RicusPolice!L67</f>
        <v>0</v>
      </c>
      <c r="J70" s="179">
        <f>IFERROR(VLOOKUP(TRIM(K70),MyData!$J$43:$K$49,2,FALSE),0)</f>
        <v>0</v>
      </c>
      <c r="K70" s="20">
        <f>RicusPolice!M67</f>
        <v>0</v>
      </c>
      <c r="L70" s="20">
        <f>RicusPolice!AM67</f>
        <v>0</v>
      </c>
      <c r="M70" s="20" t="str">
        <f>IF(B70&gt;0,RicusPolice!Y67," ")</f>
        <v xml:space="preserve"> </v>
      </c>
      <c r="N70" s="20" t="str">
        <f t="shared" si="5"/>
        <v/>
      </c>
      <c r="O70" s="20">
        <f>RicusPolice!N67</f>
        <v>0</v>
      </c>
      <c r="P70" s="20">
        <f>IFERROR(VLOOKUP(B70,PerutMasluleiHashkaa!$D$6:$R$100,4,FALSE),0)</f>
        <v>0</v>
      </c>
      <c r="Q70" s="19"/>
      <c r="R70" s="20">
        <f>RicusPolice!P67</f>
        <v>0</v>
      </c>
      <c r="S70" s="20"/>
      <c r="T70" s="21">
        <f>'נתונים ידניים'!H70</f>
        <v>0</v>
      </c>
      <c r="U70" s="21"/>
      <c r="V70" s="20">
        <f>PerutHafrashotLePolisa!E67</f>
        <v>0</v>
      </c>
      <c r="W70" s="20">
        <f>PerutHafrashotLePolisa!F67</f>
        <v>0</v>
      </c>
      <c r="X70" s="20">
        <f>PerutHafrashotLePolisa!G67</f>
        <v>0</v>
      </c>
      <c r="Y70">
        <f t="shared" si="6"/>
        <v>0</v>
      </c>
      <c r="Z70">
        <f>IFERROR(VLOOKUP(B70,PirteiHaasaka!$D$6:$R$100,5,FALSE),0)</f>
        <v>0</v>
      </c>
      <c r="AB70">
        <f>IFERROR(VLOOKUP(B70,HafkadotMetchilatShanaAverages!$D$6:$E$100,2,FALSE),0)</f>
        <v>0</v>
      </c>
      <c r="AF70">
        <f>IFERROR(VLOOKUP(B70,CrossTabYitraLeTkufa_till_2000!$D$6:$AB$100,6,FALSE),0)+IFERROR(VLOOKUP(B70,CrossTabYitraLeTkufa_after_2000!$D$6:$AB$100,6,FALSE),0)</f>
        <v>0</v>
      </c>
      <c r="AG70">
        <f>IFERROR(VLOOKUP(B70,CrossTabYitraLeTkufa_till_2000!$D$6:$AB$100,16,FALSE),0)</f>
        <v>0</v>
      </c>
      <c r="AH70">
        <f>IFERROR(VLOOKUP(B70,CrossTabYitraLeTkufa_after_2000!$D$6:$AB$100,16,FALSE),0)</f>
        <v>0</v>
      </c>
      <c r="AI70">
        <f>IFERROR(VLOOKUP(B70,CrossTabYitraLeTkufa_till_2000!$D$6:$AB$100,17,FALSE),0)</f>
        <v>0</v>
      </c>
      <c r="AJ70">
        <f>IFERROR(VLOOKUP(B70,CrossTabYitraLeTkufa_after_2000!$D$6:$AB$100,17,FALSE),0)</f>
        <v>0</v>
      </c>
      <c r="AK70" s="5">
        <f t="shared" si="7"/>
        <v>0</v>
      </c>
      <c r="AN70">
        <f>IFERROR(VLOOKUP(B70,PirteiKisuiBeMutzar_procerur!$C$6:$AA$100,2,FALSE),0)</f>
        <v>0</v>
      </c>
      <c r="AP70">
        <f>IFERROR(VLOOKUP($B70,PirteiKisuiBeMutzar_procerur!$C$6:$AA$100,5,FALSE),0)</f>
        <v>0</v>
      </c>
      <c r="AQ70">
        <f>IFERROR(VLOOKUP($B70,PirteiKisuiBeMutzar_procerur!$C$6:$AA$100,3,FALSE),0)</f>
        <v>0</v>
      </c>
      <c r="AR70">
        <f>IFERROR(VLOOKUP($B70,PirteiKisuiBeMutzar_procerur!$C$6:$AA$100,6,FALSE),0)</f>
        <v>0</v>
      </c>
      <c r="AS70">
        <f>IFERROR(VLOOKUP($B70,PirteiKisuiBeMutzar_procerur!$C$6:$AA$100,7,FALSE),0)</f>
        <v>0</v>
      </c>
      <c r="AW70">
        <f t="shared" si="8"/>
        <v>0</v>
      </c>
      <c r="AX70">
        <f t="shared" si="9"/>
        <v>0</v>
      </c>
      <c r="AY70">
        <f t="shared" si="10"/>
        <v>0</v>
      </c>
      <c r="AZ70">
        <f t="shared" si="11"/>
        <v>0</v>
      </c>
      <c r="BA70">
        <f t="shared" si="12"/>
        <v>0</v>
      </c>
      <c r="BB70">
        <f t="shared" si="13"/>
        <v>0</v>
      </c>
      <c r="BC70">
        <f t="shared" si="14"/>
        <v>0</v>
      </c>
      <c r="BD70">
        <f t="shared" si="15"/>
        <v>0</v>
      </c>
      <c r="BE70">
        <f t="shared" si="16"/>
        <v>0</v>
      </c>
      <c r="BF70">
        <f t="shared" si="49"/>
        <v>0</v>
      </c>
      <c r="BG70">
        <f t="shared" si="17"/>
        <v>0</v>
      </c>
      <c r="BH70">
        <f t="shared" si="18"/>
        <v>0</v>
      </c>
      <c r="BI70">
        <f t="shared" si="19"/>
        <v>0</v>
      </c>
      <c r="BK70">
        <f t="shared" si="20"/>
        <v>0</v>
      </c>
      <c r="BL70">
        <f t="shared" si="21"/>
        <v>0</v>
      </c>
      <c r="BM70">
        <f t="shared" si="22"/>
        <v>0</v>
      </c>
      <c r="BN70">
        <f t="shared" si="23"/>
        <v>0</v>
      </c>
      <c r="BO70">
        <f t="shared" si="24"/>
        <v>0</v>
      </c>
      <c r="BR70">
        <f t="shared" si="25"/>
        <v>0</v>
      </c>
      <c r="BS70">
        <f t="shared" si="26"/>
        <v>0</v>
      </c>
      <c r="BT70">
        <f t="shared" si="27"/>
        <v>0</v>
      </c>
      <c r="BU70">
        <f t="shared" si="28"/>
        <v>0</v>
      </c>
      <c r="BV70">
        <f t="shared" si="29"/>
        <v>0</v>
      </c>
      <c r="BX70">
        <f t="shared" si="30"/>
        <v>0</v>
      </c>
      <c r="BY70">
        <f t="shared" si="31"/>
        <v>0</v>
      </c>
      <c r="BZ70">
        <f t="shared" si="32"/>
        <v>0</v>
      </c>
      <c r="CA70">
        <f t="shared" si="33"/>
        <v>0</v>
      </c>
      <c r="CB70">
        <f t="shared" si="34"/>
        <v>0</v>
      </c>
      <c r="CE70">
        <f t="shared" si="35"/>
        <v>0</v>
      </c>
      <c r="CF70">
        <f t="shared" si="36"/>
        <v>0</v>
      </c>
      <c r="CG70">
        <f t="shared" si="37"/>
        <v>0</v>
      </c>
      <c r="CH70">
        <f t="shared" si="38"/>
        <v>0</v>
      </c>
      <c r="CI70">
        <f t="shared" si="39"/>
        <v>0</v>
      </c>
      <c r="CL70">
        <f t="shared" si="40"/>
        <v>0</v>
      </c>
      <c r="CM70">
        <f t="shared" si="41"/>
        <v>0</v>
      </c>
      <c r="CN70">
        <f t="shared" si="42"/>
        <v>0</v>
      </c>
      <c r="CO70">
        <f t="shared" si="43"/>
        <v>0</v>
      </c>
      <c r="CP70">
        <f t="shared" si="44"/>
        <v>0</v>
      </c>
      <c r="CQ70">
        <f>IFERROR(VLOOKUP($B70,SchumeiBituahYesodi!$C$6:$AA$100,8,FALSE),0)</f>
        <v>0</v>
      </c>
      <c r="CR70">
        <f>IFERROR(VLOOKUP($B70,PirteiKisuiBeMutzar_procerur!$C$6:$AA$100,2,FALSE),0)</f>
        <v>0</v>
      </c>
      <c r="CS70">
        <f>IFERROR(VLOOKUP($B70,PirteiKisuiBeMutzar_procerur!$C$6:$AA$100,3,FALSE),0)</f>
        <v>0</v>
      </c>
      <c r="CT70">
        <f>IFERROR(VLOOKUP($B70,PirteiKisuiBeMutzar_procerur!$C$6:$AA$100,4,FALSE),0)</f>
        <v>0</v>
      </c>
      <c r="CU70">
        <f>IFERROR(VLOOKUP($B70,PirteiKisuiBeMutzar_procerur!$C$6:$AA$100,5,FALSE),0)</f>
        <v>0</v>
      </c>
      <c r="CV70">
        <f>IFERROR(VLOOKUP($B70,PirteiKisuiBeMutzar_procerur!$C$6:$AA$100,6,FALSE),0)</f>
        <v>0</v>
      </c>
      <c r="CW70">
        <f>IFERROR(VLOOKUP($B70,PirteiKisuiBeMutzar_procerur!$C$6:$AA$100,7,FALSE),0)</f>
        <v>0</v>
      </c>
      <c r="CX70">
        <f>IFERROR(VLOOKUP($B70,PirteiKisuiBeMutzar_procerur!$C$6:$AA$100,8,FALSE),0)</f>
        <v>0</v>
      </c>
      <c r="CY70">
        <f>IFERROR(VLOOKUP($B70,PirteiKisuiBeMutzar_procerur!$C$6:$AA$100,9,FALSE),0)</f>
        <v>0</v>
      </c>
      <c r="CZ70">
        <f>IFERROR(VLOOKUP($B70,PirteiKisuiBeMutzar_procerur!$C$6:$AA$100,10,FALSE),0)</f>
        <v>0</v>
      </c>
      <c r="DA70">
        <f>IFERROR(VLOOKUP($B70,PirteiKisuiBeMutzar_procerur!$C$6:$AA$100,11,FALSE),0)</f>
        <v>0</v>
      </c>
      <c r="DB70">
        <f>IFERROR(VLOOKUP($B70,PirteiKisuiBeMutzarPrmia!$C$6:$AA$100,2,FALSE),0)</f>
        <v>0</v>
      </c>
      <c r="DC70">
        <f>IFERROR(VLOOKUP($B70,PirteiKisuiBeMutzarPrmia!$C$6:$AA$100,3,FALSE),0)</f>
        <v>0</v>
      </c>
      <c r="DD70">
        <f>IFERROR(VLOOKUP($B70,PirteiKisuiBeMutzarPrmia!$C$6:$AA$100,4,FALSE),0)</f>
        <v>0</v>
      </c>
      <c r="DE70">
        <f>IFERROR(VLOOKUP($B70,PirteiKisuiBeMutzarPrmia!$C$6:$AA$100,5,FALSE),0)</f>
        <v>0</v>
      </c>
      <c r="DF70">
        <f>IFERROR(VLOOKUP($B70,PirteiKisuiBeMutzarPrmia!$C$6:$AA$100,6,FALSE),0)</f>
        <v>0</v>
      </c>
      <c r="DG70">
        <f>IFERROR(VLOOKUP($B70,PirteiKisuiBeMutzarPrmia!$C$6:$AA$100,7,FALSE),0)</f>
        <v>0</v>
      </c>
      <c r="DH70">
        <f>IFERROR(VLOOKUP($B70,PirteiKisuiBeMutzarPrmia!$C$6:$AA$100,8,FALSE),0)</f>
        <v>0</v>
      </c>
      <c r="DI70">
        <f>IFERROR(VLOOKUP($B70,PirteiKisuiBeMutzarPrmia!$C$6:$AA$100,9,FALSE),0)</f>
        <v>0</v>
      </c>
      <c r="DJ70">
        <f>IFERROR(VLOOKUP($B70,PirteiKisuiBeMutzarPrmia!$C$6:$AA$100,10,FALSE),0)</f>
        <v>0</v>
      </c>
      <c r="DK70">
        <f>IFERROR(VLOOKUP($B70,PirteiKisuiBeMutzarPrmia!$C$6:$AA$100,11,FALSE),0)</f>
        <v>0</v>
      </c>
      <c r="DL70">
        <f t="shared" si="51"/>
        <v>0</v>
      </c>
      <c r="DM70">
        <f t="shared" si="45"/>
        <v>0</v>
      </c>
      <c r="DN70">
        <f t="shared" si="46"/>
        <v>0</v>
      </c>
      <c r="DO70">
        <f t="shared" si="52"/>
        <v>0</v>
      </c>
      <c r="DP70">
        <f t="shared" si="50"/>
        <v>0</v>
      </c>
      <c r="DQ70">
        <f>IF(OR(L70=1,L70=3),IFERROR(VLOOKUP($B70,PerutHafkadotMetchilatShanaAvgM!$C$6:$G$100,3,FALSE),0),0)</f>
        <v>0</v>
      </c>
      <c r="DR70">
        <f>IF(OR(L70=2,L70=4),IFERROR(VLOOKUP($B70,PerutHafkadotMetchilatShanaAvgM!$C$6:$G$100,3,FALSE),0),0)</f>
        <v>0</v>
      </c>
      <c r="DS70">
        <f>IFERROR(VLOOKUP($B70,PerutHafkadotMetchilatShanaAvgM!$C$6:$G$100,4,FALSE),0)</f>
        <v>0</v>
      </c>
      <c r="DT70">
        <f>IFERROR(VLOOKUP($B70,Kupa!$D$6:$AA$100,5,FALSE),0)</f>
        <v>0</v>
      </c>
      <c r="DU70">
        <f>IFERROR(VLOOKUP($B70,Kupa!$D$6:$AA$100,6,FALSE),0)</f>
        <v>0</v>
      </c>
      <c r="DV70">
        <f>IFERROR(VLOOKUP($B70,KisuiBKerenPensiaDBWithParams!$D$6:$AP$100,9,FALSE),0)</f>
        <v>0</v>
      </c>
      <c r="DW70">
        <f>IFERROR(VLOOKUP($B70,KisuiBKerenPensiaDBWithParams!$D$6:$AP$100,12,FALSE),0)</f>
        <v>0</v>
      </c>
      <c r="DX70">
        <f>IFERROR(VLOOKUP($B70,KisuiBKerenPensiaDBWithParams!$D$6:$AP$100,13,FALSE),0)</f>
        <v>0</v>
      </c>
      <c r="DY70">
        <f>IFERROR(VLOOKUP($B70,KisuiBKerenPensiaDBWithParams!$D$6:$AP$100,7,FALSE),0)</f>
        <v>0</v>
      </c>
      <c r="DZ70">
        <f>IFERROR(VLOOKUP($B70,KisuiBKerenPensiaDBWithParams!$D$6:$AP$100,17,FALSE),0)</f>
        <v>0</v>
      </c>
      <c r="EA70">
        <f>IFERROR(VLOOKUP($B70,KisuiBKerenPensiaDBWithParams!$D$6:$AP$100,20,FALSE),0)</f>
        <v>0</v>
      </c>
      <c r="EB70">
        <f>IFERROR(VLOOKUP($B70,KisuiBKerenPensiaDBWithParams!$D$6:$AP$100,21,FALSE),0)</f>
        <v>0</v>
      </c>
      <c r="EC70">
        <f t="shared" si="47"/>
        <v>0</v>
      </c>
      <c r="EG70">
        <f>IF(OR(G70=MyData!$J$50,G70=MyData!$J$51,G70=MyData!$J$52),1,IF(G70=MyData!$J$49,2,0))</f>
        <v>0</v>
      </c>
    </row>
    <row r="71" spans="1:137">
      <c r="A71">
        <f t="shared" si="48"/>
        <v>0</v>
      </c>
      <c r="B71" s="20">
        <f>RicusPolice!E68</f>
        <v>0</v>
      </c>
      <c r="C71" s="20">
        <f>RicusPolice!AL68</f>
        <v>0</v>
      </c>
      <c r="D71" s="20">
        <f>RicusPolice!F68</f>
        <v>0</v>
      </c>
      <c r="E71" s="20">
        <f>RicusPolice!R68</f>
        <v>0</v>
      </c>
      <c r="F71" s="20">
        <f>RicusPolice!N68</f>
        <v>0</v>
      </c>
      <c r="G71" s="20">
        <f>IFERROR(VLOOKUP($B71,PerutYitrot!$D$6:$P$100,4,FALSE),0)</f>
        <v>0</v>
      </c>
      <c r="H71" s="20">
        <f t="shared" si="4"/>
        <v>0</v>
      </c>
      <c r="I71" s="20">
        <f>RicusPolice!L68</f>
        <v>0</v>
      </c>
      <c r="J71" s="179">
        <f>IFERROR(VLOOKUP(TRIM(K71),MyData!$J$43:$K$49,2,FALSE),0)</f>
        <v>0</v>
      </c>
      <c r="K71" s="20">
        <f>RicusPolice!M68</f>
        <v>0</v>
      </c>
      <c r="L71" s="20">
        <f>RicusPolice!AM68</f>
        <v>0</v>
      </c>
      <c r="M71" s="20" t="str">
        <f>IF(B71&gt;0,RicusPolice!Y68," ")</f>
        <v xml:space="preserve"> </v>
      </c>
      <c r="N71" s="20" t="str">
        <f t="shared" si="5"/>
        <v/>
      </c>
      <c r="O71" s="20">
        <f>RicusPolice!N68</f>
        <v>0</v>
      </c>
      <c r="P71" s="20">
        <f>IFERROR(VLOOKUP(B71,PerutMasluleiHashkaa!$D$6:$R$100,4,FALSE),0)</f>
        <v>0</v>
      </c>
      <c r="Q71" s="19"/>
      <c r="R71" s="20">
        <f>RicusPolice!P68</f>
        <v>0</v>
      </c>
      <c r="S71" s="20"/>
      <c r="T71" s="21">
        <f>'נתונים ידניים'!H71</f>
        <v>0</v>
      </c>
      <c r="U71" s="21"/>
      <c r="V71" s="20">
        <f>PerutHafrashotLePolisa!E68</f>
        <v>0</v>
      </c>
      <c r="W71" s="20">
        <f>PerutHafrashotLePolisa!F68</f>
        <v>0</v>
      </c>
      <c r="X71" s="20">
        <f>PerutHafrashotLePolisa!G68</f>
        <v>0</v>
      </c>
      <c r="Y71">
        <f t="shared" si="6"/>
        <v>0</v>
      </c>
      <c r="Z71">
        <f>IFERROR(VLOOKUP(B71,PirteiHaasaka!$D$6:$R$100,5,FALSE),0)</f>
        <v>0</v>
      </c>
      <c r="AB71">
        <f>IFERROR(VLOOKUP(B71,HafkadotMetchilatShanaAverages!$D$6:$E$100,2,FALSE),0)</f>
        <v>0</v>
      </c>
      <c r="AF71">
        <f>IFERROR(VLOOKUP(B71,CrossTabYitraLeTkufa_till_2000!$D$6:$AB$100,6,FALSE),0)+IFERROR(VLOOKUP(B71,CrossTabYitraLeTkufa_after_2000!$D$6:$AB$100,6,FALSE),0)</f>
        <v>0</v>
      </c>
      <c r="AG71">
        <f>IFERROR(VLOOKUP(B71,CrossTabYitraLeTkufa_till_2000!$D$6:$AB$100,16,FALSE),0)</f>
        <v>0</v>
      </c>
      <c r="AH71">
        <f>IFERROR(VLOOKUP(B71,CrossTabYitraLeTkufa_after_2000!$D$6:$AB$100,16,FALSE),0)</f>
        <v>0</v>
      </c>
      <c r="AI71">
        <f>IFERROR(VLOOKUP(B71,CrossTabYitraLeTkufa_till_2000!$D$6:$AB$100,17,FALSE),0)</f>
        <v>0</v>
      </c>
      <c r="AJ71">
        <f>IFERROR(VLOOKUP(B71,CrossTabYitraLeTkufa_after_2000!$D$6:$AB$100,17,FALSE),0)</f>
        <v>0</v>
      </c>
      <c r="AK71" s="5">
        <f t="shared" si="7"/>
        <v>0</v>
      </c>
      <c r="AN71">
        <f>IFERROR(VLOOKUP(B71,PirteiKisuiBeMutzar_procerur!$C$6:$AA$100,2,FALSE),0)</f>
        <v>0</v>
      </c>
      <c r="AP71">
        <f>IFERROR(VLOOKUP($B71,PirteiKisuiBeMutzar_procerur!$C$6:$AA$100,5,FALSE),0)</f>
        <v>0</v>
      </c>
      <c r="AQ71">
        <f>IFERROR(VLOOKUP($B71,PirteiKisuiBeMutzar_procerur!$C$6:$AA$100,3,FALSE),0)</f>
        <v>0</v>
      </c>
      <c r="AR71">
        <f>IFERROR(VLOOKUP($B71,PirteiKisuiBeMutzar_procerur!$C$6:$AA$100,6,FALSE),0)</f>
        <v>0</v>
      </c>
      <c r="AS71">
        <f>IFERROR(VLOOKUP($B71,PirteiKisuiBeMutzar_procerur!$C$6:$AA$100,7,FALSE),0)</f>
        <v>0</v>
      </c>
      <c r="AW71">
        <f t="shared" si="8"/>
        <v>0</v>
      </c>
      <c r="AX71">
        <f t="shared" si="9"/>
        <v>0</v>
      </c>
      <c r="AY71">
        <f t="shared" si="10"/>
        <v>0</v>
      </c>
      <c r="AZ71">
        <f t="shared" si="11"/>
        <v>0</v>
      </c>
      <c r="BA71">
        <f t="shared" si="12"/>
        <v>0</v>
      </c>
      <c r="BB71">
        <f t="shared" si="13"/>
        <v>0</v>
      </c>
      <c r="BC71">
        <f t="shared" si="14"/>
        <v>0</v>
      </c>
      <c r="BD71">
        <f t="shared" si="15"/>
        <v>0</v>
      </c>
      <c r="BE71">
        <f t="shared" si="16"/>
        <v>0</v>
      </c>
      <c r="BF71">
        <f t="shared" si="49"/>
        <v>0</v>
      </c>
      <c r="BG71">
        <f t="shared" si="17"/>
        <v>0</v>
      </c>
      <c r="BH71">
        <f t="shared" si="18"/>
        <v>0</v>
      </c>
      <c r="BI71">
        <f t="shared" si="19"/>
        <v>0</v>
      </c>
      <c r="BK71">
        <f t="shared" si="20"/>
        <v>0</v>
      </c>
      <c r="BL71">
        <f t="shared" si="21"/>
        <v>0</v>
      </c>
      <c r="BM71">
        <f t="shared" si="22"/>
        <v>0</v>
      </c>
      <c r="BN71">
        <f t="shared" si="23"/>
        <v>0</v>
      </c>
      <c r="BO71">
        <f t="shared" si="24"/>
        <v>0</v>
      </c>
      <c r="BR71">
        <f t="shared" si="25"/>
        <v>0</v>
      </c>
      <c r="BS71">
        <f t="shared" si="26"/>
        <v>0</v>
      </c>
      <c r="BT71">
        <f t="shared" si="27"/>
        <v>0</v>
      </c>
      <c r="BU71">
        <f t="shared" si="28"/>
        <v>0</v>
      </c>
      <c r="BV71">
        <f t="shared" si="29"/>
        <v>0</v>
      </c>
      <c r="BX71">
        <f t="shared" si="30"/>
        <v>0</v>
      </c>
      <c r="BY71">
        <f t="shared" si="31"/>
        <v>0</v>
      </c>
      <c r="BZ71">
        <f t="shared" si="32"/>
        <v>0</v>
      </c>
      <c r="CA71">
        <f t="shared" si="33"/>
        <v>0</v>
      </c>
      <c r="CB71">
        <f t="shared" si="34"/>
        <v>0</v>
      </c>
      <c r="CE71">
        <f t="shared" si="35"/>
        <v>0</v>
      </c>
      <c r="CF71">
        <f t="shared" si="36"/>
        <v>0</v>
      </c>
      <c r="CG71">
        <f t="shared" si="37"/>
        <v>0</v>
      </c>
      <c r="CH71">
        <f t="shared" si="38"/>
        <v>0</v>
      </c>
      <c r="CI71">
        <f t="shared" si="39"/>
        <v>0</v>
      </c>
      <c r="CL71">
        <f t="shared" si="40"/>
        <v>0</v>
      </c>
      <c r="CM71">
        <f t="shared" si="41"/>
        <v>0</v>
      </c>
      <c r="CN71">
        <f t="shared" si="42"/>
        <v>0</v>
      </c>
      <c r="CO71">
        <f t="shared" si="43"/>
        <v>0</v>
      </c>
      <c r="CP71">
        <f t="shared" si="44"/>
        <v>0</v>
      </c>
      <c r="CQ71">
        <f>IFERROR(VLOOKUP($B71,SchumeiBituahYesodi!$C$6:$AA$100,8,FALSE),0)</f>
        <v>0</v>
      </c>
      <c r="CR71">
        <f>IFERROR(VLOOKUP($B71,PirteiKisuiBeMutzar_procerur!$C$6:$AA$100,2,FALSE),0)</f>
        <v>0</v>
      </c>
      <c r="CS71">
        <f>IFERROR(VLOOKUP($B71,PirteiKisuiBeMutzar_procerur!$C$6:$AA$100,3,FALSE),0)</f>
        <v>0</v>
      </c>
      <c r="CT71">
        <f>IFERROR(VLOOKUP($B71,PirteiKisuiBeMutzar_procerur!$C$6:$AA$100,4,FALSE),0)</f>
        <v>0</v>
      </c>
      <c r="CU71">
        <f>IFERROR(VLOOKUP($B71,PirteiKisuiBeMutzar_procerur!$C$6:$AA$100,5,FALSE),0)</f>
        <v>0</v>
      </c>
      <c r="CV71">
        <f>IFERROR(VLOOKUP($B71,PirteiKisuiBeMutzar_procerur!$C$6:$AA$100,6,FALSE),0)</f>
        <v>0</v>
      </c>
      <c r="CW71">
        <f>IFERROR(VLOOKUP($B71,PirteiKisuiBeMutzar_procerur!$C$6:$AA$100,7,FALSE),0)</f>
        <v>0</v>
      </c>
      <c r="CX71">
        <f>IFERROR(VLOOKUP($B71,PirteiKisuiBeMutzar_procerur!$C$6:$AA$100,8,FALSE),0)</f>
        <v>0</v>
      </c>
      <c r="CY71">
        <f>IFERROR(VLOOKUP($B71,PirteiKisuiBeMutzar_procerur!$C$6:$AA$100,9,FALSE),0)</f>
        <v>0</v>
      </c>
      <c r="CZ71">
        <f>IFERROR(VLOOKUP($B71,PirteiKisuiBeMutzar_procerur!$C$6:$AA$100,10,FALSE),0)</f>
        <v>0</v>
      </c>
      <c r="DA71">
        <f>IFERROR(VLOOKUP($B71,PirteiKisuiBeMutzar_procerur!$C$6:$AA$100,11,FALSE),0)</f>
        <v>0</v>
      </c>
      <c r="DB71">
        <f>IFERROR(VLOOKUP($B71,PirteiKisuiBeMutzarPrmia!$C$6:$AA$100,2,FALSE),0)</f>
        <v>0</v>
      </c>
      <c r="DC71">
        <f>IFERROR(VLOOKUP($B71,PirteiKisuiBeMutzarPrmia!$C$6:$AA$100,3,FALSE),0)</f>
        <v>0</v>
      </c>
      <c r="DD71">
        <f>IFERROR(VLOOKUP($B71,PirteiKisuiBeMutzarPrmia!$C$6:$AA$100,4,FALSE),0)</f>
        <v>0</v>
      </c>
      <c r="DE71">
        <f>IFERROR(VLOOKUP($B71,PirteiKisuiBeMutzarPrmia!$C$6:$AA$100,5,FALSE),0)</f>
        <v>0</v>
      </c>
      <c r="DF71">
        <f>IFERROR(VLOOKUP($B71,PirteiKisuiBeMutzarPrmia!$C$6:$AA$100,6,FALSE),0)</f>
        <v>0</v>
      </c>
      <c r="DG71">
        <f>IFERROR(VLOOKUP($B71,PirteiKisuiBeMutzarPrmia!$C$6:$AA$100,7,FALSE),0)</f>
        <v>0</v>
      </c>
      <c r="DH71">
        <f>IFERROR(VLOOKUP($B71,PirteiKisuiBeMutzarPrmia!$C$6:$AA$100,8,FALSE),0)</f>
        <v>0</v>
      </c>
      <c r="DI71">
        <f>IFERROR(VLOOKUP($B71,PirteiKisuiBeMutzarPrmia!$C$6:$AA$100,9,FALSE),0)</f>
        <v>0</v>
      </c>
      <c r="DJ71">
        <f>IFERROR(VLOOKUP($B71,PirteiKisuiBeMutzarPrmia!$C$6:$AA$100,10,FALSE),0)</f>
        <v>0</v>
      </c>
      <c r="DK71">
        <f>IFERROR(VLOOKUP($B71,PirteiKisuiBeMutzarPrmia!$C$6:$AA$100,11,FALSE),0)</f>
        <v>0</v>
      </c>
      <c r="DL71">
        <f t="shared" si="51"/>
        <v>0</v>
      </c>
      <c r="DM71">
        <f t="shared" si="45"/>
        <v>0</v>
      </c>
      <c r="DN71">
        <f t="shared" si="46"/>
        <v>0</v>
      </c>
      <c r="DO71">
        <f t="shared" si="52"/>
        <v>0</v>
      </c>
      <c r="DP71">
        <f t="shared" si="50"/>
        <v>0</v>
      </c>
      <c r="DQ71">
        <f>IF(OR(L71=1,L71=3),IFERROR(VLOOKUP($B71,PerutHafkadotMetchilatShanaAvgM!$C$6:$G$100,3,FALSE),0),0)</f>
        <v>0</v>
      </c>
      <c r="DR71">
        <f>IF(OR(L71=2,L71=4),IFERROR(VLOOKUP($B71,PerutHafkadotMetchilatShanaAvgM!$C$6:$G$100,3,FALSE),0),0)</f>
        <v>0</v>
      </c>
      <c r="DS71">
        <f>IFERROR(VLOOKUP($B71,PerutHafkadotMetchilatShanaAvgM!$C$6:$G$100,4,FALSE),0)</f>
        <v>0</v>
      </c>
      <c r="DT71">
        <f>IFERROR(VLOOKUP($B71,Kupa!$D$6:$AA$100,5,FALSE),0)</f>
        <v>0</v>
      </c>
      <c r="DU71">
        <f>IFERROR(VLOOKUP($B71,Kupa!$D$6:$AA$100,6,FALSE),0)</f>
        <v>0</v>
      </c>
      <c r="DV71">
        <f>IFERROR(VLOOKUP($B71,KisuiBKerenPensiaDBWithParams!$D$6:$AP$100,9,FALSE),0)</f>
        <v>0</v>
      </c>
      <c r="DW71">
        <f>IFERROR(VLOOKUP($B71,KisuiBKerenPensiaDBWithParams!$D$6:$AP$100,12,FALSE),0)</f>
        <v>0</v>
      </c>
      <c r="DX71">
        <f>IFERROR(VLOOKUP($B71,KisuiBKerenPensiaDBWithParams!$D$6:$AP$100,13,FALSE),0)</f>
        <v>0</v>
      </c>
      <c r="DY71">
        <f>IFERROR(VLOOKUP($B71,KisuiBKerenPensiaDBWithParams!$D$6:$AP$100,7,FALSE),0)</f>
        <v>0</v>
      </c>
      <c r="DZ71">
        <f>IFERROR(VLOOKUP($B71,KisuiBKerenPensiaDBWithParams!$D$6:$AP$100,17,FALSE),0)</f>
        <v>0</v>
      </c>
      <c r="EA71">
        <f>IFERROR(VLOOKUP($B71,KisuiBKerenPensiaDBWithParams!$D$6:$AP$100,20,FALSE),0)</f>
        <v>0</v>
      </c>
      <c r="EB71">
        <f>IFERROR(VLOOKUP($B71,KisuiBKerenPensiaDBWithParams!$D$6:$AP$100,21,FALSE),0)</f>
        <v>0</v>
      </c>
      <c r="EC71">
        <f t="shared" si="47"/>
        <v>0</v>
      </c>
      <c r="EG71">
        <f>IF(OR(G71=MyData!$J$50,G71=MyData!$J$51,G71=MyData!$J$52),1,IF(G71=MyData!$J$49,2,0))</f>
        <v>0</v>
      </c>
    </row>
    <row r="72" spans="1:137">
      <c r="A72">
        <f t="shared" si="48"/>
        <v>0</v>
      </c>
      <c r="B72" s="20">
        <f>RicusPolice!E69</f>
        <v>0</v>
      </c>
      <c r="C72" s="20">
        <f>RicusPolice!AL69</f>
        <v>0</v>
      </c>
      <c r="D72" s="20">
        <f>RicusPolice!F69</f>
        <v>0</v>
      </c>
      <c r="E72" s="20">
        <f>RicusPolice!R69</f>
        <v>0</v>
      </c>
      <c r="F72" s="20">
        <f>RicusPolice!N69</f>
        <v>0</v>
      </c>
      <c r="G72" s="20">
        <f>IFERROR(VLOOKUP($B72,PerutYitrot!$D$6:$P$100,4,FALSE),0)</f>
        <v>0</v>
      </c>
      <c r="H72" s="20">
        <f t="shared" si="4"/>
        <v>0</v>
      </c>
      <c r="I72" s="20">
        <f>RicusPolice!L69</f>
        <v>0</v>
      </c>
      <c r="J72" s="179">
        <f>IFERROR(VLOOKUP(TRIM(K72),MyData!$J$43:$K$49,2,FALSE),0)</f>
        <v>0</v>
      </c>
      <c r="K72" s="20">
        <f>RicusPolice!M69</f>
        <v>0</v>
      </c>
      <c r="L72" s="20">
        <f>RicusPolice!AM69</f>
        <v>0</v>
      </c>
      <c r="M72" s="20" t="str">
        <f>IF(B72&gt;0,RicusPolice!Y69," ")</f>
        <v xml:space="preserve"> </v>
      </c>
      <c r="N72" s="20" t="str">
        <f t="shared" si="5"/>
        <v/>
      </c>
      <c r="O72" s="20">
        <f>RicusPolice!N69</f>
        <v>0</v>
      </c>
      <c r="P72" s="20">
        <f>IFERROR(VLOOKUP(B72,PerutMasluleiHashkaa!$D$6:$R$100,4,FALSE),0)</f>
        <v>0</v>
      </c>
      <c r="Q72" s="19"/>
      <c r="R72" s="20">
        <f>RicusPolice!P69</f>
        <v>0</v>
      </c>
      <c r="S72" s="20"/>
      <c r="T72" s="21">
        <f>'נתונים ידניים'!H72</f>
        <v>0</v>
      </c>
      <c r="U72" s="21"/>
      <c r="V72" s="20">
        <f>PerutHafrashotLePolisa!E69</f>
        <v>0</v>
      </c>
      <c r="W72" s="20">
        <f>PerutHafrashotLePolisa!F69</f>
        <v>0</v>
      </c>
      <c r="X72" s="20">
        <f>PerutHafrashotLePolisa!G69</f>
        <v>0</v>
      </c>
      <c r="Y72">
        <f t="shared" si="6"/>
        <v>0</v>
      </c>
      <c r="Z72">
        <f>IFERROR(VLOOKUP(B72,PirteiHaasaka!$D$6:$R$100,5,FALSE),0)</f>
        <v>0</v>
      </c>
      <c r="AB72">
        <f>IFERROR(VLOOKUP(B72,HafkadotMetchilatShanaAverages!$D$6:$E$100,2,FALSE),0)</f>
        <v>0</v>
      </c>
      <c r="AF72">
        <f>IFERROR(VLOOKUP(B72,CrossTabYitraLeTkufa_till_2000!$D$6:$AB$100,6,FALSE),0)+IFERROR(VLOOKUP(B72,CrossTabYitraLeTkufa_after_2000!$D$6:$AB$100,6,FALSE),0)</f>
        <v>0</v>
      </c>
      <c r="AG72">
        <f>IFERROR(VLOOKUP(B72,CrossTabYitraLeTkufa_till_2000!$D$6:$AB$100,16,FALSE),0)</f>
        <v>0</v>
      </c>
      <c r="AH72">
        <f>IFERROR(VLOOKUP(B72,CrossTabYitraLeTkufa_after_2000!$D$6:$AB$100,16,FALSE),0)</f>
        <v>0</v>
      </c>
      <c r="AI72">
        <f>IFERROR(VLOOKUP(B72,CrossTabYitraLeTkufa_till_2000!$D$6:$AB$100,17,FALSE),0)</f>
        <v>0</v>
      </c>
      <c r="AJ72">
        <f>IFERROR(VLOOKUP(B72,CrossTabYitraLeTkufa_after_2000!$D$6:$AB$100,17,FALSE),0)</f>
        <v>0</v>
      </c>
      <c r="AK72" s="5">
        <f t="shared" si="7"/>
        <v>0</v>
      </c>
      <c r="AN72">
        <f>IFERROR(VLOOKUP(B72,PirteiKisuiBeMutzar_procerur!$C$6:$AA$100,2,FALSE),0)</f>
        <v>0</v>
      </c>
      <c r="AP72">
        <f>IFERROR(VLOOKUP($B72,PirteiKisuiBeMutzar_procerur!$C$6:$AA$100,5,FALSE),0)</f>
        <v>0</v>
      </c>
      <c r="AQ72">
        <f>IFERROR(VLOOKUP($B72,PirteiKisuiBeMutzar_procerur!$C$6:$AA$100,3,FALSE),0)</f>
        <v>0</v>
      </c>
      <c r="AR72">
        <f>IFERROR(VLOOKUP($B72,PirteiKisuiBeMutzar_procerur!$C$6:$AA$100,6,FALSE),0)</f>
        <v>0</v>
      </c>
      <c r="AS72">
        <f>IFERROR(VLOOKUP($B72,PirteiKisuiBeMutzar_procerur!$C$6:$AA$100,7,FALSE),0)</f>
        <v>0</v>
      </c>
      <c r="AW72">
        <f t="shared" si="8"/>
        <v>0</v>
      </c>
      <c r="AX72">
        <f t="shared" si="9"/>
        <v>0</v>
      </c>
      <c r="AY72">
        <f t="shared" si="10"/>
        <v>0</v>
      </c>
      <c r="AZ72">
        <f t="shared" si="11"/>
        <v>0</v>
      </c>
      <c r="BA72">
        <f t="shared" si="12"/>
        <v>0</v>
      </c>
      <c r="BB72">
        <f t="shared" si="13"/>
        <v>0</v>
      </c>
      <c r="BC72">
        <f t="shared" si="14"/>
        <v>0</v>
      </c>
      <c r="BD72">
        <f t="shared" si="15"/>
        <v>0</v>
      </c>
      <c r="BE72">
        <f t="shared" si="16"/>
        <v>0</v>
      </c>
      <c r="BF72">
        <f t="shared" si="49"/>
        <v>0</v>
      </c>
      <c r="BG72">
        <f t="shared" si="17"/>
        <v>0</v>
      </c>
      <c r="BH72">
        <f t="shared" si="18"/>
        <v>0</v>
      </c>
      <c r="BI72">
        <f t="shared" si="19"/>
        <v>0</v>
      </c>
      <c r="BK72">
        <f t="shared" si="20"/>
        <v>0</v>
      </c>
      <c r="BL72">
        <f t="shared" si="21"/>
        <v>0</v>
      </c>
      <c r="BM72">
        <f t="shared" si="22"/>
        <v>0</v>
      </c>
      <c r="BN72">
        <f t="shared" si="23"/>
        <v>0</v>
      </c>
      <c r="BO72">
        <f t="shared" si="24"/>
        <v>0</v>
      </c>
      <c r="BR72">
        <f t="shared" si="25"/>
        <v>0</v>
      </c>
      <c r="BS72">
        <f t="shared" si="26"/>
        <v>0</v>
      </c>
      <c r="BT72">
        <f t="shared" si="27"/>
        <v>0</v>
      </c>
      <c r="BU72">
        <f t="shared" si="28"/>
        <v>0</v>
      </c>
      <c r="BV72">
        <f t="shared" si="29"/>
        <v>0</v>
      </c>
      <c r="BX72">
        <f t="shared" si="30"/>
        <v>0</v>
      </c>
      <c r="BY72">
        <f t="shared" si="31"/>
        <v>0</v>
      </c>
      <c r="BZ72">
        <f t="shared" si="32"/>
        <v>0</v>
      </c>
      <c r="CA72">
        <f t="shared" si="33"/>
        <v>0</v>
      </c>
      <c r="CB72">
        <f t="shared" si="34"/>
        <v>0</v>
      </c>
      <c r="CE72">
        <f t="shared" si="35"/>
        <v>0</v>
      </c>
      <c r="CF72">
        <f t="shared" si="36"/>
        <v>0</v>
      </c>
      <c r="CG72">
        <f t="shared" si="37"/>
        <v>0</v>
      </c>
      <c r="CH72">
        <f t="shared" si="38"/>
        <v>0</v>
      </c>
      <c r="CI72">
        <f t="shared" si="39"/>
        <v>0</v>
      </c>
      <c r="CL72">
        <f t="shared" si="40"/>
        <v>0</v>
      </c>
      <c r="CM72">
        <f t="shared" si="41"/>
        <v>0</v>
      </c>
      <c r="CN72">
        <f t="shared" si="42"/>
        <v>0</v>
      </c>
      <c r="CO72">
        <f t="shared" si="43"/>
        <v>0</v>
      </c>
      <c r="CP72">
        <f t="shared" si="44"/>
        <v>0</v>
      </c>
      <c r="CQ72">
        <f>IFERROR(VLOOKUP($B72,SchumeiBituahYesodi!$C$6:$AA$100,8,FALSE),0)</f>
        <v>0</v>
      </c>
      <c r="CR72">
        <f>IFERROR(VLOOKUP($B72,PirteiKisuiBeMutzar_procerur!$C$6:$AA$100,2,FALSE),0)</f>
        <v>0</v>
      </c>
      <c r="CS72">
        <f>IFERROR(VLOOKUP($B72,PirteiKisuiBeMutzar_procerur!$C$6:$AA$100,3,FALSE),0)</f>
        <v>0</v>
      </c>
      <c r="CT72">
        <f>IFERROR(VLOOKUP($B72,PirteiKisuiBeMutzar_procerur!$C$6:$AA$100,4,FALSE),0)</f>
        <v>0</v>
      </c>
      <c r="CU72">
        <f>IFERROR(VLOOKUP($B72,PirteiKisuiBeMutzar_procerur!$C$6:$AA$100,5,FALSE),0)</f>
        <v>0</v>
      </c>
      <c r="CV72">
        <f>IFERROR(VLOOKUP($B72,PirteiKisuiBeMutzar_procerur!$C$6:$AA$100,6,FALSE),0)</f>
        <v>0</v>
      </c>
      <c r="CW72">
        <f>IFERROR(VLOOKUP($B72,PirteiKisuiBeMutzar_procerur!$C$6:$AA$100,7,FALSE),0)</f>
        <v>0</v>
      </c>
      <c r="CX72">
        <f>IFERROR(VLOOKUP($B72,PirteiKisuiBeMutzar_procerur!$C$6:$AA$100,8,FALSE),0)</f>
        <v>0</v>
      </c>
      <c r="CY72">
        <f>IFERROR(VLOOKUP($B72,PirteiKisuiBeMutzar_procerur!$C$6:$AA$100,9,FALSE),0)</f>
        <v>0</v>
      </c>
      <c r="CZ72">
        <f>IFERROR(VLOOKUP($B72,PirteiKisuiBeMutzar_procerur!$C$6:$AA$100,10,FALSE),0)</f>
        <v>0</v>
      </c>
      <c r="DA72">
        <f>IFERROR(VLOOKUP($B72,PirteiKisuiBeMutzar_procerur!$C$6:$AA$100,11,FALSE),0)</f>
        <v>0</v>
      </c>
      <c r="DB72">
        <f>IFERROR(VLOOKUP($B72,PirteiKisuiBeMutzarPrmia!$C$6:$AA$100,2,FALSE),0)</f>
        <v>0</v>
      </c>
      <c r="DC72">
        <f>IFERROR(VLOOKUP($B72,PirteiKisuiBeMutzarPrmia!$C$6:$AA$100,3,FALSE),0)</f>
        <v>0</v>
      </c>
      <c r="DD72">
        <f>IFERROR(VLOOKUP($B72,PirteiKisuiBeMutzarPrmia!$C$6:$AA$100,4,FALSE),0)</f>
        <v>0</v>
      </c>
      <c r="DE72">
        <f>IFERROR(VLOOKUP($B72,PirteiKisuiBeMutzarPrmia!$C$6:$AA$100,5,FALSE),0)</f>
        <v>0</v>
      </c>
      <c r="DF72">
        <f>IFERROR(VLOOKUP($B72,PirteiKisuiBeMutzarPrmia!$C$6:$AA$100,6,FALSE),0)</f>
        <v>0</v>
      </c>
      <c r="DG72">
        <f>IFERROR(VLOOKUP($B72,PirteiKisuiBeMutzarPrmia!$C$6:$AA$100,7,FALSE),0)</f>
        <v>0</v>
      </c>
      <c r="DH72">
        <f>IFERROR(VLOOKUP($B72,PirteiKisuiBeMutzarPrmia!$C$6:$AA$100,8,FALSE),0)</f>
        <v>0</v>
      </c>
      <c r="DI72">
        <f>IFERROR(VLOOKUP($B72,PirteiKisuiBeMutzarPrmia!$C$6:$AA$100,9,FALSE),0)</f>
        <v>0</v>
      </c>
      <c r="DJ72">
        <f>IFERROR(VLOOKUP($B72,PirteiKisuiBeMutzarPrmia!$C$6:$AA$100,10,FALSE),0)</f>
        <v>0</v>
      </c>
      <c r="DK72">
        <f>IFERROR(VLOOKUP($B72,PirteiKisuiBeMutzarPrmia!$C$6:$AA$100,11,FALSE),0)</f>
        <v>0</v>
      </c>
      <c r="DL72">
        <f t="shared" si="51"/>
        <v>0</v>
      </c>
      <c r="DM72">
        <f t="shared" si="45"/>
        <v>0</v>
      </c>
      <c r="DN72">
        <f t="shared" si="46"/>
        <v>0</v>
      </c>
      <c r="DO72">
        <f t="shared" si="52"/>
        <v>0</v>
      </c>
      <c r="DP72">
        <f t="shared" si="50"/>
        <v>0</v>
      </c>
      <c r="DQ72">
        <f>IF(OR(L72=1,L72=3),IFERROR(VLOOKUP($B72,PerutHafkadotMetchilatShanaAvgM!$C$6:$G$100,3,FALSE),0),0)</f>
        <v>0</v>
      </c>
      <c r="DR72">
        <f>IF(OR(L72=2,L72=4),IFERROR(VLOOKUP($B72,PerutHafkadotMetchilatShanaAvgM!$C$6:$G$100,3,FALSE),0),0)</f>
        <v>0</v>
      </c>
      <c r="DS72">
        <f>IFERROR(VLOOKUP($B72,PerutHafkadotMetchilatShanaAvgM!$C$6:$G$100,4,FALSE),0)</f>
        <v>0</v>
      </c>
      <c r="DT72">
        <f>IFERROR(VLOOKUP($B72,Kupa!$D$6:$AA$100,5,FALSE),0)</f>
        <v>0</v>
      </c>
      <c r="DU72">
        <f>IFERROR(VLOOKUP($B72,Kupa!$D$6:$AA$100,6,FALSE),0)</f>
        <v>0</v>
      </c>
      <c r="DV72">
        <f>IFERROR(VLOOKUP($B72,KisuiBKerenPensiaDBWithParams!$D$6:$AP$100,9,FALSE),0)</f>
        <v>0</v>
      </c>
      <c r="DW72">
        <f>IFERROR(VLOOKUP($B72,KisuiBKerenPensiaDBWithParams!$D$6:$AP$100,12,FALSE),0)</f>
        <v>0</v>
      </c>
      <c r="DX72">
        <f>IFERROR(VLOOKUP($B72,KisuiBKerenPensiaDBWithParams!$D$6:$AP$100,13,FALSE),0)</f>
        <v>0</v>
      </c>
      <c r="DY72">
        <f>IFERROR(VLOOKUP($B72,KisuiBKerenPensiaDBWithParams!$D$6:$AP$100,7,FALSE),0)</f>
        <v>0</v>
      </c>
      <c r="DZ72">
        <f>IFERROR(VLOOKUP($B72,KisuiBKerenPensiaDBWithParams!$D$6:$AP$100,17,FALSE),0)</f>
        <v>0</v>
      </c>
      <c r="EA72">
        <f>IFERROR(VLOOKUP($B72,KisuiBKerenPensiaDBWithParams!$D$6:$AP$100,20,FALSE),0)</f>
        <v>0</v>
      </c>
      <c r="EB72">
        <f>IFERROR(VLOOKUP($B72,KisuiBKerenPensiaDBWithParams!$D$6:$AP$100,21,FALSE),0)</f>
        <v>0</v>
      </c>
      <c r="EC72">
        <f t="shared" si="47"/>
        <v>0</v>
      </c>
      <c r="EG72">
        <f>IF(OR(G72=MyData!$J$50,G72=MyData!$J$51,G72=MyData!$J$52),1,IF(G72=MyData!$J$49,2,0))</f>
        <v>0</v>
      </c>
    </row>
    <row r="73" spans="1:137">
      <c r="A73">
        <f t="shared" si="48"/>
        <v>0</v>
      </c>
      <c r="B73" s="20">
        <f>RicusPolice!E70</f>
        <v>0</v>
      </c>
      <c r="C73" s="20">
        <f>RicusPolice!AL70</f>
        <v>0</v>
      </c>
      <c r="D73" s="20">
        <f>RicusPolice!F70</f>
        <v>0</v>
      </c>
      <c r="E73" s="20">
        <f>RicusPolice!R70</f>
        <v>0</v>
      </c>
      <c r="F73" s="20">
        <f>RicusPolice!N70</f>
        <v>0</v>
      </c>
      <c r="G73" s="20">
        <f>IFERROR(VLOOKUP($B73,PerutYitrot!$D$6:$P$100,4,FALSE),0)</f>
        <v>0</v>
      </c>
      <c r="H73" s="20">
        <f t="shared" si="4"/>
        <v>0</v>
      </c>
      <c r="I73" s="20">
        <f>RicusPolice!L70</f>
        <v>0</v>
      </c>
      <c r="J73" s="179">
        <f>IFERROR(VLOOKUP(TRIM(K73),MyData!$J$43:$K$49,2,FALSE),0)</f>
        <v>0</v>
      </c>
      <c r="K73" s="20">
        <f>RicusPolice!M70</f>
        <v>0</v>
      </c>
      <c r="L73" s="20">
        <f>RicusPolice!AM70</f>
        <v>0</v>
      </c>
      <c r="M73" s="20" t="str">
        <f>IF(B73&gt;0,RicusPolice!Y70," ")</f>
        <v xml:space="preserve"> </v>
      </c>
      <c r="N73" s="20" t="str">
        <f t="shared" si="5"/>
        <v/>
      </c>
      <c r="O73" s="20">
        <f>RicusPolice!N70</f>
        <v>0</v>
      </c>
      <c r="P73" s="20">
        <f>IFERROR(VLOOKUP(B73,PerutMasluleiHashkaa!$D$6:$R$100,4,FALSE),0)</f>
        <v>0</v>
      </c>
      <c r="Q73" s="19"/>
      <c r="R73" s="20">
        <f>RicusPolice!P70</f>
        <v>0</v>
      </c>
      <c r="S73" s="20"/>
      <c r="T73" s="21">
        <f>'נתונים ידניים'!H73</f>
        <v>0</v>
      </c>
      <c r="U73" s="21"/>
      <c r="V73" s="20">
        <f>PerutHafrashotLePolisa!E70</f>
        <v>0</v>
      </c>
      <c r="W73" s="20">
        <f>PerutHafrashotLePolisa!F70</f>
        <v>0</v>
      </c>
      <c r="X73" s="20">
        <f>PerutHafrashotLePolisa!G70</f>
        <v>0</v>
      </c>
      <c r="Y73">
        <f t="shared" si="6"/>
        <v>0</v>
      </c>
      <c r="Z73">
        <f>IFERROR(VLOOKUP(B73,PirteiHaasaka!$D$6:$R$100,5,FALSE),0)</f>
        <v>0</v>
      </c>
      <c r="AB73">
        <f>IFERROR(VLOOKUP(B73,HafkadotMetchilatShanaAverages!$D$6:$E$100,2,FALSE),0)</f>
        <v>0</v>
      </c>
      <c r="AF73">
        <f>IFERROR(VLOOKUP(B73,CrossTabYitraLeTkufa_till_2000!$D$6:$AB$100,6,FALSE),0)+IFERROR(VLOOKUP(B73,CrossTabYitraLeTkufa_after_2000!$D$6:$AB$100,6,FALSE),0)</f>
        <v>0</v>
      </c>
      <c r="AG73">
        <f>IFERROR(VLOOKUP(B73,CrossTabYitraLeTkufa_till_2000!$D$6:$AB$100,16,FALSE),0)</f>
        <v>0</v>
      </c>
      <c r="AH73">
        <f>IFERROR(VLOOKUP(B73,CrossTabYitraLeTkufa_after_2000!$D$6:$AB$100,16,FALSE),0)</f>
        <v>0</v>
      </c>
      <c r="AI73">
        <f>IFERROR(VLOOKUP(B73,CrossTabYitraLeTkufa_till_2000!$D$6:$AB$100,17,FALSE),0)</f>
        <v>0</v>
      </c>
      <c r="AJ73">
        <f>IFERROR(VLOOKUP(B73,CrossTabYitraLeTkufa_after_2000!$D$6:$AB$100,17,FALSE),0)</f>
        <v>0</v>
      </c>
      <c r="AK73" s="5">
        <f t="shared" si="7"/>
        <v>0</v>
      </c>
      <c r="AN73">
        <f>IFERROR(VLOOKUP(B73,PirteiKisuiBeMutzar_procerur!$C$6:$AA$100,2,FALSE),0)</f>
        <v>0</v>
      </c>
      <c r="AP73">
        <f>IFERROR(VLOOKUP($B73,PirteiKisuiBeMutzar_procerur!$C$6:$AA$100,5,FALSE),0)</f>
        <v>0</v>
      </c>
      <c r="AQ73">
        <f>IFERROR(VLOOKUP($B73,PirteiKisuiBeMutzar_procerur!$C$6:$AA$100,3,FALSE),0)</f>
        <v>0</v>
      </c>
      <c r="AR73">
        <f>IFERROR(VLOOKUP($B73,PirteiKisuiBeMutzar_procerur!$C$6:$AA$100,6,FALSE),0)</f>
        <v>0</v>
      </c>
      <c r="AS73">
        <f>IFERROR(VLOOKUP($B73,PirteiKisuiBeMutzar_procerur!$C$6:$AA$100,7,FALSE),0)</f>
        <v>0</v>
      </c>
      <c r="AW73">
        <f t="shared" si="8"/>
        <v>0</v>
      </c>
      <c r="AX73">
        <f t="shared" si="9"/>
        <v>0</v>
      </c>
      <c r="AY73">
        <f t="shared" si="10"/>
        <v>0</v>
      </c>
      <c r="AZ73">
        <f t="shared" si="11"/>
        <v>0</v>
      </c>
      <c r="BA73">
        <f t="shared" si="12"/>
        <v>0</v>
      </c>
      <c r="BB73">
        <f t="shared" si="13"/>
        <v>0</v>
      </c>
      <c r="BC73">
        <f t="shared" si="14"/>
        <v>0</v>
      </c>
      <c r="BD73">
        <f t="shared" si="15"/>
        <v>0</v>
      </c>
      <c r="BE73">
        <f t="shared" si="16"/>
        <v>0</v>
      </c>
      <c r="BF73">
        <f t="shared" si="49"/>
        <v>0</v>
      </c>
      <c r="BG73">
        <f t="shared" si="17"/>
        <v>0</v>
      </c>
      <c r="BH73">
        <f t="shared" si="18"/>
        <v>0</v>
      </c>
      <c r="BI73">
        <f t="shared" si="19"/>
        <v>0</v>
      </c>
      <c r="BK73">
        <f t="shared" si="20"/>
        <v>0</v>
      </c>
      <c r="BL73">
        <f t="shared" si="21"/>
        <v>0</v>
      </c>
      <c r="BM73">
        <f t="shared" si="22"/>
        <v>0</v>
      </c>
      <c r="BN73">
        <f t="shared" si="23"/>
        <v>0</v>
      </c>
      <c r="BO73">
        <f t="shared" si="24"/>
        <v>0</v>
      </c>
      <c r="BR73">
        <f t="shared" si="25"/>
        <v>0</v>
      </c>
      <c r="BS73">
        <f t="shared" si="26"/>
        <v>0</v>
      </c>
      <c r="BT73">
        <f t="shared" si="27"/>
        <v>0</v>
      </c>
      <c r="BU73">
        <f t="shared" si="28"/>
        <v>0</v>
      </c>
      <c r="BV73">
        <f t="shared" si="29"/>
        <v>0</v>
      </c>
      <c r="BX73">
        <f t="shared" si="30"/>
        <v>0</v>
      </c>
      <c r="BY73">
        <f t="shared" si="31"/>
        <v>0</v>
      </c>
      <c r="BZ73">
        <f t="shared" si="32"/>
        <v>0</v>
      </c>
      <c r="CA73">
        <f t="shared" si="33"/>
        <v>0</v>
      </c>
      <c r="CB73">
        <f t="shared" si="34"/>
        <v>0</v>
      </c>
      <c r="CE73">
        <f t="shared" si="35"/>
        <v>0</v>
      </c>
      <c r="CF73">
        <f t="shared" si="36"/>
        <v>0</v>
      </c>
      <c r="CG73">
        <f t="shared" si="37"/>
        <v>0</v>
      </c>
      <c r="CH73">
        <f t="shared" si="38"/>
        <v>0</v>
      </c>
      <c r="CI73">
        <f t="shared" si="39"/>
        <v>0</v>
      </c>
      <c r="CL73">
        <f t="shared" si="40"/>
        <v>0</v>
      </c>
      <c r="CM73">
        <f t="shared" si="41"/>
        <v>0</v>
      </c>
      <c r="CN73">
        <f t="shared" si="42"/>
        <v>0</v>
      </c>
      <c r="CO73">
        <f t="shared" si="43"/>
        <v>0</v>
      </c>
      <c r="CP73">
        <f t="shared" si="44"/>
        <v>0</v>
      </c>
      <c r="CQ73">
        <f>IFERROR(VLOOKUP($B73,SchumeiBituahYesodi!$C$6:$AA$100,8,FALSE),0)</f>
        <v>0</v>
      </c>
      <c r="CR73">
        <f>IFERROR(VLOOKUP($B73,PirteiKisuiBeMutzar_procerur!$C$6:$AA$100,2,FALSE),0)</f>
        <v>0</v>
      </c>
      <c r="CS73">
        <f>IFERROR(VLOOKUP($B73,PirteiKisuiBeMutzar_procerur!$C$6:$AA$100,3,FALSE),0)</f>
        <v>0</v>
      </c>
      <c r="CT73">
        <f>IFERROR(VLOOKUP($B73,PirteiKisuiBeMutzar_procerur!$C$6:$AA$100,4,FALSE),0)</f>
        <v>0</v>
      </c>
      <c r="CU73">
        <f>IFERROR(VLOOKUP($B73,PirteiKisuiBeMutzar_procerur!$C$6:$AA$100,5,FALSE),0)</f>
        <v>0</v>
      </c>
      <c r="CV73">
        <f>IFERROR(VLOOKUP($B73,PirteiKisuiBeMutzar_procerur!$C$6:$AA$100,6,FALSE),0)</f>
        <v>0</v>
      </c>
      <c r="CW73">
        <f>IFERROR(VLOOKUP($B73,PirteiKisuiBeMutzar_procerur!$C$6:$AA$100,7,FALSE),0)</f>
        <v>0</v>
      </c>
      <c r="CX73">
        <f>IFERROR(VLOOKUP($B73,PirteiKisuiBeMutzar_procerur!$C$6:$AA$100,8,FALSE),0)</f>
        <v>0</v>
      </c>
      <c r="CY73">
        <f>IFERROR(VLOOKUP($B73,PirteiKisuiBeMutzar_procerur!$C$6:$AA$100,9,FALSE),0)</f>
        <v>0</v>
      </c>
      <c r="CZ73">
        <f>IFERROR(VLOOKUP($B73,PirteiKisuiBeMutzar_procerur!$C$6:$AA$100,10,FALSE),0)</f>
        <v>0</v>
      </c>
      <c r="DA73">
        <f>IFERROR(VLOOKUP($B73,PirteiKisuiBeMutzar_procerur!$C$6:$AA$100,11,FALSE),0)</f>
        <v>0</v>
      </c>
      <c r="DB73">
        <f>IFERROR(VLOOKUP($B73,PirteiKisuiBeMutzarPrmia!$C$6:$AA$100,2,FALSE),0)</f>
        <v>0</v>
      </c>
      <c r="DC73">
        <f>IFERROR(VLOOKUP($B73,PirteiKisuiBeMutzarPrmia!$C$6:$AA$100,3,FALSE),0)</f>
        <v>0</v>
      </c>
      <c r="DD73">
        <f>IFERROR(VLOOKUP($B73,PirteiKisuiBeMutzarPrmia!$C$6:$AA$100,4,FALSE),0)</f>
        <v>0</v>
      </c>
      <c r="DE73">
        <f>IFERROR(VLOOKUP($B73,PirteiKisuiBeMutzarPrmia!$C$6:$AA$100,5,FALSE),0)</f>
        <v>0</v>
      </c>
      <c r="DF73">
        <f>IFERROR(VLOOKUP($B73,PirteiKisuiBeMutzarPrmia!$C$6:$AA$100,6,FALSE),0)</f>
        <v>0</v>
      </c>
      <c r="DG73">
        <f>IFERROR(VLOOKUP($B73,PirteiKisuiBeMutzarPrmia!$C$6:$AA$100,7,FALSE),0)</f>
        <v>0</v>
      </c>
      <c r="DH73">
        <f>IFERROR(VLOOKUP($B73,PirteiKisuiBeMutzarPrmia!$C$6:$AA$100,8,FALSE),0)</f>
        <v>0</v>
      </c>
      <c r="DI73">
        <f>IFERROR(VLOOKUP($B73,PirteiKisuiBeMutzarPrmia!$C$6:$AA$100,9,FALSE),0)</f>
        <v>0</v>
      </c>
      <c r="DJ73">
        <f>IFERROR(VLOOKUP($B73,PirteiKisuiBeMutzarPrmia!$C$6:$AA$100,10,FALSE),0)</f>
        <v>0</v>
      </c>
      <c r="DK73">
        <f>IFERROR(VLOOKUP($B73,PirteiKisuiBeMutzarPrmia!$C$6:$AA$100,11,FALSE),0)</f>
        <v>0</v>
      </c>
      <c r="DL73">
        <f t="shared" si="51"/>
        <v>0</v>
      </c>
      <c r="DM73">
        <f t="shared" si="45"/>
        <v>0</v>
      </c>
      <c r="DN73">
        <f t="shared" si="46"/>
        <v>0</v>
      </c>
      <c r="DO73">
        <f t="shared" si="52"/>
        <v>0</v>
      </c>
      <c r="DP73">
        <f t="shared" ref="DP73:DP101" si="53">DO73+AF73</f>
        <v>0</v>
      </c>
      <c r="DQ73">
        <f>IF(OR(L73=1,L73=3),IFERROR(VLOOKUP($B73,PerutHafkadotMetchilatShanaAvgM!$C$6:$G$100,3,FALSE),0),0)</f>
        <v>0</v>
      </c>
      <c r="DR73">
        <f>IF(OR(L73=2,L73=4),IFERROR(VLOOKUP($B73,PerutHafkadotMetchilatShanaAvgM!$C$6:$G$100,3,FALSE),0),0)</f>
        <v>0</v>
      </c>
      <c r="DS73">
        <f>IFERROR(VLOOKUP($B73,PerutHafkadotMetchilatShanaAvgM!$C$6:$G$100,4,FALSE),0)</f>
        <v>0</v>
      </c>
      <c r="DT73">
        <f>IFERROR(VLOOKUP($B73,Kupa!$D$6:$AA$100,5,FALSE),0)</f>
        <v>0</v>
      </c>
      <c r="DU73">
        <f>IFERROR(VLOOKUP($B73,Kupa!$D$6:$AA$100,6,FALSE),0)</f>
        <v>0</v>
      </c>
      <c r="DV73">
        <f>IFERROR(VLOOKUP($B73,KisuiBKerenPensiaDBWithParams!$D$6:$AP$100,9,FALSE),0)</f>
        <v>0</v>
      </c>
      <c r="DW73">
        <f>IFERROR(VLOOKUP($B73,KisuiBKerenPensiaDBWithParams!$D$6:$AP$100,12,FALSE),0)</f>
        <v>0</v>
      </c>
      <c r="DX73">
        <f>IFERROR(VLOOKUP($B73,KisuiBKerenPensiaDBWithParams!$D$6:$AP$100,13,FALSE),0)</f>
        <v>0</v>
      </c>
      <c r="DY73">
        <f>IFERROR(VLOOKUP($B73,KisuiBKerenPensiaDBWithParams!$D$6:$AP$100,7,FALSE),0)</f>
        <v>0</v>
      </c>
      <c r="DZ73">
        <f>IFERROR(VLOOKUP($B73,KisuiBKerenPensiaDBWithParams!$D$6:$AP$100,17,FALSE),0)</f>
        <v>0</v>
      </c>
      <c r="EA73">
        <f>IFERROR(VLOOKUP($B73,KisuiBKerenPensiaDBWithParams!$D$6:$AP$100,20,FALSE),0)</f>
        <v>0</v>
      </c>
      <c r="EB73">
        <f>IFERROR(VLOOKUP($B73,KisuiBKerenPensiaDBWithParams!$D$6:$AP$100,21,FALSE),0)</f>
        <v>0</v>
      </c>
      <c r="EC73">
        <f t="shared" si="47"/>
        <v>0</v>
      </c>
      <c r="EG73">
        <f>IF(OR(G73=MyData!$J$50,G73=MyData!$J$51,G73=MyData!$J$52),1,IF(G73=MyData!$J$49,2,0))</f>
        <v>0</v>
      </c>
    </row>
    <row r="74" spans="1:137">
      <c r="A74">
        <f t="shared" si="48"/>
        <v>0</v>
      </c>
      <c r="B74" s="20">
        <f>RicusPolice!E71</f>
        <v>0</v>
      </c>
      <c r="C74" s="20">
        <f>RicusPolice!AL71</f>
        <v>0</v>
      </c>
      <c r="D74" s="20">
        <f>RicusPolice!F71</f>
        <v>0</v>
      </c>
      <c r="E74" s="20">
        <f>RicusPolice!R71</f>
        <v>0</v>
      </c>
      <c r="F74" s="20">
        <f>RicusPolice!N71</f>
        <v>0</v>
      </c>
      <c r="G74" s="20">
        <f>IFERROR(VLOOKUP($B74,PerutYitrot!$D$6:$P$100,4,FALSE),0)</f>
        <v>0</v>
      </c>
      <c r="H74" s="20">
        <f t="shared" ref="H74:H102" si="54">IF(G74="קצבה לא משלמת","ריסק/חיסכון",IF(G74="הון","ריסק/חיסכון",IF(G74="קצבה","ריסק/פנסיה",G74)))</f>
        <v>0</v>
      </c>
      <c r="I74" s="20">
        <f>RicusPolice!L71</f>
        <v>0</v>
      </c>
      <c r="J74" s="179">
        <f>IFERROR(VLOOKUP(TRIM(K74),MyData!$J$43:$K$49,2,FALSE),0)</f>
        <v>0</v>
      </c>
      <c r="K74" s="20">
        <f>RicusPolice!M71</f>
        <v>0</v>
      </c>
      <c r="L74" s="20">
        <f>RicusPolice!AM71</f>
        <v>0</v>
      </c>
      <c r="M74" s="20" t="str">
        <f>IF(B74&gt;0,RicusPolice!Y71," ")</f>
        <v xml:space="preserve"> </v>
      </c>
      <c r="N74" s="20" t="str">
        <f t="shared" ref="N74:N102" si="55">IF(B74&gt;0,IF(OR(M74=1,M74="1"),"מבטיח תשאוה","משתתף ברווחים"),"")</f>
        <v/>
      </c>
      <c r="O74" s="20">
        <f>RicusPolice!N71</f>
        <v>0</v>
      </c>
      <c r="P74" s="20">
        <f>IFERROR(VLOOKUP(B74,PerutMasluleiHashkaa!$D$6:$R$100,4,FALSE),0)</f>
        <v>0</v>
      </c>
      <c r="Q74" s="19"/>
      <c r="R74" s="20">
        <f>RicusPolice!P71</f>
        <v>0</v>
      </c>
      <c r="S74" s="20"/>
      <c r="T74" s="21">
        <f>'נתונים ידניים'!H74</f>
        <v>0</v>
      </c>
      <c r="U74" s="21"/>
      <c r="V74" s="20">
        <f>PerutHafrashotLePolisa!E71</f>
        <v>0</v>
      </c>
      <c r="W74" s="20">
        <f>PerutHafrashotLePolisa!F71</f>
        <v>0</v>
      </c>
      <c r="X74" s="20">
        <f>PerutHafrashotLePolisa!G71</f>
        <v>0</v>
      </c>
      <c r="Y74">
        <f t="shared" ref="Y74:Y102" si="56">SUM(V74:X74)</f>
        <v>0</v>
      </c>
      <c r="Z74">
        <f>IFERROR(VLOOKUP(B74,PirteiHaasaka!$D$6:$R$100,5,FALSE),0)</f>
        <v>0</v>
      </c>
      <c r="AB74">
        <f>IFERROR(VLOOKUP(B74,HafkadotMetchilatShanaAverages!$D$6:$E$100,2,FALSE),0)</f>
        <v>0</v>
      </c>
      <c r="AF74">
        <f>IFERROR(VLOOKUP(B74,CrossTabYitraLeTkufa_till_2000!$D$6:$AB$100,6,FALSE),0)+IFERROR(VLOOKUP(B74,CrossTabYitraLeTkufa_after_2000!$D$6:$AB$100,6,FALSE),0)</f>
        <v>0</v>
      </c>
      <c r="AG74">
        <f>IFERROR(VLOOKUP(B74,CrossTabYitraLeTkufa_till_2000!$D$6:$AB$100,16,FALSE),0)</f>
        <v>0</v>
      </c>
      <c r="AH74">
        <f>IFERROR(VLOOKUP(B74,CrossTabYitraLeTkufa_after_2000!$D$6:$AB$100,16,FALSE),0)</f>
        <v>0</v>
      </c>
      <c r="AI74">
        <f>IFERROR(VLOOKUP(B74,CrossTabYitraLeTkufa_till_2000!$D$6:$AB$100,17,FALSE),0)</f>
        <v>0</v>
      </c>
      <c r="AJ74">
        <f>IFERROR(VLOOKUP(B74,CrossTabYitraLeTkufa_after_2000!$D$6:$AB$100,17,FALSE),0)</f>
        <v>0</v>
      </c>
      <c r="AK74" s="5">
        <f t="shared" ref="AK74:AK102" si="57">SUM(AF74:AJ74)</f>
        <v>0</v>
      </c>
      <c r="AN74">
        <f>IFERROR(VLOOKUP(B74,PirteiKisuiBeMutzar_procerur!$C$6:$AA$100,2,FALSE),0)</f>
        <v>0</v>
      </c>
      <c r="AP74">
        <f>IFERROR(VLOOKUP($B74,PirteiKisuiBeMutzar_procerur!$C$6:$AA$100,5,FALSE),0)</f>
        <v>0</v>
      </c>
      <c r="AQ74">
        <f>IFERROR(VLOOKUP($B74,PirteiKisuiBeMutzar_procerur!$C$6:$AA$100,3,FALSE),0)</f>
        <v>0</v>
      </c>
      <c r="AR74">
        <f>IFERROR(VLOOKUP($B74,PirteiKisuiBeMutzar_procerur!$C$6:$AA$100,6,FALSE),0)</f>
        <v>0</v>
      </c>
      <c r="AS74">
        <f>IFERROR(VLOOKUP($B74,PirteiKisuiBeMutzar_procerur!$C$6:$AA$100,7,FALSE),0)</f>
        <v>0</v>
      </c>
      <c r="AW74">
        <f t="shared" ref="AW74:AW101" si="58">IFERROR(V74/Y74*AE74,0)</f>
        <v>0</v>
      </c>
      <c r="AX74">
        <f t="shared" ref="AX74:AX101" si="59">IFERROR(W74/Y74*AE74,0)</f>
        <v>0</v>
      </c>
      <c r="AY74">
        <f t="shared" ref="AY74:AY101" si="60">IFERROR(X74/Y74*AE74,0)</f>
        <v>0</v>
      </c>
      <c r="AZ74">
        <f t="shared" ref="AZ74:AZ101" si="61">IFERROR(FV(S74/100/12,$X$2*12,AW74,AF74)*(-1),0)</f>
        <v>0</v>
      </c>
      <c r="BA74">
        <f t="shared" ref="BA74:BA101" si="62">IFERROR(FV(S74/100/12,$X$2*12,0,AG74)*(-1),0)</f>
        <v>0</v>
      </c>
      <c r="BB74">
        <f t="shared" ref="BB74:BB101" si="63">IFERROR(FV(S74/100/12,$X$2*12,AX74,AH74)*(-1),0)</f>
        <v>0</v>
      </c>
      <c r="BC74">
        <f t="shared" ref="BC74:BC101" si="64">IFERROR(FV(S74/100/12,$X$2*12,0,AI74)*(-1),0)</f>
        <v>0</v>
      </c>
      <c r="BD74">
        <f t="shared" ref="BD74:BD101" si="65">IFERROR(FV(S74/100/12,$X$2*12,AY74,AJ74)*(-1),0)</f>
        <v>0</v>
      </c>
      <c r="BE74">
        <f t="shared" ref="BE74:BE101" si="66">FV(S74/100/12,$X$2*12,AE74,AK74)*(-1)</f>
        <v>0</v>
      </c>
      <c r="BF74">
        <f t="shared" ref="BF74:BF101" si="67">IF(G74="הון",AU74,0)</f>
        <v>0</v>
      </c>
      <c r="BG74">
        <f t="shared" ref="BG74:BG101" si="68">IFERROR(IF(AND(EG74=1,BE74/T74&lt;350),BE74,0),0)</f>
        <v>0</v>
      </c>
      <c r="BH74">
        <f t="shared" ref="BH74:BH101" si="69">IFERROR(IF(AND(EG74=1,BE74/T74&gt;350),BE74/T74,0),0)</f>
        <v>0</v>
      </c>
      <c r="BI74">
        <f t="shared" ref="BI74:BI101" si="70">IFERROR(IF( ED74=1,IF(BH74&gt;0,EB74/U74,0),IF(C74="קרן פנסיה",BH74,0)),0)</f>
        <v>0</v>
      </c>
      <c r="BK74">
        <f t="shared" ref="BK74:BK101" si="71">IFERROR(BL74/T74,0)</f>
        <v>0</v>
      </c>
      <c r="BL74">
        <f t="shared" ref="BL74:BL101" si="72">IF(EG74=1,AZ74,0)</f>
        <v>0</v>
      </c>
      <c r="BM74">
        <f t="shared" ref="BM74:BM101" si="73">IF(EG74=2,AZ74,0)</f>
        <v>0</v>
      </c>
      <c r="BN74">
        <f t="shared" ref="BN74:BN101" si="74">BL74+BM74</f>
        <v>0</v>
      </c>
      <c r="BO74">
        <f t="shared" ref="BO74:BO101" si="75">BE74-BN74</f>
        <v>0</v>
      </c>
      <c r="BR74">
        <f t="shared" ref="BR74:BR101" si="76">IFERROR(BS74/T74,0)</f>
        <v>0</v>
      </c>
      <c r="BS74">
        <f t="shared" ref="BS74:BS101" si="77">IF(EG74=1,BA74,0)</f>
        <v>0</v>
      </c>
      <c r="BT74">
        <f t="shared" ref="BT74:BT101" si="78">IF(EG74=2,BA74,0)</f>
        <v>0</v>
      </c>
      <c r="BU74">
        <f t="shared" ref="BU74:BU101" si="79">BT74+BS74</f>
        <v>0</v>
      </c>
      <c r="BV74">
        <f t="shared" ref="BV74:BV101" si="80">BA74-BU74</f>
        <v>0</v>
      </c>
      <c r="BX74">
        <f t="shared" ref="BX74:BX101" si="81">IFERROR(BY74/T74,0)</f>
        <v>0</v>
      </c>
      <c r="BY74">
        <f t="shared" ref="BY74:BY101" si="82">IF(EG74=1,BB74,0)</f>
        <v>0</v>
      </c>
      <c r="BZ74">
        <f t="shared" ref="BZ74:BZ101" si="83">IF(EG74=2,BB74,0)</f>
        <v>0</v>
      </c>
      <c r="CA74">
        <f t="shared" ref="CA74:CA101" si="84">BZ74+BY74</f>
        <v>0</v>
      </c>
      <c r="CB74">
        <f t="shared" ref="CB74:CB101" si="85">BB74-CA74</f>
        <v>0</v>
      </c>
      <c r="CE74">
        <f t="shared" ref="CE74:CE101" si="86">IFERROR(CF74/T74,0)</f>
        <v>0</v>
      </c>
      <c r="CF74">
        <f t="shared" ref="CF74:CF101" si="87">IF(EG74=1,BC74,0)</f>
        <v>0</v>
      </c>
      <c r="CG74">
        <f t="shared" ref="CG74:CG101" si="88">IF(EG74=1,BC74,0)</f>
        <v>0</v>
      </c>
      <c r="CH74">
        <f t="shared" ref="CH74:CH101" si="89">CG74+CF74</f>
        <v>0</v>
      </c>
      <c r="CI74">
        <f t="shared" ref="CI74:CI101" si="90">BB74-CH74</f>
        <v>0</v>
      </c>
      <c r="CL74">
        <f t="shared" ref="CL74:CL101" si="91">IFERROR(CM74/T74,0)</f>
        <v>0</v>
      </c>
      <c r="CM74">
        <f t="shared" ref="CM74:CM101" si="92">IF(EG74=1,BD74,0)</f>
        <v>0</v>
      </c>
      <c r="CN74">
        <f t="shared" ref="CN74:CN101" si="93">IF(EG74=1,BD74,0)</f>
        <v>0</v>
      </c>
      <c r="CO74">
        <f t="shared" ref="CO74:CO101" si="94">CN74+CM74</f>
        <v>0</v>
      </c>
      <c r="CP74">
        <f t="shared" ref="CP74:CP101" si="95">BD74-CO74</f>
        <v>0</v>
      </c>
      <c r="CQ74">
        <f>IFERROR(VLOOKUP($B74,SchumeiBituahYesodi!$C$6:$AA$100,8,FALSE),0)</f>
        <v>0</v>
      </c>
      <c r="CR74">
        <f>IFERROR(VLOOKUP($B74,PirteiKisuiBeMutzar_procerur!$C$6:$AA$100,2,FALSE),0)</f>
        <v>0</v>
      </c>
      <c r="CS74">
        <f>IFERROR(VLOOKUP($B74,PirteiKisuiBeMutzar_procerur!$C$6:$AA$100,3,FALSE),0)</f>
        <v>0</v>
      </c>
      <c r="CT74">
        <f>IFERROR(VLOOKUP($B74,PirteiKisuiBeMutzar_procerur!$C$6:$AA$100,4,FALSE),0)</f>
        <v>0</v>
      </c>
      <c r="CU74">
        <f>IFERROR(VLOOKUP($B74,PirteiKisuiBeMutzar_procerur!$C$6:$AA$100,5,FALSE),0)</f>
        <v>0</v>
      </c>
      <c r="CV74">
        <f>IFERROR(VLOOKUP($B74,PirteiKisuiBeMutzar_procerur!$C$6:$AA$100,6,FALSE),0)</f>
        <v>0</v>
      </c>
      <c r="CW74">
        <f>IFERROR(VLOOKUP($B74,PirteiKisuiBeMutzar_procerur!$C$6:$AA$100,7,FALSE),0)</f>
        <v>0</v>
      </c>
      <c r="CX74">
        <f>IFERROR(VLOOKUP($B74,PirteiKisuiBeMutzar_procerur!$C$6:$AA$100,8,FALSE),0)</f>
        <v>0</v>
      </c>
      <c r="CY74">
        <f>IFERROR(VLOOKUP($B74,PirteiKisuiBeMutzar_procerur!$C$6:$AA$100,9,FALSE),0)</f>
        <v>0</v>
      </c>
      <c r="CZ74">
        <f>IFERROR(VLOOKUP($B74,PirteiKisuiBeMutzar_procerur!$C$6:$AA$100,10,FALSE),0)</f>
        <v>0</v>
      </c>
      <c r="DA74">
        <f>IFERROR(VLOOKUP($B74,PirteiKisuiBeMutzar_procerur!$C$6:$AA$100,11,FALSE),0)</f>
        <v>0</v>
      </c>
      <c r="DB74">
        <f>IFERROR(VLOOKUP($B74,PirteiKisuiBeMutzarPrmia!$C$6:$AA$100,2,FALSE),0)</f>
        <v>0</v>
      </c>
      <c r="DC74">
        <f>IFERROR(VLOOKUP($B74,PirteiKisuiBeMutzarPrmia!$C$6:$AA$100,3,FALSE),0)</f>
        <v>0</v>
      </c>
      <c r="DD74">
        <f>IFERROR(VLOOKUP($B74,PirteiKisuiBeMutzarPrmia!$C$6:$AA$100,4,FALSE),0)</f>
        <v>0</v>
      </c>
      <c r="DE74">
        <f>IFERROR(VLOOKUP($B74,PirteiKisuiBeMutzarPrmia!$C$6:$AA$100,5,FALSE),0)</f>
        <v>0</v>
      </c>
      <c r="DF74">
        <f>IFERROR(VLOOKUP($B74,PirteiKisuiBeMutzarPrmia!$C$6:$AA$100,6,FALSE),0)</f>
        <v>0</v>
      </c>
      <c r="DG74">
        <f>IFERROR(VLOOKUP($B74,PirteiKisuiBeMutzarPrmia!$C$6:$AA$100,7,FALSE),0)</f>
        <v>0</v>
      </c>
      <c r="DH74">
        <f>IFERROR(VLOOKUP($B74,PirteiKisuiBeMutzarPrmia!$C$6:$AA$100,8,FALSE),0)</f>
        <v>0</v>
      </c>
      <c r="DI74">
        <f>IFERROR(VLOOKUP($B74,PirteiKisuiBeMutzarPrmia!$C$6:$AA$100,9,FALSE),0)</f>
        <v>0</v>
      </c>
      <c r="DJ74">
        <f>IFERROR(VLOOKUP($B74,PirteiKisuiBeMutzarPrmia!$C$6:$AA$100,10,FALSE),0)</f>
        <v>0</v>
      </c>
      <c r="DK74">
        <f>IFERROR(VLOOKUP($B74,PirteiKisuiBeMutzarPrmia!$C$6:$AA$100,11,FALSE),0)</f>
        <v>0</v>
      </c>
      <c r="DL74">
        <f t="shared" ref="DL74:DL101" si="96">SUM(DB74:DK74)</f>
        <v>0</v>
      </c>
      <c r="DM74">
        <f t="shared" ref="DM74:DM101" si="97">IF(OR(L74=1,L74=3),DL74,0)</f>
        <v>0</v>
      </c>
      <c r="DN74">
        <f t="shared" ref="DN74:DN101" si="98">IF(OR(L74=2,L74=4,,L74=5),DL74,0)</f>
        <v>0</v>
      </c>
      <c r="DO74">
        <f t="shared" si="52"/>
        <v>0</v>
      </c>
      <c r="DP74">
        <f t="shared" si="53"/>
        <v>0</v>
      </c>
      <c r="DQ74">
        <f>IF(OR(L74=1,L74=3),IFERROR(VLOOKUP($B74,PerutHafkadotMetchilatShanaAvgM!$C$6:$G$100,3,FALSE),0),0)</f>
        <v>0</v>
      </c>
      <c r="DR74">
        <f>IF(OR(L74=2,L74=4),IFERROR(VLOOKUP($B74,PerutHafkadotMetchilatShanaAvgM!$C$6:$G$100,3,FALSE),0),0)</f>
        <v>0</v>
      </c>
      <c r="DS74">
        <f>IFERROR(VLOOKUP($B74,PerutHafkadotMetchilatShanaAvgM!$C$6:$G$100,4,FALSE),0)</f>
        <v>0</v>
      </c>
      <c r="DT74">
        <f>IFERROR(VLOOKUP($B74,Kupa!$D$6:$AA$100,5,FALSE),0)</f>
        <v>0</v>
      </c>
      <c r="DU74">
        <f>IFERROR(VLOOKUP($B74,Kupa!$D$6:$AA$100,6,FALSE),0)</f>
        <v>0</v>
      </c>
      <c r="DV74">
        <f>IFERROR(VLOOKUP($B74,KisuiBKerenPensiaDBWithParams!$D$6:$AP$100,9,FALSE),0)</f>
        <v>0</v>
      </c>
      <c r="DW74">
        <f>IFERROR(VLOOKUP($B74,KisuiBKerenPensiaDBWithParams!$D$6:$AP$100,12,FALSE),0)</f>
        <v>0</v>
      </c>
      <c r="DX74">
        <f>IFERROR(VLOOKUP($B74,KisuiBKerenPensiaDBWithParams!$D$6:$AP$100,13,FALSE),0)</f>
        <v>0</v>
      </c>
      <c r="DY74">
        <f>IFERROR(VLOOKUP($B74,KisuiBKerenPensiaDBWithParams!$D$6:$AP$100,7,FALSE),0)</f>
        <v>0</v>
      </c>
      <c r="DZ74">
        <f>IFERROR(VLOOKUP($B74,KisuiBKerenPensiaDBWithParams!$D$6:$AP$100,17,FALSE),0)</f>
        <v>0</v>
      </c>
      <c r="EA74">
        <f>IFERROR(VLOOKUP($B74,KisuiBKerenPensiaDBWithParams!$D$6:$AP$100,20,FALSE),0)</f>
        <v>0</v>
      </c>
      <c r="EB74">
        <f>IFERROR(VLOOKUP($B74,KisuiBKerenPensiaDBWithParams!$D$6:$AP$100,21,FALSE),0)</f>
        <v>0</v>
      </c>
      <c r="EC74">
        <f t="shared" ref="EC74:EC101" si="99">DV74+CV74</f>
        <v>0</v>
      </c>
      <c r="EG74">
        <f>IF(OR(G74=MyData!$J$50,G74=MyData!$J$51,G74=MyData!$J$52),1,IF(G74=MyData!$J$49,2,0))</f>
        <v>0</v>
      </c>
    </row>
    <row r="75" spans="1:137">
      <c r="A75">
        <f t="shared" ref="A75:A102" si="100">IF(B75&gt;0,A74+1,0)</f>
        <v>0</v>
      </c>
      <c r="B75" s="20">
        <f>RicusPolice!E72</f>
        <v>0</v>
      </c>
      <c r="C75" s="20">
        <f>RicusPolice!AL72</f>
        <v>0</v>
      </c>
      <c r="D75" s="20">
        <f>RicusPolice!F72</f>
        <v>0</v>
      </c>
      <c r="E75" s="20">
        <f>RicusPolice!R72</f>
        <v>0</v>
      </c>
      <c r="F75" s="20">
        <f>RicusPolice!N72</f>
        <v>0</v>
      </c>
      <c r="G75" s="20">
        <f>IFERROR(VLOOKUP($B75,PerutYitrot!$D$6:$P$100,4,FALSE),0)</f>
        <v>0</v>
      </c>
      <c r="H75" s="20">
        <f t="shared" si="54"/>
        <v>0</v>
      </c>
      <c r="I75" s="20">
        <f>RicusPolice!L72</f>
        <v>0</v>
      </c>
      <c r="J75" s="179">
        <f>IFERROR(VLOOKUP(TRIM(K75),MyData!$J$43:$K$49,2,FALSE),0)</f>
        <v>0</v>
      </c>
      <c r="K75" s="20">
        <f>RicusPolice!M72</f>
        <v>0</v>
      </c>
      <c r="L75" s="20">
        <f>RicusPolice!AM72</f>
        <v>0</v>
      </c>
      <c r="M75" s="20" t="str">
        <f>IF(B75&gt;0,RicusPolice!Y72," ")</f>
        <v xml:space="preserve"> </v>
      </c>
      <c r="N75" s="20" t="str">
        <f t="shared" si="55"/>
        <v/>
      </c>
      <c r="O75" s="20">
        <f>RicusPolice!N72</f>
        <v>0</v>
      </c>
      <c r="P75" s="20">
        <f>IFERROR(VLOOKUP(B75,PerutMasluleiHashkaa!$D$6:$R$100,4,FALSE),0)</f>
        <v>0</v>
      </c>
      <c r="Q75" s="19"/>
      <c r="R75" s="20">
        <f>RicusPolice!P72</f>
        <v>0</v>
      </c>
      <c r="S75" s="20"/>
      <c r="T75" s="21">
        <f>'נתונים ידניים'!H75</f>
        <v>0</v>
      </c>
      <c r="U75" s="21"/>
      <c r="V75" s="20">
        <f>PerutHafrashotLePolisa!E72</f>
        <v>0</v>
      </c>
      <c r="W75" s="20">
        <f>PerutHafrashotLePolisa!F72</f>
        <v>0</v>
      </c>
      <c r="X75" s="20">
        <f>PerutHafrashotLePolisa!G72</f>
        <v>0</v>
      </c>
      <c r="Y75">
        <f t="shared" si="56"/>
        <v>0</v>
      </c>
      <c r="Z75">
        <f>IFERROR(VLOOKUP(B75,PirteiHaasaka!$D$6:$R$100,5,FALSE),0)</f>
        <v>0</v>
      </c>
      <c r="AB75">
        <f>IFERROR(VLOOKUP(B75,HafkadotMetchilatShanaAverages!$D$6:$E$100,2,FALSE),0)</f>
        <v>0</v>
      </c>
      <c r="AF75">
        <f>IFERROR(VLOOKUP(B75,CrossTabYitraLeTkufa_till_2000!$D$6:$AB$100,6,FALSE),0)+IFERROR(VLOOKUP(B75,CrossTabYitraLeTkufa_after_2000!$D$6:$AB$100,6,FALSE),0)</f>
        <v>0</v>
      </c>
      <c r="AG75">
        <f>IFERROR(VLOOKUP(B75,CrossTabYitraLeTkufa_till_2000!$D$6:$AB$100,16,FALSE),0)</f>
        <v>0</v>
      </c>
      <c r="AH75">
        <f>IFERROR(VLOOKUP(B75,CrossTabYitraLeTkufa_after_2000!$D$6:$AB$100,16,FALSE),0)</f>
        <v>0</v>
      </c>
      <c r="AI75">
        <f>IFERROR(VLOOKUP(B75,CrossTabYitraLeTkufa_till_2000!$D$6:$AB$100,17,FALSE),0)</f>
        <v>0</v>
      </c>
      <c r="AJ75">
        <f>IFERROR(VLOOKUP(B75,CrossTabYitraLeTkufa_after_2000!$D$6:$AB$100,17,FALSE),0)</f>
        <v>0</v>
      </c>
      <c r="AK75" s="5">
        <f t="shared" si="57"/>
        <v>0</v>
      </c>
      <c r="AN75">
        <f>IFERROR(VLOOKUP(B75,PirteiKisuiBeMutzar_procerur!$C$6:$AA$100,2,FALSE),0)</f>
        <v>0</v>
      </c>
      <c r="AP75">
        <f>IFERROR(VLOOKUP($B75,PirteiKisuiBeMutzar_procerur!$C$6:$AA$100,5,FALSE),0)</f>
        <v>0</v>
      </c>
      <c r="AQ75">
        <f>IFERROR(VLOOKUP($B75,PirteiKisuiBeMutzar_procerur!$C$6:$AA$100,3,FALSE),0)</f>
        <v>0</v>
      </c>
      <c r="AR75">
        <f>IFERROR(VLOOKUP($B75,PirteiKisuiBeMutzar_procerur!$C$6:$AA$100,6,FALSE),0)</f>
        <v>0</v>
      </c>
      <c r="AS75">
        <f>IFERROR(VLOOKUP($B75,PirteiKisuiBeMutzar_procerur!$C$6:$AA$100,7,FALSE),0)</f>
        <v>0</v>
      </c>
      <c r="AW75">
        <f t="shared" si="58"/>
        <v>0</v>
      </c>
      <c r="AX75">
        <f t="shared" si="59"/>
        <v>0</v>
      </c>
      <c r="AY75">
        <f t="shared" si="60"/>
        <v>0</v>
      </c>
      <c r="AZ75">
        <f t="shared" si="61"/>
        <v>0</v>
      </c>
      <c r="BA75">
        <f t="shared" si="62"/>
        <v>0</v>
      </c>
      <c r="BB75">
        <f t="shared" si="63"/>
        <v>0</v>
      </c>
      <c r="BC75">
        <f t="shared" si="64"/>
        <v>0</v>
      </c>
      <c r="BD75">
        <f t="shared" si="65"/>
        <v>0</v>
      </c>
      <c r="BE75">
        <f t="shared" si="66"/>
        <v>0</v>
      </c>
      <c r="BF75">
        <f t="shared" si="67"/>
        <v>0</v>
      </c>
      <c r="BG75">
        <f t="shared" si="68"/>
        <v>0</v>
      </c>
      <c r="BH75">
        <f t="shared" si="69"/>
        <v>0</v>
      </c>
      <c r="BI75">
        <f t="shared" si="70"/>
        <v>0</v>
      </c>
      <c r="BK75">
        <f t="shared" si="71"/>
        <v>0</v>
      </c>
      <c r="BL75">
        <f t="shared" si="72"/>
        <v>0</v>
      </c>
      <c r="BM75">
        <f t="shared" si="73"/>
        <v>0</v>
      </c>
      <c r="BN75">
        <f t="shared" si="74"/>
        <v>0</v>
      </c>
      <c r="BO75">
        <f t="shared" si="75"/>
        <v>0</v>
      </c>
      <c r="BR75">
        <f t="shared" si="76"/>
        <v>0</v>
      </c>
      <c r="BS75">
        <f t="shared" si="77"/>
        <v>0</v>
      </c>
      <c r="BT75">
        <f t="shared" si="78"/>
        <v>0</v>
      </c>
      <c r="BU75">
        <f t="shared" si="79"/>
        <v>0</v>
      </c>
      <c r="BV75">
        <f t="shared" si="80"/>
        <v>0</v>
      </c>
      <c r="BX75">
        <f t="shared" si="81"/>
        <v>0</v>
      </c>
      <c r="BY75">
        <f t="shared" si="82"/>
        <v>0</v>
      </c>
      <c r="BZ75">
        <f t="shared" si="83"/>
        <v>0</v>
      </c>
      <c r="CA75">
        <f t="shared" si="84"/>
        <v>0</v>
      </c>
      <c r="CB75">
        <f t="shared" si="85"/>
        <v>0</v>
      </c>
      <c r="CE75">
        <f t="shared" si="86"/>
        <v>0</v>
      </c>
      <c r="CF75">
        <f t="shared" si="87"/>
        <v>0</v>
      </c>
      <c r="CG75">
        <f t="shared" si="88"/>
        <v>0</v>
      </c>
      <c r="CH75">
        <f t="shared" si="89"/>
        <v>0</v>
      </c>
      <c r="CI75">
        <f t="shared" si="90"/>
        <v>0</v>
      </c>
      <c r="CL75">
        <f t="shared" si="91"/>
        <v>0</v>
      </c>
      <c r="CM75">
        <f t="shared" si="92"/>
        <v>0</v>
      </c>
      <c r="CN75">
        <f t="shared" si="93"/>
        <v>0</v>
      </c>
      <c r="CO75">
        <f t="shared" si="94"/>
        <v>0</v>
      </c>
      <c r="CP75">
        <f t="shared" si="95"/>
        <v>0</v>
      </c>
      <c r="CQ75">
        <f>IFERROR(VLOOKUP($B75,SchumeiBituahYesodi!$C$6:$AA$100,8,FALSE),0)</f>
        <v>0</v>
      </c>
      <c r="CR75">
        <f>IFERROR(VLOOKUP($B75,PirteiKisuiBeMutzar_procerur!$C$6:$AA$100,2,FALSE),0)</f>
        <v>0</v>
      </c>
      <c r="CS75">
        <f>IFERROR(VLOOKUP($B75,PirteiKisuiBeMutzar_procerur!$C$6:$AA$100,3,FALSE),0)</f>
        <v>0</v>
      </c>
      <c r="CT75">
        <f>IFERROR(VLOOKUP($B75,PirteiKisuiBeMutzar_procerur!$C$6:$AA$100,4,FALSE),0)</f>
        <v>0</v>
      </c>
      <c r="CU75">
        <f>IFERROR(VLOOKUP($B75,PirteiKisuiBeMutzar_procerur!$C$6:$AA$100,5,FALSE),0)</f>
        <v>0</v>
      </c>
      <c r="CV75">
        <f>IFERROR(VLOOKUP($B75,PirteiKisuiBeMutzar_procerur!$C$6:$AA$100,6,FALSE),0)</f>
        <v>0</v>
      </c>
      <c r="CW75">
        <f>IFERROR(VLOOKUP($B75,PirteiKisuiBeMutzar_procerur!$C$6:$AA$100,7,FALSE),0)</f>
        <v>0</v>
      </c>
      <c r="CX75">
        <f>IFERROR(VLOOKUP($B75,PirteiKisuiBeMutzar_procerur!$C$6:$AA$100,8,FALSE),0)</f>
        <v>0</v>
      </c>
      <c r="CY75">
        <f>IFERROR(VLOOKUP($B75,PirteiKisuiBeMutzar_procerur!$C$6:$AA$100,9,FALSE),0)</f>
        <v>0</v>
      </c>
      <c r="CZ75">
        <f>IFERROR(VLOOKUP($B75,PirteiKisuiBeMutzar_procerur!$C$6:$AA$100,10,FALSE),0)</f>
        <v>0</v>
      </c>
      <c r="DA75">
        <f>IFERROR(VLOOKUP($B75,PirteiKisuiBeMutzar_procerur!$C$6:$AA$100,11,FALSE),0)</f>
        <v>0</v>
      </c>
      <c r="DB75">
        <f>IFERROR(VLOOKUP($B75,PirteiKisuiBeMutzarPrmia!$C$6:$AA$100,2,FALSE),0)</f>
        <v>0</v>
      </c>
      <c r="DC75">
        <f>IFERROR(VLOOKUP($B75,PirteiKisuiBeMutzarPrmia!$C$6:$AA$100,3,FALSE),0)</f>
        <v>0</v>
      </c>
      <c r="DD75">
        <f>IFERROR(VLOOKUP($B75,PirteiKisuiBeMutzarPrmia!$C$6:$AA$100,4,FALSE),0)</f>
        <v>0</v>
      </c>
      <c r="DE75">
        <f>IFERROR(VLOOKUP($B75,PirteiKisuiBeMutzarPrmia!$C$6:$AA$100,5,FALSE),0)</f>
        <v>0</v>
      </c>
      <c r="DF75">
        <f>IFERROR(VLOOKUP($B75,PirteiKisuiBeMutzarPrmia!$C$6:$AA$100,6,FALSE),0)</f>
        <v>0</v>
      </c>
      <c r="DG75">
        <f>IFERROR(VLOOKUP($B75,PirteiKisuiBeMutzarPrmia!$C$6:$AA$100,7,FALSE),0)</f>
        <v>0</v>
      </c>
      <c r="DH75">
        <f>IFERROR(VLOOKUP($B75,PirteiKisuiBeMutzarPrmia!$C$6:$AA$100,8,FALSE),0)</f>
        <v>0</v>
      </c>
      <c r="DI75">
        <f>IFERROR(VLOOKUP($B75,PirteiKisuiBeMutzarPrmia!$C$6:$AA$100,9,FALSE),0)</f>
        <v>0</v>
      </c>
      <c r="DJ75">
        <f>IFERROR(VLOOKUP($B75,PirteiKisuiBeMutzarPrmia!$C$6:$AA$100,10,FALSE),0)</f>
        <v>0</v>
      </c>
      <c r="DK75">
        <f>IFERROR(VLOOKUP($B75,PirteiKisuiBeMutzarPrmia!$C$6:$AA$100,11,FALSE),0)</f>
        <v>0</v>
      </c>
      <c r="DL75">
        <f t="shared" si="96"/>
        <v>0</v>
      </c>
      <c r="DM75">
        <f t="shared" si="97"/>
        <v>0</v>
      </c>
      <c r="DN75">
        <f t="shared" si="98"/>
        <v>0</v>
      </c>
      <c r="DO75">
        <f t="shared" si="52"/>
        <v>0</v>
      </c>
      <c r="DP75">
        <f t="shared" si="53"/>
        <v>0</v>
      </c>
      <c r="DQ75">
        <f>IF(OR(L75=1,L75=3),IFERROR(VLOOKUP($B75,PerutHafkadotMetchilatShanaAvgM!$C$6:$G$100,3,FALSE),0),0)</f>
        <v>0</v>
      </c>
      <c r="DR75">
        <f>IF(OR(L75=2,L75=4),IFERROR(VLOOKUP($B75,PerutHafkadotMetchilatShanaAvgM!$C$6:$G$100,3,FALSE),0),0)</f>
        <v>0</v>
      </c>
      <c r="DS75">
        <f>IFERROR(VLOOKUP($B75,PerutHafkadotMetchilatShanaAvgM!$C$6:$G$100,4,FALSE),0)</f>
        <v>0</v>
      </c>
      <c r="DT75">
        <f>IFERROR(VLOOKUP($B75,Kupa!$D$6:$AA$100,5,FALSE),0)</f>
        <v>0</v>
      </c>
      <c r="DU75">
        <f>IFERROR(VLOOKUP($B75,Kupa!$D$6:$AA$100,6,FALSE),0)</f>
        <v>0</v>
      </c>
      <c r="DV75">
        <f>IFERROR(VLOOKUP($B75,KisuiBKerenPensiaDBWithParams!$D$6:$AP$100,9,FALSE),0)</f>
        <v>0</v>
      </c>
      <c r="DW75">
        <f>IFERROR(VLOOKUP($B75,KisuiBKerenPensiaDBWithParams!$D$6:$AP$100,12,FALSE),0)</f>
        <v>0</v>
      </c>
      <c r="DX75">
        <f>IFERROR(VLOOKUP($B75,KisuiBKerenPensiaDBWithParams!$D$6:$AP$100,13,FALSE),0)</f>
        <v>0</v>
      </c>
      <c r="DY75">
        <f>IFERROR(VLOOKUP($B75,KisuiBKerenPensiaDBWithParams!$D$6:$AP$100,7,FALSE),0)</f>
        <v>0</v>
      </c>
      <c r="DZ75">
        <f>IFERROR(VLOOKUP($B75,KisuiBKerenPensiaDBWithParams!$D$6:$AP$100,17,FALSE),0)</f>
        <v>0</v>
      </c>
      <c r="EA75">
        <f>IFERROR(VLOOKUP($B75,KisuiBKerenPensiaDBWithParams!$D$6:$AP$100,20,FALSE),0)</f>
        <v>0</v>
      </c>
      <c r="EB75">
        <f>IFERROR(VLOOKUP($B75,KisuiBKerenPensiaDBWithParams!$D$6:$AP$100,21,FALSE),0)</f>
        <v>0</v>
      </c>
      <c r="EC75">
        <f t="shared" si="99"/>
        <v>0</v>
      </c>
      <c r="EG75">
        <f>IF(OR(G75=MyData!$J$50,G75=MyData!$J$51,G75=MyData!$J$52),1,IF(G75=MyData!$J$49,2,0))</f>
        <v>0</v>
      </c>
    </row>
    <row r="76" spans="1:137">
      <c r="A76">
        <f t="shared" si="100"/>
        <v>0</v>
      </c>
      <c r="B76" s="20">
        <f>RicusPolice!E73</f>
        <v>0</v>
      </c>
      <c r="C76" s="20">
        <f>RicusPolice!AL73</f>
        <v>0</v>
      </c>
      <c r="D76" s="20">
        <f>RicusPolice!F73</f>
        <v>0</v>
      </c>
      <c r="E76" s="20">
        <f>RicusPolice!R73</f>
        <v>0</v>
      </c>
      <c r="F76" s="20">
        <f>RicusPolice!N73</f>
        <v>0</v>
      </c>
      <c r="G76" s="20">
        <f>IFERROR(VLOOKUP($B76,PerutYitrot!$D$6:$P$100,4,FALSE),0)</f>
        <v>0</v>
      </c>
      <c r="H76" s="20">
        <f t="shared" si="54"/>
        <v>0</v>
      </c>
      <c r="I76" s="20">
        <f>RicusPolice!L73</f>
        <v>0</v>
      </c>
      <c r="J76" s="179">
        <f>IFERROR(VLOOKUP(TRIM(K76),MyData!$J$43:$K$49,2,FALSE),0)</f>
        <v>0</v>
      </c>
      <c r="K76" s="20">
        <f>RicusPolice!M73</f>
        <v>0</v>
      </c>
      <c r="L76" s="20">
        <f>RicusPolice!AM73</f>
        <v>0</v>
      </c>
      <c r="M76" s="20" t="str">
        <f>IF(B76&gt;0,RicusPolice!Y73," ")</f>
        <v xml:space="preserve"> </v>
      </c>
      <c r="N76" s="20" t="str">
        <f t="shared" si="55"/>
        <v/>
      </c>
      <c r="O76" s="20">
        <f>RicusPolice!N73</f>
        <v>0</v>
      </c>
      <c r="P76" s="20">
        <f>IFERROR(VLOOKUP(B76,PerutMasluleiHashkaa!$D$6:$R$100,4,FALSE),0)</f>
        <v>0</v>
      </c>
      <c r="Q76" s="19"/>
      <c r="R76" s="20">
        <f>RicusPolice!P73</f>
        <v>0</v>
      </c>
      <c r="S76" s="20"/>
      <c r="T76" s="21">
        <f>'נתונים ידניים'!H76</f>
        <v>0</v>
      </c>
      <c r="U76" s="21"/>
      <c r="V76" s="20">
        <f>PerutHafrashotLePolisa!E73</f>
        <v>0</v>
      </c>
      <c r="W76" s="20">
        <f>PerutHafrashotLePolisa!F73</f>
        <v>0</v>
      </c>
      <c r="X76" s="20">
        <f>PerutHafrashotLePolisa!G73</f>
        <v>0</v>
      </c>
      <c r="Y76">
        <f t="shared" si="56"/>
        <v>0</v>
      </c>
      <c r="Z76">
        <f>IFERROR(VLOOKUP(B76,PirteiHaasaka!$D$6:$R$100,5,FALSE),0)</f>
        <v>0</v>
      </c>
      <c r="AB76">
        <f>IFERROR(VLOOKUP(B76,HafkadotMetchilatShanaAverages!$D$6:$E$100,2,FALSE),0)</f>
        <v>0</v>
      </c>
      <c r="AF76">
        <f>IFERROR(VLOOKUP(B76,CrossTabYitraLeTkufa_till_2000!$D$6:$AB$100,6,FALSE),0)+IFERROR(VLOOKUP(B76,CrossTabYitraLeTkufa_after_2000!$D$6:$AB$100,6,FALSE),0)</f>
        <v>0</v>
      </c>
      <c r="AG76">
        <f>IFERROR(VLOOKUP(B76,CrossTabYitraLeTkufa_till_2000!$D$6:$AB$100,16,FALSE),0)</f>
        <v>0</v>
      </c>
      <c r="AH76">
        <f>IFERROR(VLOOKUP(B76,CrossTabYitraLeTkufa_after_2000!$D$6:$AB$100,16,FALSE),0)</f>
        <v>0</v>
      </c>
      <c r="AI76">
        <f>IFERROR(VLOOKUP(B76,CrossTabYitraLeTkufa_till_2000!$D$6:$AB$100,17,FALSE),0)</f>
        <v>0</v>
      </c>
      <c r="AJ76">
        <f>IFERROR(VLOOKUP(B76,CrossTabYitraLeTkufa_after_2000!$D$6:$AB$100,17,FALSE),0)</f>
        <v>0</v>
      </c>
      <c r="AK76" s="5">
        <f t="shared" si="57"/>
        <v>0</v>
      </c>
      <c r="AN76">
        <f>IFERROR(VLOOKUP(B76,PirteiKisuiBeMutzar_procerur!$C$6:$AA$100,2,FALSE),0)</f>
        <v>0</v>
      </c>
      <c r="AP76">
        <f>IFERROR(VLOOKUP($B76,PirteiKisuiBeMutzar_procerur!$C$6:$AA$100,5,FALSE),0)</f>
        <v>0</v>
      </c>
      <c r="AQ76">
        <f>IFERROR(VLOOKUP($B76,PirteiKisuiBeMutzar_procerur!$C$6:$AA$100,3,FALSE),0)</f>
        <v>0</v>
      </c>
      <c r="AR76">
        <f>IFERROR(VLOOKUP($B76,PirteiKisuiBeMutzar_procerur!$C$6:$AA$100,6,FALSE),0)</f>
        <v>0</v>
      </c>
      <c r="AS76">
        <f>IFERROR(VLOOKUP($B76,PirteiKisuiBeMutzar_procerur!$C$6:$AA$100,7,FALSE),0)</f>
        <v>0</v>
      </c>
      <c r="AW76">
        <f t="shared" si="58"/>
        <v>0</v>
      </c>
      <c r="AX76">
        <f t="shared" si="59"/>
        <v>0</v>
      </c>
      <c r="AY76">
        <f t="shared" si="60"/>
        <v>0</v>
      </c>
      <c r="AZ76">
        <f t="shared" si="61"/>
        <v>0</v>
      </c>
      <c r="BA76">
        <f t="shared" si="62"/>
        <v>0</v>
      </c>
      <c r="BB76">
        <f t="shared" si="63"/>
        <v>0</v>
      </c>
      <c r="BC76">
        <f t="shared" si="64"/>
        <v>0</v>
      </c>
      <c r="BD76">
        <f t="shared" si="65"/>
        <v>0</v>
      </c>
      <c r="BE76">
        <f t="shared" si="66"/>
        <v>0</v>
      </c>
      <c r="BF76">
        <f t="shared" si="67"/>
        <v>0</v>
      </c>
      <c r="BG76">
        <f t="shared" si="68"/>
        <v>0</v>
      </c>
      <c r="BH76">
        <f t="shared" si="69"/>
        <v>0</v>
      </c>
      <c r="BI76">
        <f t="shared" si="70"/>
        <v>0</v>
      </c>
      <c r="BK76">
        <f t="shared" si="71"/>
        <v>0</v>
      </c>
      <c r="BL76">
        <f t="shared" si="72"/>
        <v>0</v>
      </c>
      <c r="BM76">
        <f t="shared" si="73"/>
        <v>0</v>
      </c>
      <c r="BN76">
        <f t="shared" si="74"/>
        <v>0</v>
      </c>
      <c r="BO76">
        <f t="shared" si="75"/>
        <v>0</v>
      </c>
      <c r="BR76">
        <f t="shared" si="76"/>
        <v>0</v>
      </c>
      <c r="BS76">
        <f t="shared" si="77"/>
        <v>0</v>
      </c>
      <c r="BT76">
        <f t="shared" si="78"/>
        <v>0</v>
      </c>
      <c r="BU76">
        <f t="shared" si="79"/>
        <v>0</v>
      </c>
      <c r="BV76">
        <f t="shared" si="80"/>
        <v>0</v>
      </c>
      <c r="BX76">
        <f t="shared" si="81"/>
        <v>0</v>
      </c>
      <c r="BY76">
        <f t="shared" si="82"/>
        <v>0</v>
      </c>
      <c r="BZ76">
        <f t="shared" si="83"/>
        <v>0</v>
      </c>
      <c r="CA76">
        <f t="shared" si="84"/>
        <v>0</v>
      </c>
      <c r="CB76">
        <f t="shared" si="85"/>
        <v>0</v>
      </c>
      <c r="CE76">
        <f t="shared" si="86"/>
        <v>0</v>
      </c>
      <c r="CF76">
        <f t="shared" si="87"/>
        <v>0</v>
      </c>
      <c r="CG76">
        <f t="shared" si="88"/>
        <v>0</v>
      </c>
      <c r="CH76">
        <f t="shared" si="89"/>
        <v>0</v>
      </c>
      <c r="CI76">
        <f t="shared" si="90"/>
        <v>0</v>
      </c>
      <c r="CL76">
        <f t="shared" si="91"/>
        <v>0</v>
      </c>
      <c r="CM76">
        <f t="shared" si="92"/>
        <v>0</v>
      </c>
      <c r="CN76">
        <f t="shared" si="93"/>
        <v>0</v>
      </c>
      <c r="CO76">
        <f t="shared" si="94"/>
        <v>0</v>
      </c>
      <c r="CP76">
        <f t="shared" si="95"/>
        <v>0</v>
      </c>
      <c r="CQ76">
        <f>IFERROR(VLOOKUP($B76,SchumeiBituahYesodi!$C$6:$AA$100,8,FALSE),0)</f>
        <v>0</v>
      </c>
      <c r="CR76">
        <f>IFERROR(VLOOKUP($B76,PirteiKisuiBeMutzar_procerur!$C$6:$AA$100,2,FALSE),0)</f>
        <v>0</v>
      </c>
      <c r="CS76">
        <f>IFERROR(VLOOKUP($B76,PirteiKisuiBeMutzar_procerur!$C$6:$AA$100,3,FALSE),0)</f>
        <v>0</v>
      </c>
      <c r="CT76">
        <f>IFERROR(VLOOKUP($B76,PirteiKisuiBeMutzar_procerur!$C$6:$AA$100,4,FALSE),0)</f>
        <v>0</v>
      </c>
      <c r="CU76">
        <f>IFERROR(VLOOKUP($B76,PirteiKisuiBeMutzar_procerur!$C$6:$AA$100,5,FALSE),0)</f>
        <v>0</v>
      </c>
      <c r="CV76">
        <f>IFERROR(VLOOKUP($B76,PirteiKisuiBeMutzar_procerur!$C$6:$AA$100,6,FALSE),0)</f>
        <v>0</v>
      </c>
      <c r="CW76">
        <f>IFERROR(VLOOKUP($B76,PirteiKisuiBeMutzar_procerur!$C$6:$AA$100,7,FALSE),0)</f>
        <v>0</v>
      </c>
      <c r="CX76">
        <f>IFERROR(VLOOKUP($B76,PirteiKisuiBeMutzar_procerur!$C$6:$AA$100,8,FALSE),0)</f>
        <v>0</v>
      </c>
      <c r="CY76">
        <f>IFERROR(VLOOKUP($B76,PirteiKisuiBeMutzar_procerur!$C$6:$AA$100,9,FALSE),0)</f>
        <v>0</v>
      </c>
      <c r="CZ76">
        <f>IFERROR(VLOOKUP($B76,PirteiKisuiBeMutzar_procerur!$C$6:$AA$100,10,FALSE),0)</f>
        <v>0</v>
      </c>
      <c r="DA76">
        <f>IFERROR(VLOOKUP($B76,PirteiKisuiBeMutzar_procerur!$C$6:$AA$100,11,FALSE),0)</f>
        <v>0</v>
      </c>
      <c r="DB76">
        <f>IFERROR(VLOOKUP($B76,PirteiKisuiBeMutzarPrmia!$C$6:$AA$100,2,FALSE),0)</f>
        <v>0</v>
      </c>
      <c r="DC76">
        <f>IFERROR(VLOOKUP($B76,PirteiKisuiBeMutzarPrmia!$C$6:$AA$100,3,FALSE),0)</f>
        <v>0</v>
      </c>
      <c r="DD76">
        <f>IFERROR(VLOOKUP($B76,PirteiKisuiBeMutzarPrmia!$C$6:$AA$100,4,FALSE),0)</f>
        <v>0</v>
      </c>
      <c r="DE76">
        <f>IFERROR(VLOOKUP($B76,PirteiKisuiBeMutzarPrmia!$C$6:$AA$100,5,FALSE),0)</f>
        <v>0</v>
      </c>
      <c r="DF76">
        <f>IFERROR(VLOOKUP($B76,PirteiKisuiBeMutzarPrmia!$C$6:$AA$100,6,FALSE),0)</f>
        <v>0</v>
      </c>
      <c r="DG76">
        <f>IFERROR(VLOOKUP($B76,PirteiKisuiBeMutzarPrmia!$C$6:$AA$100,7,FALSE),0)</f>
        <v>0</v>
      </c>
      <c r="DH76">
        <f>IFERROR(VLOOKUP($B76,PirteiKisuiBeMutzarPrmia!$C$6:$AA$100,8,FALSE),0)</f>
        <v>0</v>
      </c>
      <c r="DI76">
        <f>IFERROR(VLOOKUP($B76,PirteiKisuiBeMutzarPrmia!$C$6:$AA$100,9,FALSE),0)</f>
        <v>0</v>
      </c>
      <c r="DJ76">
        <f>IFERROR(VLOOKUP($B76,PirteiKisuiBeMutzarPrmia!$C$6:$AA$100,10,FALSE),0)</f>
        <v>0</v>
      </c>
      <c r="DK76">
        <f>IFERROR(VLOOKUP($B76,PirteiKisuiBeMutzarPrmia!$C$6:$AA$100,11,FALSE),0)</f>
        <v>0</v>
      </c>
      <c r="DL76">
        <f t="shared" si="96"/>
        <v>0</v>
      </c>
      <c r="DM76">
        <f t="shared" si="97"/>
        <v>0</v>
      </c>
      <c r="DN76">
        <f t="shared" si="98"/>
        <v>0</v>
      </c>
      <c r="DO76">
        <f t="shared" si="52"/>
        <v>0</v>
      </c>
      <c r="DP76">
        <f t="shared" si="53"/>
        <v>0</v>
      </c>
      <c r="DQ76">
        <f>IF(OR(L76=1,L76=3),IFERROR(VLOOKUP($B76,PerutHafkadotMetchilatShanaAvgM!$C$6:$G$100,3,FALSE),0),0)</f>
        <v>0</v>
      </c>
      <c r="DR76">
        <f>IF(OR(L76=2,L76=4),IFERROR(VLOOKUP($B76,PerutHafkadotMetchilatShanaAvgM!$C$6:$G$100,3,FALSE),0),0)</f>
        <v>0</v>
      </c>
      <c r="DS76">
        <f>IFERROR(VLOOKUP($B76,PerutHafkadotMetchilatShanaAvgM!$C$6:$G$100,4,FALSE),0)</f>
        <v>0</v>
      </c>
      <c r="DT76">
        <f>IFERROR(VLOOKUP($B76,Kupa!$D$6:$AA$100,5,FALSE),0)</f>
        <v>0</v>
      </c>
      <c r="DU76">
        <f>IFERROR(VLOOKUP($B76,Kupa!$D$6:$AA$100,6,FALSE),0)</f>
        <v>0</v>
      </c>
      <c r="DV76">
        <f>IFERROR(VLOOKUP($B76,KisuiBKerenPensiaDBWithParams!$D$6:$AP$100,9,FALSE),0)</f>
        <v>0</v>
      </c>
      <c r="DW76">
        <f>IFERROR(VLOOKUP($B76,KisuiBKerenPensiaDBWithParams!$D$6:$AP$100,12,FALSE),0)</f>
        <v>0</v>
      </c>
      <c r="DX76">
        <f>IFERROR(VLOOKUP($B76,KisuiBKerenPensiaDBWithParams!$D$6:$AP$100,13,FALSE),0)</f>
        <v>0</v>
      </c>
      <c r="DY76">
        <f>IFERROR(VLOOKUP($B76,KisuiBKerenPensiaDBWithParams!$D$6:$AP$100,7,FALSE),0)</f>
        <v>0</v>
      </c>
      <c r="DZ76">
        <f>IFERROR(VLOOKUP($B76,KisuiBKerenPensiaDBWithParams!$D$6:$AP$100,17,FALSE),0)</f>
        <v>0</v>
      </c>
      <c r="EA76">
        <f>IFERROR(VLOOKUP($B76,KisuiBKerenPensiaDBWithParams!$D$6:$AP$100,20,FALSE),0)</f>
        <v>0</v>
      </c>
      <c r="EB76">
        <f>IFERROR(VLOOKUP($B76,KisuiBKerenPensiaDBWithParams!$D$6:$AP$100,21,FALSE),0)</f>
        <v>0</v>
      </c>
      <c r="EC76">
        <f t="shared" si="99"/>
        <v>0</v>
      </c>
      <c r="EG76">
        <f>IF(OR(G76=MyData!$J$50,G76=MyData!$J$51,G76=MyData!$J$52),1,IF(G76=MyData!$J$49,2,0))</f>
        <v>0</v>
      </c>
    </row>
    <row r="77" spans="1:137">
      <c r="A77">
        <f t="shared" si="100"/>
        <v>0</v>
      </c>
      <c r="B77" s="20">
        <f>RicusPolice!E74</f>
        <v>0</v>
      </c>
      <c r="C77" s="20">
        <f>RicusPolice!AL74</f>
        <v>0</v>
      </c>
      <c r="D77" s="20">
        <f>RicusPolice!F74</f>
        <v>0</v>
      </c>
      <c r="E77" s="20">
        <f>RicusPolice!R74</f>
        <v>0</v>
      </c>
      <c r="F77" s="20">
        <f>RicusPolice!N74</f>
        <v>0</v>
      </c>
      <c r="G77" s="20">
        <f>IFERROR(VLOOKUP($B77,PerutYitrot!$D$6:$P$100,4,FALSE),0)</f>
        <v>0</v>
      </c>
      <c r="H77" s="20">
        <f t="shared" si="54"/>
        <v>0</v>
      </c>
      <c r="I77" s="20">
        <f>RicusPolice!L74</f>
        <v>0</v>
      </c>
      <c r="J77" s="179">
        <f>IFERROR(VLOOKUP(TRIM(K77),MyData!$J$43:$K$49,2,FALSE),0)</f>
        <v>0</v>
      </c>
      <c r="K77" s="20">
        <f>RicusPolice!M74</f>
        <v>0</v>
      </c>
      <c r="L77" s="20">
        <f>RicusPolice!AM74</f>
        <v>0</v>
      </c>
      <c r="M77" s="20" t="str">
        <f>IF(B77&gt;0,RicusPolice!Y74," ")</f>
        <v xml:space="preserve"> </v>
      </c>
      <c r="N77" s="20" t="str">
        <f t="shared" si="55"/>
        <v/>
      </c>
      <c r="O77" s="20">
        <f>RicusPolice!N74</f>
        <v>0</v>
      </c>
      <c r="P77" s="20">
        <f>IFERROR(VLOOKUP(B77,PerutMasluleiHashkaa!$D$6:$R$100,4,FALSE),0)</f>
        <v>0</v>
      </c>
      <c r="Q77" s="19"/>
      <c r="R77" s="20">
        <f>RicusPolice!P74</f>
        <v>0</v>
      </c>
      <c r="S77" s="20"/>
      <c r="T77" s="21">
        <f>'נתונים ידניים'!H77</f>
        <v>0</v>
      </c>
      <c r="U77" s="21"/>
      <c r="V77" s="20">
        <f>PerutHafrashotLePolisa!E74</f>
        <v>0</v>
      </c>
      <c r="W77" s="20">
        <f>PerutHafrashotLePolisa!F74</f>
        <v>0</v>
      </c>
      <c r="X77" s="20">
        <f>PerutHafrashotLePolisa!G74</f>
        <v>0</v>
      </c>
      <c r="Y77">
        <f t="shared" si="56"/>
        <v>0</v>
      </c>
      <c r="Z77">
        <f>IFERROR(VLOOKUP(B77,PirteiHaasaka!$D$6:$R$100,5,FALSE),0)</f>
        <v>0</v>
      </c>
      <c r="AB77">
        <f>IFERROR(VLOOKUP(B77,HafkadotMetchilatShanaAverages!$D$6:$E$100,2,FALSE),0)</f>
        <v>0</v>
      </c>
      <c r="AF77">
        <f>IFERROR(VLOOKUP(B77,CrossTabYitraLeTkufa_till_2000!$D$6:$AB$100,6,FALSE),0)+IFERROR(VLOOKUP(B77,CrossTabYitraLeTkufa_after_2000!$D$6:$AB$100,6,FALSE),0)</f>
        <v>0</v>
      </c>
      <c r="AG77">
        <f>IFERROR(VLOOKUP(B77,CrossTabYitraLeTkufa_till_2000!$D$6:$AB$100,16,FALSE),0)</f>
        <v>0</v>
      </c>
      <c r="AH77">
        <f>IFERROR(VLOOKUP(B77,CrossTabYitraLeTkufa_after_2000!$D$6:$AB$100,16,FALSE),0)</f>
        <v>0</v>
      </c>
      <c r="AI77">
        <f>IFERROR(VLOOKUP(B77,CrossTabYitraLeTkufa_till_2000!$D$6:$AB$100,17,FALSE),0)</f>
        <v>0</v>
      </c>
      <c r="AJ77">
        <f>IFERROR(VLOOKUP(B77,CrossTabYitraLeTkufa_after_2000!$D$6:$AB$100,17,FALSE),0)</f>
        <v>0</v>
      </c>
      <c r="AK77" s="5">
        <f t="shared" si="57"/>
        <v>0</v>
      </c>
      <c r="AN77">
        <f>IFERROR(VLOOKUP(B77,PirteiKisuiBeMutzar_procerur!$C$6:$AA$100,2,FALSE),0)</f>
        <v>0</v>
      </c>
      <c r="AP77">
        <f>IFERROR(VLOOKUP($B77,PirteiKisuiBeMutzar_procerur!$C$6:$AA$100,5,FALSE),0)</f>
        <v>0</v>
      </c>
      <c r="AQ77">
        <f>IFERROR(VLOOKUP($B77,PirteiKisuiBeMutzar_procerur!$C$6:$AA$100,3,FALSE),0)</f>
        <v>0</v>
      </c>
      <c r="AR77">
        <f>IFERROR(VLOOKUP($B77,PirteiKisuiBeMutzar_procerur!$C$6:$AA$100,6,FALSE),0)</f>
        <v>0</v>
      </c>
      <c r="AS77">
        <f>IFERROR(VLOOKUP($B77,PirteiKisuiBeMutzar_procerur!$C$6:$AA$100,7,FALSE),0)</f>
        <v>0</v>
      </c>
      <c r="AW77">
        <f t="shared" si="58"/>
        <v>0</v>
      </c>
      <c r="AX77">
        <f t="shared" si="59"/>
        <v>0</v>
      </c>
      <c r="AY77">
        <f t="shared" si="60"/>
        <v>0</v>
      </c>
      <c r="AZ77">
        <f t="shared" si="61"/>
        <v>0</v>
      </c>
      <c r="BA77">
        <f t="shared" si="62"/>
        <v>0</v>
      </c>
      <c r="BB77">
        <f t="shared" si="63"/>
        <v>0</v>
      </c>
      <c r="BC77">
        <f t="shared" si="64"/>
        <v>0</v>
      </c>
      <c r="BD77">
        <f t="shared" si="65"/>
        <v>0</v>
      </c>
      <c r="BE77">
        <f t="shared" si="66"/>
        <v>0</v>
      </c>
      <c r="BF77">
        <f t="shared" si="67"/>
        <v>0</v>
      </c>
      <c r="BG77">
        <f t="shared" si="68"/>
        <v>0</v>
      </c>
      <c r="BH77">
        <f t="shared" si="69"/>
        <v>0</v>
      </c>
      <c r="BI77">
        <f t="shared" si="70"/>
        <v>0</v>
      </c>
      <c r="BK77">
        <f t="shared" si="71"/>
        <v>0</v>
      </c>
      <c r="BL77">
        <f t="shared" si="72"/>
        <v>0</v>
      </c>
      <c r="BM77">
        <f t="shared" si="73"/>
        <v>0</v>
      </c>
      <c r="BN77">
        <f t="shared" si="74"/>
        <v>0</v>
      </c>
      <c r="BO77">
        <f t="shared" si="75"/>
        <v>0</v>
      </c>
      <c r="BR77">
        <f t="shared" si="76"/>
        <v>0</v>
      </c>
      <c r="BS77">
        <f t="shared" si="77"/>
        <v>0</v>
      </c>
      <c r="BT77">
        <f t="shared" si="78"/>
        <v>0</v>
      </c>
      <c r="BU77">
        <f t="shared" si="79"/>
        <v>0</v>
      </c>
      <c r="BV77">
        <f t="shared" si="80"/>
        <v>0</v>
      </c>
      <c r="BX77">
        <f t="shared" si="81"/>
        <v>0</v>
      </c>
      <c r="BY77">
        <f t="shared" si="82"/>
        <v>0</v>
      </c>
      <c r="BZ77">
        <f t="shared" si="83"/>
        <v>0</v>
      </c>
      <c r="CA77">
        <f t="shared" si="84"/>
        <v>0</v>
      </c>
      <c r="CB77">
        <f t="shared" si="85"/>
        <v>0</v>
      </c>
      <c r="CE77">
        <f t="shared" si="86"/>
        <v>0</v>
      </c>
      <c r="CF77">
        <f t="shared" si="87"/>
        <v>0</v>
      </c>
      <c r="CG77">
        <f t="shared" si="88"/>
        <v>0</v>
      </c>
      <c r="CH77">
        <f t="shared" si="89"/>
        <v>0</v>
      </c>
      <c r="CI77">
        <f t="shared" si="90"/>
        <v>0</v>
      </c>
      <c r="CL77">
        <f t="shared" si="91"/>
        <v>0</v>
      </c>
      <c r="CM77">
        <f t="shared" si="92"/>
        <v>0</v>
      </c>
      <c r="CN77">
        <f t="shared" si="93"/>
        <v>0</v>
      </c>
      <c r="CO77">
        <f t="shared" si="94"/>
        <v>0</v>
      </c>
      <c r="CP77">
        <f t="shared" si="95"/>
        <v>0</v>
      </c>
      <c r="CQ77">
        <f>IFERROR(VLOOKUP($B77,SchumeiBituahYesodi!$C$6:$AA$100,8,FALSE),0)</f>
        <v>0</v>
      </c>
      <c r="CR77">
        <f>IFERROR(VLOOKUP($B77,PirteiKisuiBeMutzar_procerur!$C$6:$AA$100,2,FALSE),0)</f>
        <v>0</v>
      </c>
      <c r="CS77">
        <f>IFERROR(VLOOKUP($B77,PirteiKisuiBeMutzar_procerur!$C$6:$AA$100,3,FALSE),0)</f>
        <v>0</v>
      </c>
      <c r="CT77">
        <f>IFERROR(VLOOKUP($B77,PirteiKisuiBeMutzar_procerur!$C$6:$AA$100,4,FALSE),0)</f>
        <v>0</v>
      </c>
      <c r="CU77">
        <f>IFERROR(VLOOKUP($B77,PirteiKisuiBeMutzar_procerur!$C$6:$AA$100,5,FALSE),0)</f>
        <v>0</v>
      </c>
      <c r="CV77">
        <f>IFERROR(VLOOKUP($B77,PirteiKisuiBeMutzar_procerur!$C$6:$AA$100,6,FALSE),0)</f>
        <v>0</v>
      </c>
      <c r="CW77">
        <f>IFERROR(VLOOKUP($B77,PirteiKisuiBeMutzar_procerur!$C$6:$AA$100,7,FALSE),0)</f>
        <v>0</v>
      </c>
      <c r="CX77">
        <f>IFERROR(VLOOKUP($B77,PirteiKisuiBeMutzar_procerur!$C$6:$AA$100,8,FALSE),0)</f>
        <v>0</v>
      </c>
      <c r="CY77">
        <f>IFERROR(VLOOKUP($B77,PirteiKisuiBeMutzar_procerur!$C$6:$AA$100,9,FALSE),0)</f>
        <v>0</v>
      </c>
      <c r="CZ77">
        <f>IFERROR(VLOOKUP($B77,PirteiKisuiBeMutzar_procerur!$C$6:$AA$100,10,FALSE),0)</f>
        <v>0</v>
      </c>
      <c r="DA77">
        <f>IFERROR(VLOOKUP($B77,PirteiKisuiBeMutzar_procerur!$C$6:$AA$100,11,FALSE),0)</f>
        <v>0</v>
      </c>
      <c r="DB77">
        <f>IFERROR(VLOOKUP($B77,PirteiKisuiBeMutzarPrmia!$C$6:$AA$100,2,FALSE),0)</f>
        <v>0</v>
      </c>
      <c r="DC77">
        <f>IFERROR(VLOOKUP($B77,PirteiKisuiBeMutzarPrmia!$C$6:$AA$100,3,FALSE),0)</f>
        <v>0</v>
      </c>
      <c r="DD77">
        <f>IFERROR(VLOOKUP($B77,PirteiKisuiBeMutzarPrmia!$C$6:$AA$100,4,FALSE),0)</f>
        <v>0</v>
      </c>
      <c r="DE77">
        <f>IFERROR(VLOOKUP($B77,PirteiKisuiBeMutzarPrmia!$C$6:$AA$100,5,FALSE),0)</f>
        <v>0</v>
      </c>
      <c r="DF77">
        <f>IFERROR(VLOOKUP($B77,PirteiKisuiBeMutzarPrmia!$C$6:$AA$100,6,FALSE),0)</f>
        <v>0</v>
      </c>
      <c r="DG77">
        <f>IFERROR(VLOOKUP($B77,PirteiKisuiBeMutzarPrmia!$C$6:$AA$100,7,FALSE),0)</f>
        <v>0</v>
      </c>
      <c r="DH77">
        <f>IFERROR(VLOOKUP($B77,PirteiKisuiBeMutzarPrmia!$C$6:$AA$100,8,FALSE),0)</f>
        <v>0</v>
      </c>
      <c r="DI77">
        <f>IFERROR(VLOOKUP($B77,PirteiKisuiBeMutzarPrmia!$C$6:$AA$100,9,FALSE),0)</f>
        <v>0</v>
      </c>
      <c r="DJ77">
        <f>IFERROR(VLOOKUP($B77,PirteiKisuiBeMutzarPrmia!$C$6:$AA$100,10,FALSE),0)</f>
        <v>0</v>
      </c>
      <c r="DK77">
        <f>IFERROR(VLOOKUP($B77,PirteiKisuiBeMutzarPrmia!$C$6:$AA$100,11,FALSE),0)</f>
        <v>0</v>
      </c>
      <c r="DL77">
        <f t="shared" si="96"/>
        <v>0</v>
      </c>
      <c r="DM77">
        <f t="shared" si="97"/>
        <v>0</v>
      </c>
      <c r="DN77">
        <f t="shared" si="98"/>
        <v>0</v>
      </c>
      <c r="DO77">
        <f t="shared" si="52"/>
        <v>0</v>
      </c>
      <c r="DP77">
        <f t="shared" si="53"/>
        <v>0</v>
      </c>
      <c r="DQ77">
        <f>IF(OR(L77=1,L77=3),IFERROR(VLOOKUP($B77,PerutHafkadotMetchilatShanaAvgM!$C$6:$G$100,3,FALSE),0),0)</f>
        <v>0</v>
      </c>
      <c r="DR77">
        <f>IF(OR(L77=2,L77=4),IFERROR(VLOOKUP($B77,PerutHafkadotMetchilatShanaAvgM!$C$6:$G$100,3,FALSE),0),0)</f>
        <v>0</v>
      </c>
      <c r="DS77">
        <f>IFERROR(VLOOKUP($B77,PerutHafkadotMetchilatShanaAvgM!$C$6:$G$100,4,FALSE),0)</f>
        <v>0</v>
      </c>
      <c r="DT77">
        <f>IFERROR(VLOOKUP($B77,Kupa!$D$6:$AA$100,5,FALSE),0)</f>
        <v>0</v>
      </c>
      <c r="DU77">
        <f>IFERROR(VLOOKUP($B77,Kupa!$D$6:$AA$100,6,FALSE),0)</f>
        <v>0</v>
      </c>
      <c r="DV77">
        <f>IFERROR(VLOOKUP($B77,KisuiBKerenPensiaDBWithParams!$D$6:$AP$100,9,FALSE),0)</f>
        <v>0</v>
      </c>
      <c r="DW77">
        <f>IFERROR(VLOOKUP($B77,KisuiBKerenPensiaDBWithParams!$D$6:$AP$100,12,FALSE),0)</f>
        <v>0</v>
      </c>
      <c r="DX77">
        <f>IFERROR(VLOOKUP($B77,KisuiBKerenPensiaDBWithParams!$D$6:$AP$100,13,FALSE),0)</f>
        <v>0</v>
      </c>
      <c r="DY77">
        <f>IFERROR(VLOOKUP($B77,KisuiBKerenPensiaDBWithParams!$D$6:$AP$100,7,FALSE),0)</f>
        <v>0</v>
      </c>
      <c r="DZ77">
        <f>IFERROR(VLOOKUP($B77,KisuiBKerenPensiaDBWithParams!$D$6:$AP$100,17,FALSE),0)</f>
        <v>0</v>
      </c>
      <c r="EA77">
        <f>IFERROR(VLOOKUP($B77,KisuiBKerenPensiaDBWithParams!$D$6:$AP$100,20,FALSE),0)</f>
        <v>0</v>
      </c>
      <c r="EB77">
        <f>IFERROR(VLOOKUP($B77,KisuiBKerenPensiaDBWithParams!$D$6:$AP$100,21,FALSE),0)</f>
        <v>0</v>
      </c>
      <c r="EC77">
        <f t="shared" si="99"/>
        <v>0</v>
      </c>
      <c r="EG77">
        <f>IF(OR(G77=MyData!$J$50,G77=MyData!$J$51,G77=MyData!$J$52),1,IF(G77=MyData!$J$49,2,0))</f>
        <v>0</v>
      </c>
    </row>
    <row r="78" spans="1:137">
      <c r="A78">
        <f t="shared" si="100"/>
        <v>0</v>
      </c>
      <c r="B78" s="20">
        <f>RicusPolice!E75</f>
        <v>0</v>
      </c>
      <c r="C78" s="20">
        <f>RicusPolice!AL75</f>
        <v>0</v>
      </c>
      <c r="D78" s="20">
        <f>RicusPolice!F75</f>
        <v>0</v>
      </c>
      <c r="E78" s="20">
        <f>RicusPolice!R75</f>
        <v>0</v>
      </c>
      <c r="F78" s="20">
        <f>RicusPolice!N75</f>
        <v>0</v>
      </c>
      <c r="G78" s="20">
        <f>IFERROR(VLOOKUP($B78,PerutYitrot!$D$6:$P$100,4,FALSE),0)</f>
        <v>0</v>
      </c>
      <c r="H78" s="20">
        <f t="shared" si="54"/>
        <v>0</v>
      </c>
      <c r="I78" s="20">
        <f>RicusPolice!L75</f>
        <v>0</v>
      </c>
      <c r="J78" s="179">
        <f>IFERROR(VLOOKUP(TRIM(K78),MyData!$J$43:$K$49,2,FALSE),0)</f>
        <v>0</v>
      </c>
      <c r="K78" s="20">
        <f>RicusPolice!M75</f>
        <v>0</v>
      </c>
      <c r="L78" s="20">
        <f>RicusPolice!AM75</f>
        <v>0</v>
      </c>
      <c r="M78" s="20" t="str">
        <f>IF(B78&gt;0,RicusPolice!Y75," ")</f>
        <v xml:space="preserve"> </v>
      </c>
      <c r="N78" s="20" t="str">
        <f t="shared" si="55"/>
        <v/>
      </c>
      <c r="O78" s="20">
        <f>RicusPolice!N75</f>
        <v>0</v>
      </c>
      <c r="P78" s="20">
        <f>IFERROR(VLOOKUP(B78,PerutMasluleiHashkaa!$D$6:$R$100,4,FALSE),0)</f>
        <v>0</v>
      </c>
      <c r="Q78" s="19"/>
      <c r="R78" s="20">
        <f>RicusPolice!P75</f>
        <v>0</v>
      </c>
      <c r="S78" s="20"/>
      <c r="T78" s="21">
        <f>'נתונים ידניים'!H78</f>
        <v>0</v>
      </c>
      <c r="U78" s="21"/>
      <c r="V78" s="20">
        <f>PerutHafrashotLePolisa!E75</f>
        <v>0</v>
      </c>
      <c r="W78" s="20">
        <f>PerutHafrashotLePolisa!F75</f>
        <v>0</v>
      </c>
      <c r="X78" s="20">
        <f>PerutHafrashotLePolisa!G75</f>
        <v>0</v>
      </c>
      <c r="Y78">
        <f t="shared" si="56"/>
        <v>0</v>
      </c>
      <c r="Z78">
        <f>IFERROR(VLOOKUP(B78,PirteiHaasaka!$D$6:$R$100,5,FALSE),0)</f>
        <v>0</v>
      </c>
      <c r="AB78">
        <f>IFERROR(VLOOKUP(B78,HafkadotMetchilatShanaAverages!$D$6:$E$100,2,FALSE),0)</f>
        <v>0</v>
      </c>
      <c r="AF78">
        <f>IFERROR(VLOOKUP(B78,CrossTabYitraLeTkufa_till_2000!$D$6:$AB$100,6,FALSE),0)+IFERROR(VLOOKUP(B78,CrossTabYitraLeTkufa_after_2000!$D$6:$AB$100,6,FALSE),0)</f>
        <v>0</v>
      </c>
      <c r="AG78">
        <f>IFERROR(VLOOKUP(B78,CrossTabYitraLeTkufa_till_2000!$D$6:$AB$100,16,FALSE),0)</f>
        <v>0</v>
      </c>
      <c r="AH78">
        <f>IFERROR(VLOOKUP(B78,CrossTabYitraLeTkufa_after_2000!$D$6:$AB$100,16,FALSE),0)</f>
        <v>0</v>
      </c>
      <c r="AI78">
        <f>IFERROR(VLOOKUP(B78,CrossTabYitraLeTkufa_till_2000!$D$6:$AB$100,17,FALSE),0)</f>
        <v>0</v>
      </c>
      <c r="AJ78">
        <f>IFERROR(VLOOKUP(B78,CrossTabYitraLeTkufa_after_2000!$D$6:$AB$100,17,FALSE),0)</f>
        <v>0</v>
      </c>
      <c r="AK78" s="5">
        <f t="shared" si="57"/>
        <v>0</v>
      </c>
      <c r="AN78">
        <f>IFERROR(VLOOKUP(B78,PirteiKisuiBeMutzar_procerur!$C$6:$AA$100,2,FALSE),0)</f>
        <v>0</v>
      </c>
      <c r="AP78">
        <f>IFERROR(VLOOKUP($B78,PirteiKisuiBeMutzar_procerur!$C$6:$AA$100,5,FALSE),0)</f>
        <v>0</v>
      </c>
      <c r="AQ78">
        <f>IFERROR(VLOOKUP($B78,PirteiKisuiBeMutzar_procerur!$C$6:$AA$100,3,FALSE),0)</f>
        <v>0</v>
      </c>
      <c r="AR78">
        <f>IFERROR(VLOOKUP($B78,PirteiKisuiBeMutzar_procerur!$C$6:$AA$100,6,FALSE),0)</f>
        <v>0</v>
      </c>
      <c r="AS78">
        <f>IFERROR(VLOOKUP($B78,PirteiKisuiBeMutzar_procerur!$C$6:$AA$100,7,FALSE),0)</f>
        <v>0</v>
      </c>
      <c r="AW78">
        <f t="shared" si="58"/>
        <v>0</v>
      </c>
      <c r="AX78">
        <f t="shared" si="59"/>
        <v>0</v>
      </c>
      <c r="AY78">
        <f t="shared" si="60"/>
        <v>0</v>
      </c>
      <c r="AZ78">
        <f t="shared" si="61"/>
        <v>0</v>
      </c>
      <c r="BA78">
        <f t="shared" si="62"/>
        <v>0</v>
      </c>
      <c r="BB78">
        <f t="shared" si="63"/>
        <v>0</v>
      </c>
      <c r="BC78">
        <f t="shared" si="64"/>
        <v>0</v>
      </c>
      <c r="BD78">
        <f t="shared" si="65"/>
        <v>0</v>
      </c>
      <c r="BE78">
        <f t="shared" si="66"/>
        <v>0</v>
      </c>
      <c r="BF78">
        <f t="shared" si="67"/>
        <v>0</v>
      </c>
      <c r="BG78">
        <f t="shared" si="68"/>
        <v>0</v>
      </c>
      <c r="BH78">
        <f t="shared" si="69"/>
        <v>0</v>
      </c>
      <c r="BI78">
        <f t="shared" si="70"/>
        <v>0</v>
      </c>
      <c r="BK78">
        <f t="shared" si="71"/>
        <v>0</v>
      </c>
      <c r="BL78">
        <f t="shared" si="72"/>
        <v>0</v>
      </c>
      <c r="BM78">
        <f t="shared" si="73"/>
        <v>0</v>
      </c>
      <c r="BN78">
        <f t="shared" si="74"/>
        <v>0</v>
      </c>
      <c r="BO78">
        <f t="shared" si="75"/>
        <v>0</v>
      </c>
      <c r="BR78">
        <f t="shared" si="76"/>
        <v>0</v>
      </c>
      <c r="BS78">
        <f t="shared" si="77"/>
        <v>0</v>
      </c>
      <c r="BT78">
        <f t="shared" si="78"/>
        <v>0</v>
      </c>
      <c r="BU78">
        <f t="shared" si="79"/>
        <v>0</v>
      </c>
      <c r="BV78">
        <f t="shared" si="80"/>
        <v>0</v>
      </c>
      <c r="BX78">
        <f t="shared" si="81"/>
        <v>0</v>
      </c>
      <c r="BY78">
        <f t="shared" si="82"/>
        <v>0</v>
      </c>
      <c r="BZ78">
        <f t="shared" si="83"/>
        <v>0</v>
      </c>
      <c r="CA78">
        <f t="shared" si="84"/>
        <v>0</v>
      </c>
      <c r="CB78">
        <f t="shared" si="85"/>
        <v>0</v>
      </c>
      <c r="CE78">
        <f t="shared" si="86"/>
        <v>0</v>
      </c>
      <c r="CF78">
        <f t="shared" si="87"/>
        <v>0</v>
      </c>
      <c r="CG78">
        <f t="shared" si="88"/>
        <v>0</v>
      </c>
      <c r="CH78">
        <f t="shared" si="89"/>
        <v>0</v>
      </c>
      <c r="CI78">
        <f t="shared" si="90"/>
        <v>0</v>
      </c>
      <c r="CL78">
        <f t="shared" si="91"/>
        <v>0</v>
      </c>
      <c r="CM78">
        <f t="shared" si="92"/>
        <v>0</v>
      </c>
      <c r="CN78">
        <f t="shared" si="93"/>
        <v>0</v>
      </c>
      <c r="CO78">
        <f t="shared" si="94"/>
        <v>0</v>
      </c>
      <c r="CP78">
        <f t="shared" si="95"/>
        <v>0</v>
      </c>
      <c r="CQ78">
        <f>IFERROR(VLOOKUP($B78,SchumeiBituahYesodi!$C$6:$AA$100,8,FALSE),0)</f>
        <v>0</v>
      </c>
      <c r="CR78">
        <f>IFERROR(VLOOKUP($B78,PirteiKisuiBeMutzar_procerur!$C$6:$AA$100,2,FALSE),0)</f>
        <v>0</v>
      </c>
      <c r="CS78">
        <f>IFERROR(VLOOKUP($B78,PirteiKisuiBeMutzar_procerur!$C$6:$AA$100,3,FALSE),0)</f>
        <v>0</v>
      </c>
      <c r="CT78">
        <f>IFERROR(VLOOKUP($B78,PirteiKisuiBeMutzar_procerur!$C$6:$AA$100,4,FALSE),0)</f>
        <v>0</v>
      </c>
      <c r="CU78">
        <f>IFERROR(VLOOKUP($B78,PirteiKisuiBeMutzar_procerur!$C$6:$AA$100,5,FALSE),0)</f>
        <v>0</v>
      </c>
      <c r="CV78">
        <f>IFERROR(VLOOKUP($B78,PirteiKisuiBeMutzar_procerur!$C$6:$AA$100,6,FALSE),0)</f>
        <v>0</v>
      </c>
      <c r="CW78">
        <f>IFERROR(VLOOKUP($B78,PirteiKisuiBeMutzar_procerur!$C$6:$AA$100,7,FALSE),0)</f>
        <v>0</v>
      </c>
      <c r="CX78">
        <f>IFERROR(VLOOKUP($B78,PirteiKisuiBeMutzar_procerur!$C$6:$AA$100,8,FALSE),0)</f>
        <v>0</v>
      </c>
      <c r="CY78">
        <f>IFERROR(VLOOKUP($B78,PirteiKisuiBeMutzar_procerur!$C$6:$AA$100,9,FALSE),0)</f>
        <v>0</v>
      </c>
      <c r="CZ78">
        <f>IFERROR(VLOOKUP($B78,PirteiKisuiBeMutzar_procerur!$C$6:$AA$100,10,FALSE),0)</f>
        <v>0</v>
      </c>
      <c r="DA78">
        <f>IFERROR(VLOOKUP($B78,PirteiKisuiBeMutzar_procerur!$C$6:$AA$100,11,FALSE),0)</f>
        <v>0</v>
      </c>
      <c r="DB78">
        <f>IFERROR(VLOOKUP($B78,PirteiKisuiBeMutzarPrmia!$C$6:$AA$100,2,FALSE),0)</f>
        <v>0</v>
      </c>
      <c r="DC78">
        <f>IFERROR(VLOOKUP($B78,PirteiKisuiBeMutzarPrmia!$C$6:$AA$100,3,FALSE),0)</f>
        <v>0</v>
      </c>
      <c r="DD78">
        <f>IFERROR(VLOOKUP($B78,PirteiKisuiBeMutzarPrmia!$C$6:$AA$100,4,FALSE),0)</f>
        <v>0</v>
      </c>
      <c r="DE78">
        <f>IFERROR(VLOOKUP($B78,PirteiKisuiBeMutzarPrmia!$C$6:$AA$100,5,FALSE),0)</f>
        <v>0</v>
      </c>
      <c r="DF78">
        <f>IFERROR(VLOOKUP($B78,PirteiKisuiBeMutzarPrmia!$C$6:$AA$100,6,FALSE),0)</f>
        <v>0</v>
      </c>
      <c r="DG78">
        <f>IFERROR(VLOOKUP($B78,PirteiKisuiBeMutzarPrmia!$C$6:$AA$100,7,FALSE),0)</f>
        <v>0</v>
      </c>
      <c r="DH78">
        <f>IFERROR(VLOOKUP($B78,PirteiKisuiBeMutzarPrmia!$C$6:$AA$100,8,FALSE),0)</f>
        <v>0</v>
      </c>
      <c r="DI78">
        <f>IFERROR(VLOOKUP($B78,PirteiKisuiBeMutzarPrmia!$C$6:$AA$100,9,FALSE),0)</f>
        <v>0</v>
      </c>
      <c r="DJ78">
        <f>IFERROR(VLOOKUP($B78,PirteiKisuiBeMutzarPrmia!$C$6:$AA$100,10,FALSE),0)</f>
        <v>0</v>
      </c>
      <c r="DK78">
        <f>IFERROR(VLOOKUP($B78,PirteiKisuiBeMutzarPrmia!$C$6:$AA$100,11,FALSE),0)</f>
        <v>0</v>
      </c>
      <c r="DL78">
        <f t="shared" si="96"/>
        <v>0</v>
      </c>
      <c r="DM78">
        <f t="shared" si="97"/>
        <v>0</v>
      </c>
      <c r="DN78">
        <f t="shared" si="98"/>
        <v>0</v>
      </c>
      <c r="DO78">
        <f t="shared" si="52"/>
        <v>0</v>
      </c>
      <c r="DP78">
        <f t="shared" si="53"/>
        <v>0</v>
      </c>
      <c r="DQ78">
        <f>IF(OR(L78=1,L78=3),IFERROR(VLOOKUP($B78,PerutHafkadotMetchilatShanaAvgM!$C$6:$G$100,3,FALSE),0),0)</f>
        <v>0</v>
      </c>
      <c r="DR78">
        <f>IF(OR(L78=2,L78=4),IFERROR(VLOOKUP($B78,PerutHafkadotMetchilatShanaAvgM!$C$6:$G$100,3,FALSE),0),0)</f>
        <v>0</v>
      </c>
      <c r="DS78">
        <f>IFERROR(VLOOKUP($B78,PerutHafkadotMetchilatShanaAvgM!$C$6:$G$100,4,FALSE),0)</f>
        <v>0</v>
      </c>
      <c r="DT78">
        <f>IFERROR(VLOOKUP($B78,Kupa!$D$6:$AA$100,5,FALSE),0)</f>
        <v>0</v>
      </c>
      <c r="DU78">
        <f>IFERROR(VLOOKUP($B78,Kupa!$D$6:$AA$100,6,FALSE),0)</f>
        <v>0</v>
      </c>
      <c r="DV78">
        <f>IFERROR(VLOOKUP($B78,KisuiBKerenPensiaDBWithParams!$D$6:$AP$100,9,FALSE),0)</f>
        <v>0</v>
      </c>
      <c r="DW78">
        <f>IFERROR(VLOOKUP($B78,KisuiBKerenPensiaDBWithParams!$D$6:$AP$100,12,FALSE),0)</f>
        <v>0</v>
      </c>
      <c r="DX78">
        <f>IFERROR(VLOOKUP($B78,KisuiBKerenPensiaDBWithParams!$D$6:$AP$100,13,FALSE),0)</f>
        <v>0</v>
      </c>
      <c r="DY78">
        <f>IFERROR(VLOOKUP($B78,KisuiBKerenPensiaDBWithParams!$D$6:$AP$100,7,FALSE),0)</f>
        <v>0</v>
      </c>
      <c r="DZ78">
        <f>IFERROR(VLOOKUP($B78,KisuiBKerenPensiaDBWithParams!$D$6:$AP$100,17,FALSE),0)</f>
        <v>0</v>
      </c>
      <c r="EA78">
        <f>IFERROR(VLOOKUP($B78,KisuiBKerenPensiaDBWithParams!$D$6:$AP$100,20,FALSE),0)</f>
        <v>0</v>
      </c>
      <c r="EB78">
        <f>IFERROR(VLOOKUP($B78,KisuiBKerenPensiaDBWithParams!$D$6:$AP$100,21,FALSE),0)</f>
        <v>0</v>
      </c>
      <c r="EC78">
        <f t="shared" si="99"/>
        <v>0</v>
      </c>
      <c r="EG78">
        <f>IF(OR(G78=MyData!$J$50,G78=MyData!$J$51,G78=MyData!$J$52),1,IF(G78=MyData!$J$49,2,0))</f>
        <v>0</v>
      </c>
    </row>
    <row r="79" spans="1:137">
      <c r="A79">
        <f t="shared" si="100"/>
        <v>0</v>
      </c>
      <c r="B79" s="20">
        <f>RicusPolice!E76</f>
        <v>0</v>
      </c>
      <c r="C79" s="20">
        <f>RicusPolice!AL76</f>
        <v>0</v>
      </c>
      <c r="D79" s="20">
        <f>RicusPolice!F76</f>
        <v>0</v>
      </c>
      <c r="E79" s="20">
        <f>RicusPolice!R76</f>
        <v>0</v>
      </c>
      <c r="F79" s="20">
        <f>RicusPolice!N76</f>
        <v>0</v>
      </c>
      <c r="G79" s="20">
        <f>IFERROR(VLOOKUP($B79,PerutYitrot!$D$6:$P$100,4,FALSE),0)</f>
        <v>0</v>
      </c>
      <c r="H79" s="20">
        <f t="shared" si="54"/>
        <v>0</v>
      </c>
      <c r="I79" s="20">
        <f>RicusPolice!L76</f>
        <v>0</v>
      </c>
      <c r="J79" s="179">
        <f>IFERROR(VLOOKUP(TRIM(K79),MyData!$J$43:$K$49,2,FALSE),0)</f>
        <v>0</v>
      </c>
      <c r="K79" s="20">
        <f>RicusPolice!M76</f>
        <v>0</v>
      </c>
      <c r="L79" s="20">
        <f>RicusPolice!AM76</f>
        <v>0</v>
      </c>
      <c r="M79" s="20" t="str">
        <f>IF(B79&gt;0,RicusPolice!Y76," ")</f>
        <v xml:space="preserve"> </v>
      </c>
      <c r="N79" s="20" t="str">
        <f t="shared" si="55"/>
        <v/>
      </c>
      <c r="O79" s="20">
        <f>RicusPolice!N76</f>
        <v>0</v>
      </c>
      <c r="P79" s="20">
        <f>IFERROR(VLOOKUP(B79,PerutMasluleiHashkaa!$D$6:$R$100,4,FALSE),0)</f>
        <v>0</v>
      </c>
      <c r="Q79" s="19"/>
      <c r="R79" s="20">
        <f>RicusPolice!P76</f>
        <v>0</v>
      </c>
      <c r="S79" s="20"/>
      <c r="T79" s="21">
        <f>'נתונים ידניים'!H79</f>
        <v>0</v>
      </c>
      <c r="U79" s="21"/>
      <c r="V79" s="20">
        <f>PerutHafrashotLePolisa!E76</f>
        <v>0</v>
      </c>
      <c r="W79" s="20">
        <f>PerutHafrashotLePolisa!F76</f>
        <v>0</v>
      </c>
      <c r="X79" s="20">
        <f>PerutHafrashotLePolisa!G76</f>
        <v>0</v>
      </c>
      <c r="Y79">
        <f t="shared" si="56"/>
        <v>0</v>
      </c>
      <c r="Z79">
        <f>IFERROR(VLOOKUP(B79,PirteiHaasaka!$D$6:$R$100,5,FALSE),0)</f>
        <v>0</v>
      </c>
      <c r="AB79">
        <f>IFERROR(VLOOKUP(B79,HafkadotMetchilatShanaAverages!$D$6:$E$100,2,FALSE),0)</f>
        <v>0</v>
      </c>
      <c r="AF79">
        <f>IFERROR(VLOOKUP(B79,CrossTabYitraLeTkufa_till_2000!$D$6:$AB$100,6,FALSE),0)+IFERROR(VLOOKUP(B79,CrossTabYitraLeTkufa_after_2000!$D$6:$AB$100,6,FALSE),0)</f>
        <v>0</v>
      </c>
      <c r="AG79">
        <f>IFERROR(VLOOKUP(B79,CrossTabYitraLeTkufa_till_2000!$D$6:$AB$100,16,FALSE),0)</f>
        <v>0</v>
      </c>
      <c r="AH79">
        <f>IFERROR(VLOOKUP(B79,CrossTabYitraLeTkufa_after_2000!$D$6:$AB$100,16,FALSE),0)</f>
        <v>0</v>
      </c>
      <c r="AI79">
        <f>IFERROR(VLOOKUP(B79,CrossTabYitraLeTkufa_till_2000!$D$6:$AB$100,17,FALSE),0)</f>
        <v>0</v>
      </c>
      <c r="AJ79">
        <f>IFERROR(VLOOKUP(B79,CrossTabYitraLeTkufa_after_2000!$D$6:$AB$100,17,FALSE),0)</f>
        <v>0</v>
      </c>
      <c r="AK79" s="5">
        <f t="shared" si="57"/>
        <v>0</v>
      </c>
      <c r="AN79">
        <f>IFERROR(VLOOKUP(B79,PirteiKisuiBeMutzar_procerur!$C$6:$AA$100,2,FALSE),0)</f>
        <v>0</v>
      </c>
      <c r="AP79">
        <f>IFERROR(VLOOKUP($B79,PirteiKisuiBeMutzar_procerur!$C$6:$AA$100,5,FALSE),0)</f>
        <v>0</v>
      </c>
      <c r="AQ79">
        <f>IFERROR(VLOOKUP($B79,PirteiKisuiBeMutzar_procerur!$C$6:$AA$100,3,FALSE),0)</f>
        <v>0</v>
      </c>
      <c r="AR79">
        <f>IFERROR(VLOOKUP($B79,PirteiKisuiBeMutzar_procerur!$C$6:$AA$100,6,FALSE),0)</f>
        <v>0</v>
      </c>
      <c r="AS79">
        <f>IFERROR(VLOOKUP($B79,PirteiKisuiBeMutzar_procerur!$C$6:$AA$100,7,FALSE),0)</f>
        <v>0</v>
      </c>
      <c r="AW79">
        <f t="shared" si="58"/>
        <v>0</v>
      </c>
      <c r="AX79">
        <f t="shared" si="59"/>
        <v>0</v>
      </c>
      <c r="AY79">
        <f t="shared" si="60"/>
        <v>0</v>
      </c>
      <c r="AZ79">
        <f t="shared" si="61"/>
        <v>0</v>
      </c>
      <c r="BA79">
        <f t="shared" si="62"/>
        <v>0</v>
      </c>
      <c r="BB79">
        <f t="shared" si="63"/>
        <v>0</v>
      </c>
      <c r="BC79">
        <f t="shared" si="64"/>
        <v>0</v>
      </c>
      <c r="BD79">
        <f t="shared" si="65"/>
        <v>0</v>
      </c>
      <c r="BE79">
        <f t="shared" si="66"/>
        <v>0</v>
      </c>
      <c r="BF79">
        <f t="shared" si="67"/>
        <v>0</v>
      </c>
      <c r="BG79">
        <f t="shared" si="68"/>
        <v>0</v>
      </c>
      <c r="BH79">
        <f t="shared" si="69"/>
        <v>0</v>
      </c>
      <c r="BI79">
        <f t="shared" si="70"/>
        <v>0</v>
      </c>
      <c r="BK79">
        <f t="shared" si="71"/>
        <v>0</v>
      </c>
      <c r="BL79">
        <f t="shared" si="72"/>
        <v>0</v>
      </c>
      <c r="BM79">
        <f t="shared" si="73"/>
        <v>0</v>
      </c>
      <c r="BN79">
        <f t="shared" si="74"/>
        <v>0</v>
      </c>
      <c r="BO79">
        <f t="shared" si="75"/>
        <v>0</v>
      </c>
      <c r="BR79">
        <f t="shared" si="76"/>
        <v>0</v>
      </c>
      <c r="BS79">
        <f t="shared" si="77"/>
        <v>0</v>
      </c>
      <c r="BT79">
        <f t="shared" si="78"/>
        <v>0</v>
      </c>
      <c r="BU79">
        <f t="shared" si="79"/>
        <v>0</v>
      </c>
      <c r="BV79">
        <f t="shared" si="80"/>
        <v>0</v>
      </c>
      <c r="BX79">
        <f t="shared" si="81"/>
        <v>0</v>
      </c>
      <c r="BY79">
        <f t="shared" si="82"/>
        <v>0</v>
      </c>
      <c r="BZ79">
        <f t="shared" si="83"/>
        <v>0</v>
      </c>
      <c r="CA79">
        <f t="shared" si="84"/>
        <v>0</v>
      </c>
      <c r="CB79">
        <f t="shared" si="85"/>
        <v>0</v>
      </c>
      <c r="CE79">
        <f t="shared" si="86"/>
        <v>0</v>
      </c>
      <c r="CF79">
        <f t="shared" si="87"/>
        <v>0</v>
      </c>
      <c r="CG79">
        <f t="shared" si="88"/>
        <v>0</v>
      </c>
      <c r="CH79">
        <f t="shared" si="89"/>
        <v>0</v>
      </c>
      <c r="CI79">
        <f t="shared" si="90"/>
        <v>0</v>
      </c>
      <c r="CL79">
        <f t="shared" si="91"/>
        <v>0</v>
      </c>
      <c r="CM79">
        <f t="shared" si="92"/>
        <v>0</v>
      </c>
      <c r="CN79">
        <f t="shared" si="93"/>
        <v>0</v>
      </c>
      <c r="CO79">
        <f t="shared" si="94"/>
        <v>0</v>
      </c>
      <c r="CP79">
        <f t="shared" si="95"/>
        <v>0</v>
      </c>
      <c r="CQ79">
        <f>IFERROR(VLOOKUP($B79,SchumeiBituahYesodi!$C$6:$AA$100,8,FALSE),0)</f>
        <v>0</v>
      </c>
      <c r="CR79">
        <f>IFERROR(VLOOKUP($B79,PirteiKisuiBeMutzar_procerur!$C$6:$AA$100,2,FALSE),0)</f>
        <v>0</v>
      </c>
      <c r="CS79">
        <f>IFERROR(VLOOKUP($B79,PirteiKisuiBeMutzar_procerur!$C$6:$AA$100,3,FALSE),0)</f>
        <v>0</v>
      </c>
      <c r="CT79">
        <f>IFERROR(VLOOKUP($B79,PirteiKisuiBeMutzar_procerur!$C$6:$AA$100,4,FALSE),0)</f>
        <v>0</v>
      </c>
      <c r="CU79">
        <f>IFERROR(VLOOKUP($B79,PirteiKisuiBeMutzar_procerur!$C$6:$AA$100,5,FALSE),0)</f>
        <v>0</v>
      </c>
      <c r="CV79">
        <f>IFERROR(VLOOKUP($B79,PirteiKisuiBeMutzar_procerur!$C$6:$AA$100,6,FALSE),0)</f>
        <v>0</v>
      </c>
      <c r="CW79">
        <f>IFERROR(VLOOKUP($B79,PirteiKisuiBeMutzar_procerur!$C$6:$AA$100,7,FALSE),0)</f>
        <v>0</v>
      </c>
      <c r="CX79">
        <f>IFERROR(VLOOKUP($B79,PirteiKisuiBeMutzar_procerur!$C$6:$AA$100,8,FALSE),0)</f>
        <v>0</v>
      </c>
      <c r="CY79">
        <f>IFERROR(VLOOKUP($B79,PirteiKisuiBeMutzar_procerur!$C$6:$AA$100,9,FALSE),0)</f>
        <v>0</v>
      </c>
      <c r="CZ79">
        <f>IFERROR(VLOOKUP($B79,PirteiKisuiBeMutzar_procerur!$C$6:$AA$100,10,FALSE),0)</f>
        <v>0</v>
      </c>
      <c r="DA79">
        <f>IFERROR(VLOOKUP($B79,PirteiKisuiBeMutzar_procerur!$C$6:$AA$100,11,FALSE),0)</f>
        <v>0</v>
      </c>
      <c r="DB79">
        <f>IFERROR(VLOOKUP($B79,PirteiKisuiBeMutzarPrmia!$C$6:$AA$100,2,FALSE),0)</f>
        <v>0</v>
      </c>
      <c r="DC79">
        <f>IFERROR(VLOOKUP($B79,PirteiKisuiBeMutzarPrmia!$C$6:$AA$100,3,FALSE),0)</f>
        <v>0</v>
      </c>
      <c r="DD79">
        <f>IFERROR(VLOOKUP($B79,PirteiKisuiBeMutzarPrmia!$C$6:$AA$100,4,FALSE),0)</f>
        <v>0</v>
      </c>
      <c r="DE79">
        <f>IFERROR(VLOOKUP($B79,PirteiKisuiBeMutzarPrmia!$C$6:$AA$100,5,FALSE),0)</f>
        <v>0</v>
      </c>
      <c r="DF79">
        <f>IFERROR(VLOOKUP($B79,PirteiKisuiBeMutzarPrmia!$C$6:$AA$100,6,FALSE),0)</f>
        <v>0</v>
      </c>
      <c r="DG79">
        <f>IFERROR(VLOOKUP($B79,PirteiKisuiBeMutzarPrmia!$C$6:$AA$100,7,FALSE),0)</f>
        <v>0</v>
      </c>
      <c r="DH79">
        <f>IFERROR(VLOOKUP($B79,PirteiKisuiBeMutzarPrmia!$C$6:$AA$100,8,FALSE),0)</f>
        <v>0</v>
      </c>
      <c r="DI79">
        <f>IFERROR(VLOOKUP($B79,PirteiKisuiBeMutzarPrmia!$C$6:$AA$100,9,FALSE),0)</f>
        <v>0</v>
      </c>
      <c r="DJ79">
        <f>IFERROR(VLOOKUP($B79,PirteiKisuiBeMutzarPrmia!$C$6:$AA$100,10,FALSE),0)</f>
        <v>0</v>
      </c>
      <c r="DK79">
        <f>IFERROR(VLOOKUP($B79,PirteiKisuiBeMutzarPrmia!$C$6:$AA$100,11,FALSE),0)</f>
        <v>0</v>
      </c>
      <c r="DL79">
        <f t="shared" si="96"/>
        <v>0</v>
      </c>
      <c r="DM79">
        <f t="shared" si="97"/>
        <v>0</v>
      </c>
      <c r="DN79">
        <f t="shared" si="98"/>
        <v>0</v>
      </c>
      <c r="DO79">
        <f t="shared" si="52"/>
        <v>0</v>
      </c>
      <c r="DP79">
        <f t="shared" si="53"/>
        <v>0</v>
      </c>
      <c r="DQ79">
        <f>IF(OR(L79=1,L79=3),IFERROR(VLOOKUP($B79,PerutHafkadotMetchilatShanaAvgM!$C$6:$G$100,3,FALSE),0),0)</f>
        <v>0</v>
      </c>
      <c r="DR79">
        <f>IF(OR(L79=2,L79=4),IFERROR(VLOOKUP($B79,PerutHafkadotMetchilatShanaAvgM!$C$6:$G$100,3,FALSE),0),0)</f>
        <v>0</v>
      </c>
      <c r="DS79">
        <f>IFERROR(VLOOKUP($B79,PerutHafkadotMetchilatShanaAvgM!$C$6:$G$100,4,FALSE),0)</f>
        <v>0</v>
      </c>
      <c r="DT79">
        <f>IFERROR(VLOOKUP($B79,Kupa!$D$6:$AA$100,5,FALSE),0)</f>
        <v>0</v>
      </c>
      <c r="DU79">
        <f>IFERROR(VLOOKUP($B79,Kupa!$D$6:$AA$100,6,FALSE),0)</f>
        <v>0</v>
      </c>
      <c r="DV79">
        <f>IFERROR(VLOOKUP($B79,KisuiBKerenPensiaDBWithParams!$D$6:$AP$100,9,FALSE),0)</f>
        <v>0</v>
      </c>
      <c r="DW79">
        <f>IFERROR(VLOOKUP($B79,KisuiBKerenPensiaDBWithParams!$D$6:$AP$100,12,FALSE),0)</f>
        <v>0</v>
      </c>
      <c r="DX79">
        <f>IFERROR(VLOOKUP($B79,KisuiBKerenPensiaDBWithParams!$D$6:$AP$100,13,FALSE),0)</f>
        <v>0</v>
      </c>
      <c r="DY79">
        <f>IFERROR(VLOOKUP($B79,KisuiBKerenPensiaDBWithParams!$D$6:$AP$100,7,FALSE),0)</f>
        <v>0</v>
      </c>
      <c r="DZ79">
        <f>IFERROR(VLOOKUP($B79,KisuiBKerenPensiaDBWithParams!$D$6:$AP$100,17,FALSE),0)</f>
        <v>0</v>
      </c>
      <c r="EA79">
        <f>IFERROR(VLOOKUP($B79,KisuiBKerenPensiaDBWithParams!$D$6:$AP$100,20,FALSE),0)</f>
        <v>0</v>
      </c>
      <c r="EB79">
        <f>IFERROR(VLOOKUP($B79,KisuiBKerenPensiaDBWithParams!$D$6:$AP$100,21,FALSE),0)</f>
        <v>0</v>
      </c>
      <c r="EC79">
        <f t="shared" si="99"/>
        <v>0</v>
      </c>
      <c r="EG79">
        <f>IF(OR(G79=MyData!$J$50,G79=MyData!$J$51,G79=MyData!$J$52),1,IF(G79=MyData!$J$49,2,0))</f>
        <v>0</v>
      </c>
    </row>
    <row r="80" spans="1:137">
      <c r="A80">
        <f t="shared" si="100"/>
        <v>0</v>
      </c>
      <c r="B80" s="20">
        <f>RicusPolice!E77</f>
        <v>0</v>
      </c>
      <c r="C80" s="20">
        <f>RicusPolice!AL77</f>
        <v>0</v>
      </c>
      <c r="D80" s="20">
        <f>RicusPolice!F77</f>
        <v>0</v>
      </c>
      <c r="E80" s="20">
        <f>RicusPolice!R77</f>
        <v>0</v>
      </c>
      <c r="F80" s="20">
        <f>RicusPolice!N77</f>
        <v>0</v>
      </c>
      <c r="G80" s="20">
        <f>IFERROR(VLOOKUP($B80,PerutYitrot!$D$6:$P$100,4,FALSE),0)</f>
        <v>0</v>
      </c>
      <c r="H80" s="20">
        <f t="shared" si="54"/>
        <v>0</v>
      </c>
      <c r="I80" s="20">
        <f>RicusPolice!L77</f>
        <v>0</v>
      </c>
      <c r="J80" s="179">
        <f>IFERROR(VLOOKUP(TRIM(K80),MyData!$J$43:$K$49,2,FALSE),0)</f>
        <v>0</v>
      </c>
      <c r="K80" s="20">
        <f>RicusPolice!M77</f>
        <v>0</v>
      </c>
      <c r="L80" s="20">
        <f>RicusPolice!AM77</f>
        <v>0</v>
      </c>
      <c r="M80" s="20" t="str">
        <f>IF(B80&gt;0,RicusPolice!Y77," ")</f>
        <v xml:space="preserve"> </v>
      </c>
      <c r="N80" s="20" t="str">
        <f t="shared" si="55"/>
        <v/>
      </c>
      <c r="O80" s="20">
        <f>RicusPolice!N77</f>
        <v>0</v>
      </c>
      <c r="P80" s="20">
        <f>IFERROR(VLOOKUP(B80,PerutMasluleiHashkaa!$D$6:$R$100,4,FALSE),0)</f>
        <v>0</v>
      </c>
      <c r="Q80" s="19"/>
      <c r="R80" s="20">
        <f>RicusPolice!P77</f>
        <v>0</v>
      </c>
      <c r="S80" s="20"/>
      <c r="T80" s="21">
        <f>'נתונים ידניים'!H80</f>
        <v>0</v>
      </c>
      <c r="U80" s="21"/>
      <c r="V80" s="20">
        <f>PerutHafrashotLePolisa!E77</f>
        <v>0</v>
      </c>
      <c r="W80" s="20">
        <f>PerutHafrashotLePolisa!F77</f>
        <v>0</v>
      </c>
      <c r="X80" s="20">
        <f>PerutHafrashotLePolisa!G77</f>
        <v>0</v>
      </c>
      <c r="Y80">
        <f t="shared" si="56"/>
        <v>0</v>
      </c>
      <c r="Z80">
        <f>IFERROR(VLOOKUP(B80,PirteiHaasaka!$D$6:$R$100,5,FALSE),0)</f>
        <v>0</v>
      </c>
      <c r="AB80">
        <f>IFERROR(VLOOKUP(B80,HafkadotMetchilatShanaAverages!$D$6:$E$100,2,FALSE),0)</f>
        <v>0</v>
      </c>
      <c r="AF80">
        <f>IFERROR(VLOOKUP(B80,CrossTabYitraLeTkufa_till_2000!$D$6:$AB$100,6,FALSE),0)+IFERROR(VLOOKUP(B80,CrossTabYitraLeTkufa_after_2000!$D$6:$AB$100,6,FALSE),0)</f>
        <v>0</v>
      </c>
      <c r="AG80">
        <f>IFERROR(VLOOKUP(B80,CrossTabYitraLeTkufa_till_2000!$D$6:$AB$100,16,FALSE),0)</f>
        <v>0</v>
      </c>
      <c r="AH80">
        <f>IFERROR(VLOOKUP(B80,CrossTabYitraLeTkufa_after_2000!$D$6:$AB$100,16,FALSE),0)</f>
        <v>0</v>
      </c>
      <c r="AI80">
        <f>IFERROR(VLOOKUP(B80,CrossTabYitraLeTkufa_till_2000!$D$6:$AB$100,17,FALSE),0)</f>
        <v>0</v>
      </c>
      <c r="AJ80">
        <f>IFERROR(VLOOKUP(B80,CrossTabYitraLeTkufa_after_2000!$D$6:$AB$100,17,FALSE),0)</f>
        <v>0</v>
      </c>
      <c r="AK80" s="5">
        <f t="shared" si="57"/>
        <v>0</v>
      </c>
      <c r="AN80">
        <f>IFERROR(VLOOKUP(B80,PirteiKisuiBeMutzar_procerur!$C$6:$AA$100,2,FALSE),0)</f>
        <v>0</v>
      </c>
      <c r="AP80">
        <f>IFERROR(VLOOKUP($B80,PirteiKisuiBeMutzar_procerur!$C$6:$AA$100,5,FALSE),0)</f>
        <v>0</v>
      </c>
      <c r="AQ80">
        <f>IFERROR(VLOOKUP($B80,PirteiKisuiBeMutzar_procerur!$C$6:$AA$100,3,FALSE),0)</f>
        <v>0</v>
      </c>
      <c r="AR80">
        <f>IFERROR(VLOOKUP($B80,PirteiKisuiBeMutzar_procerur!$C$6:$AA$100,6,FALSE),0)</f>
        <v>0</v>
      </c>
      <c r="AS80">
        <f>IFERROR(VLOOKUP($B80,PirteiKisuiBeMutzar_procerur!$C$6:$AA$100,7,FALSE),0)</f>
        <v>0</v>
      </c>
      <c r="AW80">
        <f t="shared" si="58"/>
        <v>0</v>
      </c>
      <c r="AX80">
        <f t="shared" si="59"/>
        <v>0</v>
      </c>
      <c r="AY80">
        <f t="shared" si="60"/>
        <v>0</v>
      </c>
      <c r="AZ80">
        <f t="shared" si="61"/>
        <v>0</v>
      </c>
      <c r="BA80">
        <f t="shared" si="62"/>
        <v>0</v>
      </c>
      <c r="BB80">
        <f t="shared" si="63"/>
        <v>0</v>
      </c>
      <c r="BC80">
        <f t="shared" si="64"/>
        <v>0</v>
      </c>
      <c r="BD80">
        <f t="shared" si="65"/>
        <v>0</v>
      </c>
      <c r="BE80">
        <f t="shared" si="66"/>
        <v>0</v>
      </c>
      <c r="BF80">
        <f t="shared" si="67"/>
        <v>0</v>
      </c>
      <c r="BG80">
        <f t="shared" si="68"/>
        <v>0</v>
      </c>
      <c r="BH80">
        <f t="shared" si="69"/>
        <v>0</v>
      </c>
      <c r="BI80">
        <f t="shared" si="70"/>
        <v>0</v>
      </c>
      <c r="BK80">
        <f t="shared" si="71"/>
        <v>0</v>
      </c>
      <c r="BL80">
        <f t="shared" si="72"/>
        <v>0</v>
      </c>
      <c r="BM80">
        <f t="shared" si="73"/>
        <v>0</v>
      </c>
      <c r="BN80">
        <f t="shared" si="74"/>
        <v>0</v>
      </c>
      <c r="BO80">
        <f t="shared" si="75"/>
        <v>0</v>
      </c>
      <c r="BR80">
        <f t="shared" si="76"/>
        <v>0</v>
      </c>
      <c r="BS80">
        <f t="shared" si="77"/>
        <v>0</v>
      </c>
      <c r="BT80">
        <f t="shared" si="78"/>
        <v>0</v>
      </c>
      <c r="BU80">
        <f t="shared" si="79"/>
        <v>0</v>
      </c>
      <c r="BV80">
        <f t="shared" si="80"/>
        <v>0</v>
      </c>
      <c r="BX80">
        <f t="shared" si="81"/>
        <v>0</v>
      </c>
      <c r="BY80">
        <f t="shared" si="82"/>
        <v>0</v>
      </c>
      <c r="BZ80">
        <f t="shared" si="83"/>
        <v>0</v>
      </c>
      <c r="CA80">
        <f t="shared" si="84"/>
        <v>0</v>
      </c>
      <c r="CB80">
        <f t="shared" si="85"/>
        <v>0</v>
      </c>
      <c r="CE80">
        <f t="shared" si="86"/>
        <v>0</v>
      </c>
      <c r="CF80">
        <f t="shared" si="87"/>
        <v>0</v>
      </c>
      <c r="CG80">
        <f t="shared" si="88"/>
        <v>0</v>
      </c>
      <c r="CH80">
        <f t="shared" si="89"/>
        <v>0</v>
      </c>
      <c r="CI80">
        <f t="shared" si="90"/>
        <v>0</v>
      </c>
      <c r="CL80">
        <f t="shared" si="91"/>
        <v>0</v>
      </c>
      <c r="CM80">
        <f t="shared" si="92"/>
        <v>0</v>
      </c>
      <c r="CN80">
        <f t="shared" si="93"/>
        <v>0</v>
      </c>
      <c r="CO80">
        <f t="shared" si="94"/>
        <v>0</v>
      </c>
      <c r="CP80">
        <f t="shared" si="95"/>
        <v>0</v>
      </c>
      <c r="CQ80">
        <f>IFERROR(VLOOKUP($B80,SchumeiBituahYesodi!$C$6:$AA$100,8,FALSE),0)</f>
        <v>0</v>
      </c>
      <c r="CR80">
        <f>IFERROR(VLOOKUP($B80,PirteiKisuiBeMutzar_procerur!$C$6:$AA$100,2,FALSE),0)</f>
        <v>0</v>
      </c>
      <c r="CS80">
        <f>IFERROR(VLOOKUP($B80,PirteiKisuiBeMutzar_procerur!$C$6:$AA$100,3,FALSE),0)</f>
        <v>0</v>
      </c>
      <c r="CT80">
        <f>IFERROR(VLOOKUP($B80,PirteiKisuiBeMutzar_procerur!$C$6:$AA$100,4,FALSE),0)</f>
        <v>0</v>
      </c>
      <c r="CU80">
        <f>IFERROR(VLOOKUP($B80,PirteiKisuiBeMutzar_procerur!$C$6:$AA$100,5,FALSE),0)</f>
        <v>0</v>
      </c>
      <c r="CV80">
        <f>IFERROR(VLOOKUP($B80,PirteiKisuiBeMutzar_procerur!$C$6:$AA$100,6,FALSE),0)</f>
        <v>0</v>
      </c>
      <c r="CW80">
        <f>IFERROR(VLOOKUP($B80,PirteiKisuiBeMutzar_procerur!$C$6:$AA$100,7,FALSE),0)</f>
        <v>0</v>
      </c>
      <c r="CX80">
        <f>IFERROR(VLOOKUP($B80,PirteiKisuiBeMutzar_procerur!$C$6:$AA$100,8,FALSE),0)</f>
        <v>0</v>
      </c>
      <c r="CY80">
        <f>IFERROR(VLOOKUP($B80,PirteiKisuiBeMutzar_procerur!$C$6:$AA$100,9,FALSE),0)</f>
        <v>0</v>
      </c>
      <c r="CZ80">
        <f>IFERROR(VLOOKUP($B80,PirteiKisuiBeMutzar_procerur!$C$6:$AA$100,10,FALSE),0)</f>
        <v>0</v>
      </c>
      <c r="DA80">
        <f>IFERROR(VLOOKUP($B80,PirteiKisuiBeMutzar_procerur!$C$6:$AA$100,11,FALSE),0)</f>
        <v>0</v>
      </c>
      <c r="DB80">
        <f>IFERROR(VLOOKUP($B80,PirteiKisuiBeMutzarPrmia!$C$6:$AA$100,2,FALSE),0)</f>
        <v>0</v>
      </c>
      <c r="DC80">
        <f>IFERROR(VLOOKUP($B80,PirteiKisuiBeMutzarPrmia!$C$6:$AA$100,3,FALSE),0)</f>
        <v>0</v>
      </c>
      <c r="DD80">
        <f>IFERROR(VLOOKUP($B80,PirteiKisuiBeMutzarPrmia!$C$6:$AA$100,4,FALSE),0)</f>
        <v>0</v>
      </c>
      <c r="DE80">
        <f>IFERROR(VLOOKUP($B80,PirteiKisuiBeMutzarPrmia!$C$6:$AA$100,5,FALSE),0)</f>
        <v>0</v>
      </c>
      <c r="DF80">
        <f>IFERROR(VLOOKUP($B80,PirteiKisuiBeMutzarPrmia!$C$6:$AA$100,6,FALSE),0)</f>
        <v>0</v>
      </c>
      <c r="DG80">
        <f>IFERROR(VLOOKUP($B80,PirteiKisuiBeMutzarPrmia!$C$6:$AA$100,7,FALSE),0)</f>
        <v>0</v>
      </c>
      <c r="DH80">
        <f>IFERROR(VLOOKUP($B80,PirteiKisuiBeMutzarPrmia!$C$6:$AA$100,8,FALSE),0)</f>
        <v>0</v>
      </c>
      <c r="DI80">
        <f>IFERROR(VLOOKUP($B80,PirteiKisuiBeMutzarPrmia!$C$6:$AA$100,9,FALSE),0)</f>
        <v>0</v>
      </c>
      <c r="DJ80">
        <f>IFERROR(VLOOKUP($B80,PirteiKisuiBeMutzarPrmia!$C$6:$AA$100,10,FALSE),0)</f>
        <v>0</v>
      </c>
      <c r="DK80">
        <f>IFERROR(VLOOKUP($B80,PirteiKisuiBeMutzarPrmia!$C$6:$AA$100,11,FALSE),0)</f>
        <v>0</v>
      </c>
      <c r="DL80">
        <f t="shared" si="96"/>
        <v>0</v>
      </c>
      <c r="DM80">
        <f t="shared" si="97"/>
        <v>0</v>
      </c>
      <c r="DN80">
        <f t="shared" si="98"/>
        <v>0</v>
      </c>
      <c r="DO80">
        <f t="shared" si="52"/>
        <v>0</v>
      </c>
      <c r="DP80">
        <f t="shared" si="53"/>
        <v>0</v>
      </c>
      <c r="DQ80">
        <f>IF(OR(L80=1,L80=3),IFERROR(VLOOKUP($B80,PerutHafkadotMetchilatShanaAvgM!$C$6:$G$100,3,FALSE),0),0)</f>
        <v>0</v>
      </c>
      <c r="DR80">
        <f>IF(OR(L80=2,L80=4),IFERROR(VLOOKUP($B80,PerutHafkadotMetchilatShanaAvgM!$C$6:$G$100,3,FALSE),0),0)</f>
        <v>0</v>
      </c>
      <c r="DS80">
        <f>IFERROR(VLOOKUP($B80,PerutHafkadotMetchilatShanaAvgM!$C$6:$G$100,4,FALSE),0)</f>
        <v>0</v>
      </c>
      <c r="DT80">
        <f>IFERROR(VLOOKUP($B80,Kupa!$D$6:$AA$100,5,FALSE),0)</f>
        <v>0</v>
      </c>
      <c r="DU80">
        <f>IFERROR(VLOOKUP($B80,Kupa!$D$6:$AA$100,6,FALSE),0)</f>
        <v>0</v>
      </c>
      <c r="DV80">
        <f>IFERROR(VLOOKUP($B80,KisuiBKerenPensiaDBWithParams!$D$6:$AP$100,9,FALSE),0)</f>
        <v>0</v>
      </c>
      <c r="DW80">
        <f>IFERROR(VLOOKUP($B80,KisuiBKerenPensiaDBWithParams!$D$6:$AP$100,12,FALSE),0)</f>
        <v>0</v>
      </c>
      <c r="DX80">
        <f>IFERROR(VLOOKUP($B80,KisuiBKerenPensiaDBWithParams!$D$6:$AP$100,13,FALSE),0)</f>
        <v>0</v>
      </c>
      <c r="DY80">
        <f>IFERROR(VLOOKUP($B80,KisuiBKerenPensiaDBWithParams!$D$6:$AP$100,7,FALSE),0)</f>
        <v>0</v>
      </c>
      <c r="DZ80">
        <f>IFERROR(VLOOKUP($B80,KisuiBKerenPensiaDBWithParams!$D$6:$AP$100,17,FALSE),0)</f>
        <v>0</v>
      </c>
      <c r="EA80">
        <f>IFERROR(VLOOKUP($B80,KisuiBKerenPensiaDBWithParams!$D$6:$AP$100,20,FALSE),0)</f>
        <v>0</v>
      </c>
      <c r="EB80">
        <f>IFERROR(VLOOKUP($B80,KisuiBKerenPensiaDBWithParams!$D$6:$AP$100,21,FALSE),0)</f>
        <v>0</v>
      </c>
      <c r="EC80">
        <f t="shared" si="99"/>
        <v>0</v>
      </c>
      <c r="EG80">
        <f>IF(OR(G80=MyData!$J$50,G80=MyData!$J$51,G80=MyData!$J$52),1,IF(G80=MyData!$J$49,2,0))</f>
        <v>0</v>
      </c>
    </row>
    <row r="81" spans="1:137">
      <c r="A81">
        <f t="shared" si="100"/>
        <v>0</v>
      </c>
      <c r="B81" s="20">
        <f>RicusPolice!E78</f>
        <v>0</v>
      </c>
      <c r="C81" s="20">
        <f>RicusPolice!AL78</f>
        <v>0</v>
      </c>
      <c r="D81" s="20">
        <f>RicusPolice!F78</f>
        <v>0</v>
      </c>
      <c r="E81" s="20">
        <f>RicusPolice!R78</f>
        <v>0</v>
      </c>
      <c r="F81" s="20">
        <f>RicusPolice!N78</f>
        <v>0</v>
      </c>
      <c r="G81" s="20">
        <f>IFERROR(VLOOKUP($B81,PerutYitrot!$D$6:$P$100,4,FALSE),0)</f>
        <v>0</v>
      </c>
      <c r="H81" s="20">
        <f t="shared" si="54"/>
        <v>0</v>
      </c>
      <c r="I81" s="20">
        <f>RicusPolice!L78</f>
        <v>0</v>
      </c>
      <c r="J81" s="179">
        <f>IFERROR(VLOOKUP(TRIM(K81),MyData!$J$43:$K$49,2,FALSE),0)</f>
        <v>0</v>
      </c>
      <c r="K81" s="20">
        <f>RicusPolice!M78</f>
        <v>0</v>
      </c>
      <c r="L81" s="20">
        <f>RicusPolice!AM78</f>
        <v>0</v>
      </c>
      <c r="M81" s="20" t="str">
        <f>IF(B81&gt;0,RicusPolice!Y78," ")</f>
        <v xml:space="preserve"> </v>
      </c>
      <c r="N81" s="20" t="str">
        <f t="shared" si="55"/>
        <v/>
      </c>
      <c r="O81" s="20">
        <f>RicusPolice!N78</f>
        <v>0</v>
      </c>
      <c r="P81" s="20">
        <f>IFERROR(VLOOKUP(B81,PerutMasluleiHashkaa!$D$6:$R$100,4,FALSE),0)</f>
        <v>0</v>
      </c>
      <c r="Q81" s="19"/>
      <c r="R81" s="20">
        <f>RicusPolice!P78</f>
        <v>0</v>
      </c>
      <c r="S81" s="20"/>
      <c r="T81" s="21">
        <f>'נתונים ידניים'!H81</f>
        <v>0</v>
      </c>
      <c r="U81" s="21"/>
      <c r="V81" s="20">
        <f>PerutHafrashotLePolisa!E78</f>
        <v>0</v>
      </c>
      <c r="W81" s="20">
        <f>PerutHafrashotLePolisa!F78</f>
        <v>0</v>
      </c>
      <c r="X81" s="20">
        <f>PerutHafrashotLePolisa!G78</f>
        <v>0</v>
      </c>
      <c r="Y81">
        <f t="shared" si="56"/>
        <v>0</v>
      </c>
      <c r="Z81">
        <f>IFERROR(VLOOKUP(B81,PirteiHaasaka!$D$6:$R$100,5,FALSE),0)</f>
        <v>0</v>
      </c>
      <c r="AB81">
        <f>IFERROR(VLOOKUP(B81,HafkadotMetchilatShanaAverages!$D$6:$E$100,2,FALSE),0)</f>
        <v>0</v>
      </c>
      <c r="AF81">
        <f>IFERROR(VLOOKUP(B81,CrossTabYitraLeTkufa_till_2000!$D$6:$AB$100,6,FALSE),0)+IFERROR(VLOOKUP(B81,CrossTabYitraLeTkufa_after_2000!$D$6:$AB$100,6,FALSE),0)</f>
        <v>0</v>
      </c>
      <c r="AG81">
        <f>IFERROR(VLOOKUP(B81,CrossTabYitraLeTkufa_till_2000!$D$6:$AB$100,16,FALSE),0)</f>
        <v>0</v>
      </c>
      <c r="AH81">
        <f>IFERROR(VLOOKUP(B81,CrossTabYitraLeTkufa_after_2000!$D$6:$AB$100,16,FALSE),0)</f>
        <v>0</v>
      </c>
      <c r="AI81">
        <f>IFERROR(VLOOKUP(B81,CrossTabYitraLeTkufa_till_2000!$D$6:$AB$100,17,FALSE),0)</f>
        <v>0</v>
      </c>
      <c r="AJ81">
        <f>IFERROR(VLOOKUP(B81,CrossTabYitraLeTkufa_after_2000!$D$6:$AB$100,17,FALSE),0)</f>
        <v>0</v>
      </c>
      <c r="AK81" s="5">
        <f t="shared" si="57"/>
        <v>0</v>
      </c>
      <c r="AN81">
        <f>IFERROR(VLOOKUP(B81,PirteiKisuiBeMutzar_procerur!$C$6:$AA$100,2,FALSE),0)</f>
        <v>0</v>
      </c>
      <c r="AP81">
        <f>IFERROR(VLOOKUP($B81,PirteiKisuiBeMutzar_procerur!$C$6:$AA$100,5,FALSE),0)</f>
        <v>0</v>
      </c>
      <c r="AQ81">
        <f>IFERROR(VLOOKUP($B81,PirteiKisuiBeMutzar_procerur!$C$6:$AA$100,3,FALSE),0)</f>
        <v>0</v>
      </c>
      <c r="AR81">
        <f>IFERROR(VLOOKUP($B81,PirteiKisuiBeMutzar_procerur!$C$6:$AA$100,6,FALSE),0)</f>
        <v>0</v>
      </c>
      <c r="AS81">
        <f>IFERROR(VLOOKUP($B81,PirteiKisuiBeMutzar_procerur!$C$6:$AA$100,7,FALSE),0)</f>
        <v>0</v>
      </c>
      <c r="AW81">
        <f t="shared" si="58"/>
        <v>0</v>
      </c>
      <c r="AX81">
        <f t="shared" si="59"/>
        <v>0</v>
      </c>
      <c r="AY81">
        <f t="shared" si="60"/>
        <v>0</v>
      </c>
      <c r="AZ81">
        <f t="shared" si="61"/>
        <v>0</v>
      </c>
      <c r="BA81">
        <f t="shared" si="62"/>
        <v>0</v>
      </c>
      <c r="BB81">
        <f t="shared" si="63"/>
        <v>0</v>
      </c>
      <c r="BC81">
        <f t="shared" si="64"/>
        <v>0</v>
      </c>
      <c r="BD81">
        <f t="shared" si="65"/>
        <v>0</v>
      </c>
      <c r="BE81">
        <f t="shared" si="66"/>
        <v>0</v>
      </c>
      <c r="BF81">
        <f t="shared" si="67"/>
        <v>0</v>
      </c>
      <c r="BG81">
        <f t="shared" si="68"/>
        <v>0</v>
      </c>
      <c r="BH81">
        <f t="shared" si="69"/>
        <v>0</v>
      </c>
      <c r="BI81">
        <f t="shared" si="70"/>
        <v>0</v>
      </c>
      <c r="BK81">
        <f t="shared" si="71"/>
        <v>0</v>
      </c>
      <c r="BL81">
        <f t="shared" si="72"/>
        <v>0</v>
      </c>
      <c r="BM81">
        <f t="shared" si="73"/>
        <v>0</v>
      </c>
      <c r="BN81">
        <f t="shared" si="74"/>
        <v>0</v>
      </c>
      <c r="BO81">
        <f t="shared" si="75"/>
        <v>0</v>
      </c>
      <c r="BR81">
        <f t="shared" si="76"/>
        <v>0</v>
      </c>
      <c r="BS81">
        <f t="shared" si="77"/>
        <v>0</v>
      </c>
      <c r="BT81">
        <f t="shared" si="78"/>
        <v>0</v>
      </c>
      <c r="BU81">
        <f t="shared" si="79"/>
        <v>0</v>
      </c>
      <c r="BV81">
        <f t="shared" si="80"/>
        <v>0</v>
      </c>
      <c r="BX81">
        <f t="shared" si="81"/>
        <v>0</v>
      </c>
      <c r="BY81">
        <f t="shared" si="82"/>
        <v>0</v>
      </c>
      <c r="BZ81">
        <f t="shared" si="83"/>
        <v>0</v>
      </c>
      <c r="CA81">
        <f t="shared" si="84"/>
        <v>0</v>
      </c>
      <c r="CB81">
        <f t="shared" si="85"/>
        <v>0</v>
      </c>
      <c r="CE81">
        <f t="shared" si="86"/>
        <v>0</v>
      </c>
      <c r="CF81">
        <f t="shared" si="87"/>
        <v>0</v>
      </c>
      <c r="CG81">
        <f t="shared" si="88"/>
        <v>0</v>
      </c>
      <c r="CH81">
        <f t="shared" si="89"/>
        <v>0</v>
      </c>
      <c r="CI81">
        <f t="shared" si="90"/>
        <v>0</v>
      </c>
      <c r="CL81">
        <f t="shared" si="91"/>
        <v>0</v>
      </c>
      <c r="CM81">
        <f t="shared" si="92"/>
        <v>0</v>
      </c>
      <c r="CN81">
        <f t="shared" si="93"/>
        <v>0</v>
      </c>
      <c r="CO81">
        <f t="shared" si="94"/>
        <v>0</v>
      </c>
      <c r="CP81">
        <f t="shared" si="95"/>
        <v>0</v>
      </c>
      <c r="CQ81">
        <f>IFERROR(VLOOKUP($B81,SchumeiBituahYesodi!$C$6:$AA$100,8,FALSE),0)</f>
        <v>0</v>
      </c>
      <c r="CR81">
        <f>IFERROR(VLOOKUP($B81,PirteiKisuiBeMutzar_procerur!$C$6:$AA$100,2,FALSE),0)</f>
        <v>0</v>
      </c>
      <c r="CS81">
        <f>IFERROR(VLOOKUP($B81,PirteiKisuiBeMutzar_procerur!$C$6:$AA$100,3,FALSE),0)</f>
        <v>0</v>
      </c>
      <c r="CT81">
        <f>IFERROR(VLOOKUP($B81,PirteiKisuiBeMutzar_procerur!$C$6:$AA$100,4,FALSE),0)</f>
        <v>0</v>
      </c>
      <c r="CU81">
        <f>IFERROR(VLOOKUP($B81,PirteiKisuiBeMutzar_procerur!$C$6:$AA$100,5,FALSE),0)</f>
        <v>0</v>
      </c>
      <c r="CV81">
        <f>IFERROR(VLOOKUP($B81,PirteiKisuiBeMutzar_procerur!$C$6:$AA$100,6,FALSE),0)</f>
        <v>0</v>
      </c>
      <c r="CW81">
        <f>IFERROR(VLOOKUP($B81,PirteiKisuiBeMutzar_procerur!$C$6:$AA$100,7,FALSE),0)</f>
        <v>0</v>
      </c>
      <c r="CX81">
        <f>IFERROR(VLOOKUP($B81,PirteiKisuiBeMutzar_procerur!$C$6:$AA$100,8,FALSE),0)</f>
        <v>0</v>
      </c>
      <c r="CY81">
        <f>IFERROR(VLOOKUP($B81,PirteiKisuiBeMutzar_procerur!$C$6:$AA$100,9,FALSE),0)</f>
        <v>0</v>
      </c>
      <c r="CZ81">
        <f>IFERROR(VLOOKUP($B81,PirteiKisuiBeMutzar_procerur!$C$6:$AA$100,10,FALSE),0)</f>
        <v>0</v>
      </c>
      <c r="DA81">
        <f>IFERROR(VLOOKUP($B81,PirteiKisuiBeMutzar_procerur!$C$6:$AA$100,11,FALSE),0)</f>
        <v>0</v>
      </c>
      <c r="DB81">
        <f>IFERROR(VLOOKUP($B81,PirteiKisuiBeMutzarPrmia!$C$6:$AA$100,2,FALSE),0)</f>
        <v>0</v>
      </c>
      <c r="DC81">
        <f>IFERROR(VLOOKUP($B81,PirteiKisuiBeMutzarPrmia!$C$6:$AA$100,3,FALSE),0)</f>
        <v>0</v>
      </c>
      <c r="DD81">
        <f>IFERROR(VLOOKUP($B81,PirteiKisuiBeMutzarPrmia!$C$6:$AA$100,4,FALSE),0)</f>
        <v>0</v>
      </c>
      <c r="DE81">
        <f>IFERROR(VLOOKUP($B81,PirteiKisuiBeMutzarPrmia!$C$6:$AA$100,5,FALSE),0)</f>
        <v>0</v>
      </c>
      <c r="DF81">
        <f>IFERROR(VLOOKUP($B81,PirteiKisuiBeMutzarPrmia!$C$6:$AA$100,6,FALSE),0)</f>
        <v>0</v>
      </c>
      <c r="DG81">
        <f>IFERROR(VLOOKUP($B81,PirteiKisuiBeMutzarPrmia!$C$6:$AA$100,7,FALSE),0)</f>
        <v>0</v>
      </c>
      <c r="DH81">
        <f>IFERROR(VLOOKUP($B81,PirteiKisuiBeMutzarPrmia!$C$6:$AA$100,8,FALSE),0)</f>
        <v>0</v>
      </c>
      <c r="DI81">
        <f>IFERROR(VLOOKUP($B81,PirteiKisuiBeMutzarPrmia!$C$6:$AA$100,9,FALSE),0)</f>
        <v>0</v>
      </c>
      <c r="DJ81">
        <f>IFERROR(VLOOKUP($B81,PirteiKisuiBeMutzarPrmia!$C$6:$AA$100,10,FALSE),0)</f>
        <v>0</v>
      </c>
      <c r="DK81">
        <f>IFERROR(VLOOKUP($B81,PirteiKisuiBeMutzarPrmia!$C$6:$AA$100,11,FALSE),0)</f>
        <v>0</v>
      </c>
      <c r="DL81">
        <f t="shared" si="96"/>
        <v>0</v>
      </c>
      <c r="DM81">
        <f t="shared" si="97"/>
        <v>0</v>
      </c>
      <c r="DN81">
        <f t="shared" si="98"/>
        <v>0</v>
      </c>
      <c r="DO81">
        <f t="shared" si="52"/>
        <v>0</v>
      </c>
      <c r="DP81">
        <f t="shared" si="53"/>
        <v>0</v>
      </c>
      <c r="DQ81">
        <f>IF(OR(L81=1,L81=3),IFERROR(VLOOKUP($B81,PerutHafkadotMetchilatShanaAvgM!$C$6:$G$100,3,FALSE),0),0)</f>
        <v>0</v>
      </c>
      <c r="DR81">
        <f>IF(OR(L81=2,L81=4),IFERROR(VLOOKUP($B81,PerutHafkadotMetchilatShanaAvgM!$C$6:$G$100,3,FALSE),0),0)</f>
        <v>0</v>
      </c>
      <c r="DS81">
        <f>IFERROR(VLOOKUP($B81,PerutHafkadotMetchilatShanaAvgM!$C$6:$G$100,4,FALSE),0)</f>
        <v>0</v>
      </c>
      <c r="DT81">
        <f>IFERROR(VLOOKUP($B81,Kupa!$D$6:$AA$100,5,FALSE),0)</f>
        <v>0</v>
      </c>
      <c r="DU81">
        <f>IFERROR(VLOOKUP($B81,Kupa!$D$6:$AA$100,6,FALSE),0)</f>
        <v>0</v>
      </c>
      <c r="DV81">
        <f>IFERROR(VLOOKUP($B81,KisuiBKerenPensiaDBWithParams!$D$6:$AP$100,9,FALSE),0)</f>
        <v>0</v>
      </c>
      <c r="DW81">
        <f>IFERROR(VLOOKUP($B81,KisuiBKerenPensiaDBWithParams!$D$6:$AP$100,12,FALSE),0)</f>
        <v>0</v>
      </c>
      <c r="DX81">
        <f>IFERROR(VLOOKUP($B81,KisuiBKerenPensiaDBWithParams!$D$6:$AP$100,13,FALSE),0)</f>
        <v>0</v>
      </c>
      <c r="DY81">
        <f>IFERROR(VLOOKUP($B81,KisuiBKerenPensiaDBWithParams!$D$6:$AP$100,7,FALSE),0)</f>
        <v>0</v>
      </c>
      <c r="DZ81">
        <f>IFERROR(VLOOKUP($B81,KisuiBKerenPensiaDBWithParams!$D$6:$AP$100,17,FALSE),0)</f>
        <v>0</v>
      </c>
      <c r="EA81">
        <f>IFERROR(VLOOKUP($B81,KisuiBKerenPensiaDBWithParams!$D$6:$AP$100,20,FALSE),0)</f>
        <v>0</v>
      </c>
      <c r="EB81">
        <f>IFERROR(VLOOKUP($B81,KisuiBKerenPensiaDBWithParams!$D$6:$AP$100,21,FALSE),0)</f>
        <v>0</v>
      </c>
      <c r="EC81">
        <f t="shared" si="99"/>
        <v>0</v>
      </c>
      <c r="EG81">
        <f>IF(OR(G81=MyData!$J$50,G81=MyData!$J$51,G81=MyData!$J$52),1,IF(G81=MyData!$J$49,2,0))</f>
        <v>0</v>
      </c>
    </row>
    <row r="82" spans="1:137">
      <c r="A82">
        <f t="shared" si="100"/>
        <v>0</v>
      </c>
      <c r="B82" s="20">
        <f>RicusPolice!E79</f>
        <v>0</v>
      </c>
      <c r="C82" s="20">
        <f>RicusPolice!AL79</f>
        <v>0</v>
      </c>
      <c r="D82" s="20">
        <f>RicusPolice!F79</f>
        <v>0</v>
      </c>
      <c r="E82" s="20">
        <f>RicusPolice!R79</f>
        <v>0</v>
      </c>
      <c r="F82" s="20">
        <f>RicusPolice!N79</f>
        <v>0</v>
      </c>
      <c r="G82" s="20">
        <f>IFERROR(VLOOKUP($B82,PerutYitrot!$D$6:$P$100,4,FALSE),0)</f>
        <v>0</v>
      </c>
      <c r="H82" s="20">
        <f t="shared" si="54"/>
        <v>0</v>
      </c>
      <c r="I82" s="20">
        <f>RicusPolice!L79</f>
        <v>0</v>
      </c>
      <c r="J82" s="179">
        <f>IFERROR(VLOOKUP(TRIM(K82),MyData!$J$43:$K$49,2,FALSE),0)</f>
        <v>0</v>
      </c>
      <c r="K82" s="20">
        <f>RicusPolice!M79</f>
        <v>0</v>
      </c>
      <c r="L82" s="20">
        <f>RicusPolice!AM79</f>
        <v>0</v>
      </c>
      <c r="M82" s="20" t="str">
        <f>IF(B82&gt;0,RicusPolice!Y79," ")</f>
        <v xml:space="preserve"> </v>
      </c>
      <c r="N82" s="20" t="str">
        <f t="shared" si="55"/>
        <v/>
      </c>
      <c r="O82" s="20">
        <f>RicusPolice!N79</f>
        <v>0</v>
      </c>
      <c r="P82" s="20">
        <f>IFERROR(VLOOKUP(B82,PerutMasluleiHashkaa!$D$6:$R$100,4,FALSE),0)</f>
        <v>0</v>
      </c>
      <c r="Q82" s="19"/>
      <c r="R82" s="20">
        <f>RicusPolice!P79</f>
        <v>0</v>
      </c>
      <c r="S82" s="20"/>
      <c r="T82" s="21">
        <f>'נתונים ידניים'!H82</f>
        <v>0</v>
      </c>
      <c r="U82" s="21"/>
      <c r="V82" s="20">
        <f>PerutHafrashotLePolisa!E79</f>
        <v>0</v>
      </c>
      <c r="W82" s="20">
        <f>PerutHafrashotLePolisa!F79</f>
        <v>0</v>
      </c>
      <c r="X82" s="20">
        <f>PerutHafrashotLePolisa!G79</f>
        <v>0</v>
      </c>
      <c r="Y82">
        <f t="shared" si="56"/>
        <v>0</v>
      </c>
      <c r="Z82">
        <f>IFERROR(VLOOKUP(B82,PirteiHaasaka!$D$6:$R$100,5,FALSE),0)</f>
        <v>0</v>
      </c>
      <c r="AB82">
        <f>IFERROR(VLOOKUP(B82,HafkadotMetchilatShanaAverages!$D$6:$E$100,2,FALSE),0)</f>
        <v>0</v>
      </c>
      <c r="AF82">
        <f>IFERROR(VLOOKUP(B82,CrossTabYitraLeTkufa_till_2000!$D$6:$AB$100,6,FALSE),0)+IFERROR(VLOOKUP(B82,CrossTabYitraLeTkufa_after_2000!$D$6:$AB$100,6,FALSE),0)</f>
        <v>0</v>
      </c>
      <c r="AG82">
        <f>IFERROR(VLOOKUP(B82,CrossTabYitraLeTkufa_till_2000!$D$6:$AB$100,16,FALSE),0)</f>
        <v>0</v>
      </c>
      <c r="AH82">
        <f>IFERROR(VLOOKUP(B82,CrossTabYitraLeTkufa_after_2000!$D$6:$AB$100,16,FALSE),0)</f>
        <v>0</v>
      </c>
      <c r="AI82">
        <f>IFERROR(VLOOKUP(B82,CrossTabYitraLeTkufa_till_2000!$D$6:$AB$100,17,FALSE),0)</f>
        <v>0</v>
      </c>
      <c r="AJ82">
        <f>IFERROR(VLOOKUP(B82,CrossTabYitraLeTkufa_after_2000!$D$6:$AB$100,17,FALSE),0)</f>
        <v>0</v>
      </c>
      <c r="AK82" s="5">
        <f t="shared" si="57"/>
        <v>0</v>
      </c>
      <c r="AN82">
        <f>IFERROR(VLOOKUP(B82,PirteiKisuiBeMutzar_procerur!$C$6:$AA$100,2,FALSE),0)</f>
        <v>0</v>
      </c>
      <c r="AP82">
        <f>IFERROR(VLOOKUP($B82,PirteiKisuiBeMutzar_procerur!$C$6:$AA$100,5,FALSE),0)</f>
        <v>0</v>
      </c>
      <c r="AQ82">
        <f>IFERROR(VLOOKUP($B82,PirteiKisuiBeMutzar_procerur!$C$6:$AA$100,3,FALSE),0)</f>
        <v>0</v>
      </c>
      <c r="AR82">
        <f>IFERROR(VLOOKUP($B82,PirteiKisuiBeMutzar_procerur!$C$6:$AA$100,6,FALSE),0)</f>
        <v>0</v>
      </c>
      <c r="AS82">
        <f>IFERROR(VLOOKUP($B82,PirteiKisuiBeMutzar_procerur!$C$6:$AA$100,7,FALSE),0)</f>
        <v>0</v>
      </c>
      <c r="AW82">
        <f t="shared" si="58"/>
        <v>0</v>
      </c>
      <c r="AX82">
        <f t="shared" si="59"/>
        <v>0</v>
      </c>
      <c r="AY82">
        <f t="shared" si="60"/>
        <v>0</v>
      </c>
      <c r="AZ82">
        <f t="shared" si="61"/>
        <v>0</v>
      </c>
      <c r="BA82">
        <f t="shared" si="62"/>
        <v>0</v>
      </c>
      <c r="BB82">
        <f t="shared" si="63"/>
        <v>0</v>
      </c>
      <c r="BC82">
        <f t="shared" si="64"/>
        <v>0</v>
      </c>
      <c r="BD82">
        <f t="shared" si="65"/>
        <v>0</v>
      </c>
      <c r="BE82">
        <f t="shared" si="66"/>
        <v>0</v>
      </c>
      <c r="BF82">
        <f t="shared" si="67"/>
        <v>0</v>
      </c>
      <c r="BG82">
        <f t="shared" si="68"/>
        <v>0</v>
      </c>
      <c r="BH82">
        <f t="shared" si="69"/>
        <v>0</v>
      </c>
      <c r="BI82">
        <f t="shared" si="70"/>
        <v>0</v>
      </c>
      <c r="BK82">
        <f t="shared" si="71"/>
        <v>0</v>
      </c>
      <c r="BL82">
        <f t="shared" si="72"/>
        <v>0</v>
      </c>
      <c r="BM82">
        <f t="shared" si="73"/>
        <v>0</v>
      </c>
      <c r="BN82">
        <f t="shared" si="74"/>
        <v>0</v>
      </c>
      <c r="BO82">
        <f t="shared" si="75"/>
        <v>0</v>
      </c>
      <c r="BR82">
        <f t="shared" si="76"/>
        <v>0</v>
      </c>
      <c r="BS82">
        <f t="shared" si="77"/>
        <v>0</v>
      </c>
      <c r="BT82">
        <f t="shared" si="78"/>
        <v>0</v>
      </c>
      <c r="BU82">
        <f t="shared" si="79"/>
        <v>0</v>
      </c>
      <c r="BV82">
        <f t="shared" si="80"/>
        <v>0</v>
      </c>
      <c r="BX82">
        <f t="shared" si="81"/>
        <v>0</v>
      </c>
      <c r="BY82">
        <f t="shared" si="82"/>
        <v>0</v>
      </c>
      <c r="BZ82">
        <f t="shared" si="83"/>
        <v>0</v>
      </c>
      <c r="CA82">
        <f t="shared" si="84"/>
        <v>0</v>
      </c>
      <c r="CB82">
        <f t="shared" si="85"/>
        <v>0</v>
      </c>
      <c r="CE82">
        <f t="shared" si="86"/>
        <v>0</v>
      </c>
      <c r="CF82">
        <f t="shared" si="87"/>
        <v>0</v>
      </c>
      <c r="CG82">
        <f t="shared" si="88"/>
        <v>0</v>
      </c>
      <c r="CH82">
        <f t="shared" si="89"/>
        <v>0</v>
      </c>
      <c r="CI82">
        <f t="shared" si="90"/>
        <v>0</v>
      </c>
      <c r="CL82">
        <f t="shared" si="91"/>
        <v>0</v>
      </c>
      <c r="CM82">
        <f t="shared" si="92"/>
        <v>0</v>
      </c>
      <c r="CN82">
        <f t="shared" si="93"/>
        <v>0</v>
      </c>
      <c r="CO82">
        <f t="shared" si="94"/>
        <v>0</v>
      </c>
      <c r="CP82">
        <f t="shared" si="95"/>
        <v>0</v>
      </c>
      <c r="CQ82">
        <f>IFERROR(VLOOKUP($B82,SchumeiBituahYesodi!$C$6:$AA$100,8,FALSE),0)</f>
        <v>0</v>
      </c>
      <c r="CR82">
        <f>IFERROR(VLOOKUP($B82,PirteiKisuiBeMutzar_procerur!$C$6:$AA$100,2,FALSE),0)</f>
        <v>0</v>
      </c>
      <c r="CS82">
        <f>IFERROR(VLOOKUP($B82,PirteiKisuiBeMutzar_procerur!$C$6:$AA$100,3,FALSE),0)</f>
        <v>0</v>
      </c>
      <c r="CT82">
        <f>IFERROR(VLOOKUP($B82,PirteiKisuiBeMutzar_procerur!$C$6:$AA$100,4,FALSE),0)</f>
        <v>0</v>
      </c>
      <c r="CU82">
        <f>IFERROR(VLOOKUP($B82,PirteiKisuiBeMutzar_procerur!$C$6:$AA$100,5,FALSE),0)</f>
        <v>0</v>
      </c>
      <c r="CV82">
        <f>IFERROR(VLOOKUP($B82,PirteiKisuiBeMutzar_procerur!$C$6:$AA$100,6,FALSE),0)</f>
        <v>0</v>
      </c>
      <c r="CW82">
        <f>IFERROR(VLOOKUP($B82,PirteiKisuiBeMutzar_procerur!$C$6:$AA$100,7,FALSE),0)</f>
        <v>0</v>
      </c>
      <c r="CX82">
        <f>IFERROR(VLOOKUP($B82,PirteiKisuiBeMutzar_procerur!$C$6:$AA$100,8,FALSE),0)</f>
        <v>0</v>
      </c>
      <c r="CY82">
        <f>IFERROR(VLOOKUP($B82,PirteiKisuiBeMutzar_procerur!$C$6:$AA$100,9,FALSE),0)</f>
        <v>0</v>
      </c>
      <c r="CZ82">
        <f>IFERROR(VLOOKUP($B82,PirteiKisuiBeMutzar_procerur!$C$6:$AA$100,10,FALSE),0)</f>
        <v>0</v>
      </c>
      <c r="DA82">
        <f>IFERROR(VLOOKUP($B82,PirteiKisuiBeMutzar_procerur!$C$6:$AA$100,11,FALSE),0)</f>
        <v>0</v>
      </c>
      <c r="DB82">
        <f>IFERROR(VLOOKUP($B82,PirteiKisuiBeMutzarPrmia!$C$6:$AA$100,2,FALSE),0)</f>
        <v>0</v>
      </c>
      <c r="DC82">
        <f>IFERROR(VLOOKUP($B82,PirteiKisuiBeMutzarPrmia!$C$6:$AA$100,3,FALSE),0)</f>
        <v>0</v>
      </c>
      <c r="DD82">
        <f>IFERROR(VLOOKUP($B82,PirteiKisuiBeMutzarPrmia!$C$6:$AA$100,4,FALSE),0)</f>
        <v>0</v>
      </c>
      <c r="DE82">
        <f>IFERROR(VLOOKUP($B82,PirteiKisuiBeMutzarPrmia!$C$6:$AA$100,5,FALSE),0)</f>
        <v>0</v>
      </c>
      <c r="DF82">
        <f>IFERROR(VLOOKUP($B82,PirteiKisuiBeMutzarPrmia!$C$6:$AA$100,6,FALSE),0)</f>
        <v>0</v>
      </c>
      <c r="DG82">
        <f>IFERROR(VLOOKUP($B82,PirteiKisuiBeMutzarPrmia!$C$6:$AA$100,7,FALSE),0)</f>
        <v>0</v>
      </c>
      <c r="DH82">
        <f>IFERROR(VLOOKUP($B82,PirteiKisuiBeMutzarPrmia!$C$6:$AA$100,8,FALSE),0)</f>
        <v>0</v>
      </c>
      <c r="DI82">
        <f>IFERROR(VLOOKUP($B82,PirteiKisuiBeMutzarPrmia!$C$6:$AA$100,9,FALSE),0)</f>
        <v>0</v>
      </c>
      <c r="DJ82">
        <f>IFERROR(VLOOKUP($B82,PirteiKisuiBeMutzarPrmia!$C$6:$AA$100,10,FALSE),0)</f>
        <v>0</v>
      </c>
      <c r="DK82">
        <f>IFERROR(VLOOKUP($B82,PirteiKisuiBeMutzarPrmia!$C$6:$AA$100,11,FALSE),0)</f>
        <v>0</v>
      </c>
      <c r="DL82">
        <f t="shared" si="96"/>
        <v>0</v>
      </c>
      <c r="DM82">
        <f t="shared" si="97"/>
        <v>0</v>
      </c>
      <c r="DN82">
        <f t="shared" si="98"/>
        <v>0</v>
      </c>
      <c r="DO82">
        <f t="shared" si="52"/>
        <v>0</v>
      </c>
      <c r="DP82">
        <f t="shared" si="53"/>
        <v>0</v>
      </c>
      <c r="DQ82">
        <f>IF(OR(L82=1,L82=3),IFERROR(VLOOKUP($B82,PerutHafkadotMetchilatShanaAvgM!$C$6:$G$100,3,FALSE),0),0)</f>
        <v>0</v>
      </c>
      <c r="DR82">
        <f>IF(OR(L82=2,L82=4),IFERROR(VLOOKUP($B82,PerutHafkadotMetchilatShanaAvgM!$C$6:$G$100,3,FALSE),0),0)</f>
        <v>0</v>
      </c>
      <c r="DS82">
        <f>IFERROR(VLOOKUP($B82,PerutHafkadotMetchilatShanaAvgM!$C$6:$G$100,4,FALSE),0)</f>
        <v>0</v>
      </c>
      <c r="DT82">
        <f>IFERROR(VLOOKUP($B82,Kupa!$D$6:$AA$100,5,FALSE),0)</f>
        <v>0</v>
      </c>
      <c r="DU82">
        <f>IFERROR(VLOOKUP($B82,Kupa!$D$6:$AA$100,6,FALSE),0)</f>
        <v>0</v>
      </c>
      <c r="DV82">
        <f>IFERROR(VLOOKUP($B82,KisuiBKerenPensiaDBWithParams!$D$6:$AP$100,9,FALSE),0)</f>
        <v>0</v>
      </c>
      <c r="DW82">
        <f>IFERROR(VLOOKUP($B82,KisuiBKerenPensiaDBWithParams!$D$6:$AP$100,12,FALSE),0)</f>
        <v>0</v>
      </c>
      <c r="DX82">
        <f>IFERROR(VLOOKUP($B82,KisuiBKerenPensiaDBWithParams!$D$6:$AP$100,13,FALSE),0)</f>
        <v>0</v>
      </c>
      <c r="DY82">
        <f>IFERROR(VLOOKUP($B82,KisuiBKerenPensiaDBWithParams!$D$6:$AP$100,7,FALSE),0)</f>
        <v>0</v>
      </c>
      <c r="DZ82">
        <f>IFERROR(VLOOKUP($B82,KisuiBKerenPensiaDBWithParams!$D$6:$AP$100,17,FALSE),0)</f>
        <v>0</v>
      </c>
      <c r="EA82">
        <f>IFERROR(VLOOKUP($B82,KisuiBKerenPensiaDBWithParams!$D$6:$AP$100,20,FALSE),0)</f>
        <v>0</v>
      </c>
      <c r="EB82">
        <f>IFERROR(VLOOKUP($B82,KisuiBKerenPensiaDBWithParams!$D$6:$AP$100,21,FALSE),0)</f>
        <v>0</v>
      </c>
      <c r="EC82">
        <f t="shared" si="99"/>
        <v>0</v>
      </c>
      <c r="EG82">
        <f>IF(OR(G82=MyData!$J$50,G82=MyData!$J$51,G82=MyData!$J$52),1,IF(G82=MyData!$J$49,2,0))</f>
        <v>0</v>
      </c>
    </row>
    <row r="83" spans="1:137">
      <c r="A83">
        <f t="shared" si="100"/>
        <v>0</v>
      </c>
      <c r="B83" s="20">
        <f>RicusPolice!E80</f>
        <v>0</v>
      </c>
      <c r="C83" s="20">
        <f>RicusPolice!AL80</f>
        <v>0</v>
      </c>
      <c r="D83" s="20">
        <f>RicusPolice!F80</f>
        <v>0</v>
      </c>
      <c r="E83" s="20">
        <f>RicusPolice!R80</f>
        <v>0</v>
      </c>
      <c r="F83" s="20">
        <f>RicusPolice!N80</f>
        <v>0</v>
      </c>
      <c r="G83" s="20">
        <f>IFERROR(VLOOKUP($B83,PerutYitrot!$D$6:$P$100,4,FALSE),0)</f>
        <v>0</v>
      </c>
      <c r="H83" s="20">
        <f t="shared" si="54"/>
        <v>0</v>
      </c>
      <c r="I83" s="20">
        <f>RicusPolice!L80</f>
        <v>0</v>
      </c>
      <c r="J83" s="179">
        <f>IFERROR(VLOOKUP(TRIM(K83),MyData!$J$43:$K$49,2,FALSE),0)</f>
        <v>0</v>
      </c>
      <c r="K83" s="20">
        <f>RicusPolice!M80</f>
        <v>0</v>
      </c>
      <c r="L83" s="20">
        <f>RicusPolice!AM80</f>
        <v>0</v>
      </c>
      <c r="M83" s="20" t="str">
        <f>IF(B83&gt;0,RicusPolice!Y80," ")</f>
        <v xml:space="preserve"> </v>
      </c>
      <c r="N83" s="20" t="str">
        <f t="shared" si="55"/>
        <v/>
      </c>
      <c r="O83" s="20">
        <f>RicusPolice!N80</f>
        <v>0</v>
      </c>
      <c r="P83" s="20">
        <f>IFERROR(VLOOKUP(B83,PerutMasluleiHashkaa!$D$6:$R$100,4,FALSE),0)</f>
        <v>0</v>
      </c>
      <c r="Q83" s="19"/>
      <c r="R83" s="20">
        <f>RicusPolice!P80</f>
        <v>0</v>
      </c>
      <c r="S83" s="20"/>
      <c r="T83" s="21">
        <f>'נתונים ידניים'!H83</f>
        <v>0</v>
      </c>
      <c r="U83" s="21"/>
      <c r="V83" s="20">
        <f>PerutHafrashotLePolisa!E80</f>
        <v>0</v>
      </c>
      <c r="W83" s="20">
        <f>PerutHafrashotLePolisa!F80</f>
        <v>0</v>
      </c>
      <c r="X83" s="20">
        <f>PerutHafrashotLePolisa!G80</f>
        <v>0</v>
      </c>
      <c r="Y83">
        <f t="shared" si="56"/>
        <v>0</v>
      </c>
      <c r="Z83">
        <f>IFERROR(VLOOKUP(B83,PirteiHaasaka!$D$6:$R$100,5,FALSE),0)</f>
        <v>0</v>
      </c>
      <c r="AB83">
        <f>IFERROR(VLOOKUP(B83,HafkadotMetchilatShanaAverages!$D$6:$E$100,2,FALSE),0)</f>
        <v>0</v>
      </c>
      <c r="AF83">
        <f>IFERROR(VLOOKUP(B83,CrossTabYitraLeTkufa_till_2000!$D$6:$AB$100,6,FALSE),0)+IFERROR(VLOOKUP(B83,CrossTabYitraLeTkufa_after_2000!$D$6:$AB$100,6,FALSE),0)</f>
        <v>0</v>
      </c>
      <c r="AG83">
        <f>IFERROR(VLOOKUP(B83,CrossTabYitraLeTkufa_till_2000!$D$6:$AB$100,16,FALSE),0)</f>
        <v>0</v>
      </c>
      <c r="AH83">
        <f>IFERROR(VLOOKUP(B83,CrossTabYitraLeTkufa_after_2000!$D$6:$AB$100,16,FALSE),0)</f>
        <v>0</v>
      </c>
      <c r="AI83">
        <f>IFERROR(VLOOKUP(B83,CrossTabYitraLeTkufa_till_2000!$D$6:$AB$100,17,FALSE),0)</f>
        <v>0</v>
      </c>
      <c r="AJ83">
        <f>IFERROR(VLOOKUP(B83,CrossTabYitraLeTkufa_after_2000!$D$6:$AB$100,17,FALSE),0)</f>
        <v>0</v>
      </c>
      <c r="AK83" s="5">
        <f t="shared" si="57"/>
        <v>0</v>
      </c>
      <c r="AN83">
        <f>IFERROR(VLOOKUP(B83,PirteiKisuiBeMutzar_procerur!$C$6:$AA$100,2,FALSE),0)</f>
        <v>0</v>
      </c>
      <c r="AP83">
        <f>IFERROR(VLOOKUP($B83,PirteiKisuiBeMutzar_procerur!$C$6:$AA$100,5,FALSE),0)</f>
        <v>0</v>
      </c>
      <c r="AQ83">
        <f>IFERROR(VLOOKUP($B83,PirteiKisuiBeMutzar_procerur!$C$6:$AA$100,3,FALSE),0)</f>
        <v>0</v>
      </c>
      <c r="AR83">
        <f>IFERROR(VLOOKUP($B83,PirteiKisuiBeMutzar_procerur!$C$6:$AA$100,6,FALSE),0)</f>
        <v>0</v>
      </c>
      <c r="AS83">
        <f>IFERROR(VLOOKUP($B83,PirteiKisuiBeMutzar_procerur!$C$6:$AA$100,7,FALSE),0)</f>
        <v>0</v>
      </c>
      <c r="AW83">
        <f t="shared" si="58"/>
        <v>0</v>
      </c>
      <c r="AX83">
        <f t="shared" si="59"/>
        <v>0</v>
      </c>
      <c r="AY83">
        <f t="shared" si="60"/>
        <v>0</v>
      </c>
      <c r="AZ83">
        <f t="shared" si="61"/>
        <v>0</v>
      </c>
      <c r="BA83">
        <f t="shared" si="62"/>
        <v>0</v>
      </c>
      <c r="BB83">
        <f t="shared" si="63"/>
        <v>0</v>
      </c>
      <c r="BC83">
        <f t="shared" si="64"/>
        <v>0</v>
      </c>
      <c r="BD83">
        <f t="shared" si="65"/>
        <v>0</v>
      </c>
      <c r="BE83">
        <f t="shared" si="66"/>
        <v>0</v>
      </c>
      <c r="BF83">
        <f t="shared" si="67"/>
        <v>0</v>
      </c>
      <c r="BG83">
        <f t="shared" si="68"/>
        <v>0</v>
      </c>
      <c r="BH83">
        <f t="shared" si="69"/>
        <v>0</v>
      </c>
      <c r="BI83">
        <f t="shared" si="70"/>
        <v>0</v>
      </c>
      <c r="BK83">
        <f t="shared" si="71"/>
        <v>0</v>
      </c>
      <c r="BL83">
        <f t="shared" si="72"/>
        <v>0</v>
      </c>
      <c r="BM83">
        <f t="shared" si="73"/>
        <v>0</v>
      </c>
      <c r="BN83">
        <f t="shared" si="74"/>
        <v>0</v>
      </c>
      <c r="BO83">
        <f t="shared" si="75"/>
        <v>0</v>
      </c>
      <c r="BR83">
        <f t="shared" si="76"/>
        <v>0</v>
      </c>
      <c r="BS83">
        <f t="shared" si="77"/>
        <v>0</v>
      </c>
      <c r="BT83">
        <f t="shared" si="78"/>
        <v>0</v>
      </c>
      <c r="BU83">
        <f t="shared" si="79"/>
        <v>0</v>
      </c>
      <c r="BV83">
        <f t="shared" si="80"/>
        <v>0</v>
      </c>
      <c r="BX83">
        <f t="shared" si="81"/>
        <v>0</v>
      </c>
      <c r="BY83">
        <f t="shared" si="82"/>
        <v>0</v>
      </c>
      <c r="BZ83">
        <f t="shared" si="83"/>
        <v>0</v>
      </c>
      <c r="CA83">
        <f t="shared" si="84"/>
        <v>0</v>
      </c>
      <c r="CB83">
        <f t="shared" si="85"/>
        <v>0</v>
      </c>
      <c r="CE83">
        <f t="shared" si="86"/>
        <v>0</v>
      </c>
      <c r="CF83">
        <f t="shared" si="87"/>
        <v>0</v>
      </c>
      <c r="CG83">
        <f t="shared" si="88"/>
        <v>0</v>
      </c>
      <c r="CH83">
        <f t="shared" si="89"/>
        <v>0</v>
      </c>
      <c r="CI83">
        <f t="shared" si="90"/>
        <v>0</v>
      </c>
      <c r="CL83">
        <f t="shared" si="91"/>
        <v>0</v>
      </c>
      <c r="CM83">
        <f t="shared" si="92"/>
        <v>0</v>
      </c>
      <c r="CN83">
        <f t="shared" si="93"/>
        <v>0</v>
      </c>
      <c r="CO83">
        <f t="shared" si="94"/>
        <v>0</v>
      </c>
      <c r="CP83">
        <f t="shared" si="95"/>
        <v>0</v>
      </c>
      <c r="CQ83">
        <f>IFERROR(VLOOKUP($B83,SchumeiBituahYesodi!$C$6:$AA$100,8,FALSE),0)</f>
        <v>0</v>
      </c>
      <c r="CR83">
        <f>IFERROR(VLOOKUP($B83,PirteiKisuiBeMutzar_procerur!$C$6:$AA$100,2,FALSE),0)</f>
        <v>0</v>
      </c>
      <c r="CS83">
        <f>IFERROR(VLOOKUP($B83,PirteiKisuiBeMutzar_procerur!$C$6:$AA$100,3,FALSE),0)</f>
        <v>0</v>
      </c>
      <c r="CT83">
        <f>IFERROR(VLOOKUP($B83,PirteiKisuiBeMutzar_procerur!$C$6:$AA$100,4,FALSE),0)</f>
        <v>0</v>
      </c>
      <c r="CU83">
        <f>IFERROR(VLOOKUP($B83,PirteiKisuiBeMutzar_procerur!$C$6:$AA$100,5,FALSE),0)</f>
        <v>0</v>
      </c>
      <c r="CV83">
        <f>IFERROR(VLOOKUP($B83,PirteiKisuiBeMutzar_procerur!$C$6:$AA$100,6,FALSE),0)</f>
        <v>0</v>
      </c>
      <c r="CW83">
        <f>IFERROR(VLOOKUP($B83,PirteiKisuiBeMutzar_procerur!$C$6:$AA$100,7,FALSE),0)</f>
        <v>0</v>
      </c>
      <c r="CX83">
        <f>IFERROR(VLOOKUP($B83,PirteiKisuiBeMutzar_procerur!$C$6:$AA$100,8,FALSE),0)</f>
        <v>0</v>
      </c>
      <c r="CY83">
        <f>IFERROR(VLOOKUP($B83,PirteiKisuiBeMutzar_procerur!$C$6:$AA$100,9,FALSE),0)</f>
        <v>0</v>
      </c>
      <c r="CZ83">
        <f>IFERROR(VLOOKUP($B83,PirteiKisuiBeMutzar_procerur!$C$6:$AA$100,10,FALSE),0)</f>
        <v>0</v>
      </c>
      <c r="DA83">
        <f>IFERROR(VLOOKUP($B83,PirteiKisuiBeMutzar_procerur!$C$6:$AA$100,11,FALSE),0)</f>
        <v>0</v>
      </c>
      <c r="DB83">
        <f>IFERROR(VLOOKUP($B83,PirteiKisuiBeMutzarPrmia!$C$6:$AA$100,2,FALSE),0)</f>
        <v>0</v>
      </c>
      <c r="DC83">
        <f>IFERROR(VLOOKUP($B83,PirteiKisuiBeMutzarPrmia!$C$6:$AA$100,3,FALSE),0)</f>
        <v>0</v>
      </c>
      <c r="DD83">
        <f>IFERROR(VLOOKUP($B83,PirteiKisuiBeMutzarPrmia!$C$6:$AA$100,4,FALSE),0)</f>
        <v>0</v>
      </c>
      <c r="DE83">
        <f>IFERROR(VLOOKUP($B83,PirteiKisuiBeMutzarPrmia!$C$6:$AA$100,5,FALSE),0)</f>
        <v>0</v>
      </c>
      <c r="DF83">
        <f>IFERROR(VLOOKUP($B83,PirteiKisuiBeMutzarPrmia!$C$6:$AA$100,6,FALSE),0)</f>
        <v>0</v>
      </c>
      <c r="DG83">
        <f>IFERROR(VLOOKUP($B83,PirteiKisuiBeMutzarPrmia!$C$6:$AA$100,7,FALSE),0)</f>
        <v>0</v>
      </c>
      <c r="DH83">
        <f>IFERROR(VLOOKUP($B83,PirteiKisuiBeMutzarPrmia!$C$6:$AA$100,8,FALSE),0)</f>
        <v>0</v>
      </c>
      <c r="DI83">
        <f>IFERROR(VLOOKUP($B83,PirteiKisuiBeMutzarPrmia!$C$6:$AA$100,9,FALSE),0)</f>
        <v>0</v>
      </c>
      <c r="DJ83">
        <f>IFERROR(VLOOKUP($B83,PirteiKisuiBeMutzarPrmia!$C$6:$AA$100,10,FALSE),0)</f>
        <v>0</v>
      </c>
      <c r="DK83">
        <f>IFERROR(VLOOKUP($B83,PirteiKisuiBeMutzarPrmia!$C$6:$AA$100,11,FALSE),0)</f>
        <v>0</v>
      </c>
      <c r="DL83">
        <f t="shared" si="96"/>
        <v>0</v>
      </c>
      <c r="DM83">
        <f t="shared" si="97"/>
        <v>0</v>
      </c>
      <c r="DN83">
        <f t="shared" si="98"/>
        <v>0</v>
      </c>
      <c r="DO83">
        <f t="shared" si="52"/>
        <v>0</v>
      </c>
      <c r="DP83">
        <f t="shared" si="53"/>
        <v>0</v>
      </c>
      <c r="DQ83">
        <f>IF(OR(L83=1,L83=3),IFERROR(VLOOKUP($B83,PerutHafkadotMetchilatShanaAvgM!$C$6:$G$100,3,FALSE),0),0)</f>
        <v>0</v>
      </c>
      <c r="DR83">
        <f>IF(OR(L83=2,L83=4),IFERROR(VLOOKUP($B83,PerutHafkadotMetchilatShanaAvgM!$C$6:$G$100,3,FALSE),0),0)</f>
        <v>0</v>
      </c>
      <c r="DS83">
        <f>IFERROR(VLOOKUP($B83,PerutHafkadotMetchilatShanaAvgM!$C$6:$G$100,4,FALSE),0)</f>
        <v>0</v>
      </c>
      <c r="DT83">
        <f>IFERROR(VLOOKUP($B83,Kupa!$D$6:$AA$100,5,FALSE),0)</f>
        <v>0</v>
      </c>
      <c r="DU83">
        <f>IFERROR(VLOOKUP($B83,Kupa!$D$6:$AA$100,6,FALSE),0)</f>
        <v>0</v>
      </c>
      <c r="DV83">
        <f>IFERROR(VLOOKUP($B83,KisuiBKerenPensiaDBWithParams!$D$6:$AP$100,9,FALSE),0)</f>
        <v>0</v>
      </c>
      <c r="DW83">
        <f>IFERROR(VLOOKUP($B83,KisuiBKerenPensiaDBWithParams!$D$6:$AP$100,12,FALSE),0)</f>
        <v>0</v>
      </c>
      <c r="DX83">
        <f>IFERROR(VLOOKUP($B83,KisuiBKerenPensiaDBWithParams!$D$6:$AP$100,13,FALSE),0)</f>
        <v>0</v>
      </c>
      <c r="DY83">
        <f>IFERROR(VLOOKUP($B83,KisuiBKerenPensiaDBWithParams!$D$6:$AP$100,7,FALSE),0)</f>
        <v>0</v>
      </c>
      <c r="DZ83">
        <f>IFERROR(VLOOKUP($B83,KisuiBKerenPensiaDBWithParams!$D$6:$AP$100,17,FALSE),0)</f>
        <v>0</v>
      </c>
      <c r="EA83">
        <f>IFERROR(VLOOKUP($B83,KisuiBKerenPensiaDBWithParams!$D$6:$AP$100,20,FALSE),0)</f>
        <v>0</v>
      </c>
      <c r="EB83">
        <f>IFERROR(VLOOKUP($B83,KisuiBKerenPensiaDBWithParams!$D$6:$AP$100,21,FALSE),0)</f>
        <v>0</v>
      </c>
      <c r="EC83">
        <f t="shared" si="99"/>
        <v>0</v>
      </c>
      <c r="EG83">
        <f>IF(OR(G83=MyData!$J$50,G83=MyData!$J$51,G83=MyData!$J$52),1,IF(G83=MyData!$J$49,2,0))</f>
        <v>0</v>
      </c>
    </row>
    <row r="84" spans="1:137">
      <c r="A84">
        <f t="shared" si="100"/>
        <v>0</v>
      </c>
      <c r="B84" s="20">
        <f>RicusPolice!E81</f>
        <v>0</v>
      </c>
      <c r="C84" s="20">
        <f>RicusPolice!AL81</f>
        <v>0</v>
      </c>
      <c r="D84" s="20">
        <f>RicusPolice!F81</f>
        <v>0</v>
      </c>
      <c r="E84" s="20">
        <f>RicusPolice!R81</f>
        <v>0</v>
      </c>
      <c r="F84" s="20">
        <f>RicusPolice!N81</f>
        <v>0</v>
      </c>
      <c r="G84" s="20">
        <f>IFERROR(VLOOKUP($B84,PerutYitrot!$D$6:$P$100,4,FALSE),0)</f>
        <v>0</v>
      </c>
      <c r="H84" s="20">
        <f t="shared" si="54"/>
        <v>0</v>
      </c>
      <c r="I84" s="20">
        <f>RicusPolice!L81</f>
        <v>0</v>
      </c>
      <c r="J84" s="179">
        <f>IFERROR(VLOOKUP(TRIM(K84),MyData!$J$43:$K$49,2,FALSE),0)</f>
        <v>0</v>
      </c>
      <c r="K84" s="20">
        <f>RicusPolice!M81</f>
        <v>0</v>
      </c>
      <c r="L84" s="20">
        <f>RicusPolice!AM81</f>
        <v>0</v>
      </c>
      <c r="M84" s="20" t="str">
        <f>IF(B84&gt;0,RicusPolice!Y81," ")</f>
        <v xml:space="preserve"> </v>
      </c>
      <c r="N84" s="20" t="str">
        <f t="shared" si="55"/>
        <v/>
      </c>
      <c r="O84" s="20">
        <f>RicusPolice!N81</f>
        <v>0</v>
      </c>
      <c r="P84" s="20">
        <f>IFERROR(VLOOKUP(B84,PerutMasluleiHashkaa!$D$6:$R$100,4,FALSE),0)</f>
        <v>0</v>
      </c>
      <c r="Q84" s="19"/>
      <c r="R84" s="20">
        <f>RicusPolice!P81</f>
        <v>0</v>
      </c>
      <c r="S84" s="20"/>
      <c r="T84" s="21">
        <f>'נתונים ידניים'!H84</f>
        <v>0</v>
      </c>
      <c r="U84" s="21"/>
      <c r="V84" s="20">
        <f>PerutHafrashotLePolisa!E81</f>
        <v>0</v>
      </c>
      <c r="W84" s="20">
        <f>PerutHafrashotLePolisa!F81</f>
        <v>0</v>
      </c>
      <c r="X84" s="20">
        <f>PerutHafrashotLePolisa!G81</f>
        <v>0</v>
      </c>
      <c r="Y84">
        <f t="shared" si="56"/>
        <v>0</v>
      </c>
      <c r="Z84">
        <f>IFERROR(VLOOKUP(B84,PirteiHaasaka!$D$6:$R$100,5,FALSE),0)</f>
        <v>0</v>
      </c>
      <c r="AB84">
        <f>IFERROR(VLOOKUP(B84,HafkadotMetchilatShanaAverages!$D$6:$E$100,2,FALSE),0)</f>
        <v>0</v>
      </c>
      <c r="AF84">
        <f>IFERROR(VLOOKUP(B84,CrossTabYitraLeTkufa_till_2000!$D$6:$AB$100,6,FALSE),0)+IFERROR(VLOOKUP(B84,CrossTabYitraLeTkufa_after_2000!$D$6:$AB$100,6,FALSE),0)</f>
        <v>0</v>
      </c>
      <c r="AG84">
        <f>IFERROR(VLOOKUP(B84,CrossTabYitraLeTkufa_till_2000!$D$6:$AB$100,16,FALSE),0)</f>
        <v>0</v>
      </c>
      <c r="AH84">
        <f>IFERROR(VLOOKUP(B84,CrossTabYitraLeTkufa_after_2000!$D$6:$AB$100,16,FALSE),0)</f>
        <v>0</v>
      </c>
      <c r="AI84">
        <f>IFERROR(VLOOKUP(B84,CrossTabYitraLeTkufa_till_2000!$D$6:$AB$100,17,FALSE),0)</f>
        <v>0</v>
      </c>
      <c r="AJ84">
        <f>IFERROR(VLOOKUP(B84,CrossTabYitraLeTkufa_after_2000!$D$6:$AB$100,17,FALSE),0)</f>
        <v>0</v>
      </c>
      <c r="AK84" s="5">
        <f t="shared" si="57"/>
        <v>0</v>
      </c>
      <c r="AN84">
        <f>IFERROR(VLOOKUP(B84,PirteiKisuiBeMutzar_procerur!$C$6:$AA$100,2,FALSE),0)</f>
        <v>0</v>
      </c>
      <c r="AP84">
        <f>IFERROR(VLOOKUP($B84,PirteiKisuiBeMutzar_procerur!$C$6:$AA$100,5,FALSE),0)</f>
        <v>0</v>
      </c>
      <c r="AQ84">
        <f>IFERROR(VLOOKUP($B84,PirteiKisuiBeMutzar_procerur!$C$6:$AA$100,3,FALSE),0)</f>
        <v>0</v>
      </c>
      <c r="AR84">
        <f>IFERROR(VLOOKUP($B84,PirteiKisuiBeMutzar_procerur!$C$6:$AA$100,6,FALSE),0)</f>
        <v>0</v>
      </c>
      <c r="AS84">
        <f>IFERROR(VLOOKUP($B84,PirteiKisuiBeMutzar_procerur!$C$6:$AA$100,7,FALSE),0)</f>
        <v>0</v>
      </c>
      <c r="AW84">
        <f t="shared" si="58"/>
        <v>0</v>
      </c>
      <c r="AX84">
        <f t="shared" si="59"/>
        <v>0</v>
      </c>
      <c r="AY84">
        <f t="shared" si="60"/>
        <v>0</v>
      </c>
      <c r="AZ84">
        <f t="shared" si="61"/>
        <v>0</v>
      </c>
      <c r="BA84">
        <f t="shared" si="62"/>
        <v>0</v>
      </c>
      <c r="BB84">
        <f t="shared" si="63"/>
        <v>0</v>
      </c>
      <c r="BC84">
        <f t="shared" si="64"/>
        <v>0</v>
      </c>
      <c r="BD84">
        <f t="shared" si="65"/>
        <v>0</v>
      </c>
      <c r="BE84">
        <f t="shared" si="66"/>
        <v>0</v>
      </c>
      <c r="BF84">
        <f t="shared" si="67"/>
        <v>0</v>
      </c>
      <c r="BG84">
        <f t="shared" si="68"/>
        <v>0</v>
      </c>
      <c r="BH84">
        <f t="shared" si="69"/>
        <v>0</v>
      </c>
      <c r="BI84">
        <f t="shared" si="70"/>
        <v>0</v>
      </c>
      <c r="BK84">
        <f t="shared" si="71"/>
        <v>0</v>
      </c>
      <c r="BL84">
        <f t="shared" si="72"/>
        <v>0</v>
      </c>
      <c r="BM84">
        <f t="shared" si="73"/>
        <v>0</v>
      </c>
      <c r="BN84">
        <f t="shared" si="74"/>
        <v>0</v>
      </c>
      <c r="BO84">
        <f t="shared" si="75"/>
        <v>0</v>
      </c>
      <c r="BR84">
        <f t="shared" si="76"/>
        <v>0</v>
      </c>
      <c r="BS84">
        <f t="shared" si="77"/>
        <v>0</v>
      </c>
      <c r="BT84">
        <f t="shared" si="78"/>
        <v>0</v>
      </c>
      <c r="BU84">
        <f t="shared" si="79"/>
        <v>0</v>
      </c>
      <c r="BV84">
        <f t="shared" si="80"/>
        <v>0</v>
      </c>
      <c r="BX84">
        <f t="shared" si="81"/>
        <v>0</v>
      </c>
      <c r="BY84">
        <f t="shared" si="82"/>
        <v>0</v>
      </c>
      <c r="BZ84">
        <f t="shared" si="83"/>
        <v>0</v>
      </c>
      <c r="CA84">
        <f t="shared" si="84"/>
        <v>0</v>
      </c>
      <c r="CB84">
        <f t="shared" si="85"/>
        <v>0</v>
      </c>
      <c r="CE84">
        <f t="shared" si="86"/>
        <v>0</v>
      </c>
      <c r="CF84">
        <f t="shared" si="87"/>
        <v>0</v>
      </c>
      <c r="CG84">
        <f t="shared" si="88"/>
        <v>0</v>
      </c>
      <c r="CH84">
        <f t="shared" si="89"/>
        <v>0</v>
      </c>
      <c r="CI84">
        <f t="shared" si="90"/>
        <v>0</v>
      </c>
      <c r="CL84">
        <f t="shared" si="91"/>
        <v>0</v>
      </c>
      <c r="CM84">
        <f t="shared" si="92"/>
        <v>0</v>
      </c>
      <c r="CN84">
        <f t="shared" si="93"/>
        <v>0</v>
      </c>
      <c r="CO84">
        <f t="shared" si="94"/>
        <v>0</v>
      </c>
      <c r="CP84">
        <f t="shared" si="95"/>
        <v>0</v>
      </c>
      <c r="CQ84">
        <f>IFERROR(VLOOKUP($B84,SchumeiBituahYesodi!$C$6:$AA$100,8,FALSE),0)</f>
        <v>0</v>
      </c>
      <c r="CR84">
        <f>IFERROR(VLOOKUP($B84,PirteiKisuiBeMutzar_procerur!$C$6:$AA$100,2,FALSE),0)</f>
        <v>0</v>
      </c>
      <c r="CS84">
        <f>IFERROR(VLOOKUP($B84,PirteiKisuiBeMutzar_procerur!$C$6:$AA$100,3,FALSE),0)</f>
        <v>0</v>
      </c>
      <c r="CT84">
        <f>IFERROR(VLOOKUP($B84,PirteiKisuiBeMutzar_procerur!$C$6:$AA$100,4,FALSE),0)</f>
        <v>0</v>
      </c>
      <c r="CU84">
        <f>IFERROR(VLOOKUP($B84,PirteiKisuiBeMutzar_procerur!$C$6:$AA$100,5,FALSE),0)</f>
        <v>0</v>
      </c>
      <c r="CV84">
        <f>IFERROR(VLOOKUP($B84,PirteiKisuiBeMutzar_procerur!$C$6:$AA$100,6,FALSE),0)</f>
        <v>0</v>
      </c>
      <c r="CW84">
        <f>IFERROR(VLOOKUP($B84,PirteiKisuiBeMutzar_procerur!$C$6:$AA$100,7,FALSE),0)</f>
        <v>0</v>
      </c>
      <c r="CX84">
        <f>IFERROR(VLOOKUP($B84,PirteiKisuiBeMutzar_procerur!$C$6:$AA$100,8,FALSE),0)</f>
        <v>0</v>
      </c>
      <c r="CY84">
        <f>IFERROR(VLOOKUP($B84,PirteiKisuiBeMutzar_procerur!$C$6:$AA$100,9,FALSE),0)</f>
        <v>0</v>
      </c>
      <c r="CZ84">
        <f>IFERROR(VLOOKUP($B84,PirteiKisuiBeMutzar_procerur!$C$6:$AA$100,10,FALSE),0)</f>
        <v>0</v>
      </c>
      <c r="DA84">
        <f>IFERROR(VLOOKUP($B84,PirteiKisuiBeMutzar_procerur!$C$6:$AA$100,11,FALSE),0)</f>
        <v>0</v>
      </c>
      <c r="DB84">
        <f>IFERROR(VLOOKUP($B84,PirteiKisuiBeMutzarPrmia!$C$6:$AA$100,2,FALSE),0)</f>
        <v>0</v>
      </c>
      <c r="DC84">
        <f>IFERROR(VLOOKUP($B84,PirteiKisuiBeMutzarPrmia!$C$6:$AA$100,3,FALSE),0)</f>
        <v>0</v>
      </c>
      <c r="DD84">
        <f>IFERROR(VLOOKUP($B84,PirteiKisuiBeMutzarPrmia!$C$6:$AA$100,4,FALSE),0)</f>
        <v>0</v>
      </c>
      <c r="DE84">
        <f>IFERROR(VLOOKUP($B84,PirteiKisuiBeMutzarPrmia!$C$6:$AA$100,5,FALSE),0)</f>
        <v>0</v>
      </c>
      <c r="DF84">
        <f>IFERROR(VLOOKUP($B84,PirteiKisuiBeMutzarPrmia!$C$6:$AA$100,6,FALSE),0)</f>
        <v>0</v>
      </c>
      <c r="DG84">
        <f>IFERROR(VLOOKUP($B84,PirteiKisuiBeMutzarPrmia!$C$6:$AA$100,7,FALSE),0)</f>
        <v>0</v>
      </c>
      <c r="DH84">
        <f>IFERROR(VLOOKUP($B84,PirteiKisuiBeMutzarPrmia!$C$6:$AA$100,8,FALSE),0)</f>
        <v>0</v>
      </c>
      <c r="DI84">
        <f>IFERROR(VLOOKUP($B84,PirteiKisuiBeMutzarPrmia!$C$6:$AA$100,9,FALSE),0)</f>
        <v>0</v>
      </c>
      <c r="DJ84">
        <f>IFERROR(VLOOKUP($B84,PirteiKisuiBeMutzarPrmia!$C$6:$AA$100,10,FALSE),0)</f>
        <v>0</v>
      </c>
      <c r="DK84">
        <f>IFERROR(VLOOKUP($B84,PirteiKisuiBeMutzarPrmia!$C$6:$AA$100,11,FALSE),0)</f>
        <v>0</v>
      </c>
      <c r="DL84">
        <f t="shared" si="96"/>
        <v>0</v>
      </c>
      <c r="DM84">
        <f t="shared" si="97"/>
        <v>0</v>
      </c>
      <c r="DN84">
        <f t="shared" si="98"/>
        <v>0</v>
      </c>
      <c r="DO84">
        <f t="shared" si="52"/>
        <v>0</v>
      </c>
      <c r="DP84">
        <f t="shared" si="53"/>
        <v>0</v>
      </c>
      <c r="DQ84">
        <f>IF(OR(L84=1,L84=3),IFERROR(VLOOKUP($B84,PerutHafkadotMetchilatShanaAvgM!$C$6:$G$100,3,FALSE),0),0)</f>
        <v>0</v>
      </c>
      <c r="DR84">
        <f>IF(OR(L84=2,L84=4),IFERROR(VLOOKUP($B84,PerutHafkadotMetchilatShanaAvgM!$C$6:$G$100,3,FALSE),0),0)</f>
        <v>0</v>
      </c>
      <c r="DS84">
        <f>IFERROR(VLOOKUP($B84,PerutHafkadotMetchilatShanaAvgM!$C$6:$G$100,4,FALSE),0)</f>
        <v>0</v>
      </c>
      <c r="DT84">
        <f>IFERROR(VLOOKUP($B84,Kupa!$D$6:$AA$100,5,FALSE),0)</f>
        <v>0</v>
      </c>
      <c r="DU84">
        <f>IFERROR(VLOOKUP($B84,Kupa!$D$6:$AA$100,6,FALSE),0)</f>
        <v>0</v>
      </c>
      <c r="DV84">
        <f>IFERROR(VLOOKUP($B84,KisuiBKerenPensiaDBWithParams!$D$6:$AP$100,9,FALSE),0)</f>
        <v>0</v>
      </c>
      <c r="DW84">
        <f>IFERROR(VLOOKUP($B84,KisuiBKerenPensiaDBWithParams!$D$6:$AP$100,12,FALSE),0)</f>
        <v>0</v>
      </c>
      <c r="DX84">
        <f>IFERROR(VLOOKUP($B84,KisuiBKerenPensiaDBWithParams!$D$6:$AP$100,13,FALSE),0)</f>
        <v>0</v>
      </c>
      <c r="DY84">
        <f>IFERROR(VLOOKUP($B84,KisuiBKerenPensiaDBWithParams!$D$6:$AP$100,7,FALSE),0)</f>
        <v>0</v>
      </c>
      <c r="DZ84">
        <f>IFERROR(VLOOKUP($B84,KisuiBKerenPensiaDBWithParams!$D$6:$AP$100,17,FALSE),0)</f>
        <v>0</v>
      </c>
      <c r="EA84">
        <f>IFERROR(VLOOKUP($B84,KisuiBKerenPensiaDBWithParams!$D$6:$AP$100,20,FALSE),0)</f>
        <v>0</v>
      </c>
      <c r="EB84">
        <f>IFERROR(VLOOKUP($B84,KisuiBKerenPensiaDBWithParams!$D$6:$AP$100,21,FALSE),0)</f>
        <v>0</v>
      </c>
      <c r="EC84">
        <f t="shared" si="99"/>
        <v>0</v>
      </c>
      <c r="EG84">
        <f>IF(OR(G84=MyData!$J$50,G84=MyData!$J$51,G84=MyData!$J$52),1,IF(G84=MyData!$J$49,2,0))</f>
        <v>0</v>
      </c>
    </row>
    <row r="85" spans="1:137">
      <c r="A85">
        <f t="shared" si="100"/>
        <v>0</v>
      </c>
      <c r="B85" s="20">
        <f>RicusPolice!E82</f>
        <v>0</v>
      </c>
      <c r="C85" s="20">
        <f>RicusPolice!AL82</f>
        <v>0</v>
      </c>
      <c r="D85" s="20">
        <f>RicusPolice!F82</f>
        <v>0</v>
      </c>
      <c r="E85" s="20">
        <f>RicusPolice!R82</f>
        <v>0</v>
      </c>
      <c r="F85" s="20">
        <f>RicusPolice!N82</f>
        <v>0</v>
      </c>
      <c r="G85" s="20">
        <f>IFERROR(VLOOKUP($B85,PerutYitrot!$D$6:$P$100,4,FALSE),0)</f>
        <v>0</v>
      </c>
      <c r="H85" s="20">
        <f t="shared" si="54"/>
        <v>0</v>
      </c>
      <c r="I85" s="20">
        <f>RicusPolice!L82</f>
        <v>0</v>
      </c>
      <c r="J85" s="179">
        <f>IFERROR(VLOOKUP(TRIM(K85),MyData!$J$43:$K$49,2,FALSE),0)</f>
        <v>0</v>
      </c>
      <c r="K85" s="20">
        <f>RicusPolice!M82</f>
        <v>0</v>
      </c>
      <c r="L85" s="20">
        <f>RicusPolice!AM82</f>
        <v>0</v>
      </c>
      <c r="M85" s="20" t="str">
        <f>IF(B85&gt;0,RicusPolice!Y82," ")</f>
        <v xml:space="preserve"> </v>
      </c>
      <c r="N85" s="20" t="str">
        <f t="shared" si="55"/>
        <v/>
      </c>
      <c r="O85" s="20">
        <f>RicusPolice!N82</f>
        <v>0</v>
      </c>
      <c r="P85" s="20">
        <f>IFERROR(VLOOKUP(B85,PerutMasluleiHashkaa!$D$6:$R$100,4,FALSE),0)</f>
        <v>0</v>
      </c>
      <c r="Q85" s="19"/>
      <c r="R85" s="20">
        <f>RicusPolice!P82</f>
        <v>0</v>
      </c>
      <c r="S85" s="20"/>
      <c r="T85" s="21">
        <f>'נתונים ידניים'!H85</f>
        <v>0</v>
      </c>
      <c r="U85" s="21"/>
      <c r="V85" s="20">
        <f>PerutHafrashotLePolisa!E82</f>
        <v>0</v>
      </c>
      <c r="W85" s="20">
        <f>PerutHafrashotLePolisa!F82</f>
        <v>0</v>
      </c>
      <c r="X85" s="20">
        <f>PerutHafrashotLePolisa!G82</f>
        <v>0</v>
      </c>
      <c r="Y85">
        <f t="shared" si="56"/>
        <v>0</v>
      </c>
      <c r="Z85">
        <f>IFERROR(VLOOKUP(B85,PirteiHaasaka!$D$6:$R$100,5,FALSE),0)</f>
        <v>0</v>
      </c>
      <c r="AB85">
        <f>IFERROR(VLOOKUP(B85,HafkadotMetchilatShanaAverages!$D$6:$E$100,2,FALSE),0)</f>
        <v>0</v>
      </c>
      <c r="AF85">
        <f>IFERROR(VLOOKUP(B85,CrossTabYitraLeTkufa_till_2000!$D$6:$AB$100,6,FALSE),0)+IFERROR(VLOOKUP(B85,CrossTabYitraLeTkufa_after_2000!$D$6:$AB$100,6,FALSE),0)</f>
        <v>0</v>
      </c>
      <c r="AG85">
        <f>IFERROR(VLOOKUP(B85,CrossTabYitraLeTkufa_till_2000!$D$6:$AB$100,16,FALSE),0)</f>
        <v>0</v>
      </c>
      <c r="AH85">
        <f>IFERROR(VLOOKUP(B85,CrossTabYitraLeTkufa_after_2000!$D$6:$AB$100,16,FALSE),0)</f>
        <v>0</v>
      </c>
      <c r="AI85">
        <f>IFERROR(VLOOKUP(B85,CrossTabYitraLeTkufa_till_2000!$D$6:$AB$100,17,FALSE),0)</f>
        <v>0</v>
      </c>
      <c r="AJ85">
        <f>IFERROR(VLOOKUP(B85,CrossTabYitraLeTkufa_after_2000!$D$6:$AB$100,17,FALSE),0)</f>
        <v>0</v>
      </c>
      <c r="AK85" s="5">
        <f t="shared" si="57"/>
        <v>0</v>
      </c>
      <c r="AN85">
        <f>IFERROR(VLOOKUP(B85,PirteiKisuiBeMutzar_procerur!$C$6:$AA$100,2,FALSE),0)</f>
        <v>0</v>
      </c>
      <c r="AP85">
        <f>IFERROR(VLOOKUP($B85,PirteiKisuiBeMutzar_procerur!$C$6:$AA$100,5,FALSE),0)</f>
        <v>0</v>
      </c>
      <c r="AQ85">
        <f>IFERROR(VLOOKUP($B85,PirteiKisuiBeMutzar_procerur!$C$6:$AA$100,3,FALSE),0)</f>
        <v>0</v>
      </c>
      <c r="AR85">
        <f>IFERROR(VLOOKUP($B85,PirteiKisuiBeMutzar_procerur!$C$6:$AA$100,6,FALSE),0)</f>
        <v>0</v>
      </c>
      <c r="AS85">
        <f>IFERROR(VLOOKUP($B85,PirteiKisuiBeMutzar_procerur!$C$6:$AA$100,7,FALSE),0)</f>
        <v>0</v>
      </c>
      <c r="AW85">
        <f t="shared" si="58"/>
        <v>0</v>
      </c>
      <c r="AX85">
        <f t="shared" si="59"/>
        <v>0</v>
      </c>
      <c r="AY85">
        <f t="shared" si="60"/>
        <v>0</v>
      </c>
      <c r="AZ85">
        <f t="shared" si="61"/>
        <v>0</v>
      </c>
      <c r="BA85">
        <f t="shared" si="62"/>
        <v>0</v>
      </c>
      <c r="BB85">
        <f t="shared" si="63"/>
        <v>0</v>
      </c>
      <c r="BC85">
        <f t="shared" si="64"/>
        <v>0</v>
      </c>
      <c r="BD85">
        <f t="shared" si="65"/>
        <v>0</v>
      </c>
      <c r="BE85">
        <f t="shared" si="66"/>
        <v>0</v>
      </c>
      <c r="BF85">
        <f t="shared" si="67"/>
        <v>0</v>
      </c>
      <c r="BG85">
        <f t="shared" si="68"/>
        <v>0</v>
      </c>
      <c r="BH85">
        <f t="shared" si="69"/>
        <v>0</v>
      </c>
      <c r="BI85">
        <f t="shared" si="70"/>
        <v>0</v>
      </c>
      <c r="BK85">
        <f t="shared" si="71"/>
        <v>0</v>
      </c>
      <c r="BL85">
        <f t="shared" si="72"/>
        <v>0</v>
      </c>
      <c r="BM85">
        <f t="shared" si="73"/>
        <v>0</v>
      </c>
      <c r="BN85">
        <f t="shared" si="74"/>
        <v>0</v>
      </c>
      <c r="BO85">
        <f t="shared" si="75"/>
        <v>0</v>
      </c>
      <c r="BR85">
        <f t="shared" si="76"/>
        <v>0</v>
      </c>
      <c r="BS85">
        <f t="shared" si="77"/>
        <v>0</v>
      </c>
      <c r="BT85">
        <f t="shared" si="78"/>
        <v>0</v>
      </c>
      <c r="BU85">
        <f t="shared" si="79"/>
        <v>0</v>
      </c>
      <c r="BV85">
        <f t="shared" si="80"/>
        <v>0</v>
      </c>
      <c r="BX85">
        <f t="shared" si="81"/>
        <v>0</v>
      </c>
      <c r="BY85">
        <f t="shared" si="82"/>
        <v>0</v>
      </c>
      <c r="BZ85">
        <f t="shared" si="83"/>
        <v>0</v>
      </c>
      <c r="CA85">
        <f t="shared" si="84"/>
        <v>0</v>
      </c>
      <c r="CB85">
        <f t="shared" si="85"/>
        <v>0</v>
      </c>
      <c r="CE85">
        <f t="shared" si="86"/>
        <v>0</v>
      </c>
      <c r="CF85">
        <f t="shared" si="87"/>
        <v>0</v>
      </c>
      <c r="CG85">
        <f t="shared" si="88"/>
        <v>0</v>
      </c>
      <c r="CH85">
        <f t="shared" si="89"/>
        <v>0</v>
      </c>
      <c r="CI85">
        <f t="shared" si="90"/>
        <v>0</v>
      </c>
      <c r="CL85">
        <f t="shared" si="91"/>
        <v>0</v>
      </c>
      <c r="CM85">
        <f t="shared" si="92"/>
        <v>0</v>
      </c>
      <c r="CN85">
        <f t="shared" si="93"/>
        <v>0</v>
      </c>
      <c r="CO85">
        <f t="shared" si="94"/>
        <v>0</v>
      </c>
      <c r="CP85">
        <f t="shared" si="95"/>
        <v>0</v>
      </c>
      <c r="CQ85">
        <f>IFERROR(VLOOKUP($B85,SchumeiBituahYesodi!$C$6:$AA$100,8,FALSE),0)</f>
        <v>0</v>
      </c>
      <c r="CR85">
        <f>IFERROR(VLOOKUP($B85,PirteiKisuiBeMutzar_procerur!$C$6:$AA$100,2,FALSE),0)</f>
        <v>0</v>
      </c>
      <c r="CS85">
        <f>IFERROR(VLOOKUP($B85,PirteiKisuiBeMutzar_procerur!$C$6:$AA$100,3,FALSE),0)</f>
        <v>0</v>
      </c>
      <c r="CT85">
        <f>IFERROR(VLOOKUP($B85,PirteiKisuiBeMutzar_procerur!$C$6:$AA$100,4,FALSE),0)</f>
        <v>0</v>
      </c>
      <c r="CU85">
        <f>IFERROR(VLOOKUP($B85,PirteiKisuiBeMutzar_procerur!$C$6:$AA$100,5,FALSE),0)</f>
        <v>0</v>
      </c>
      <c r="CV85">
        <f>IFERROR(VLOOKUP($B85,PirteiKisuiBeMutzar_procerur!$C$6:$AA$100,6,FALSE),0)</f>
        <v>0</v>
      </c>
      <c r="CW85">
        <f>IFERROR(VLOOKUP($B85,PirteiKisuiBeMutzar_procerur!$C$6:$AA$100,7,FALSE),0)</f>
        <v>0</v>
      </c>
      <c r="CX85">
        <f>IFERROR(VLOOKUP($B85,PirteiKisuiBeMutzar_procerur!$C$6:$AA$100,8,FALSE),0)</f>
        <v>0</v>
      </c>
      <c r="CY85">
        <f>IFERROR(VLOOKUP($B85,PirteiKisuiBeMutzar_procerur!$C$6:$AA$100,9,FALSE),0)</f>
        <v>0</v>
      </c>
      <c r="CZ85">
        <f>IFERROR(VLOOKUP($B85,PirteiKisuiBeMutzar_procerur!$C$6:$AA$100,10,FALSE),0)</f>
        <v>0</v>
      </c>
      <c r="DA85">
        <f>IFERROR(VLOOKUP($B85,PirteiKisuiBeMutzar_procerur!$C$6:$AA$100,11,FALSE),0)</f>
        <v>0</v>
      </c>
      <c r="DB85">
        <f>IFERROR(VLOOKUP($B85,PirteiKisuiBeMutzarPrmia!$C$6:$AA$100,2,FALSE),0)</f>
        <v>0</v>
      </c>
      <c r="DC85">
        <f>IFERROR(VLOOKUP($B85,PirteiKisuiBeMutzarPrmia!$C$6:$AA$100,3,FALSE),0)</f>
        <v>0</v>
      </c>
      <c r="DD85">
        <f>IFERROR(VLOOKUP($B85,PirteiKisuiBeMutzarPrmia!$C$6:$AA$100,4,FALSE),0)</f>
        <v>0</v>
      </c>
      <c r="DE85">
        <f>IFERROR(VLOOKUP($B85,PirteiKisuiBeMutzarPrmia!$C$6:$AA$100,5,FALSE),0)</f>
        <v>0</v>
      </c>
      <c r="DF85">
        <f>IFERROR(VLOOKUP($B85,PirteiKisuiBeMutzarPrmia!$C$6:$AA$100,6,FALSE),0)</f>
        <v>0</v>
      </c>
      <c r="DG85">
        <f>IFERROR(VLOOKUP($B85,PirteiKisuiBeMutzarPrmia!$C$6:$AA$100,7,FALSE),0)</f>
        <v>0</v>
      </c>
      <c r="DH85">
        <f>IFERROR(VLOOKUP($B85,PirteiKisuiBeMutzarPrmia!$C$6:$AA$100,8,FALSE),0)</f>
        <v>0</v>
      </c>
      <c r="DI85">
        <f>IFERROR(VLOOKUP($B85,PirteiKisuiBeMutzarPrmia!$C$6:$AA$100,9,FALSE),0)</f>
        <v>0</v>
      </c>
      <c r="DJ85">
        <f>IFERROR(VLOOKUP($B85,PirteiKisuiBeMutzarPrmia!$C$6:$AA$100,10,FALSE),0)</f>
        <v>0</v>
      </c>
      <c r="DK85">
        <f>IFERROR(VLOOKUP($B85,PirteiKisuiBeMutzarPrmia!$C$6:$AA$100,11,FALSE),0)</f>
        <v>0</v>
      </c>
      <c r="DL85">
        <f t="shared" si="96"/>
        <v>0</v>
      </c>
      <c r="DM85">
        <f t="shared" si="97"/>
        <v>0</v>
      </c>
      <c r="DN85">
        <f t="shared" si="98"/>
        <v>0</v>
      </c>
      <c r="DO85">
        <f t="shared" si="52"/>
        <v>0</v>
      </c>
      <c r="DP85">
        <f t="shared" si="53"/>
        <v>0</v>
      </c>
      <c r="DQ85">
        <f>IF(OR(L85=1,L85=3),IFERROR(VLOOKUP($B85,PerutHafkadotMetchilatShanaAvgM!$C$6:$G$100,3,FALSE),0),0)</f>
        <v>0</v>
      </c>
      <c r="DR85">
        <f>IF(OR(L85=2,L85=4),IFERROR(VLOOKUP($B85,PerutHafkadotMetchilatShanaAvgM!$C$6:$G$100,3,FALSE),0),0)</f>
        <v>0</v>
      </c>
      <c r="DS85">
        <f>IFERROR(VLOOKUP($B85,PerutHafkadotMetchilatShanaAvgM!$C$6:$G$100,4,FALSE),0)</f>
        <v>0</v>
      </c>
      <c r="DT85">
        <f>IFERROR(VLOOKUP($B85,Kupa!$D$6:$AA$100,5,FALSE),0)</f>
        <v>0</v>
      </c>
      <c r="DU85">
        <f>IFERROR(VLOOKUP($B85,Kupa!$D$6:$AA$100,6,FALSE),0)</f>
        <v>0</v>
      </c>
      <c r="DV85">
        <f>IFERROR(VLOOKUP($B85,KisuiBKerenPensiaDBWithParams!$D$6:$AP$100,9,FALSE),0)</f>
        <v>0</v>
      </c>
      <c r="DW85">
        <f>IFERROR(VLOOKUP($B85,KisuiBKerenPensiaDBWithParams!$D$6:$AP$100,12,FALSE),0)</f>
        <v>0</v>
      </c>
      <c r="DX85">
        <f>IFERROR(VLOOKUP($B85,KisuiBKerenPensiaDBWithParams!$D$6:$AP$100,13,FALSE),0)</f>
        <v>0</v>
      </c>
      <c r="DY85">
        <f>IFERROR(VLOOKUP($B85,KisuiBKerenPensiaDBWithParams!$D$6:$AP$100,7,FALSE),0)</f>
        <v>0</v>
      </c>
      <c r="DZ85">
        <f>IFERROR(VLOOKUP($B85,KisuiBKerenPensiaDBWithParams!$D$6:$AP$100,17,FALSE),0)</f>
        <v>0</v>
      </c>
      <c r="EA85">
        <f>IFERROR(VLOOKUP($B85,KisuiBKerenPensiaDBWithParams!$D$6:$AP$100,20,FALSE),0)</f>
        <v>0</v>
      </c>
      <c r="EB85">
        <f>IFERROR(VLOOKUP($B85,KisuiBKerenPensiaDBWithParams!$D$6:$AP$100,21,FALSE),0)</f>
        <v>0</v>
      </c>
      <c r="EC85">
        <f t="shared" si="99"/>
        <v>0</v>
      </c>
      <c r="EG85">
        <f>IF(OR(G85=MyData!$J$50,G85=MyData!$J$51,G85=MyData!$J$52),1,IF(G85=MyData!$J$49,2,0))</f>
        <v>0</v>
      </c>
    </row>
    <row r="86" spans="1:137">
      <c r="A86">
        <f t="shared" si="100"/>
        <v>0</v>
      </c>
      <c r="B86" s="20">
        <f>RicusPolice!E83</f>
        <v>0</v>
      </c>
      <c r="C86" s="20">
        <f>RicusPolice!AL83</f>
        <v>0</v>
      </c>
      <c r="D86" s="20">
        <f>RicusPolice!F83</f>
        <v>0</v>
      </c>
      <c r="E86" s="20">
        <f>RicusPolice!R83</f>
        <v>0</v>
      </c>
      <c r="F86" s="20">
        <f>RicusPolice!N83</f>
        <v>0</v>
      </c>
      <c r="G86" s="20">
        <f>IFERROR(VLOOKUP($B86,PerutYitrot!$D$6:$P$100,4,FALSE),0)</f>
        <v>0</v>
      </c>
      <c r="H86" s="20">
        <f t="shared" si="54"/>
        <v>0</v>
      </c>
      <c r="I86" s="20">
        <f>RicusPolice!L83</f>
        <v>0</v>
      </c>
      <c r="J86" s="179">
        <f>IFERROR(VLOOKUP(TRIM(K86),MyData!$J$43:$K$49,2,FALSE),0)</f>
        <v>0</v>
      </c>
      <c r="K86" s="20">
        <f>RicusPolice!M83</f>
        <v>0</v>
      </c>
      <c r="L86" s="20">
        <f>RicusPolice!AM83</f>
        <v>0</v>
      </c>
      <c r="M86" s="20" t="str">
        <f>IF(B86&gt;0,RicusPolice!Y83," ")</f>
        <v xml:space="preserve"> </v>
      </c>
      <c r="N86" s="20" t="str">
        <f t="shared" si="55"/>
        <v/>
      </c>
      <c r="O86" s="20">
        <f>RicusPolice!N83</f>
        <v>0</v>
      </c>
      <c r="P86" s="20">
        <f>IFERROR(VLOOKUP(B86,PerutMasluleiHashkaa!$D$6:$R$100,4,FALSE),0)</f>
        <v>0</v>
      </c>
      <c r="Q86" s="19"/>
      <c r="R86" s="20">
        <f>RicusPolice!P83</f>
        <v>0</v>
      </c>
      <c r="S86" s="20"/>
      <c r="T86" s="21">
        <f>'נתונים ידניים'!H86</f>
        <v>0</v>
      </c>
      <c r="U86" s="21"/>
      <c r="V86" s="20">
        <f>PerutHafrashotLePolisa!E83</f>
        <v>0</v>
      </c>
      <c r="W86" s="20">
        <f>PerutHafrashotLePolisa!F83</f>
        <v>0</v>
      </c>
      <c r="X86" s="20">
        <f>PerutHafrashotLePolisa!G83</f>
        <v>0</v>
      </c>
      <c r="Y86">
        <f t="shared" si="56"/>
        <v>0</v>
      </c>
      <c r="Z86">
        <f>IFERROR(VLOOKUP(B86,PirteiHaasaka!$D$6:$R$100,5,FALSE),0)</f>
        <v>0</v>
      </c>
      <c r="AB86">
        <f>IFERROR(VLOOKUP(B86,HafkadotMetchilatShanaAverages!$D$6:$E$100,2,FALSE),0)</f>
        <v>0</v>
      </c>
      <c r="AF86">
        <f>IFERROR(VLOOKUP(B86,CrossTabYitraLeTkufa_till_2000!$D$6:$AB$100,6,FALSE),0)+IFERROR(VLOOKUP(B86,CrossTabYitraLeTkufa_after_2000!$D$6:$AB$100,6,FALSE),0)</f>
        <v>0</v>
      </c>
      <c r="AG86">
        <f>IFERROR(VLOOKUP(B86,CrossTabYitraLeTkufa_till_2000!$D$6:$AB$100,16,FALSE),0)</f>
        <v>0</v>
      </c>
      <c r="AH86">
        <f>IFERROR(VLOOKUP(B86,CrossTabYitraLeTkufa_after_2000!$D$6:$AB$100,16,FALSE),0)</f>
        <v>0</v>
      </c>
      <c r="AI86">
        <f>IFERROR(VLOOKUP(B86,CrossTabYitraLeTkufa_till_2000!$D$6:$AB$100,17,FALSE),0)</f>
        <v>0</v>
      </c>
      <c r="AJ86">
        <f>IFERROR(VLOOKUP(B86,CrossTabYitraLeTkufa_after_2000!$D$6:$AB$100,17,FALSE),0)</f>
        <v>0</v>
      </c>
      <c r="AK86" s="5">
        <f t="shared" si="57"/>
        <v>0</v>
      </c>
      <c r="AN86">
        <f>IFERROR(VLOOKUP(B86,PirteiKisuiBeMutzar_procerur!$C$6:$AA$100,2,FALSE),0)</f>
        <v>0</v>
      </c>
      <c r="AP86">
        <f>IFERROR(VLOOKUP($B86,PirteiKisuiBeMutzar_procerur!$C$6:$AA$100,5,FALSE),0)</f>
        <v>0</v>
      </c>
      <c r="AQ86">
        <f>IFERROR(VLOOKUP($B86,PirteiKisuiBeMutzar_procerur!$C$6:$AA$100,3,FALSE),0)</f>
        <v>0</v>
      </c>
      <c r="AR86">
        <f>IFERROR(VLOOKUP($B86,PirteiKisuiBeMutzar_procerur!$C$6:$AA$100,6,FALSE),0)</f>
        <v>0</v>
      </c>
      <c r="AS86">
        <f>IFERROR(VLOOKUP($B86,PirteiKisuiBeMutzar_procerur!$C$6:$AA$100,7,FALSE),0)</f>
        <v>0</v>
      </c>
      <c r="AW86">
        <f t="shared" si="58"/>
        <v>0</v>
      </c>
      <c r="AX86">
        <f t="shared" si="59"/>
        <v>0</v>
      </c>
      <c r="AY86">
        <f t="shared" si="60"/>
        <v>0</v>
      </c>
      <c r="AZ86">
        <f t="shared" si="61"/>
        <v>0</v>
      </c>
      <c r="BA86">
        <f t="shared" si="62"/>
        <v>0</v>
      </c>
      <c r="BB86">
        <f t="shared" si="63"/>
        <v>0</v>
      </c>
      <c r="BC86">
        <f t="shared" si="64"/>
        <v>0</v>
      </c>
      <c r="BD86">
        <f t="shared" si="65"/>
        <v>0</v>
      </c>
      <c r="BE86">
        <f t="shared" si="66"/>
        <v>0</v>
      </c>
      <c r="BF86">
        <f t="shared" si="67"/>
        <v>0</v>
      </c>
      <c r="BG86">
        <f t="shared" si="68"/>
        <v>0</v>
      </c>
      <c r="BH86">
        <f t="shared" si="69"/>
        <v>0</v>
      </c>
      <c r="BI86">
        <f t="shared" si="70"/>
        <v>0</v>
      </c>
      <c r="BK86">
        <f t="shared" si="71"/>
        <v>0</v>
      </c>
      <c r="BL86">
        <f t="shared" si="72"/>
        <v>0</v>
      </c>
      <c r="BM86">
        <f t="shared" si="73"/>
        <v>0</v>
      </c>
      <c r="BN86">
        <f t="shared" si="74"/>
        <v>0</v>
      </c>
      <c r="BO86">
        <f t="shared" si="75"/>
        <v>0</v>
      </c>
      <c r="BR86">
        <f t="shared" si="76"/>
        <v>0</v>
      </c>
      <c r="BS86">
        <f t="shared" si="77"/>
        <v>0</v>
      </c>
      <c r="BT86">
        <f t="shared" si="78"/>
        <v>0</v>
      </c>
      <c r="BU86">
        <f t="shared" si="79"/>
        <v>0</v>
      </c>
      <c r="BV86">
        <f t="shared" si="80"/>
        <v>0</v>
      </c>
      <c r="BX86">
        <f t="shared" si="81"/>
        <v>0</v>
      </c>
      <c r="BY86">
        <f t="shared" si="82"/>
        <v>0</v>
      </c>
      <c r="BZ86">
        <f t="shared" si="83"/>
        <v>0</v>
      </c>
      <c r="CA86">
        <f t="shared" si="84"/>
        <v>0</v>
      </c>
      <c r="CB86">
        <f t="shared" si="85"/>
        <v>0</v>
      </c>
      <c r="CE86">
        <f t="shared" si="86"/>
        <v>0</v>
      </c>
      <c r="CF86">
        <f t="shared" si="87"/>
        <v>0</v>
      </c>
      <c r="CG86">
        <f t="shared" si="88"/>
        <v>0</v>
      </c>
      <c r="CH86">
        <f t="shared" si="89"/>
        <v>0</v>
      </c>
      <c r="CI86">
        <f t="shared" si="90"/>
        <v>0</v>
      </c>
      <c r="CL86">
        <f t="shared" si="91"/>
        <v>0</v>
      </c>
      <c r="CM86">
        <f t="shared" si="92"/>
        <v>0</v>
      </c>
      <c r="CN86">
        <f t="shared" si="93"/>
        <v>0</v>
      </c>
      <c r="CO86">
        <f t="shared" si="94"/>
        <v>0</v>
      </c>
      <c r="CP86">
        <f t="shared" si="95"/>
        <v>0</v>
      </c>
      <c r="CQ86">
        <f>IFERROR(VLOOKUP($B86,SchumeiBituahYesodi!$C$6:$AA$100,8,FALSE),0)</f>
        <v>0</v>
      </c>
      <c r="CR86">
        <f>IFERROR(VLOOKUP($B86,PirteiKisuiBeMutzar_procerur!$C$6:$AA$100,2,FALSE),0)</f>
        <v>0</v>
      </c>
      <c r="CS86">
        <f>IFERROR(VLOOKUP($B86,PirteiKisuiBeMutzar_procerur!$C$6:$AA$100,3,FALSE),0)</f>
        <v>0</v>
      </c>
      <c r="CT86">
        <f>IFERROR(VLOOKUP($B86,PirteiKisuiBeMutzar_procerur!$C$6:$AA$100,4,FALSE),0)</f>
        <v>0</v>
      </c>
      <c r="CU86">
        <f>IFERROR(VLOOKUP($B86,PirteiKisuiBeMutzar_procerur!$C$6:$AA$100,5,FALSE),0)</f>
        <v>0</v>
      </c>
      <c r="CV86">
        <f>IFERROR(VLOOKUP($B86,PirteiKisuiBeMutzar_procerur!$C$6:$AA$100,6,FALSE),0)</f>
        <v>0</v>
      </c>
      <c r="CW86">
        <f>IFERROR(VLOOKUP($B86,PirteiKisuiBeMutzar_procerur!$C$6:$AA$100,7,FALSE),0)</f>
        <v>0</v>
      </c>
      <c r="CX86">
        <f>IFERROR(VLOOKUP($B86,PirteiKisuiBeMutzar_procerur!$C$6:$AA$100,8,FALSE),0)</f>
        <v>0</v>
      </c>
      <c r="CY86">
        <f>IFERROR(VLOOKUP($B86,PirteiKisuiBeMutzar_procerur!$C$6:$AA$100,9,FALSE),0)</f>
        <v>0</v>
      </c>
      <c r="CZ86">
        <f>IFERROR(VLOOKUP($B86,PirteiKisuiBeMutzar_procerur!$C$6:$AA$100,10,FALSE),0)</f>
        <v>0</v>
      </c>
      <c r="DA86">
        <f>IFERROR(VLOOKUP($B86,PirteiKisuiBeMutzar_procerur!$C$6:$AA$100,11,FALSE),0)</f>
        <v>0</v>
      </c>
      <c r="DB86">
        <f>IFERROR(VLOOKUP($B86,PirteiKisuiBeMutzarPrmia!$C$6:$AA$100,2,FALSE),0)</f>
        <v>0</v>
      </c>
      <c r="DC86">
        <f>IFERROR(VLOOKUP($B86,PirteiKisuiBeMutzarPrmia!$C$6:$AA$100,3,FALSE),0)</f>
        <v>0</v>
      </c>
      <c r="DD86">
        <f>IFERROR(VLOOKUP($B86,PirteiKisuiBeMutzarPrmia!$C$6:$AA$100,4,FALSE),0)</f>
        <v>0</v>
      </c>
      <c r="DE86">
        <f>IFERROR(VLOOKUP($B86,PirteiKisuiBeMutzarPrmia!$C$6:$AA$100,5,FALSE),0)</f>
        <v>0</v>
      </c>
      <c r="DF86">
        <f>IFERROR(VLOOKUP($B86,PirteiKisuiBeMutzarPrmia!$C$6:$AA$100,6,FALSE),0)</f>
        <v>0</v>
      </c>
      <c r="DG86">
        <f>IFERROR(VLOOKUP($B86,PirteiKisuiBeMutzarPrmia!$C$6:$AA$100,7,FALSE),0)</f>
        <v>0</v>
      </c>
      <c r="DH86">
        <f>IFERROR(VLOOKUP($B86,PirteiKisuiBeMutzarPrmia!$C$6:$AA$100,8,FALSE),0)</f>
        <v>0</v>
      </c>
      <c r="DI86">
        <f>IFERROR(VLOOKUP($B86,PirteiKisuiBeMutzarPrmia!$C$6:$AA$100,9,FALSE),0)</f>
        <v>0</v>
      </c>
      <c r="DJ86">
        <f>IFERROR(VLOOKUP($B86,PirteiKisuiBeMutzarPrmia!$C$6:$AA$100,10,FALSE),0)</f>
        <v>0</v>
      </c>
      <c r="DK86">
        <f>IFERROR(VLOOKUP($B86,PirteiKisuiBeMutzarPrmia!$C$6:$AA$100,11,FALSE),0)</f>
        <v>0</v>
      </c>
      <c r="DL86">
        <f t="shared" si="96"/>
        <v>0</v>
      </c>
      <c r="DM86">
        <f t="shared" si="97"/>
        <v>0</v>
      </c>
      <c r="DN86">
        <f t="shared" si="98"/>
        <v>0</v>
      </c>
      <c r="DO86">
        <f t="shared" si="52"/>
        <v>0</v>
      </c>
      <c r="DP86">
        <f t="shared" si="53"/>
        <v>0</v>
      </c>
      <c r="DQ86">
        <f>IF(OR(L86=1,L86=3),IFERROR(VLOOKUP($B86,PerutHafkadotMetchilatShanaAvgM!$C$6:$G$100,3,FALSE),0),0)</f>
        <v>0</v>
      </c>
      <c r="DR86">
        <f>IF(OR(L86=2,L86=4),IFERROR(VLOOKUP($B86,PerutHafkadotMetchilatShanaAvgM!$C$6:$G$100,3,FALSE),0),0)</f>
        <v>0</v>
      </c>
      <c r="DS86">
        <f>IFERROR(VLOOKUP($B86,PerutHafkadotMetchilatShanaAvgM!$C$6:$G$100,4,FALSE),0)</f>
        <v>0</v>
      </c>
      <c r="DT86">
        <f>IFERROR(VLOOKUP($B86,Kupa!$D$6:$AA$100,5,FALSE),0)</f>
        <v>0</v>
      </c>
      <c r="DU86">
        <f>IFERROR(VLOOKUP($B86,Kupa!$D$6:$AA$100,6,FALSE),0)</f>
        <v>0</v>
      </c>
      <c r="DV86">
        <f>IFERROR(VLOOKUP($B86,KisuiBKerenPensiaDBWithParams!$D$6:$AP$100,9,FALSE),0)</f>
        <v>0</v>
      </c>
      <c r="DW86">
        <f>IFERROR(VLOOKUP($B86,KisuiBKerenPensiaDBWithParams!$D$6:$AP$100,12,FALSE),0)</f>
        <v>0</v>
      </c>
      <c r="DX86">
        <f>IFERROR(VLOOKUP($B86,KisuiBKerenPensiaDBWithParams!$D$6:$AP$100,13,FALSE),0)</f>
        <v>0</v>
      </c>
      <c r="DY86">
        <f>IFERROR(VLOOKUP($B86,KisuiBKerenPensiaDBWithParams!$D$6:$AP$100,7,FALSE),0)</f>
        <v>0</v>
      </c>
      <c r="DZ86">
        <f>IFERROR(VLOOKUP($B86,KisuiBKerenPensiaDBWithParams!$D$6:$AP$100,17,FALSE),0)</f>
        <v>0</v>
      </c>
      <c r="EA86">
        <f>IFERROR(VLOOKUP($B86,KisuiBKerenPensiaDBWithParams!$D$6:$AP$100,20,FALSE),0)</f>
        <v>0</v>
      </c>
      <c r="EB86">
        <f>IFERROR(VLOOKUP($B86,KisuiBKerenPensiaDBWithParams!$D$6:$AP$100,21,FALSE),0)</f>
        <v>0</v>
      </c>
      <c r="EC86">
        <f t="shared" si="99"/>
        <v>0</v>
      </c>
      <c r="EG86">
        <f>IF(OR(G86=MyData!$J$50,G86=MyData!$J$51,G86=MyData!$J$52),1,IF(G86=MyData!$J$49,2,0))</f>
        <v>0</v>
      </c>
    </row>
    <row r="87" spans="1:137">
      <c r="A87">
        <f t="shared" si="100"/>
        <v>0</v>
      </c>
      <c r="B87" s="20">
        <f>RicusPolice!E84</f>
        <v>0</v>
      </c>
      <c r="C87" s="20">
        <f>RicusPolice!AL84</f>
        <v>0</v>
      </c>
      <c r="D87" s="20">
        <f>RicusPolice!F84</f>
        <v>0</v>
      </c>
      <c r="E87" s="20">
        <f>RicusPolice!R84</f>
        <v>0</v>
      </c>
      <c r="F87" s="20">
        <f>RicusPolice!N84</f>
        <v>0</v>
      </c>
      <c r="G87" s="20">
        <f>IFERROR(VLOOKUP($B87,PerutYitrot!$D$6:$P$100,4,FALSE),0)</f>
        <v>0</v>
      </c>
      <c r="H87" s="20">
        <f t="shared" si="54"/>
        <v>0</v>
      </c>
      <c r="I87" s="20">
        <f>RicusPolice!L84</f>
        <v>0</v>
      </c>
      <c r="J87" s="179">
        <f>IFERROR(VLOOKUP(TRIM(K87),MyData!$J$43:$K$49,2,FALSE),0)</f>
        <v>0</v>
      </c>
      <c r="K87" s="20">
        <f>RicusPolice!M84</f>
        <v>0</v>
      </c>
      <c r="L87" s="20">
        <f>RicusPolice!AM84</f>
        <v>0</v>
      </c>
      <c r="M87" s="20" t="str">
        <f>IF(B87&gt;0,RicusPolice!Y84," ")</f>
        <v xml:space="preserve"> </v>
      </c>
      <c r="N87" s="20" t="str">
        <f t="shared" si="55"/>
        <v/>
      </c>
      <c r="O87" s="20">
        <f>RicusPolice!N84</f>
        <v>0</v>
      </c>
      <c r="P87" s="20">
        <f>IFERROR(VLOOKUP(B87,PerutMasluleiHashkaa!$D$6:$R$100,4,FALSE),0)</f>
        <v>0</v>
      </c>
      <c r="Q87" s="19"/>
      <c r="R87" s="20">
        <f>RicusPolice!P84</f>
        <v>0</v>
      </c>
      <c r="S87" s="20"/>
      <c r="T87" s="21">
        <f>'נתונים ידניים'!H87</f>
        <v>0</v>
      </c>
      <c r="U87" s="21"/>
      <c r="V87" s="20">
        <f>PerutHafrashotLePolisa!E84</f>
        <v>0</v>
      </c>
      <c r="W87" s="20">
        <f>PerutHafrashotLePolisa!F84</f>
        <v>0</v>
      </c>
      <c r="X87" s="20">
        <f>PerutHafrashotLePolisa!G84</f>
        <v>0</v>
      </c>
      <c r="Y87">
        <f t="shared" si="56"/>
        <v>0</v>
      </c>
      <c r="Z87">
        <f>IFERROR(VLOOKUP(B87,PirteiHaasaka!$D$6:$R$100,5,FALSE),0)</f>
        <v>0</v>
      </c>
      <c r="AB87">
        <f>IFERROR(VLOOKUP(B87,HafkadotMetchilatShanaAverages!$D$6:$E$100,2,FALSE),0)</f>
        <v>0</v>
      </c>
      <c r="AF87">
        <f>IFERROR(VLOOKUP(B87,CrossTabYitraLeTkufa_till_2000!$D$6:$AB$100,6,FALSE),0)+IFERROR(VLOOKUP(B87,CrossTabYitraLeTkufa_after_2000!$D$6:$AB$100,6,FALSE),0)</f>
        <v>0</v>
      </c>
      <c r="AG87">
        <f>IFERROR(VLOOKUP(B87,CrossTabYitraLeTkufa_till_2000!$D$6:$AB$100,16,FALSE),0)</f>
        <v>0</v>
      </c>
      <c r="AH87">
        <f>IFERROR(VLOOKUP(B87,CrossTabYitraLeTkufa_after_2000!$D$6:$AB$100,16,FALSE),0)</f>
        <v>0</v>
      </c>
      <c r="AI87">
        <f>IFERROR(VLOOKUP(B87,CrossTabYitraLeTkufa_till_2000!$D$6:$AB$100,17,FALSE),0)</f>
        <v>0</v>
      </c>
      <c r="AJ87">
        <f>IFERROR(VLOOKUP(B87,CrossTabYitraLeTkufa_after_2000!$D$6:$AB$100,17,FALSE),0)</f>
        <v>0</v>
      </c>
      <c r="AK87" s="5">
        <f t="shared" si="57"/>
        <v>0</v>
      </c>
      <c r="AN87">
        <f>IFERROR(VLOOKUP(B87,PirteiKisuiBeMutzar_procerur!$C$6:$AA$100,2,FALSE),0)</f>
        <v>0</v>
      </c>
      <c r="AP87">
        <f>IFERROR(VLOOKUP($B87,PirteiKisuiBeMutzar_procerur!$C$6:$AA$100,5,FALSE),0)</f>
        <v>0</v>
      </c>
      <c r="AQ87">
        <f>IFERROR(VLOOKUP($B87,PirteiKisuiBeMutzar_procerur!$C$6:$AA$100,3,FALSE),0)</f>
        <v>0</v>
      </c>
      <c r="AR87">
        <f>IFERROR(VLOOKUP($B87,PirteiKisuiBeMutzar_procerur!$C$6:$AA$100,6,FALSE),0)</f>
        <v>0</v>
      </c>
      <c r="AS87">
        <f>IFERROR(VLOOKUP($B87,PirteiKisuiBeMutzar_procerur!$C$6:$AA$100,7,FALSE),0)</f>
        <v>0</v>
      </c>
      <c r="AW87">
        <f t="shared" si="58"/>
        <v>0</v>
      </c>
      <c r="AX87">
        <f t="shared" si="59"/>
        <v>0</v>
      </c>
      <c r="AY87">
        <f t="shared" si="60"/>
        <v>0</v>
      </c>
      <c r="AZ87">
        <f t="shared" si="61"/>
        <v>0</v>
      </c>
      <c r="BA87">
        <f t="shared" si="62"/>
        <v>0</v>
      </c>
      <c r="BB87">
        <f t="shared" si="63"/>
        <v>0</v>
      </c>
      <c r="BC87">
        <f t="shared" si="64"/>
        <v>0</v>
      </c>
      <c r="BD87">
        <f t="shared" si="65"/>
        <v>0</v>
      </c>
      <c r="BE87">
        <f t="shared" si="66"/>
        <v>0</v>
      </c>
      <c r="BF87">
        <f t="shared" si="67"/>
        <v>0</v>
      </c>
      <c r="BG87">
        <f t="shared" si="68"/>
        <v>0</v>
      </c>
      <c r="BH87">
        <f t="shared" si="69"/>
        <v>0</v>
      </c>
      <c r="BI87">
        <f t="shared" si="70"/>
        <v>0</v>
      </c>
      <c r="BK87">
        <f t="shared" si="71"/>
        <v>0</v>
      </c>
      <c r="BL87">
        <f t="shared" si="72"/>
        <v>0</v>
      </c>
      <c r="BM87">
        <f t="shared" si="73"/>
        <v>0</v>
      </c>
      <c r="BN87">
        <f t="shared" si="74"/>
        <v>0</v>
      </c>
      <c r="BO87">
        <f t="shared" si="75"/>
        <v>0</v>
      </c>
      <c r="BR87">
        <f t="shared" si="76"/>
        <v>0</v>
      </c>
      <c r="BS87">
        <f t="shared" si="77"/>
        <v>0</v>
      </c>
      <c r="BT87">
        <f t="shared" si="78"/>
        <v>0</v>
      </c>
      <c r="BU87">
        <f t="shared" si="79"/>
        <v>0</v>
      </c>
      <c r="BV87">
        <f t="shared" si="80"/>
        <v>0</v>
      </c>
      <c r="BX87">
        <f t="shared" si="81"/>
        <v>0</v>
      </c>
      <c r="BY87">
        <f t="shared" si="82"/>
        <v>0</v>
      </c>
      <c r="BZ87">
        <f t="shared" si="83"/>
        <v>0</v>
      </c>
      <c r="CA87">
        <f t="shared" si="84"/>
        <v>0</v>
      </c>
      <c r="CB87">
        <f t="shared" si="85"/>
        <v>0</v>
      </c>
      <c r="CE87">
        <f t="shared" si="86"/>
        <v>0</v>
      </c>
      <c r="CF87">
        <f t="shared" si="87"/>
        <v>0</v>
      </c>
      <c r="CG87">
        <f t="shared" si="88"/>
        <v>0</v>
      </c>
      <c r="CH87">
        <f t="shared" si="89"/>
        <v>0</v>
      </c>
      <c r="CI87">
        <f t="shared" si="90"/>
        <v>0</v>
      </c>
      <c r="CL87">
        <f t="shared" si="91"/>
        <v>0</v>
      </c>
      <c r="CM87">
        <f t="shared" si="92"/>
        <v>0</v>
      </c>
      <c r="CN87">
        <f t="shared" si="93"/>
        <v>0</v>
      </c>
      <c r="CO87">
        <f t="shared" si="94"/>
        <v>0</v>
      </c>
      <c r="CP87">
        <f t="shared" si="95"/>
        <v>0</v>
      </c>
      <c r="CQ87">
        <f>IFERROR(VLOOKUP($B87,SchumeiBituahYesodi!$C$6:$AA$100,8,FALSE),0)</f>
        <v>0</v>
      </c>
      <c r="CR87">
        <f>IFERROR(VLOOKUP($B87,PirteiKisuiBeMutzar_procerur!$C$6:$AA$100,2,FALSE),0)</f>
        <v>0</v>
      </c>
      <c r="CS87">
        <f>IFERROR(VLOOKUP($B87,PirteiKisuiBeMutzar_procerur!$C$6:$AA$100,3,FALSE),0)</f>
        <v>0</v>
      </c>
      <c r="CT87">
        <f>IFERROR(VLOOKUP($B87,PirteiKisuiBeMutzar_procerur!$C$6:$AA$100,4,FALSE),0)</f>
        <v>0</v>
      </c>
      <c r="CU87">
        <f>IFERROR(VLOOKUP($B87,PirteiKisuiBeMutzar_procerur!$C$6:$AA$100,5,FALSE),0)</f>
        <v>0</v>
      </c>
      <c r="CV87">
        <f>IFERROR(VLOOKUP($B87,PirteiKisuiBeMutzar_procerur!$C$6:$AA$100,6,FALSE),0)</f>
        <v>0</v>
      </c>
      <c r="CW87">
        <f>IFERROR(VLOOKUP($B87,PirteiKisuiBeMutzar_procerur!$C$6:$AA$100,7,FALSE),0)</f>
        <v>0</v>
      </c>
      <c r="CX87">
        <f>IFERROR(VLOOKUP($B87,PirteiKisuiBeMutzar_procerur!$C$6:$AA$100,8,FALSE),0)</f>
        <v>0</v>
      </c>
      <c r="CY87">
        <f>IFERROR(VLOOKUP($B87,PirteiKisuiBeMutzar_procerur!$C$6:$AA$100,9,FALSE),0)</f>
        <v>0</v>
      </c>
      <c r="CZ87">
        <f>IFERROR(VLOOKUP($B87,PirteiKisuiBeMutzar_procerur!$C$6:$AA$100,10,FALSE),0)</f>
        <v>0</v>
      </c>
      <c r="DA87">
        <f>IFERROR(VLOOKUP($B87,PirteiKisuiBeMutzar_procerur!$C$6:$AA$100,11,FALSE),0)</f>
        <v>0</v>
      </c>
      <c r="DB87">
        <f>IFERROR(VLOOKUP($B87,PirteiKisuiBeMutzarPrmia!$C$6:$AA$100,2,FALSE),0)</f>
        <v>0</v>
      </c>
      <c r="DC87">
        <f>IFERROR(VLOOKUP($B87,PirteiKisuiBeMutzarPrmia!$C$6:$AA$100,3,FALSE),0)</f>
        <v>0</v>
      </c>
      <c r="DD87">
        <f>IFERROR(VLOOKUP($B87,PirteiKisuiBeMutzarPrmia!$C$6:$AA$100,4,FALSE),0)</f>
        <v>0</v>
      </c>
      <c r="DE87">
        <f>IFERROR(VLOOKUP($B87,PirteiKisuiBeMutzarPrmia!$C$6:$AA$100,5,FALSE),0)</f>
        <v>0</v>
      </c>
      <c r="DF87">
        <f>IFERROR(VLOOKUP($B87,PirteiKisuiBeMutzarPrmia!$C$6:$AA$100,6,FALSE),0)</f>
        <v>0</v>
      </c>
      <c r="DG87">
        <f>IFERROR(VLOOKUP($B87,PirteiKisuiBeMutzarPrmia!$C$6:$AA$100,7,FALSE),0)</f>
        <v>0</v>
      </c>
      <c r="DH87">
        <f>IFERROR(VLOOKUP($B87,PirteiKisuiBeMutzarPrmia!$C$6:$AA$100,8,FALSE),0)</f>
        <v>0</v>
      </c>
      <c r="DI87">
        <f>IFERROR(VLOOKUP($B87,PirteiKisuiBeMutzarPrmia!$C$6:$AA$100,9,FALSE),0)</f>
        <v>0</v>
      </c>
      <c r="DJ87">
        <f>IFERROR(VLOOKUP($B87,PirteiKisuiBeMutzarPrmia!$C$6:$AA$100,10,FALSE),0)</f>
        <v>0</v>
      </c>
      <c r="DK87">
        <f>IFERROR(VLOOKUP($B87,PirteiKisuiBeMutzarPrmia!$C$6:$AA$100,11,FALSE),0)</f>
        <v>0</v>
      </c>
      <c r="DL87">
        <f t="shared" si="96"/>
        <v>0</v>
      </c>
      <c r="DM87">
        <f t="shared" si="97"/>
        <v>0</v>
      </c>
      <c r="DN87">
        <f t="shared" si="98"/>
        <v>0</v>
      </c>
      <c r="DO87">
        <f t="shared" si="52"/>
        <v>0</v>
      </c>
      <c r="DP87">
        <f t="shared" si="53"/>
        <v>0</v>
      </c>
      <c r="DQ87">
        <f>IF(OR(L87=1,L87=3),IFERROR(VLOOKUP($B87,PerutHafkadotMetchilatShanaAvgM!$C$6:$G$100,3,FALSE),0),0)</f>
        <v>0</v>
      </c>
      <c r="DR87">
        <f>IF(OR(L87=2,L87=4),IFERROR(VLOOKUP($B87,PerutHafkadotMetchilatShanaAvgM!$C$6:$G$100,3,FALSE),0),0)</f>
        <v>0</v>
      </c>
      <c r="DS87">
        <f>IFERROR(VLOOKUP($B87,PerutHafkadotMetchilatShanaAvgM!$C$6:$G$100,4,FALSE),0)</f>
        <v>0</v>
      </c>
      <c r="DT87">
        <f>IFERROR(VLOOKUP($B87,Kupa!$D$6:$AA$100,5,FALSE),0)</f>
        <v>0</v>
      </c>
      <c r="DU87">
        <f>IFERROR(VLOOKUP($B87,Kupa!$D$6:$AA$100,6,FALSE),0)</f>
        <v>0</v>
      </c>
      <c r="DV87">
        <f>IFERROR(VLOOKUP($B87,KisuiBKerenPensiaDBWithParams!$D$6:$AP$100,9,FALSE),0)</f>
        <v>0</v>
      </c>
      <c r="DW87">
        <f>IFERROR(VLOOKUP($B87,KisuiBKerenPensiaDBWithParams!$D$6:$AP$100,12,FALSE),0)</f>
        <v>0</v>
      </c>
      <c r="DX87">
        <f>IFERROR(VLOOKUP($B87,KisuiBKerenPensiaDBWithParams!$D$6:$AP$100,13,FALSE),0)</f>
        <v>0</v>
      </c>
      <c r="DY87">
        <f>IFERROR(VLOOKUP($B87,KisuiBKerenPensiaDBWithParams!$D$6:$AP$100,7,FALSE),0)</f>
        <v>0</v>
      </c>
      <c r="DZ87">
        <f>IFERROR(VLOOKUP($B87,KisuiBKerenPensiaDBWithParams!$D$6:$AP$100,17,FALSE),0)</f>
        <v>0</v>
      </c>
      <c r="EA87">
        <f>IFERROR(VLOOKUP($B87,KisuiBKerenPensiaDBWithParams!$D$6:$AP$100,20,FALSE),0)</f>
        <v>0</v>
      </c>
      <c r="EB87">
        <f>IFERROR(VLOOKUP($B87,KisuiBKerenPensiaDBWithParams!$D$6:$AP$100,21,FALSE),0)</f>
        <v>0</v>
      </c>
      <c r="EC87">
        <f t="shared" si="99"/>
        <v>0</v>
      </c>
      <c r="EG87">
        <f>IF(OR(G87=MyData!$J$50,G87=MyData!$J$51,G87=MyData!$J$52),1,IF(G87=MyData!$J$49,2,0))</f>
        <v>0</v>
      </c>
    </row>
    <row r="88" spans="1:137">
      <c r="A88">
        <f t="shared" si="100"/>
        <v>0</v>
      </c>
      <c r="B88" s="20">
        <f>RicusPolice!E85</f>
        <v>0</v>
      </c>
      <c r="C88" s="20">
        <f>RicusPolice!AL85</f>
        <v>0</v>
      </c>
      <c r="D88" s="20">
        <f>RicusPolice!F85</f>
        <v>0</v>
      </c>
      <c r="E88" s="20">
        <f>RicusPolice!R85</f>
        <v>0</v>
      </c>
      <c r="F88" s="20">
        <f>RicusPolice!N85</f>
        <v>0</v>
      </c>
      <c r="G88" s="20">
        <f>IFERROR(VLOOKUP($B88,PerutYitrot!$D$6:$P$100,4,FALSE),0)</f>
        <v>0</v>
      </c>
      <c r="H88" s="20">
        <f t="shared" si="54"/>
        <v>0</v>
      </c>
      <c r="I88" s="20">
        <f>RicusPolice!L85</f>
        <v>0</v>
      </c>
      <c r="J88" s="179">
        <f>IFERROR(VLOOKUP(TRIM(K88),MyData!$J$43:$K$49,2,FALSE),0)</f>
        <v>0</v>
      </c>
      <c r="K88" s="20">
        <f>RicusPolice!M85</f>
        <v>0</v>
      </c>
      <c r="L88" s="20">
        <f>RicusPolice!AM85</f>
        <v>0</v>
      </c>
      <c r="M88" s="20" t="str">
        <f>IF(B88&gt;0,RicusPolice!Y85," ")</f>
        <v xml:space="preserve"> </v>
      </c>
      <c r="N88" s="20" t="str">
        <f t="shared" si="55"/>
        <v/>
      </c>
      <c r="O88" s="20">
        <f>RicusPolice!N85</f>
        <v>0</v>
      </c>
      <c r="P88" s="20">
        <f>IFERROR(VLOOKUP(B88,PerutMasluleiHashkaa!$D$6:$R$100,4,FALSE),0)</f>
        <v>0</v>
      </c>
      <c r="Q88" s="19"/>
      <c r="R88" s="20">
        <f>RicusPolice!P85</f>
        <v>0</v>
      </c>
      <c r="S88" s="20"/>
      <c r="T88" s="21">
        <f>'נתונים ידניים'!H88</f>
        <v>0</v>
      </c>
      <c r="U88" s="21"/>
      <c r="V88" s="20">
        <f>PerutHafrashotLePolisa!E85</f>
        <v>0</v>
      </c>
      <c r="W88" s="20">
        <f>PerutHafrashotLePolisa!F85</f>
        <v>0</v>
      </c>
      <c r="X88" s="20">
        <f>PerutHafrashotLePolisa!G85</f>
        <v>0</v>
      </c>
      <c r="Y88">
        <f t="shared" si="56"/>
        <v>0</v>
      </c>
      <c r="Z88">
        <f>IFERROR(VLOOKUP(B88,PirteiHaasaka!$D$6:$R$100,5,FALSE),0)</f>
        <v>0</v>
      </c>
      <c r="AB88">
        <f>IFERROR(VLOOKUP(B88,HafkadotMetchilatShanaAverages!$D$6:$E$100,2,FALSE),0)</f>
        <v>0</v>
      </c>
      <c r="AF88">
        <f>IFERROR(VLOOKUP(B88,CrossTabYitraLeTkufa_till_2000!$D$6:$AB$100,6,FALSE),0)+IFERROR(VLOOKUP(B88,CrossTabYitraLeTkufa_after_2000!$D$6:$AB$100,6,FALSE),0)</f>
        <v>0</v>
      </c>
      <c r="AG88">
        <f>IFERROR(VLOOKUP(B88,CrossTabYitraLeTkufa_till_2000!$D$6:$AB$100,16,FALSE),0)</f>
        <v>0</v>
      </c>
      <c r="AH88">
        <f>IFERROR(VLOOKUP(B88,CrossTabYitraLeTkufa_after_2000!$D$6:$AB$100,16,FALSE),0)</f>
        <v>0</v>
      </c>
      <c r="AI88">
        <f>IFERROR(VLOOKUP(B88,CrossTabYitraLeTkufa_till_2000!$D$6:$AB$100,17,FALSE),0)</f>
        <v>0</v>
      </c>
      <c r="AJ88">
        <f>IFERROR(VLOOKUP(B88,CrossTabYitraLeTkufa_after_2000!$D$6:$AB$100,17,FALSE),0)</f>
        <v>0</v>
      </c>
      <c r="AK88" s="5">
        <f t="shared" si="57"/>
        <v>0</v>
      </c>
      <c r="AN88">
        <f>IFERROR(VLOOKUP(B88,PirteiKisuiBeMutzar_procerur!$C$6:$AA$100,2,FALSE),0)</f>
        <v>0</v>
      </c>
      <c r="AP88">
        <f>IFERROR(VLOOKUP($B88,PirteiKisuiBeMutzar_procerur!$C$6:$AA$100,5,FALSE),0)</f>
        <v>0</v>
      </c>
      <c r="AQ88">
        <f>IFERROR(VLOOKUP($B88,PirteiKisuiBeMutzar_procerur!$C$6:$AA$100,3,FALSE),0)</f>
        <v>0</v>
      </c>
      <c r="AR88">
        <f>IFERROR(VLOOKUP($B88,PirteiKisuiBeMutzar_procerur!$C$6:$AA$100,6,FALSE),0)</f>
        <v>0</v>
      </c>
      <c r="AS88">
        <f>IFERROR(VLOOKUP($B88,PirteiKisuiBeMutzar_procerur!$C$6:$AA$100,7,FALSE),0)</f>
        <v>0</v>
      </c>
      <c r="AW88">
        <f t="shared" si="58"/>
        <v>0</v>
      </c>
      <c r="AX88">
        <f t="shared" si="59"/>
        <v>0</v>
      </c>
      <c r="AY88">
        <f t="shared" si="60"/>
        <v>0</v>
      </c>
      <c r="AZ88">
        <f t="shared" si="61"/>
        <v>0</v>
      </c>
      <c r="BA88">
        <f t="shared" si="62"/>
        <v>0</v>
      </c>
      <c r="BB88">
        <f t="shared" si="63"/>
        <v>0</v>
      </c>
      <c r="BC88">
        <f t="shared" si="64"/>
        <v>0</v>
      </c>
      <c r="BD88">
        <f t="shared" si="65"/>
        <v>0</v>
      </c>
      <c r="BE88">
        <f t="shared" si="66"/>
        <v>0</v>
      </c>
      <c r="BF88">
        <f t="shared" si="67"/>
        <v>0</v>
      </c>
      <c r="BG88">
        <f t="shared" si="68"/>
        <v>0</v>
      </c>
      <c r="BH88">
        <f t="shared" si="69"/>
        <v>0</v>
      </c>
      <c r="BI88">
        <f t="shared" si="70"/>
        <v>0</v>
      </c>
      <c r="BK88">
        <f t="shared" si="71"/>
        <v>0</v>
      </c>
      <c r="BL88">
        <f t="shared" si="72"/>
        <v>0</v>
      </c>
      <c r="BM88">
        <f t="shared" si="73"/>
        <v>0</v>
      </c>
      <c r="BN88">
        <f t="shared" si="74"/>
        <v>0</v>
      </c>
      <c r="BO88">
        <f t="shared" si="75"/>
        <v>0</v>
      </c>
      <c r="BR88">
        <f t="shared" si="76"/>
        <v>0</v>
      </c>
      <c r="BS88">
        <f t="shared" si="77"/>
        <v>0</v>
      </c>
      <c r="BT88">
        <f t="shared" si="78"/>
        <v>0</v>
      </c>
      <c r="BU88">
        <f t="shared" si="79"/>
        <v>0</v>
      </c>
      <c r="BV88">
        <f t="shared" si="80"/>
        <v>0</v>
      </c>
      <c r="BX88">
        <f t="shared" si="81"/>
        <v>0</v>
      </c>
      <c r="BY88">
        <f t="shared" si="82"/>
        <v>0</v>
      </c>
      <c r="BZ88">
        <f t="shared" si="83"/>
        <v>0</v>
      </c>
      <c r="CA88">
        <f t="shared" si="84"/>
        <v>0</v>
      </c>
      <c r="CB88">
        <f t="shared" si="85"/>
        <v>0</v>
      </c>
      <c r="CE88">
        <f t="shared" si="86"/>
        <v>0</v>
      </c>
      <c r="CF88">
        <f t="shared" si="87"/>
        <v>0</v>
      </c>
      <c r="CG88">
        <f t="shared" si="88"/>
        <v>0</v>
      </c>
      <c r="CH88">
        <f t="shared" si="89"/>
        <v>0</v>
      </c>
      <c r="CI88">
        <f t="shared" si="90"/>
        <v>0</v>
      </c>
      <c r="CL88">
        <f t="shared" si="91"/>
        <v>0</v>
      </c>
      <c r="CM88">
        <f t="shared" si="92"/>
        <v>0</v>
      </c>
      <c r="CN88">
        <f t="shared" si="93"/>
        <v>0</v>
      </c>
      <c r="CO88">
        <f t="shared" si="94"/>
        <v>0</v>
      </c>
      <c r="CP88">
        <f t="shared" si="95"/>
        <v>0</v>
      </c>
      <c r="CQ88">
        <f>IFERROR(VLOOKUP($B88,SchumeiBituahYesodi!$C$6:$AA$100,8,FALSE),0)</f>
        <v>0</v>
      </c>
      <c r="CR88">
        <f>IFERROR(VLOOKUP($B88,PirteiKisuiBeMutzar_procerur!$C$6:$AA$100,2,FALSE),0)</f>
        <v>0</v>
      </c>
      <c r="CS88">
        <f>IFERROR(VLOOKUP($B88,PirteiKisuiBeMutzar_procerur!$C$6:$AA$100,3,FALSE),0)</f>
        <v>0</v>
      </c>
      <c r="CT88">
        <f>IFERROR(VLOOKUP($B88,PirteiKisuiBeMutzar_procerur!$C$6:$AA$100,4,FALSE),0)</f>
        <v>0</v>
      </c>
      <c r="CU88">
        <f>IFERROR(VLOOKUP($B88,PirteiKisuiBeMutzar_procerur!$C$6:$AA$100,5,FALSE),0)</f>
        <v>0</v>
      </c>
      <c r="CV88">
        <f>IFERROR(VLOOKUP($B88,PirteiKisuiBeMutzar_procerur!$C$6:$AA$100,6,FALSE),0)</f>
        <v>0</v>
      </c>
      <c r="CW88">
        <f>IFERROR(VLOOKUP($B88,PirteiKisuiBeMutzar_procerur!$C$6:$AA$100,7,FALSE),0)</f>
        <v>0</v>
      </c>
      <c r="CX88">
        <f>IFERROR(VLOOKUP($B88,PirteiKisuiBeMutzar_procerur!$C$6:$AA$100,8,FALSE),0)</f>
        <v>0</v>
      </c>
      <c r="CY88">
        <f>IFERROR(VLOOKUP($B88,PirteiKisuiBeMutzar_procerur!$C$6:$AA$100,9,FALSE),0)</f>
        <v>0</v>
      </c>
      <c r="CZ88">
        <f>IFERROR(VLOOKUP($B88,PirteiKisuiBeMutzar_procerur!$C$6:$AA$100,10,FALSE),0)</f>
        <v>0</v>
      </c>
      <c r="DA88">
        <f>IFERROR(VLOOKUP($B88,PirteiKisuiBeMutzar_procerur!$C$6:$AA$100,11,FALSE),0)</f>
        <v>0</v>
      </c>
      <c r="DB88">
        <f>IFERROR(VLOOKUP($B88,PirteiKisuiBeMutzarPrmia!$C$6:$AA$100,2,FALSE),0)</f>
        <v>0</v>
      </c>
      <c r="DC88">
        <f>IFERROR(VLOOKUP($B88,PirteiKisuiBeMutzarPrmia!$C$6:$AA$100,3,FALSE),0)</f>
        <v>0</v>
      </c>
      <c r="DD88">
        <f>IFERROR(VLOOKUP($B88,PirteiKisuiBeMutzarPrmia!$C$6:$AA$100,4,FALSE),0)</f>
        <v>0</v>
      </c>
      <c r="DE88">
        <f>IFERROR(VLOOKUP($B88,PirteiKisuiBeMutzarPrmia!$C$6:$AA$100,5,FALSE),0)</f>
        <v>0</v>
      </c>
      <c r="DF88">
        <f>IFERROR(VLOOKUP($B88,PirteiKisuiBeMutzarPrmia!$C$6:$AA$100,6,FALSE),0)</f>
        <v>0</v>
      </c>
      <c r="DG88">
        <f>IFERROR(VLOOKUP($B88,PirteiKisuiBeMutzarPrmia!$C$6:$AA$100,7,FALSE),0)</f>
        <v>0</v>
      </c>
      <c r="DH88">
        <f>IFERROR(VLOOKUP($B88,PirteiKisuiBeMutzarPrmia!$C$6:$AA$100,8,FALSE),0)</f>
        <v>0</v>
      </c>
      <c r="DI88">
        <f>IFERROR(VLOOKUP($B88,PirteiKisuiBeMutzarPrmia!$C$6:$AA$100,9,FALSE),0)</f>
        <v>0</v>
      </c>
      <c r="DJ88">
        <f>IFERROR(VLOOKUP($B88,PirteiKisuiBeMutzarPrmia!$C$6:$AA$100,10,FALSE),0)</f>
        <v>0</v>
      </c>
      <c r="DK88">
        <f>IFERROR(VLOOKUP($B88,PirteiKisuiBeMutzarPrmia!$C$6:$AA$100,11,FALSE),0)</f>
        <v>0</v>
      </c>
      <c r="DL88">
        <f t="shared" si="96"/>
        <v>0</v>
      </c>
      <c r="DM88">
        <f t="shared" si="97"/>
        <v>0</v>
      </c>
      <c r="DN88">
        <f t="shared" si="98"/>
        <v>0</v>
      </c>
      <c r="DO88">
        <f t="shared" si="52"/>
        <v>0</v>
      </c>
      <c r="DP88">
        <f t="shared" si="53"/>
        <v>0</v>
      </c>
      <c r="DQ88">
        <f>IF(OR(L88=1,L88=3),IFERROR(VLOOKUP($B88,PerutHafkadotMetchilatShanaAvgM!$C$6:$G$100,3,FALSE),0),0)</f>
        <v>0</v>
      </c>
      <c r="DR88">
        <f>IF(OR(L88=2,L88=4),IFERROR(VLOOKUP($B88,PerutHafkadotMetchilatShanaAvgM!$C$6:$G$100,3,FALSE),0),0)</f>
        <v>0</v>
      </c>
      <c r="DS88">
        <f>IFERROR(VLOOKUP($B88,PerutHafkadotMetchilatShanaAvgM!$C$6:$G$100,4,FALSE),0)</f>
        <v>0</v>
      </c>
      <c r="DT88">
        <f>IFERROR(VLOOKUP($B88,Kupa!$D$6:$AA$100,5,FALSE),0)</f>
        <v>0</v>
      </c>
      <c r="DU88">
        <f>IFERROR(VLOOKUP($B88,Kupa!$D$6:$AA$100,6,FALSE),0)</f>
        <v>0</v>
      </c>
      <c r="DV88">
        <f>IFERROR(VLOOKUP($B88,KisuiBKerenPensiaDBWithParams!$D$6:$AP$100,9,FALSE),0)</f>
        <v>0</v>
      </c>
      <c r="DW88">
        <f>IFERROR(VLOOKUP($B88,KisuiBKerenPensiaDBWithParams!$D$6:$AP$100,12,FALSE),0)</f>
        <v>0</v>
      </c>
      <c r="DX88">
        <f>IFERROR(VLOOKUP($B88,KisuiBKerenPensiaDBWithParams!$D$6:$AP$100,13,FALSE),0)</f>
        <v>0</v>
      </c>
      <c r="DY88">
        <f>IFERROR(VLOOKUP($B88,KisuiBKerenPensiaDBWithParams!$D$6:$AP$100,7,FALSE),0)</f>
        <v>0</v>
      </c>
      <c r="DZ88">
        <f>IFERROR(VLOOKUP($B88,KisuiBKerenPensiaDBWithParams!$D$6:$AP$100,17,FALSE),0)</f>
        <v>0</v>
      </c>
      <c r="EA88">
        <f>IFERROR(VLOOKUP($B88,KisuiBKerenPensiaDBWithParams!$D$6:$AP$100,20,FALSE),0)</f>
        <v>0</v>
      </c>
      <c r="EB88">
        <f>IFERROR(VLOOKUP($B88,KisuiBKerenPensiaDBWithParams!$D$6:$AP$100,21,FALSE),0)</f>
        <v>0</v>
      </c>
      <c r="EC88">
        <f t="shared" si="99"/>
        <v>0</v>
      </c>
      <c r="EG88">
        <f>IF(OR(G88=MyData!$J$50,G88=MyData!$J$51,G88=MyData!$J$52),1,IF(G88=MyData!$J$49,2,0))</f>
        <v>0</v>
      </c>
    </row>
    <row r="89" spans="1:137">
      <c r="A89">
        <f t="shared" si="100"/>
        <v>0</v>
      </c>
      <c r="B89" s="20">
        <f>RicusPolice!E86</f>
        <v>0</v>
      </c>
      <c r="C89" s="20">
        <f>RicusPolice!AL86</f>
        <v>0</v>
      </c>
      <c r="D89" s="20">
        <f>RicusPolice!F86</f>
        <v>0</v>
      </c>
      <c r="E89" s="20">
        <f>RicusPolice!R86</f>
        <v>0</v>
      </c>
      <c r="F89" s="20">
        <f>RicusPolice!N86</f>
        <v>0</v>
      </c>
      <c r="G89" s="20">
        <f>IFERROR(VLOOKUP($B89,PerutYitrot!$D$6:$P$100,4,FALSE),0)</f>
        <v>0</v>
      </c>
      <c r="H89" s="20">
        <f t="shared" si="54"/>
        <v>0</v>
      </c>
      <c r="I89" s="20">
        <f>RicusPolice!L86</f>
        <v>0</v>
      </c>
      <c r="J89" s="179">
        <f>IFERROR(VLOOKUP(TRIM(K89),MyData!$J$43:$K$49,2,FALSE),0)</f>
        <v>0</v>
      </c>
      <c r="K89" s="20">
        <f>RicusPolice!M86</f>
        <v>0</v>
      </c>
      <c r="L89" s="20">
        <f>RicusPolice!AM86</f>
        <v>0</v>
      </c>
      <c r="M89" s="20" t="str">
        <f>IF(B89&gt;0,RicusPolice!Y86," ")</f>
        <v xml:space="preserve"> </v>
      </c>
      <c r="N89" s="20" t="str">
        <f t="shared" si="55"/>
        <v/>
      </c>
      <c r="O89" s="20">
        <f>RicusPolice!N86</f>
        <v>0</v>
      </c>
      <c r="P89" s="20">
        <f>IFERROR(VLOOKUP(B89,PerutMasluleiHashkaa!$D$6:$R$100,4,FALSE),0)</f>
        <v>0</v>
      </c>
      <c r="Q89" s="19"/>
      <c r="R89" s="20">
        <f>RicusPolice!P86</f>
        <v>0</v>
      </c>
      <c r="S89" s="20"/>
      <c r="T89" s="21">
        <f>'נתונים ידניים'!H89</f>
        <v>0</v>
      </c>
      <c r="U89" s="21"/>
      <c r="V89" s="20">
        <f>PerutHafrashotLePolisa!E86</f>
        <v>0</v>
      </c>
      <c r="W89" s="20">
        <f>PerutHafrashotLePolisa!F86</f>
        <v>0</v>
      </c>
      <c r="X89" s="20">
        <f>PerutHafrashotLePolisa!G86</f>
        <v>0</v>
      </c>
      <c r="Y89">
        <f t="shared" si="56"/>
        <v>0</v>
      </c>
      <c r="Z89">
        <f>IFERROR(VLOOKUP(B89,PirteiHaasaka!$D$6:$R$100,5,FALSE),0)</f>
        <v>0</v>
      </c>
      <c r="AB89">
        <f>IFERROR(VLOOKUP(B89,HafkadotMetchilatShanaAverages!$D$6:$E$100,2,FALSE),0)</f>
        <v>0</v>
      </c>
      <c r="AF89">
        <f>IFERROR(VLOOKUP(B89,CrossTabYitraLeTkufa_till_2000!$D$6:$AB$100,6,FALSE),0)+IFERROR(VLOOKUP(B89,CrossTabYitraLeTkufa_after_2000!$D$6:$AB$100,6,FALSE),0)</f>
        <v>0</v>
      </c>
      <c r="AG89">
        <f>IFERROR(VLOOKUP(B89,CrossTabYitraLeTkufa_till_2000!$D$6:$AB$100,16,FALSE),0)</f>
        <v>0</v>
      </c>
      <c r="AH89">
        <f>IFERROR(VLOOKUP(B89,CrossTabYitraLeTkufa_after_2000!$D$6:$AB$100,16,FALSE),0)</f>
        <v>0</v>
      </c>
      <c r="AI89">
        <f>IFERROR(VLOOKUP(B89,CrossTabYitraLeTkufa_till_2000!$D$6:$AB$100,17,FALSE),0)</f>
        <v>0</v>
      </c>
      <c r="AJ89">
        <f>IFERROR(VLOOKUP(B89,CrossTabYitraLeTkufa_after_2000!$D$6:$AB$100,17,FALSE),0)</f>
        <v>0</v>
      </c>
      <c r="AK89" s="5">
        <f t="shared" si="57"/>
        <v>0</v>
      </c>
      <c r="AN89">
        <f>IFERROR(VLOOKUP(B89,PirteiKisuiBeMutzar_procerur!$C$6:$AA$100,2,FALSE),0)</f>
        <v>0</v>
      </c>
      <c r="AP89">
        <f>IFERROR(VLOOKUP($B89,PirteiKisuiBeMutzar_procerur!$C$6:$AA$100,5,FALSE),0)</f>
        <v>0</v>
      </c>
      <c r="AQ89">
        <f>IFERROR(VLOOKUP($B89,PirteiKisuiBeMutzar_procerur!$C$6:$AA$100,3,FALSE),0)</f>
        <v>0</v>
      </c>
      <c r="AR89">
        <f>IFERROR(VLOOKUP($B89,PirteiKisuiBeMutzar_procerur!$C$6:$AA$100,6,FALSE),0)</f>
        <v>0</v>
      </c>
      <c r="AS89">
        <f>IFERROR(VLOOKUP($B89,PirteiKisuiBeMutzar_procerur!$C$6:$AA$100,7,FALSE),0)</f>
        <v>0</v>
      </c>
      <c r="AW89">
        <f t="shared" si="58"/>
        <v>0</v>
      </c>
      <c r="AX89">
        <f t="shared" si="59"/>
        <v>0</v>
      </c>
      <c r="AY89">
        <f t="shared" si="60"/>
        <v>0</v>
      </c>
      <c r="AZ89">
        <f t="shared" si="61"/>
        <v>0</v>
      </c>
      <c r="BA89">
        <f t="shared" si="62"/>
        <v>0</v>
      </c>
      <c r="BB89">
        <f t="shared" si="63"/>
        <v>0</v>
      </c>
      <c r="BC89">
        <f t="shared" si="64"/>
        <v>0</v>
      </c>
      <c r="BD89">
        <f t="shared" si="65"/>
        <v>0</v>
      </c>
      <c r="BE89">
        <f t="shared" si="66"/>
        <v>0</v>
      </c>
      <c r="BF89">
        <f t="shared" si="67"/>
        <v>0</v>
      </c>
      <c r="BG89">
        <f t="shared" si="68"/>
        <v>0</v>
      </c>
      <c r="BH89">
        <f t="shared" si="69"/>
        <v>0</v>
      </c>
      <c r="BI89">
        <f t="shared" si="70"/>
        <v>0</v>
      </c>
      <c r="BK89">
        <f t="shared" si="71"/>
        <v>0</v>
      </c>
      <c r="BL89">
        <f t="shared" si="72"/>
        <v>0</v>
      </c>
      <c r="BM89">
        <f t="shared" si="73"/>
        <v>0</v>
      </c>
      <c r="BN89">
        <f t="shared" si="74"/>
        <v>0</v>
      </c>
      <c r="BO89">
        <f t="shared" si="75"/>
        <v>0</v>
      </c>
      <c r="BR89">
        <f t="shared" si="76"/>
        <v>0</v>
      </c>
      <c r="BS89">
        <f t="shared" si="77"/>
        <v>0</v>
      </c>
      <c r="BT89">
        <f t="shared" si="78"/>
        <v>0</v>
      </c>
      <c r="BU89">
        <f t="shared" si="79"/>
        <v>0</v>
      </c>
      <c r="BV89">
        <f t="shared" si="80"/>
        <v>0</v>
      </c>
      <c r="BX89">
        <f t="shared" si="81"/>
        <v>0</v>
      </c>
      <c r="BY89">
        <f t="shared" si="82"/>
        <v>0</v>
      </c>
      <c r="BZ89">
        <f t="shared" si="83"/>
        <v>0</v>
      </c>
      <c r="CA89">
        <f t="shared" si="84"/>
        <v>0</v>
      </c>
      <c r="CB89">
        <f t="shared" si="85"/>
        <v>0</v>
      </c>
      <c r="CE89">
        <f t="shared" si="86"/>
        <v>0</v>
      </c>
      <c r="CF89">
        <f t="shared" si="87"/>
        <v>0</v>
      </c>
      <c r="CG89">
        <f t="shared" si="88"/>
        <v>0</v>
      </c>
      <c r="CH89">
        <f t="shared" si="89"/>
        <v>0</v>
      </c>
      <c r="CI89">
        <f t="shared" si="90"/>
        <v>0</v>
      </c>
      <c r="CL89">
        <f t="shared" si="91"/>
        <v>0</v>
      </c>
      <c r="CM89">
        <f t="shared" si="92"/>
        <v>0</v>
      </c>
      <c r="CN89">
        <f t="shared" si="93"/>
        <v>0</v>
      </c>
      <c r="CO89">
        <f t="shared" si="94"/>
        <v>0</v>
      </c>
      <c r="CP89">
        <f t="shared" si="95"/>
        <v>0</v>
      </c>
      <c r="CQ89">
        <f>IFERROR(VLOOKUP($B89,SchumeiBituahYesodi!$C$6:$AA$100,8,FALSE),0)</f>
        <v>0</v>
      </c>
      <c r="CR89">
        <f>IFERROR(VLOOKUP($B89,PirteiKisuiBeMutzar_procerur!$C$6:$AA$100,2,FALSE),0)</f>
        <v>0</v>
      </c>
      <c r="CS89">
        <f>IFERROR(VLOOKUP($B89,PirteiKisuiBeMutzar_procerur!$C$6:$AA$100,3,FALSE),0)</f>
        <v>0</v>
      </c>
      <c r="CT89">
        <f>IFERROR(VLOOKUP($B89,PirteiKisuiBeMutzar_procerur!$C$6:$AA$100,4,FALSE),0)</f>
        <v>0</v>
      </c>
      <c r="CU89">
        <f>IFERROR(VLOOKUP($B89,PirteiKisuiBeMutzar_procerur!$C$6:$AA$100,5,FALSE),0)</f>
        <v>0</v>
      </c>
      <c r="CV89">
        <f>IFERROR(VLOOKUP($B89,PirteiKisuiBeMutzar_procerur!$C$6:$AA$100,6,FALSE),0)</f>
        <v>0</v>
      </c>
      <c r="CW89">
        <f>IFERROR(VLOOKUP($B89,PirteiKisuiBeMutzar_procerur!$C$6:$AA$100,7,FALSE),0)</f>
        <v>0</v>
      </c>
      <c r="CX89">
        <f>IFERROR(VLOOKUP($B89,PirteiKisuiBeMutzar_procerur!$C$6:$AA$100,8,FALSE),0)</f>
        <v>0</v>
      </c>
      <c r="CY89">
        <f>IFERROR(VLOOKUP($B89,PirteiKisuiBeMutzar_procerur!$C$6:$AA$100,9,FALSE),0)</f>
        <v>0</v>
      </c>
      <c r="CZ89">
        <f>IFERROR(VLOOKUP($B89,PirteiKisuiBeMutzar_procerur!$C$6:$AA$100,10,FALSE),0)</f>
        <v>0</v>
      </c>
      <c r="DA89">
        <f>IFERROR(VLOOKUP($B89,PirteiKisuiBeMutzar_procerur!$C$6:$AA$100,11,FALSE),0)</f>
        <v>0</v>
      </c>
      <c r="DB89">
        <f>IFERROR(VLOOKUP($B89,PirteiKisuiBeMutzarPrmia!$C$6:$AA$100,2,FALSE),0)</f>
        <v>0</v>
      </c>
      <c r="DC89">
        <f>IFERROR(VLOOKUP($B89,PirteiKisuiBeMutzarPrmia!$C$6:$AA$100,3,FALSE),0)</f>
        <v>0</v>
      </c>
      <c r="DD89">
        <f>IFERROR(VLOOKUP($B89,PirteiKisuiBeMutzarPrmia!$C$6:$AA$100,4,FALSE),0)</f>
        <v>0</v>
      </c>
      <c r="DE89">
        <f>IFERROR(VLOOKUP($B89,PirteiKisuiBeMutzarPrmia!$C$6:$AA$100,5,FALSE),0)</f>
        <v>0</v>
      </c>
      <c r="DF89">
        <f>IFERROR(VLOOKUP($B89,PirteiKisuiBeMutzarPrmia!$C$6:$AA$100,6,FALSE),0)</f>
        <v>0</v>
      </c>
      <c r="DG89">
        <f>IFERROR(VLOOKUP($B89,PirteiKisuiBeMutzarPrmia!$C$6:$AA$100,7,FALSE),0)</f>
        <v>0</v>
      </c>
      <c r="DH89">
        <f>IFERROR(VLOOKUP($B89,PirteiKisuiBeMutzarPrmia!$C$6:$AA$100,8,FALSE),0)</f>
        <v>0</v>
      </c>
      <c r="DI89">
        <f>IFERROR(VLOOKUP($B89,PirteiKisuiBeMutzarPrmia!$C$6:$AA$100,9,FALSE),0)</f>
        <v>0</v>
      </c>
      <c r="DJ89">
        <f>IFERROR(VLOOKUP($B89,PirteiKisuiBeMutzarPrmia!$C$6:$AA$100,10,FALSE),0)</f>
        <v>0</v>
      </c>
      <c r="DK89">
        <f>IFERROR(VLOOKUP($B89,PirteiKisuiBeMutzarPrmia!$C$6:$AA$100,11,FALSE),0)</f>
        <v>0</v>
      </c>
      <c r="DL89">
        <f t="shared" si="96"/>
        <v>0</v>
      </c>
      <c r="DM89">
        <f t="shared" si="97"/>
        <v>0</v>
      </c>
      <c r="DN89">
        <f t="shared" si="98"/>
        <v>0</v>
      </c>
      <c r="DO89">
        <f t="shared" si="52"/>
        <v>0</v>
      </c>
      <c r="DP89">
        <f t="shared" si="53"/>
        <v>0</v>
      </c>
      <c r="DQ89">
        <f>IF(OR(L89=1,L89=3),IFERROR(VLOOKUP($B89,PerutHafkadotMetchilatShanaAvgM!$C$6:$G$100,3,FALSE),0),0)</f>
        <v>0</v>
      </c>
      <c r="DR89">
        <f>IF(OR(L89=2,L89=4),IFERROR(VLOOKUP($B89,PerutHafkadotMetchilatShanaAvgM!$C$6:$G$100,3,FALSE),0),0)</f>
        <v>0</v>
      </c>
      <c r="DS89">
        <f>IFERROR(VLOOKUP($B89,PerutHafkadotMetchilatShanaAvgM!$C$6:$G$100,4,FALSE),0)</f>
        <v>0</v>
      </c>
      <c r="DT89">
        <f>IFERROR(VLOOKUP($B89,Kupa!$D$6:$AA$100,5,FALSE),0)</f>
        <v>0</v>
      </c>
      <c r="DU89">
        <f>IFERROR(VLOOKUP($B89,Kupa!$D$6:$AA$100,6,FALSE),0)</f>
        <v>0</v>
      </c>
      <c r="DV89">
        <f>IFERROR(VLOOKUP($B89,KisuiBKerenPensiaDBWithParams!$D$6:$AP$100,9,FALSE),0)</f>
        <v>0</v>
      </c>
      <c r="DW89">
        <f>IFERROR(VLOOKUP($B89,KisuiBKerenPensiaDBWithParams!$D$6:$AP$100,12,FALSE),0)</f>
        <v>0</v>
      </c>
      <c r="DX89">
        <f>IFERROR(VLOOKUP($B89,KisuiBKerenPensiaDBWithParams!$D$6:$AP$100,13,FALSE),0)</f>
        <v>0</v>
      </c>
      <c r="DY89">
        <f>IFERROR(VLOOKUP($B89,KisuiBKerenPensiaDBWithParams!$D$6:$AP$100,7,FALSE),0)</f>
        <v>0</v>
      </c>
      <c r="DZ89">
        <f>IFERROR(VLOOKUP($B89,KisuiBKerenPensiaDBWithParams!$D$6:$AP$100,17,FALSE),0)</f>
        <v>0</v>
      </c>
      <c r="EA89">
        <f>IFERROR(VLOOKUP($B89,KisuiBKerenPensiaDBWithParams!$D$6:$AP$100,20,FALSE),0)</f>
        <v>0</v>
      </c>
      <c r="EB89">
        <f>IFERROR(VLOOKUP($B89,KisuiBKerenPensiaDBWithParams!$D$6:$AP$100,21,FALSE),0)</f>
        <v>0</v>
      </c>
      <c r="EC89">
        <f t="shared" si="99"/>
        <v>0</v>
      </c>
      <c r="EG89">
        <f>IF(OR(G89=MyData!$J$50,G89=MyData!$J$51,G89=MyData!$J$52),1,IF(G89=MyData!$J$49,2,0))</f>
        <v>0</v>
      </c>
    </row>
    <row r="90" spans="1:137">
      <c r="A90">
        <f t="shared" si="100"/>
        <v>0</v>
      </c>
      <c r="B90" s="20">
        <f>RicusPolice!E87</f>
        <v>0</v>
      </c>
      <c r="C90" s="20">
        <f>RicusPolice!AL87</f>
        <v>0</v>
      </c>
      <c r="D90" s="20">
        <f>RicusPolice!F87</f>
        <v>0</v>
      </c>
      <c r="E90" s="20">
        <f>RicusPolice!R87</f>
        <v>0</v>
      </c>
      <c r="F90" s="20">
        <f>RicusPolice!N87</f>
        <v>0</v>
      </c>
      <c r="G90" s="20">
        <f>IFERROR(VLOOKUP($B90,PerutYitrot!$D$6:$P$100,4,FALSE),0)</f>
        <v>0</v>
      </c>
      <c r="H90" s="20">
        <f t="shared" si="54"/>
        <v>0</v>
      </c>
      <c r="I90" s="20">
        <f>RicusPolice!L87</f>
        <v>0</v>
      </c>
      <c r="J90" s="179">
        <f>IFERROR(VLOOKUP(TRIM(K90),MyData!$J$43:$K$49,2,FALSE),0)</f>
        <v>0</v>
      </c>
      <c r="K90" s="20">
        <f>RicusPolice!M87</f>
        <v>0</v>
      </c>
      <c r="L90" s="20">
        <f>RicusPolice!AM87</f>
        <v>0</v>
      </c>
      <c r="M90" s="20" t="str">
        <f>IF(B90&gt;0,RicusPolice!Y87," ")</f>
        <v xml:space="preserve"> </v>
      </c>
      <c r="N90" s="20" t="str">
        <f t="shared" si="55"/>
        <v/>
      </c>
      <c r="O90" s="20">
        <f>RicusPolice!N87</f>
        <v>0</v>
      </c>
      <c r="P90" s="20">
        <f>IFERROR(VLOOKUP(B90,PerutMasluleiHashkaa!$D$6:$R$100,4,FALSE),0)</f>
        <v>0</v>
      </c>
      <c r="Q90" s="19"/>
      <c r="R90" s="20">
        <f>RicusPolice!P87</f>
        <v>0</v>
      </c>
      <c r="S90" s="20"/>
      <c r="T90" s="21">
        <f>'נתונים ידניים'!H90</f>
        <v>0</v>
      </c>
      <c r="U90" s="21"/>
      <c r="V90" s="20">
        <f>PerutHafrashotLePolisa!E87</f>
        <v>0</v>
      </c>
      <c r="W90" s="20">
        <f>PerutHafrashotLePolisa!F87</f>
        <v>0</v>
      </c>
      <c r="X90" s="20">
        <f>PerutHafrashotLePolisa!G87</f>
        <v>0</v>
      </c>
      <c r="Y90">
        <f t="shared" si="56"/>
        <v>0</v>
      </c>
      <c r="Z90">
        <f>IFERROR(VLOOKUP(B90,PirteiHaasaka!$D$6:$R$100,5,FALSE),0)</f>
        <v>0</v>
      </c>
      <c r="AB90">
        <f>IFERROR(VLOOKUP(B90,HafkadotMetchilatShanaAverages!$D$6:$E$100,2,FALSE),0)</f>
        <v>0</v>
      </c>
      <c r="AF90">
        <f>IFERROR(VLOOKUP(B90,CrossTabYitraLeTkufa_till_2000!$D$6:$AB$100,6,FALSE),0)+IFERROR(VLOOKUP(B90,CrossTabYitraLeTkufa_after_2000!$D$6:$AB$100,6,FALSE),0)</f>
        <v>0</v>
      </c>
      <c r="AG90">
        <f>IFERROR(VLOOKUP(B90,CrossTabYitraLeTkufa_till_2000!$D$6:$AB$100,16,FALSE),0)</f>
        <v>0</v>
      </c>
      <c r="AH90">
        <f>IFERROR(VLOOKUP(B90,CrossTabYitraLeTkufa_after_2000!$D$6:$AB$100,16,FALSE),0)</f>
        <v>0</v>
      </c>
      <c r="AI90">
        <f>IFERROR(VLOOKUP(B90,CrossTabYitraLeTkufa_till_2000!$D$6:$AB$100,17,FALSE),0)</f>
        <v>0</v>
      </c>
      <c r="AJ90">
        <f>IFERROR(VLOOKUP(B90,CrossTabYitraLeTkufa_after_2000!$D$6:$AB$100,17,FALSE),0)</f>
        <v>0</v>
      </c>
      <c r="AK90" s="5">
        <f t="shared" si="57"/>
        <v>0</v>
      </c>
      <c r="AN90">
        <f>IFERROR(VLOOKUP(B90,PirteiKisuiBeMutzar_procerur!$C$6:$AA$100,2,FALSE),0)</f>
        <v>0</v>
      </c>
      <c r="AP90">
        <f>IFERROR(VLOOKUP($B90,PirteiKisuiBeMutzar_procerur!$C$6:$AA$100,5,FALSE),0)</f>
        <v>0</v>
      </c>
      <c r="AQ90">
        <f>IFERROR(VLOOKUP($B90,PirteiKisuiBeMutzar_procerur!$C$6:$AA$100,3,FALSE),0)</f>
        <v>0</v>
      </c>
      <c r="AR90">
        <f>IFERROR(VLOOKUP($B90,PirteiKisuiBeMutzar_procerur!$C$6:$AA$100,6,FALSE),0)</f>
        <v>0</v>
      </c>
      <c r="AS90">
        <f>IFERROR(VLOOKUP($B90,PirteiKisuiBeMutzar_procerur!$C$6:$AA$100,7,FALSE),0)</f>
        <v>0</v>
      </c>
      <c r="AW90">
        <f t="shared" si="58"/>
        <v>0</v>
      </c>
      <c r="AX90">
        <f t="shared" si="59"/>
        <v>0</v>
      </c>
      <c r="AY90">
        <f t="shared" si="60"/>
        <v>0</v>
      </c>
      <c r="AZ90">
        <f t="shared" si="61"/>
        <v>0</v>
      </c>
      <c r="BA90">
        <f t="shared" si="62"/>
        <v>0</v>
      </c>
      <c r="BB90">
        <f t="shared" si="63"/>
        <v>0</v>
      </c>
      <c r="BC90">
        <f t="shared" si="64"/>
        <v>0</v>
      </c>
      <c r="BD90">
        <f t="shared" si="65"/>
        <v>0</v>
      </c>
      <c r="BE90">
        <f t="shared" si="66"/>
        <v>0</v>
      </c>
      <c r="BF90">
        <f t="shared" si="67"/>
        <v>0</v>
      </c>
      <c r="BG90">
        <f t="shared" si="68"/>
        <v>0</v>
      </c>
      <c r="BH90">
        <f t="shared" si="69"/>
        <v>0</v>
      </c>
      <c r="BI90">
        <f t="shared" si="70"/>
        <v>0</v>
      </c>
      <c r="BK90">
        <f t="shared" si="71"/>
        <v>0</v>
      </c>
      <c r="BL90">
        <f t="shared" si="72"/>
        <v>0</v>
      </c>
      <c r="BM90">
        <f t="shared" si="73"/>
        <v>0</v>
      </c>
      <c r="BN90">
        <f t="shared" si="74"/>
        <v>0</v>
      </c>
      <c r="BO90">
        <f t="shared" si="75"/>
        <v>0</v>
      </c>
      <c r="BR90">
        <f t="shared" si="76"/>
        <v>0</v>
      </c>
      <c r="BS90">
        <f t="shared" si="77"/>
        <v>0</v>
      </c>
      <c r="BT90">
        <f t="shared" si="78"/>
        <v>0</v>
      </c>
      <c r="BU90">
        <f t="shared" si="79"/>
        <v>0</v>
      </c>
      <c r="BV90">
        <f t="shared" si="80"/>
        <v>0</v>
      </c>
      <c r="BX90">
        <f t="shared" si="81"/>
        <v>0</v>
      </c>
      <c r="BY90">
        <f t="shared" si="82"/>
        <v>0</v>
      </c>
      <c r="BZ90">
        <f t="shared" si="83"/>
        <v>0</v>
      </c>
      <c r="CA90">
        <f t="shared" si="84"/>
        <v>0</v>
      </c>
      <c r="CB90">
        <f t="shared" si="85"/>
        <v>0</v>
      </c>
      <c r="CE90">
        <f t="shared" si="86"/>
        <v>0</v>
      </c>
      <c r="CF90">
        <f t="shared" si="87"/>
        <v>0</v>
      </c>
      <c r="CG90">
        <f t="shared" si="88"/>
        <v>0</v>
      </c>
      <c r="CH90">
        <f t="shared" si="89"/>
        <v>0</v>
      </c>
      <c r="CI90">
        <f t="shared" si="90"/>
        <v>0</v>
      </c>
      <c r="CL90">
        <f t="shared" si="91"/>
        <v>0</v>
      </c>
      <c r="CM90">
        <f t="shared" si="92"/>
        <v>0</v>
      </c>
      <c r="CN90">
        <f t="shared" si="93"/>
        <v>0</v>
      </c>
      <c r="CO90">
        <f t="shared" si="94"/>
        <v>0</v>
      </c>
      <c r="CP90">
        <f t="shared" si="95"/>
        <v>0</v>
      </c>
      <c r="CQ90">
        <f>IFERROR(VLOOKUP($B90,SchumeiBituahYesodi!$C$6:$AA$100,8,FALSE),0)</f>
        <v>0</v>
      </c>
      <c r="CR90">
        <f>IFERROR(VLOOKUP($B90,PirteiKisuiBeMutzar_procerur!$C$6:$AA$100,2,FALSE),0)</f>
        <v>0</v>
      </c>
      <c r="CS90">
        <f>IFERROR(VLOOKUP($B90,PirteiKisuiBeMutzar_procerur!$C$6:$AA$100,3,FALSE),0)</f>
        <v>0</v>
      </c>
      <c r="CT90">
        <f>IFERROR(VLOOKUP($B90,PirteiKisuiBeMutzar_procerur!$C$6:$AA$100,4,FALSE),0)</f>
        <v>0</v>
      </c>
      <c r="CU90">
        <f>IFERROR(VLOOKUP($B90,PirteiKisuiBeMutzar_procerur!$C$6:$AA$100,5,FALSE),0)</f>
        <v>0</v>
      </c>
      <c r="CV90">
        <f>IFERROR(VLOOKUP($B90,PirteiKisuiBeMutzar_procerur!$C$6:$AA$100,6,FALSE),0)</f>
        <v>0</v>
      </c>
      <c r="CW90">
        <f>IFERROR(VLOOKUP($B90,PirteiKisuiBeMutzar_procerur!$C$6:$AA$100,7,FALSE),0)</f>
        <v>0</v>
      </c>
      <c r="CX90">
        <f>IFERROR(VLOOKUP($B90,PirteiKisuiBeMutzar_procerur!$C$6:$AA$100,8,FALSE),0)</f>
        <v>0</v>
      </c>
      <c r="CY90">
        <f>IFERROR(VLOOKUP($B90,PirteiKisuiBeMutzar_procerur!$C$6:$AA$100,9,FALSE),0)</f>
        <v>0</v>
      </c>
      <c r="CZ90">
        <f>IFERROR(VLOOKUP($B90,PirteiKisuiBeMutzar_procerur!$C$6:$AA$100,10,FALSE),0)</f>
        <v>0</v>
      </c>
      <c r="DA90">
        <f>IFERROR(VLOOKUP($B90,PirteiKisuiBeMutzar_procerur!$C$6:$AA$100,11,FALSE),0)</f>
        <v>0</v>
      </c>
      <c r="DB90">
        <f>IFERROR(VLOOKUP($B90,PirteiKisuiBeMutzarPrmia!$C$6:$AA$100,2,FALSE),0)</f>
        <v>0</v>
      </c>
      <c r="DC90">
        <f>IFERROR(VLOOKUP($B90,PirteiKisuiBeMutzarPrmia!$C$6:$AA$100,3,FALSE),0)</f>
        <v>0</v>
      </c>
      <c r="DD90">
        <f>IFERROR(VLOOKUP($B90,PirteiKisuiBeMutzarPrmia!$C$6:$AA$100,4,FALSE),0)</f>
        <v>0</v>
      </c>
      <c r="DE90">
        <f>IFERROR(VLOOKUP($B90,PirteiKisuiBeMutzarPrmia!$C$6:$AA$100,5,FALSE),0)</f>
        <v>0</v>
      </c>
      <c r="DF90">
        <f>IFERROR(VLOOKUP($B90,PirteiKisuiBeMutzarPrmia!$C$6:$AA$100,6,FALSE),0)</f>
        <v>0</v>
      </c>
      <c r="DG90">
        <f>IFERROR(VLOOKUP($B90,PirteiKisuiBeMutzarPrmia!$C$6:$AA$100,7,FALSE),0)</f>
        <v>0</v>
      </c>
      <c r="DH90">
        <f>IFERROR(VLOOKUP($B90,PirteiKisuiBeMutzarPrmia!$C$6:$AA$100,8,FALSE),0)</f>
        <v>0</v>
      </c>
      <c r="DI90">
        <f>IFERROR(VLOOKUP($B90,PirteiKisuiBeMutzarPrmia!$C$6:$AA$100,9,FALSE),0)</f>
        <v>0</v>
      </c>
      <c r="DJ90">
        <f>IFERROR(VLOOKUP($B90,PirteiKisuiBeMutzarPrmia!$C$6:$AA$100,10,FALSE),0)</f>
        <v>0</v>
      </c>
      <c r="DK90">
        <f>IFERROR(VLOOKUP($B90,PirteiKisuiBeMutzarPrmia!$C$6:$AA$100,11,FALSE),0)</f>
        <v>0</v>
      </c>
      <c r="DL90">
        <f t="shared" si="96"/>
        <v>0</v>
      </c>
      <c r="DM90">
        <f t="shared" si="97"/>
        <v>0</v>
      </c>
      <c r="DN90">
        <f t="shared" si="98"/>
        <v>0</v>
      </c>
      <c r="DO90">
        <f t="shared" si="52"/>
        <v>0</v>
      </c>
      <c r="DP90">
        <f t="shared" si="53"/>
        <v>0</v>
      </c>
      <c r="DQ90">
        <f>IF(OR(L90=1,L90=3),IFERROR(VLOOKUP($B90,PerutHafkadotMetchilatShanaAvgM!$C$6:$G$100,3,FALSE),0),0)</f>
        <v>0</v>
      </c>
      <c r="DR90">
        <f>IF(OR(L90=2,L90=4),IFERROR(VLOOKUP($B90,PerutHafkadotMetchilatShanaAvgM!$C$6:$G$100,3,FALSE),0),0)</f>
        <v>0</v>
      </c>
      <c r="DS90">
        <f>IFERROR(VLOOKUP($B90,PerutHafkadotMetchilatShanaAvgM!$C$6:$G$100,4,FALSE),0)</f>
        <v>0</v>
      </c>
      <c r="DT90">
        <f>IFERROR(VLOOKUP($B90,Kupa!$D$6:$AA$100,5,FALSE),0)</f>
        <v>0</v>
      </c>
      <c r="DU90">
        <f>IFERROR(VLOOKUP($B90,Kupa!$D$6:$AA$100,6,FALSE),0)</f>
        <v>0</v>
      </c>
      <c r="DV90">
        <f>IFERROR(VLOOKUP($B90,KisuiBKerenPensiaDBWithParams!$D$6:$AP$100,9,FALSE),0)</f>
        <v>0</v>
      </c>
      <c r="DW90">
        <f>IFERROR(VLOOKUP($B90,KisuiBKerenPensiaDBWithParams!$D$6:$AP$100,12,FALSE),0)</f>
        <v>0</v>
      </c>
      <c r="DX90">
        <f>IFERROR(VLOOKUP($B90,KisuiBKerenPensiaDBWithParams!$D$6:$AP$100,13,FALSE),0)</f>
        <v>0</v>
      </c>
      <c r="DY90">
        <f>IFERROR(VLOOKUP($B90,KisuiBKerenPensiaDBWithParams!$D$6:$AP$100,7,FALSE),0)</f>
        <v>0</v>
      </c>
      <c r="DZ90">
        <f>IFERROR(VLOOKUP($B90,KisuiBKerenPensiaDBWithParams!$D$6:$AP$100,17,FALSE),0)</f>
        <v>0</v>
      </c>
      <c r="EA90">
        <f>IFERROR(VLOOKUP($B90,KisuiBKerenPensiaDBWithParams!$D$6:$AP$100,20,FALSE),0)</f>
        <v>0</v>
      </c>
      <c r="EB90">
        <f>IFERROR(VLOOKUP($B90,KisuiBKerenPensiaDBWithParams!$D$6:$AP$100,21,FALSE),0)</f>
        <v>0</v>
      </c>
      <c r="EC90">
        <f t="shared" si="99"/>
        <v>0</v>
      </c>
      <c r="EG90">
        <f>IF(OR(G90=MyData!$J$50,G90=MyData!$J$51,G90=MyData!$J$52),1,IF(G90=MyData!$J$49,2,0))</f>
        <v>0</v>
      </c>
    </row>
    <row r="91" spans="1:137">
      <c r="A91">
        <f t="shared" si="100"/>
        <v>0</v>
      </c>
      <c r="B91" s="20">
        <f>RicusPolice!E88</f>
        <v>0</v>
      </c>
      <c r="C91" s="20">
        <f>RicusPolice!AL88</f>
        <v>0</v>
      </c>
      <c r="D91" s="20">
        <f>RicusPolice!F88</f>
        <v>0</v>
      </c>
      <c r="E91" s="20">
        <f>RicusPolice!R88</f>
        <v>0</v>
      </c>
      <c r="F91" s="20">
        <f>RicusPolice!N88</f>
        <v>0</v>
      </c>
      <c r="G91" s="20">
        <f>IFERROR(VLOOKUP($B91,PerutYitrot!$D$6:$P$100,4,FALSE),0)</f>
        <v>0</v>
      </c>
      <c r="H91" s="20">
        <f t="shared" si="54"/>
        <v>0</v>
      </c>
      <c r="I91" s="20">
        <f>RicusPolice!L88</f>
        <v>0</v>
      </c>
      <c r="J91" s="179">
        <f>IFERROR(VLOOKUP(TRIM(K91),MyData!$J$43:$K$49,2,FALSE),0)</f>
        <v>0</v>
      </c>
      <c r="K91" s="20">
        <f>RicusPolice!M88</f>
        <v>0</v>
      </c>
      <c r="L91" s="20">
        <f>RicusPolice!AM88</f>
        <v>0</v>
      </c>
      <c r="M91" s="20" t="str">
        <f>IF(B91&gt;0,RicusPolice!Y88," ")</f>
        <v xml:space="preserve"> </v>
      </c>
      <c r="N91" s="20" t="str">
        <f t="shared" si="55"/>
        <v/>
      </c>
      <c r="O91" s="20">
        <f>RicusPolice!N88</f>
        <v>0</v>
      </c>
      <c r="P91" s="20">
        <f>IFERROR(VLOOKUP(B91,PerutMasluleiHashkaa!$D$6:$R$100,4,FALSE),0)</f>
        <v>0</v>
      </c>
      <c r="Q91" s="19"/>
      <c r="R91" s="20">
        <f>RicusPolice!P88</f>
        <v>0</v>
      </c>
      <c r="S91" s="20"/>
      <c r="T91" s="21">
        <f>'נתונים ידניים'!H91</f>
        <v>0</v>
      </c>
      <c r="U91" s="21"/>
      <c r="V91" s="20">
        <f>PerutHafrashotLePolisa!E88</f>
        <v>0</v>
      </c>
      <c r="W91" s="20">
        <f>PerutHafrashotLePolisa!F88</f>
        <v>0</v>
      </c>
      <c r="X91" s="20">
        <f>PerutHafrashotLePolisa!G88</f>
        <v>0</v>
      </c>
      <c r="Y91">
        <f t="shared" si="56"/>
        <v>0</v>
      </c>
      <c r="Z91">
        <f>IFERROR(VLOOKUP(B91,PirteiHaasaka!$D$6:$R$100,5,FALSE),0)</f>
        <v>0</v>
      </c>
      <c r="AB91">
        <f>IFERROR(VLOOKUP(B91,HafkadotMetchilatShanaAverages!$D$6:$E$100,2,FALSE),0)</f>
        <v>0</v>
      </c>
      <c r="AF91">
        <f>IFERROR(VLOOKUP(B91,CrossTabYitraLeTkufa_till_2000!$D$6:$AB$100,6,FALSE),0)+IFERROR(VLOOKUP(B91,CrossTabYitraLeTkufa_after_2000!$D$6:$AB$100,6,FALSE),0)</f>
        <v>0</v>
      </c>
      <c r="AG91">
        <f>IFERROR(VLOOKUP(B91,CrossTabYitraLeTkufa_till_2000!$D$6:$AB$100,16,FALSE),0)</f>
        <v>0</v>
      </c>
      <c r="AH91">
        <f>IFERROR(VLOOKUP(B91,CrossTabYitraLeTkufa_after_2000!$D$6:$AB$100,16,FALSE),0)</f>
        <v>0</v>
      </c>
      <c r="AI91">
        <f>IFERROR(VLOOKUP(B91,CrossTabYitraLeTkufa_till_2000!$D$6:$AB$100,17,FALSE),0)</f>
        <v>0</v>
      </c>
      <c r="AJ91">
        <f>IFERROR(VLOOKUP(B91,CrossTabYitraLeTkufa_after_2000!$D$6:$AB$100,17,FALSE),0)</f>
        <v>0</v>
      </c>
      <c r="AK91" s="5">
        <f t="shared" si="57"/>
        <v>0</v>
      </c>
      <c r="AN91">
        <f>IFERROR(VLOOKUP(B91,PirteiKisuiBeMutzar_procerur!$C$6:$AA$100,2,FALSE),0)</f>
        <v>0</v>
      </c>
      <c r="AP91">
        <f>IFERROR(VLOOKUP($B91,PirteiKisuiBeMutzar_procerur!$C$6:$AA$100,5,FALSE),0)</f>
        <v>0</v>
      </c>
      <c r="AQ91">
        <f>IFERROR(VLOOKUP($B91,PirteiKisuiBeMutzar_procerur!$C$6:$AA$100,3,FALSE),0)</f>
        <v>0</v>
      </c>
      <c r="AR91">
        <f>IFERROR(VLOOKUP($B91,PirteiKisuiBeMutzar_procerur!$C$6:$AA$100,6,FALSE),0)</f>
        <v>0</v>
      </c>
      <c r="AS91">
        <f>IFERROR(VLOOKUP($B91,PirteiKisuiBeMutzar_procerur!$C$6:$AA$100,7,FALSE),0)</f>
        <v>0</v>
      </c>
      <c r="AW91">
        <f t="shared" si="58"/>
        <v>0</v>
      </c>
      <c r="AX91">
        <f t="shared" si="59"/>
        <v>0</v>
      </c>
      <c r="AY91">
        <f t="shared" si="60"/>
        <v>0</v>
      </c>
      <c r="AZ91">
        <f t="shared" si="61"/>
        <v>0</v>
      </c>
      <c r="BA91">
        <f t="shared" si="62"/>
        <v>0</v>
      </c>
      <c r="BB91">
        <f t="shared" si="63"/>
        <v>0</v>
      </c>
      <c r="BC91">
        <f t="shared" si="64"/>
        <v>0</v>
      </c>
      <c r="BD91">
        <f t="shared" si="65"/>
        <v>0</v>
      </c>
      <c r="BE91">
        <f t="shared" si="66"/>
        <v>0</v>
      </c>
      <c r="BF91">
        <f t="shared" si="67"/>
        <v>0</v>
      </c>
      <c r="BG91">
        <f t="shared" si="68"/>
        <v>0</v>
      </c>
      <c r="BH91">
        <f t="shared" si="69"/>
        <v>0</v>
      </c>
      <c r="BI91">
        <f t="shared" si="70"/>
        <v>0</v>
      </c>
      <c r="BK91">
        <f t="shared" si="71"/>
        <v>0</v>
      </c>
      <c r="BL91">
        <f t="shared" si="72"/>
        <v>0</v>
      </c>
      <c r="BM91">
        <f t="shared" si="73"/>
        <v>0</v>
      </c>
      <c r="BN91">
        <f t="shared" si="74"/>
        <v>0</v>
      </c>
      <c r="BO91">
        <f t="shared" si="75"/>
        <v>0</v>
      </c>
      <c r="BR91">
        <f t="shared" si="76"/>
        <v>0</v>
      </c>
      <c r="BS91">
        <f t="shared" si="77"/>
        <v>0</v>
      </c>
      <c r="BT91">
        <f t="shared" si="78"/>
        <v>0</v>
      </c>
      <c r="BU91">
        <f t="shared" si="79"/>
        <v>0</v>
      </c>
      <c r="BV91">
        <f t="shared" si="80"/>
        <v>0</v>
      </c>
      <c r="BX91">
        <f t="shared" si="81"/>
        <v>0</v>
      </c>
      <c r="BY91">
        <f t="shared" si="82"/>
        <v>0</v>
      </c>
      <c r="BZ91">
        <f t="shared" si="83"/>
        <v>0</v>
      </c>
      <c r="CA91">
        <f t="shared" si="84"/>
        <v>0</v>
      </c>
      <c r="CB91">
        <f t="shared" si="85"/>
        <v>0</v>
      </c>
      <c r="CE91">
        <f t="shared" si="86"/>
        <v>0</v>
      </c>
      <c r="CF91">
        <f t="shared" si="87"/>
        <v>0</v>
      </c>
      <c r="CG91">
        <f t="shared" si="88"/>
        <v>0</v>
      </c>
      <c r="CH91">
        <f t="shared" si="89"/>
        <v>0</v>
      </c>
      <c r="CI91">
        <f t="shared" si="90"/>
        <v>0</v>
      </c>
      <c r="CL91">
        <f t="shared" si="91"/>
        <v>0</v>
      </c>
      <c r="CM91">
        <f t="shared" si="92"/>
        <v>0</v>
      </c>
      <c r="CN91">
        <f t="shared" si="93"/>
        <v>0</v>
      </c>
      <c r="CO91">
        <f t="shared" si="94"/>
        <v>0</v>
      </c>
      <c r="CP91">
        <f t="shared" si="95"/>
        <v>0</v>
      </c>
      <c r="CQ91">
        <f>IFERROR(VLOOKUP($B91,SchumeiBituahYesodi!$C$6:$AA$100,8,FALSE),0)</f>
        <v>0</v>
      </c>
      <c r="CR91">
        <f>IFERROR(VLOOKUP($B91,PirteiKisuiBeMutzar_procerur!$C$6:$AA$100,2,FALSE),0)</f>
        <v>0</v>
      </c>
      <c r="CS91">
        <f>IFERROR(VLOOKUP($B91,PirteiKisuiBeMutzar_procerur!$C$6:$AA$100,3,FALSE),0)</f>
        <v>0</v>
      </c>
      <c r="CT91">
        <f>IFERROR(VLOOKUP($B91,PirteiKisuiBeMutzar_procerur!$C$6:$AA$100,4,FALSE),0)</f>
        <v>0</v>
      </c>
      <c r="CU91">
        <f>IFERROR(VLOOKUP($B91,PirteiKisuiBeMutzar_procerur!$C$6:$AA$100,5,FALSE),0)</f>
        <v>0</v>
      </c>
      <c r="CV91">
        <f>IFERROR(VLOOKUP($B91,PirteiKisuiBeMutzar_procerur!$C$6:$AA$100,6,FALSE),0)</f>
        <v>0</v>
      </c>
      <c r="CW91">
        <f>IFERROR(VLOOKUP($B91,PirteiKisuiBeMutzar_procerur!$C$6:$AA$100,7,FALSE),0)</f>
        <v>0</v>
      </c>
      <c r="CX91">
        <f>IFERROR(VLOOKUP($B91,PirteiKisuiBeMutzar_procerur!$C$6:$AA$100,8,FALSE),0)</f>
        <v>0</v>
      </c>
      <c r="CY91">
        <f>IFERROR(VLOOKUP($B91,PirteiKisuiBeMutzar_procerur!$C$6:$AA$100,9,FALSE),0)</f>
        <v>0</v>
      </c>
      <c r="CZ91">
        <f>IFERROR(VLOOKUP($B91,PirteiKisuiBeMutzar_procerur!$C$6:$AA$100,10,FALSE),0)</f>
        <v>0</v>
      </c>
      <c r="DA91">
        <f>IFERROR(VLOOKUP($B91,PirteiKisuiBeMutzar_procerur!$C$6:$AA$100,11,FALSE),0)</f>
        <v>0</v>
      </c>
      <c r="DB91">
        <f>IFERROR(VLOOKUP($B91,PirteiKisuiBeMutzarPrmia!$C$6:$AA$100,2,FALSE),0)</f>
        <v>0</v>
      </c>
      <c r="DC91">
        <f>IFERROR(VLOOKUP($B91,PirteiKisuiBeMutzarPrmia!$C$6:$AA$100,3,FALSE),0)</f>
        <v>0</v>
      </c>
      <c r="DD91">
        <f>IFERROR(VLOOKUP($B91,PirteiKisuiBeMutzarPrmia!$C$6:$AA$100,4,FALSE),0)</f>
        <v>0</v>
      </c>
      <c r="DE91">
        <f>IFERROR(VLOOKUP($B91,PirteiKisuiBeMutzarPrmia!$C$6:$AA$100,5,FALSE),0)</f>
        <v>0</v>
      </c>
      <c r="DF91">
        <f>IFERROR(VLOOKUP($B91,PirteiKisuiBeMutzarPrmia!$C$6:$AA$100,6,FALSE),0)</f>
        <v>0</v>
      </c>
      <c r="DG91">
        <f>IFERROR(VLOOKUP($B91,PirteiKisuiBeMutzarPrmia!$C$6:$AA$100,7,FALSE),0)</f>
        <v>0</v>
      </c>
      <c r="DH91">
        <f>IFERROR(VLOOKUP($B91,PirteiKisuiBeMutzarPrmia!$C$6:$AA$100,8,FALSE),0)</f>
        <v>0</v>
      </c>
      <c r="DI91">
        <f>IFERROR(VLOOKUP($B91,PirteiKisuiBeMutzarPrmia!$C$6:$AA$100,9,FALSE),0)</f>
        <v>0</v>
      </c>
      <c r="DJ91">
        <f>IFERROR(VLOOKUP($B91,PirteiKisuiBeMutzarPrmia!$C$6:$AA$100,10,FALSE),0)</f>
        <v>0</v>
      </c>
      <c r="DK91">
        <f>IFERROR(VLOOKUP($B91,PirteiKisuiBeMutzarPrmia!$C$6:$AA$100,11,FALSE),0)</f>
        <v>0</v>
      </c>
      <c r="DL91">
        <f t="shared" si="96"/>
        <v>0</v>
      </c>
      <c r="DM91">
        <f t="shared" si="97"/>
        <v>0</v>
      </c>
      <c r="DN91">
        <f t="shared" si="98"/>
        <v>0</v>
      </c>
      <c r="DO91">
        <f t="shared" si="52"/>
        <v>0</v>
      </c>
      <c r="DP91">
        <f t="shared" si="53"/>
        <v>0</v>
      </c>
      <c r="DQ91">
        <f>IF(OR(L91=1,L91=3),IFERROR(VLOOKUP($B91,PerutHafkadotMetchilatShanaAvgM!$C$6:$G$100,3,FALSE),0),0)</f>
        <v>0</v>
      </c>
      <c r="DR91">
        <f>IF(OR(L91=2,L91=4),IFERROR(VLOOKUP($B91,PerutHafkadotMetchilatShanaAvgM!$C$6:$G$100,3,FALSE),0),0)</f>
        <v>0</v>
      </c>
      <c r="DS91">
        <f>IFERROR(VLOOKUP($B91,PerutHafkadotMetchilatShanaAvgM!$C$6:$G$100,4,FALSE),0)</f>
        <v>0</v>
      </c>
      <c r="DT91">
        <f>IFERROR(VLOOKUP($B91,Kupa!$D$6:$AA$100,5,FALSE),0)</f>
        <v>0</v>
      </c>
      <c r="DU91">
        <f>IFERROR(VLOOKUP($B91,Kupa!$D$6:$AA$100,6,FALSE),0)</f>
        <v>0</v>
      </c>
      <c r="DV91">
        <f>IFERROR(VLOOKUP($B91,KisuiBKerenPensiaDBWithParams!$D$6:$AP$100,9,FALSE),0)</f>
        <v>0</v>
      </c>
      <c r="DW91">
        <f>IFERROR(VLOOKUP($B91,KisuiBKerenPensiaDBWithParams!$D$6:$AP$100,12,FALSE),0)</f>
        <v>0</v>
      </c>
      <c r="DX91">
        <f>IFERROR(VLOOKUP($B91,KisuiBKerenPensiaDBWithParams!$D$6:$AP$100,13,FALSE),0)</f>
        <v>0</v>
      </c>
      <c r="DY91">
        <f>IFERROR(VLOOKUP($B91,KisuiBKerenPensiaDBWithParams!$D$6:$AP$100,7,FALSE),0)</f>
        <v>0</v>
      </c>
      <c r="DZ91">
        <f>IFERROR(VLOOKUP($B91,KisuiBKerenPensiaDBWithParams!$D$6:$AP$100,17,FALSE),0)</f>
        <v>0</v>
      </c>
      <c r="EA91">
        <f>IFERROR(VLOOKUP($B91,KisuiBKerenPensiaDBWithParams!$D$6:$AP$100,20,FALSE),0)</f>
        <v>0</v>
      </c>
      <c r="EB91">
        <f>IFERROR(VLOOKUP($B91,KisuiBKerenPensiaDBWithParams!$D$6:$AP$100,21,FALSE),0)</f>
        <v>0</v>
      </c>
      <c r="EC91">
        <f t="shared" si="99"/>
        <v>0</v>
      </c>
      <c r="EG91">
        <f>IF(OR(G91=MyData!$J$50,G91=MyData!$J$51,G91=MyData!$J$52),1,IF(G91=MyData!$J$49,2,0))</f>
        <v>0</v>
      </c>
    </row>
    <row r="92" spans="1:137">
      <c r="A92">
        <f t="shared" si="100"/>
        <v>0</v>
      </c>
      <c r="B92" s="20">
        <f>RicusPolice!E89</f>
        <v>0</v>
      </c>
      <c r="C92" s="20">
        <f>RicusPolice!AL89</f>
        <v>0</v>
      </c>
      <c r="D92" s="20">
        <f>RicusPolice!F89</f>
        <v>0</v>
      </c>
      <c r="E92" s="20">
        <f>RicusPolice!R89</f>
        <v>0</v>
      </c>
      <c r="F92" s="20">
        <f>RicusPolice!N89</f>
        <v>0</v>
      </c>
      <c r="G92" s="20">
        <f>IFERROR(VLOOKUP($B92,PerutYitrot!$D$6:$P$100,4,FALSE),0)</f>
        <v>0</v>
      </c>
      <c r="H92" s="20">
        <f t="shared" si="54"/>
        <v>0</v>
      </c>
      <c r="I92" s="20">
        <f>RicusPolice!L89</f>
        <v>0</v>
      </c>
      <c r="J92" s="179">
        <f>IFERROR(VLOOKUP(TRIM(K92),MyData!$J$43:$K$49,2,FALSE),0)</f>
        <v>0</v>
      </c>
      <c r="K92" s="20">
        <f>RicusPolice!M89</f>
        <v>0</v>
      </c>
      <c r="L92" s="20">
        <f>RicusPolice!AM89</f>
        <v>0</v>
      </c>
      <c r="M92" s="20" t="str">
        <f>IF(B92&gt;0,RicusPolice!Y89," ")</f>
        <v xml:space="preserve"> </v>
      </c>
      <c r="N92" s="20" t="str">
        <f t="shared" si="55"/>
        <v/>
      </c>
      <c r="O92" s="20">
        <f>RicusPolice!N89</f>
        <v>0</v>
      </c>
      <c r="P92" s="20">
        <f>IFERROR(VLOOKUP(B92,PerutMasluleiHashkaa!$D$6:$R$100,4,FALSE),0)</f>
        <v>0</v>
      </c>
      <c r="Q92" s="19"/>
      <c r="R92" s="20">
        <f>RicusPolice!P89</f>
        <v>0</v>
      </c>
      <c r="S92" s="20"/>
      <c r="T92" s="21">
        <f>'נתונים ידניים'!H92</f>
        <v>0</v>
      </c>
      <c r="U92" s="21"/>
      <c r="V92" s="20">
        <f>PerutHafrashotLePolisa!E89</f>
        <v>0</v>
      </c>
      <c r="W92" s="20">
        <f>PerutHafrashotLePolisa!F89</f>
        <v>0</v>
      </c>
      <c r="X92" s="20">
        <f>PerutHafrashotLePolisa!G89</f>
        <v>0</v>
      </c>
      <c r="Y92">
        <f t="shared" si="56"/>
        <v>0</v>
      </c>
      <c r="Z92">
        <f>IFERROR(VLOOKUP(B92,PirteiHaasaka!$D$6:$R$100,5,FALSE),0)</f>
        <v>0</v>
      </c>
      <c r="AB92">
        <f>IFERROR(VLOOKUP(B92,HafkadotMetchilatShanaAverages!$D$6:$E$100,2,FALSE),0)</f>
        <v>0</v>
      </c>
      <c r="AF92">
        <f>IFERROR(VLOOKUP(B92,CrossTabYitraLeTkufa_till_2000!$D$6:$AB$100,6,FALSE),0)+IFERROR(VLOOKUP(B92,CrossTabYitraLeTkufa_after_2000!$D$6:$AB$100,6,FALSE),0)</f>
        <v>0</v>
      </c>
      <c r="AG92">
        <f>IFERROR(VLOOKUP(B92,CrossTabYitraLeTkufa_till_2000!$D$6:$AB$100,16,FALSE),0)</f>
        <v>0</v>
      </c>
      <c r="AH92">
        <f>IFERROR(VLOOKUP(B92,CrossTabYitraLeTkufa_after_2000!$D$6:$AB$100,16,FALSE),0)</f>
        <v>0</v>
      </c>
      <c r="AI92">
        <f>IFERROR(VLOOKUP(B92,CrossTabYitraLeTkufa_till_2000!$D$6:$AB$100,17,FALSE),0)</f>
        <v>0</v>
      </c>
      <c r="AJ92">
        <f>IFERROR(VLOOKUP(B92,CrossTabYitraLeTkufa_after_2000!$D$6:$AB$100,17,FALSE),0)</f>
        <v>0</v>
      </c>
      <c r="AK92" s="5">
        <f t="shared" si="57"/>
        <v>0</v>
      </c>
      <c r="AN92">
        <f>IFERROR(VLOOKUP(B92,PirteiKisuiBeMutzar_procerur!$C$6:$AA$100,2,FALSE),0)</f>
        <v>0</v>
      </c>
      <c r="AP92">
        <f>IFERROR(VLOOKUP($B92,PirteiKisuiBeMutzar_procerur!$C$6:$AA$100,5,FALSE),0)</f>
        <v>0</v>
      </c>
      <c r="AQ92">
        <f>IFERROR(VLOOKUP($B92,PirteiKisuiBeMutzar_procerur!$C$6:$AA$100,3,FALSE),0)</f>
        <v>0</v>
      </c>
      <c r="AR92">
        <f>IFERROR(VLOOKUP($B92,PirteiKisuiBeMutzar_procerur!$C$6:$AA$100,6,FALSE),0)</f>
        <v>0</v>
      </c>
      <c r="AS92">
        <f>IFERROR(VLOOKUP($B92,PirteiKisuiBeMutzar_procerur!$C$6:$AA$100,7,FALSE),0)</f>
        <v>0</v>
      </c>
      <c r="AW92">
        <f t="shared" si="58"/>
        <v>0</v>
      </c>
      <c r="AX92">
        <f t="shared" si="59"/>
        <v>0</v>
      </c>
      <c r="AY92">
        <f t="shared" si="60"/>
        <v>0</v>
      </c>
      <c r="AZ92">
        <f t="shared" si="61"/>
        <v>0</v>
      </c>
      <c r="BA92">
        <f t="shared" si="62"/>
        <v>0</v>
      </c>
      <c r="BB92">
        <f t="shared" si="63"/>
        <v>0</v>
      </c>
      <c r="BC92">
        <f t="shared" si="64"/>
        <v>0</v>
      </c>
      <c r="BD92">
        <f t="shared" si="65"/>
        <v>0</v>
      </c>
      <c r="BE92">
        <f t="shared" si="66"/>
        <v>0</v>
      </c>
      <c r="BF92">
        <f t="shared" si="67"/>
        <v>0</v>
      </c>
      <c r="BG92">
        <f t="shared" si="68"/>
        <v>0</v>
      </c>
      <c r="BH92">
        <f t="shared" si="69"/>
        <v>0</v>
      </c>
      <c r="BI92">
        <f t="shared" si="70"/>
        <v>0</v>
      </c>
      <c r="BK92">
        <f t="shared" si="71"/>
        <v>0</v>
      </c>
      <c r="BL92">
        <f t="shared" si="72"/>
        <v>0</v>
      </c>
      <c r="BM92">
        <f t="shared" si="73"/>
        <v>0</v>
      </c>
      <c r="BN92">
        <f t="shared" si="74"/>
        <v>0</v>
      </c>
      <c r="BO92">
        <f t="shared" si="75"/>
        <v>0</v>
      </c>
      <c r="BR92">
        <f t="shared" si="76"/>
        <v>0</v>
      </c>
      <c r="BS92">
        <f t="shared" si="77"/>
        <v>0</v>
      </c>
      <c r="BT92">
        <f t="shared" si="78"/>
        <v>0</v>
      </c>
      <c r="BU92">
        <f t="shared" si="79"/>
        <v>0</v>
      </c>
      <c r="BV92">
        <f t="shared" si="80"/>
        <v>0</v>
      </c>
      <c r="BX92">
        <f t="shared" si="81"/>
        <v>0</v>
      </c>
      <c r="BY92">
        <f t="shared" si="82"/>
        <v>0</v>
      </c>
      <c r="BZ92">
        <f t="shared" si="83"/>
        <v>0</v>
      </c>
      <c r="CA92">
        <f t="shared" si="84"/>
        <v>0</v>
      </c>
      <c r="CB92">
        <f t="shared" si="85"/>
        <v>0</v>
      </c>
      <c r="CE92">
        <f t="shared" si="86"/>
        <v>0</v>
      </c>
      <c r="CF92">
        <f t="shared" si="87"/>
        <v>0</v>
      </c>
      <c r="CG92">
        <f t="shared" si="88"/>
        <v>0</v>
      </c>
      <c r="CH92">
        <f t="shared" si="89"/>
        <v>0</v>
      </c>
      <c r="CI92">
        <f t="shared" si="90"/>
        <v>0</v>
      </c>
      <c r="CL92">
        <f t="shared" si="91"/>
        <v>0</v>
      </c>
      <c r="CM92">
        <f t="shared" si="92"/>
        <v>0</v>
      </c>
      <c r="CN92">
        <f t="shared" si="93"/>
        <v>0</v>
      </c>
      <c r="CO92">
        <f t="shared" si="94"/>
        <v>0</v>
      </c>
      <c r="CP92">
        <f t="shared" si="95"/>
        <v>0</v>
      </c>
      <c r="CQ92">
        <f>IFERROR(VLOOKUP($B92,SchumeiBituahYesodi!$C$6:$AA$100,8,FALSE),0)</f>
        <v>0</v>
      </c>
      <c r="CR92">
        <f>IFERROR(VLOOKUP($B92,PirteiKisuiBeMutzar_procerur!$C$6:$AA$100,2,FALSE),0)</f>
        <v>0</v>
      </c>
      <c r="CS92">
        <f>IFERROR(VLOOKUP($B92,PirteiKisuiBeMutzar_procerur!$C$6:$AA$100,3,FALSE),0)</f>
        <v>0</v>
      </c>
      <c r="CT92">
        <f>IFERROR(VLOOKUP($B92,PirteiKisuiBeMutzar_procerur!$C$6:$AA$100,4,FALSE),0)</f>
        <v>0</v>
      </c>
      <c r="CU92">
        <f>IFERROR(VLOOKUP($B92,PirteiKisuiBeMutzar_procerur!$C$6:$AA$100,5,FALSE),0)</f>
        <v>0</v>
      </c>
      <c r="CV92">
        <f>IFERROR(VLOOKUP($B92,PirteiKisuiBeMutzar_procerur!$C$6:$AA$100,6,FALSE),0)</f>
        <v>0</v>
      </c>
      <c r="CW92">
        <f>IFERROR(VLOOKUP($B92,PirteiKisuiBeMutzar_procerur!$C$6:$AA$100,7,FALSE),0)</f>
        <v>0</v>
      </c>
      <c r="CX92">
        <f>IFERROR(VLOOKUP($B92,PirteiKisuiBeMutzar_procerur!$C$6:$AA$100,8,FALSE),0)</f>
        <v>0</v>
      </c>
      <c r="CY92">
        <f>IFERROR(VLOOKUP($B92,PirteiKisuiBeMutzar_procerur!$C$6:$AA$100,9,FALSE),0)</f>
        <v>0</v>
      </c>
      <c r="CZ92">
        <f>IFERROR(VLOOKUP($B92,PirteiKisuiBeMutzar_procerur!$C$6:$AA$100,10,FALSE),0)</f>
        <v>0</v>
      </c>
      <c r="DA92">
        <f>IFERROR(VLOOKUP($B92,PirteiKisuiBeMutzar_procerur!$C$6:$AA$100,11,FALSE),0)</f>
        <v>0</v>
      </c>
      <c r="DB92">
        <f>IFERROR(VLOOKUP($B92,PirteiKisuiBeMutzarPrmia!$C$6:$AA$100,2,FALSE),0)</f>
        <v>0</v>
      </c>
      <c r="DC92">
        <f>IFERROR(VLOOKUP($B92,PirteiKisuiBeMutzarPrmia!$C$6:$AA$100,3,FALSE),0)</f>
        <v>0</v>
      </c>
      <c r="DD92">
        <f>IFERROR(VLOOKUP($B92,PirteiKisuiBeMutzarPrmia!$C$6:$AA$100,4,FALSE),0)</f>
        <v>0</v>
      </c>
      <c r="DE92">
        <f>IFERROR(VLOOKUP($B92,PirteiKisuiBeMutzarPrmia!$C$6:$AA$100,5,FALSE),0)</f>
        <v>0</v>
      </c>
      <c r="DF92">
        <f>IFERROR(VLOOKUP($B92,PirteiKisuiBeMutzarPrmia!$C$6:$AA$100,6,FALSE),0)</f>
        <v>0</v>
      </c>
      <c r="DG92">
        <f>IFERROR(VLOOKUP($B92,PirteiKisuiBeMutzarPrmia!$C$6:$AA$100,7,FALSE),0)</f>
        <v>0</v>
      </c>
      <c r="DH92">
        <f>IFERROR(VLOOKUP($B92,PirteiKisuiBeMutzarPrmia!$C$6:$AA$100,8,FALSE),0)</f>
        <v>0</v>
      </c>
      <c r="DI92">
        <f>IFERROR(VLOOKUP($B92,PirteiKisuiBeMutzarPrmia!$C$6:$AA$100,9,FALSE),0)</f>
        <v>0</v>
      </c>
      <c r="DJ92">
        <f>IFERROR(VLOOKUP($B92,PirteiKisuiBeMutzarPrmia!$C$6:$AA$100,10,FALSE),0)</f>
        <v>0</v>
      </c>
      <c r="DK92">
        <f>IFERROR(VLOOKUP($B92,PirteiKisuiBeMutzarPrmia!$C$6:$AA$100,11,FALSE),0)</f>
        <v>0</v>
      </c>
      <c r="DL92">
        <f t="shared" si="96"/>
        <v>0</v>
      </c>
      <c r="DM92">
        <f t="shared" si="97"/>
        <v>0</v>
      </c>
      <c r="DN92">
        <f t="shared" si="98"/>
        <v>0</v>
      </c>
      <c r="DO92">
        <f t="shared" si="52"/>
        <v>0</v>
      </c>
      <c r="DP92">
        <f t="shared" si="53"/>
        <v>0</v>
      </c>
      <c r="DQ92">
        <f>IF(OR(L92=1,L92=3),IFERROR(VLOOKUP($B92,PerutHafkadotMetchilatShanaAvgM!$C$6:$G$100,3,FALSE),0),0)</f>
        <v>0</v>
      </c>
      <c r="DR92">
        <f>IF(OR(L92=2,L92=4),IFERROR(VLOOKUP($B92,PerutHafkadotMetchilatShanaAvgM!$C$6:$G$100,3,FALSE),0),0)</f>
        <v>0</v>
      </c>
      <c r="DS92">
        <f>IFERROR(VLOOKUP($B92,PerutHafkadotMetchilatShanaAvgM!$C$6:$G$100,4,FALSE),0)</f>
        <v>0</v>
      </c>
      <c r="DT92">
        <f>IFERROR(VLOOKUP($B92,Kupa!$D$6:$AA$100,5,FALSE),0)</f>
        <v>0</v>
      </c>
      <c r="DU92">
        <f>IFERROR(VLOOKUP($B92,Kupa!$D$6:$AA$100,6,FALSE),0)</f>
        <v>0</v>
      </c>
      <c r="DV92">
        <f>IFERROR(VLOOKUP($B92,KisuiBKerenPensiaDBWithParams!$D$6:$AP$100,9,FALSE),0)</f>
        <v>0</v>
      </c>
      <c r="DW92">
        <f>IFERROR(VLOOKUP($B92,KisuiBKerenPensiaDBWithParams!$D$6:$AP$100,12,FALSE),0)</f>
        <v>0</v>
      </c>
      <c r="DX92">
        <f>IFERROR(VLOOKUP($B92,KisuiBKerenPensiaDBWithParams!$D$6:$AP$100,13,FALSE),0)</f>
        <v>0</v>
      </c>
      <c r="DY92">
        <f>IFERROR(VLOOKUP($B92,KisuiBKerenPensiaDBWithParams!$D$6:$AP$100,7,FALSE),0)</f>
        <v>0</v>
      </c>
      <c r="DZ92">
        <f>IFERROR(VLOOKUP($B92,KisuiBKerenPensiaDBWithParams!$D$6:$AP$100,17,FALSE),0)</f>
        <v>0</v>
      </c>
      <c r="EA92">
        <f>IFERROR(VLOOKUP($B92,KisuiBKerenPensiaDBWithParams!$D$6:$AP$100,20,FALSE),0)</f>
        <v>0</v>
      </c>
      <c r="EB92">
        <f>IFERROR(VLOOKUP($B92,KisuiBKerenPensiaDBWithParams!$D$6:$AP$100,21,FALSE),0)</f>
        <v>0</v>
      </c>
      <c r="EC92">
        <f t="shared" si="99"/>
        <v>0</v>
      </c>
      <c r="EG92">
        <f>IF(OR(G92=MyData!$J$50,G92=MyData!$J$51,G92=MyData!$J$52),1,IF(G92=MyData!$J$49,2,0))</f>
        <v>0</v>
      </c>
    </row>
    <row r="93" spans="1:137">
      <c r="A93">
        <f t="shared" si="100"/>
        <v>0</v>
      </c>
      <c r="B93" s="20">
        <f>RicusPolice!E90</f>
        <v>0</v>
      </c>
      <c r="C93" s="20">
        <f>RicusPolice!AL90</f>
        <v>0</v>
      </c>
      <c r="D93" s="20">
        <f>RicusPolice!F90</f>
        <v>0</v>
      </c>
      <c r="E93" s="20">
        <f>RicusPolice!R90</f>
        <v>0</v>
      </c>
      <c r="F93" s="20">
        <f>RicusPolice!N90</f>
        <v>0</v>
      </c>
      <c r="G93" s="20">
        <f>IFERROR(VLOOKUP($B93,PerutYitrot!$D$6:$P$100,4,FALSE),0)</f>
        <v>0</v>
      </c>
      <c r="H93" s="20">
        <f t="shared" si="54"/>
        <v>0</v>
      </c>
      <c r="I93" s="20">
        <f>RicusPolice!L90</f>
        <v>0</v>
      </c>
      <c r="J93" s="179">
        <f>IFERROR(VLOOKUP(TRIM(K93),MyData!$J$43:$K$49,2,FALSE),0)</f>
        <v>0</v>
      </c>
      <c r="K93" s="20">
        <f>RicusPolice!M90</f>
        <v>0</v>
      </c>
      <c r="L93" s="20">
        <f>RicusPolice!AM90</f>
        <v>0</v>
      </c>
      <c r="M93" s="20" t="str">
        <f>IF(B93&gt;0,RicusPolice!Y90," ")</f>
        <v xml:space="preserve"> </v>
      </c>
      <c r="N93" s="20" t="str">
        <f t="shared" si="55"/>
        <v/>
      </c>
      <c r="O93" s="20">
        <f>RicusPolice!N90</f>
        <v>0</v>
      </c>
      <c r="P93" s="20">
        <f>IFERROR(VLOOKUP(B93,PerutMasluleiHashkaa!$D$6:$R$100,4,FALSE),0)</f>
        <v>0</v>
      </c>
      <c r="Q93" s="19"/>
      <c r="R93" s="20">
        <f>RicusPolice!P90</f>
        <v>0</v>
      </c>
      <c r="S93" s="20"/>
      <c r="T93" s="21">
        <f>'נתונים ידניים'!H93</f>
        <v>0</v>
      </c>
      <c r="U93" s="21"/>
      <c r="V93" s="20">
        <f>PerutHafrashotLePolisa!E90</f>
        <v>0</v>
      </c>
      <c r="W93" s="20">
        <f>PerutHafrashotLePolisa!F90</f>
        <v>0</v>
      </c>
      <c r="X93" s="20">
        <f>PerutHafrashotLePolisa!G90</f>
        <v>0</v>
      </c>
      <c r="Y93">
        <f t="shared" si="56"/>
        <v>0</v>
      </c>
      <c r="Z93">
        <f>IFERROR(VLOOKUP(B93,PirteiHaasaka!$D$6:$R$100,5,FALSE),0)</f>
        <v>0</v>
      </c>
      <c r="AB93">
        <f>IFERROR(VLOOKUP(B93,HafkadotMetchilatShanaAverages!$D$6:$E$100,2,FALSE),0)</f>
        <v>0</v>
      </c>
      <c r="AF93">
        <f>IFERROR(VLOOKUP(B93,CrossTabYitraLeTkufa_till_2000!$D$6:$AB$100,6,FALSE),0)+IFERROR(VLOOKUP(B93,CrossTabYitraLeTkufa_after_2000!$D$6:$AB$100,6,FALSE),0)</f>
        <v>0</v>
      </c>
      <c r="AG93">
        <f>IFERROR(VLOOKUP(B93,CrossTabYitraLeTkufa_till_2000!$D$6:$AB$100,16,FALSE),0)</f>
        <v>0</v>
      </c>
      <c r="AH93">
        <f>IFERROR(VLOOKUP(B93,CrossTabYitraLeTkufa_after_2000!$D$6:$AB$100,16,FALSE),0)</f>
        <v>0</v>
      </c>
      <c r="AI93">
        <f>IFERROR(VLOOKUP(B93,CrossTabYitraLeTkufa_till_2000!$D$6:$AB$100,17,FALSE),0)</f>
        <v>0</v>
      </c>
      <c r="AJ93">
        <f>IFERROR(VLOOKUP(B93,CrossTabYitraLeTkufa_after_2000!$D$6:$AB$100,17,FALSE),0)</f>
        <v>0</v>
      </c>
      <c r="AK93" s="5">
        <f t="shared" si="57"/>
        <v>0</v>
      </c>
      <c r="AN93">
        <f>IFERROR(VLOOKUP(B93,PirteiKisuiBeMutzar_procerur!$C$6:$AA$100,2,FALSE),0)</f>
        <v>0</v>
      </c>
      <c r="AP93">
        <f>IFERROR(VLOOKUP($B93,PirteiKisuiBeMutzar_procerur!$C$6:$AA$100,5,FALSE),0)</f>
        <v>0</v>
      </c>
      <c r="AQ93">
        <f>IFERROR(VLOOKUP($B93,PirteiKisuiBeMutzar_procerur!$C$6:$AA$100,3,FALSE),0)</f>
        <v>0</v>
      </c>
      <c r="AR93">
        <f>IFERROR(VLOOKUP($B93,PirteiKisuiBeMutzar_procerur!$C$6:$AA$100,6,FALSE),0)</f>
        <v>0</v>
      </c>
      <c r="AS93">
        <f>IFERROR(VLOOKUP($B93,PirteiKisuiBeMutzar_procerur!$C$6:$AA$100,7,FALSE),0)</f>
        <v>0</v>
      </c>
      <c r="AW93">
        <f t="shared" si="58"/>
        <v>0</v>
      </c>
      <c r="AX93">
        <f t="shared" si="59"/>
        <v>0</v>
      </c>
      <c r="AY93">
        <f t="shared" si="60"/>
        <v>0</v>
      </c>
      <c r="AZ93">
        <f t="shared" si="61"/>
        <v>0</v>
      </c>
      <c r="BA93">
        <f t="shared" si="62"/>
        <v>0</v>
      </c>
      <c r="BB93">
        <f t="shared" si="63"/>
        <v>0</v>
      </c>
      <c r="BC93">
        <f t="shared" si="64"/>
        <v>0</v>
      </c>
      <c r="BD93">
        <f t="shared" si="65"/>
        <v>0</v>
      </c>
      <c r="BE93">
        <f t="shared" si="66"/>
        <v>0</v>
      </c>
      <c r="BF93">
        <f t="shared" si="67"/>
        <v>0</v>
      </c>
      <c r="BG93">
        <f t="shared" si="68"/>
        <v>0</v>
      </c>
      <c r="BH93">
        <f t="shared" si="69"/>
        <v>0</v>
      </c>
      <c r="BI93">
        <f t="shared" si="70"/>
        <v>0</v>
      </c>
      <c r="BK93">
        <f t="shared" si="71"/>
        <v>0</v>
      </c>
      <c r="BL93">
        <f t="shared" si="72"/>
        <v>0</v>
      </c>
      <c r="BM93">
        <f t="shared" si="73"/>
        <v>0</v>
      </c>
      <c r="BN93">
        <f t="shared" si="74"/>
        <v>0</v>
      </c>
      <c r="BO93">
        <f t="shared" si="75"/>
        <v>0</v>
      </c>
      <c r="BR93">
        <f t="shared" si="76"/>
        <v>0</v>
      </c>
      <c r="BS93">
        <f t="shared" si="77"/>
        <v>0</v>
      </c>
      <c r="BT93">
        <f t="shared" si="78"/>
        <v>0</v>
      </c>
      <c r="BU93">
        <f t="shared" si="79"/>
        <v>0</v>
      </c>
      <c r="BV93">
        <f t="shared" si="80"/>
        <v>0</v>
      </c>
      <c r="BX93">
        <f t="shared" si="81"/>
        <v>0</v>
      </c>
      <c r="BY93">
        <f t="shared" si="82"/>
        <v>0</v>
      </c>
      <c r="BZ93">
        <f t="shared" si="83"/>
        <v>0</v>
      </c>
      <c r="CA93">
        <f t="shared" si="84"/>
        <v>0</v>
      </c>
      <c r="CB93">
        <f t="shared" si="85"/>
        <v>0</v>
      </c>
      <c r="CE93">
        <f t="shared" si="86"/>
        <v>0</v>
      </c>
      <c r="CF93">
        <f t="shared" si="87"/>
        <v>0</v>
      </c>
      <c r="CG93">
        <f t="shared" si="88"/>
        <v>0</v>
      </c>
      <c r="CH93">
        <f t="shared" si="89"/>
        <v>0</v>
      </c>
      <c r="CI93">
        <f t="shared" si="90"/>
        <v>0</v>
      </c>
      <c r="CL93">
        <f t="shared" si="91"/>
        <v>0</v>
      </c>
      <c r="CM93">
        <f t="shared" si="92"/>
        <v>0</v>
      </c>
      <c r="CN93">
        <f t="shared" si="93"/>
        <v>0</v>
      </c>
      <c r="CO93">
        <f t="shared" si="94"/>
        <v>0</v>
      </c>
      <c r="CP93">
        <f t="shared" si="95"/>
        <v>0</v>
      </c>
      <c r="CQ93">
        <f>IFERROR(VLOOKUP($B93,SchumeiBituahYesodi!$C$6:$AA$100,8,FALSE),0)</f>
        <v>0</v>
      </c>
      <c r="CR93">
        <f>IFERROR(VLOOKUP($B93,PirteiKisuiBeMutzar_procerur!$C$6:$AA$100,2,FALSE),0)</f>
        <v>0</v>
      </c>
      <c r="CS93">
        <f>IFERROR(VLOOKUP($B93,PirteiKisuiBeMutzar_procerur!$C$6:$AA$100,3,FALSE),0)</f>
        <v>0</v>
      </c>
      <c r="CT93">
        <f>IFERROR(VLOOKUP($B93,PirteiKisuiBeMutzar_procerur!$C$6:$AA$100,4,FALSE),0)</f>
        <v>0</v>
      </c>
      <c r="CU93">
        <f>IFERROR(VLOOKUP($B93,PirteiKisuiBeMutzar_procerur!$C$6:$AA$100,5,FALSE),0)</f>
        <v>0</v>
      </c>
      <c r="CV93">
        <f>IFERROR(VLOOKUP($B93,PirteiKisuiBeMutzar_procerur!$C$6:$AA$100,6,FALSE),0)</f>
        <v>0</v>
      </c>
      <c r="CW93">
        <f>IFERROR(VLOOKUP($B93,PirteiKisuiBeMutzar_procerur!$C$6:$AA$100,7,FALSE),0)</f>
        <v>0</v>
      </c>
      <c r="CX93">
        <f>IFERROR(VLOOKUP($B93,PirteiKisuiBeMutzar_procerur!$C$6:$AA$100,8,FALSE),0)</f>
        <v>0</v>
      </c>
      <c r="CY93">
        <f>IFERROR(VLOOKUP($B93,PirteiKisuiBeMutzar_procerur!$C$6:$AA$100,9,FALSE),0)</f>
        <v>0</v>
      </c>
      <c r="CZ93">
        <f>IFERROR(VLOOKUP($B93,PirteiKisuiBeMutzar_procerur!$C$6:$AA$100,10,FALSE),0)</f>
        <v>0</v>
      </c>
      <c r="DA93">
        <f>IFERROR(VLOOKUP($B93,PirteiKisuiBeMutzar_procerur!$C$6:$AA$100,11,FALSE),0)</f>
        <v>0</v>
      </c>
      <c r="DB93">
        <f>IFERROR(VLOOKUP($B93,PirteiKisuiBeMutzarPrmia!$C$6:$AA$100,2,FALSE),0)</f>
        <v>0</v>
      </c>
      <c r="DC93">
        <f>IFERROR(VLOOKUP($B93,PirteiKisuiBeMutzarPrmia!$C$6:$AA$100,3,FALSE),0)</f>
        <v>0</v>
      </c>
      <c r="DD93">
        <f>IFERROR(VLOOKUP($B93,PirteiKisuiBeMutzarPrmia!$C$6:$AA$100,4,FALSE),0)</f>
        <v>0</v>
      </c>
      <c r="DE93">
        <f>IFERROR(VLOOKUP($B93,PirteiKisuiBeMutzarPrmia!$C$6:$AA$100,5,FALSE),0)</f>
        <v>0</v>
      </c>
      <c r="DF93">
        <f>IFERROR(VLOOKUP($B93,PirteiKisuiBeMutzarPrmia!$C$6:$AA$100,6,FALSE),0)</f>
        <v>0</v>
      </c>
      <c r="DG93">
        <f>IFERROR(VLOOKUP($B93,PirteiKisuiBeMutzarPrmia!$C$6:$AA$100,7,FALSE),0)</f>
        <v>0</v>
      </c>
      <c r="DH93">
        <f>IFERROR(VLOOKUP($B93,PirteiKisuiBeMutzarPrmia!$C$6:$AA$100,8,FALSE),0)</f>
        <v>0</v>
      </c>
      <c r="DI93">
        <f>IFERROR(VLOOKUP($B93,PirteiKisuiBeMutzarPrmia!$C$6:$AA$100,9,FALSE),0)</f>
        <v>0</v>
      </c>
      <c r="DJ93">
        <f>IFERROR(VLOOKUP($B93,PirteiKisuiBeMutzarPrmia!$C$6:$AA$100,10,FALSE),0)</f>
        <v>0</v>
      </c>
      <c r="DK93">
        <f>IFERROR(VLOOKUP($B93,PirteiKisuiBeMutzarPrmia!$C$6:$AA$100,11,FALSE),0)</f>
        <v>0</v>
      </c>
      <c r="DL93">
        <f t="shared" si="96"/>
        <v>0</v>
      </c>
      <c r="DM93">
        <f t="shared" si="97"/>
        <v>0</v>
      </c>
      <c r="DN93">
        <f t="shared" si="98"/>
        <v>0</v>
      </c>
      <c r="DO93">
        <f t="shared" si="52"/>
        <v>0</v>
      </c>
      <c r="DP93">
        <f t="shared" si="53"/>
        <v>0</v>
      </c>
      <c r="DQ93">
        <f>IF(OR(L93=1,L93=3),IFERROR(VLOOKUP($B93,PerutHafkadotMetchilatShanaAvgM!$C$6:$G$100,3,FALSE),0),0)</f>
        <v>0</v>
      </c>
      <c r="DR93">
        <f>IF(OR(L93=2,L93=4),IFERROR(VLOOKUP($B93,PerutHafkadotMetchilatShanaAvgM!$C$6:$G$100,3,FALSE),0),0)</f>
        <v>0</v>
      </c>
      <c r="DS93">
        <f>IFERROR(VLOOKUP($B93,PerutHafkadotMetchilatShanaAvgM!$C$6:$G$100,4,FALSE),0)</f>
        <v>0</v>
      </c>
      <c r="DT93">
        <f>IFERROR(VLOOKUP($B93,Kupa!$D$6:$AA$100,5,FALSE),0)</f>
        <v>0</v>
      </c>
      <c r="DU93">
        <f>IFERROR(VLOOKUP($B93,Kupa!$D$6:$AA$100,6,FALSE),0)</f>
        <v>0</v>
      </c>
      <c r="DV93">
        <f>IFERROR(VLOOKUP($B93,KisuiBKerenPensiaDBWithParams!$D$6:$AP$100,9,FALSE),0)</f>
        <v>0</v>
      </c>
      <c r="DW93">
        <f>IFERROR(VLOOKUP($B93,KisuiBKerenPensiaDBWithParams!$D$6:$AP$100,12,FALSE),0)</f>
        <v>0</v>
      </c>
      <c r="DX93">
        <f>IFERROR(VLOOKUP($B93,KisuiBKerenPensiaDBWithParams!$D$6:$AP$100,13,FALSE),0)</f>
        <v>0</v>
      </c>
      <c r="DY93">
        <f>IFERROR(VLOOKUP($B93,KisuiBKerenPensiaDBWithParams!$D$6:$AP$100,7,FALSE),0)</f>
        <v>0</v>
      </c>
      <c r="DZ93">
        <f>IFERROR(VLOOKUP($B93,KisuiBKerenPensiaDBWithParams!$D$6:$AP$100,17,FALSE),0)</f>
        <v>0</v>
      </c>
      <c r="EA93">
        <f>IFERROR(VLOOKUP($B93,KisuiBKerenPensiaDBWithParams!$D$6:$AP$100,20,FALSE),0)</f>
        <v>0</v>
      </c>
      <c r="EB93">
        <f>IFERROR(VLOOKUP($B93,KisuiBKerenPensiaDBWithParams!$D$6:$AP$100,21,FALSE),0)</f>
        <v>0</v>
      </c>
      <c r="EC93">
        <f t="shared" si="99"/>
        <v>0</v>
      </c>
      <c r="EG93">
        <f>IF(OR(G93=MyData!$J$50,G93=MyData!$J$51,G93=MyData!$J$52),1,IF(G93=MyData!$J$49,2,0))</f>
        <v>0</v>
      </c>
    </row>
    <row r="94" spans="1:137">
      <c r="A94">
        <f t="shared" si="100"/>
        <v>0</v>
      </c>
      <c r="B94" s="20">
        <f>RicusPolice!E91</f>
        <v>0</v>
      </c>
      <c r="C94" s="20">
        <f>RicusPolice!AL91</f>
        <v>0</v>
      </c>
      <c r="D94" s="20">
        <f>RicusPolice!F91</f>
        <v>0</v>
      </c>
      <c r="E94" s="20">
        <f>RicusPolice!R91</f>
        <v>0</v>
      </c>
      <c r="F94" s="20">
        <f>RicusPolice!N91</f>
        <v>0</v>
      </c>
      <c r="G94" s="20">
        <f>IFERROR(VLOOKUP($B94,PerutYitrot!$D$6:$P$100,4,FALSE),0)</f>
        <v>0</v>
      </c>
      <c r="H94" s="20">
        <f t="shared" si="54"/>
        <v>0</v>
      </c>
      <c r="I94" s="20">
        <f>RicusPolice!L91</f>
        <v>0</v>
      </c>
      <c r="J94" s="179">
        <f>IFERROR(VLOOKUP(TRIM(K94),MyData!$J$43:$K$49,2,FALSE),0)</f>
        <v>0</v>
      </c>
      <c r="K94" s="20">
        <f>RicusPolice!M91</f>
        <v>0</v>
      </c>
      <c r="L94" s="20">
        <f>RicusPolice!AM91</f>
        <v>0</v>
      </c>
      <c r="M94" s="20" t="str">
        <f>IF(B94&gt;0,RicusPolice!Y91," ")</f>
        <v xml:space="preserve"> </v>
      </c>
      <c r="N94" s="20" t="str">
        <f t="shared" si="55"/>
        <v/>
      </c>
      <c r="O94" s="20">
        <f>RicusPolice!N91</f>
        <v>0</v>
      </c>
      <c r="P94" s="20">
        <f>IFERROR(VLOOKUP(B94,PerutMasluleiHashkaa!$D$6:$R$100,4,FALSE),0)</f>
        <v>0</v>
      </c>
      <c r="Q94" s="19"/>
      <c r="R94" s="20">
        <f>RicusPolice!P91</f>
        <v>0</v>
      </c>
      <c r="S94" s="20"/>
      <c r="T94" s="21">
        <f>'נתונים ידניים'!H94</f>
        <v>0</v>
      </c>
      <c r="U94" s="21"/>
      <c r="V94" s="20">
        <f>PerutHafrashotLePolisa!E91</f>
        <v>0</v>
      </c>
      <c r="W94" s="20">
        <f>PerutHafrashotLePolisa!F91</f>
        <v>0</v>
      </c>
      <c r="X94" s="20">
        <f>PerutHafrashotLePolisa!G91</f>
        <v>0</v>
      </c>
      <c r="Y94">
        <f t="shared" si="56"/>
        <v>0</v>
      </c>
      <c r="Z94">
        <f>IFERROR(VLOOKUP(B94,PirteiHaasaka!$D$6:$R$100,5,FALSE),0)</f>
        <v>0</v>
      </c>
      <c r="AB94">
        <f>IFERROR(VLOOKUP(B94,HafkadotMetchilatShanaAverages!$D$6:$E$100,2,FALSE),0)</f>
        <v>0</v>
      </c>
      <c r="AF94">
        <f>IFERROR(VLOOKUP(B94,CrossTabYitraLeTkufa_till_2000!$D$6:$AB$100,6,FALSE),0)+IFERROR(VLOOKUP(B94,CrossTabYitraLeTkufa_after_2000!$D$6:$AB$100,6,FALSE),0)</f>
        <v>0</v>
      </c>
      <c r="AG94">
        <f>IFERROR(VLOOKUP(B94,CrossTabYitraLeTkufa_till_2000!$D$6:$AB$100,16,FALSE),0)</f>
        <v>0</v>
      </c>
      <c r="AH94">
        <f>IFERROR(VLOOKUP(B94,CrossTabYitraLeTkufa_after_2000!$D$6:$AB$100,16,FALSE),0)</f>
        <v>0</v>
      </c>
      <c r="AI94">
        <f>IFERROR(VLOOKUP(B94,CrossTabYitraLeTkufa_till_2000!$D$6:$AB$100,17,FALSE),0)</f>
        <v>0</v>
      </c>
      <c r="AJ94">
        <f>IFERROR(VLOOKUP(B94,CrossTabYitraLeTkufa_after_2000!$D$6:$AB$100,17,FALSE),0)</f>
        <v>0</v>
      </c>
      <c r="AK94" s="5">
        <f t="shared" si="57"/>
        <v>0</v>
      </c>
      <c r="AN94">
        <f>IFERROR(VLOOKUP(B94,PirteiKisuiBeMutzar_procerur!$C$6:$AA$100,2,FALSE),0)</f>
        <v>0</v>
      </c>
      <c r="AP94">
        <f>IFERROR(VLOOKUP($B94,PirteiKisuiBeMutzar_procerur!$C$6:$AA$100,5,FALSE),0)</f>
        <v>0</v>
      </c>
      <c r="AQ94">
        <f>IFERROR(VLOOKUP($B94,PirteiKisuiBeMutzar_procerur!$C$6:$AA$100,3,FALSE),0)</f>
        <v>0</v>
      </c>
      <c r="AR94">
        <f>IFERROR(VLOOKUP($B94,PirteiKisuiBeMutzar_procerur!$C$6:$AA$100,6,FALSE),0)</f>
        <v>0</v>
      </c>
      <c r="AS94">
        <f>IFERROR(VLOOKUP($B94,PirteiKisuiBeMutzar_procerur!$C$6:$AA$100,7,FALSE),0)</f>
        <v>0</v>
      </c>
      <c r="AW94">
        <f t="shared" si="58"/>
        <v>0</v>
      </c>
      <c r="AX94">
        <f t="shared" si="59"/>
        <v>0</v>
      </c>
      <c r="AY94">
        <f t="shared" si="60"/>
        <v>0</v>
      </c>
      <c r="AZ94">
        <f t="shared" si="61"/>
        <v>0</v>
      </c>
      <c r="BA94">
        <f t="shared" si="62"/>
        <v>0</v>
      </c>
      <c r="BB94">
        <f t="shared" si="63"/>
        <v>0</v>
      </c>
      <c r="BC94">
        <f t="shared" si="64"/>
        <v>0</v>
      </c>
      <c r="BD94">
        <f t="shared" si="65"/>
        <v>0</v>
      </c>
      <c r="BE94">
        <f t="shared" si="66"/>
        <v>0</v>
      </c>
      <c r="BF94">
        <f t="shared" si="67"/>
        <v>0</v>
      </c>
      <c r="BG94">
        <f t="shared" si="68"/>
        <v>0</v>
      </c>
      <c r="BH94">
        <f t="shared" si="69"/>
        <v>0</v>
      </c>
      <c r="BI94">
        <f t="shared" si="70"/>
        <v>0</v>
      </c>
      <c r="BK94">
        <f t="shared" si="71"/>
        <v>0</v>
      </c>
      <c r="BL94">
        <f t="shared" si="72"/>
        <v>0</v>
      </c>
      <c r="BM94">
        <f t="shared" si="73"/>
        <v>0</v>
      </c>
      <c r="BN94">
        <f t="shared" si="74"/>
        <v>0</v>
      </c>
      <c r="BO94">
        <f t="shared" si="75"/>
        <v>0</v>
      </c>
      <c r="BR94">
        <f t="shared" si="76"/>
        <v>0</v>
      </c>
      <c r="BS94">
        <f t="shared" si="77"/>
        <v>0</v>
      </c>
      <c r="BT94">
        <f t="shared" si="78"/>
        <v>0</v>
      </c>
      <c r="BU94">
        <f t="shared" si="79"/>
        <v>0</v>
      </c>
      <c r="BV94">
        <f t="shared" si="80"/>
        <v>0</v>
      </c>
      <c r="BX94">
        <f t="shared" si="81"/>
        <v>0</v>
      </c>
      <c r="BY94">
        <f t="shared" si="82"/>
        <v>0</v>
      </c>
      <c r="BZ94">
        <f t="shared" si="83"/>
        <v>0</v>
      </c>
      <c r="CA94">
        <f t="shared" si="84"/>
        <v>0</v>
      </c>
      <c r="CB94">
        <f t="shared" si="85"/>
        <v>0</v>
      </c>
      <c r="CE94">
        <f t="shared" si="86"/>
        <v>0</v>
      </c>
      <c r="CF94">
        <f t="shared" si="87"/>
        <v>0</v>
      </c>
      <c r="CG94">
        <f t="shared" si="88"/>
        <v>0</v>
      </c>
      <c r="CH94">
        <f t="shared" si="89"/>
        <v>0</v>
      </c>
      <c r="CI94">
        <f t="shared" si="90"/>
        <v>0</v>
      </c>
      <c r="CL94">
        <f t="shared" si="91"/>
        <v>0</v>
      </c>
      <c r="CM94">
        <f t="shared" si="92"/>
        <v>0</v>
      </c>
      <c r="CN94">
        <f t="shared" si="93"/>
        <v>0</v>
      </c>
      <c r="CO94">
        <f t="shared" si="94"/>
        <v>0</v>
      </c>
      <c r="CP94">
        <f t="shared" si="95"/>
        <v>0</v>
      </c>
      <c r="CQ94">
        <f>IFERROR(VLOOKUP($B94,SchumeiBituahYesodi!$C$6:$AA$100,8,FALSE),0)</f>
        <v>0</v>
      </c>
      <c r="CR94">
        <f>IFERROR(VLOOKUP($B94,PirteiKisuiBeMutzar_procerur!$C$6:$AA$100,2,FALSE),0)</f>
        <v>0</v>
      </c>
      <c r="CS94">
        <f>IFERROR(VLOOKUP($B94,PirteiKisuiBeMutzar_procerur!$C$6:$AA$100,3,FALSE),0)</f>
        <v>0</v>
      </c>
      <c r="CT94">
        <f>IFERROR(VLOOKUP($B94,PirteiKisuiBeMutzar_procerur!$C$6:$AA$100,4,FALSE),0)</f>
        <v>0</v>
      </c>
      <c r="CU94">
        <f>IFERROR(VLOOKUP($B94,PirteiKisuiBeMutzar_procerur!$C$6:$AA$100,5,FALSE),0)</f>
        <v>0</v>
      </c>
      <c r="CV94">
        <f>IFERROR(VLOOKUP($B94,PirteiKisuiBeMutzar_procerur!$C$6:$AA$100,6,FALSE),0)</f>
        <v>0</v>
      </c>
      <c r="CW94">
        <f>IFERROR(VLOOKUP($B94,PirteiKisuiBeMutzar_procerur!$C$6:$AA$100,7,FALSE),0)</f>
        <v>0</v>
      </c>
      <c r="CX94">
        <f>IFERROR(VLOOKUP($B94,PirteiKisuiBeMutzar_procerur!$C$6:$AA$100,8,FALSE),0)</f>
        <v>0</v>
      </c>
      <c r="CY94">
        <f>IFERROR(VLOOKUP($B94,PirteiKisuiBeMutzar_procerur!$C$6:$AA$100,9,FALSE),0)</f>
        <v>0</v>
      </c>
      <c r="CZ94">
        <f>IFERROR(VLOOKUP($B94,PirteiKisuiBeMutzar_procerur!$C$6:$AA$100,10,FALSE),0)</f>
        <v>0</v>
      </c>
      <c r="DA94">
        <f>IFERROR(VLOOKUP($B94,PirteiKisuiBeMutzar_procerur!$C$6:$AA$100,11,FALSE),0)</f>
        <v>0</v>
      </c>
      <c r="DB94">
        <f>IFERROR(VLOOKUP($B94,PirteiKisuiBeMutzarPrmia!$C$6:$AA$100,2,FALSE),0)</f>
        <v>0</v>
      </c>
      <c r="DC94">
        <f>IFERROR(VLOOKUP($B94,PirteiKisuiBeMutzarPrmia!$C$6:$AA$100,3,FALSE),0)</f>
        <v>0</v>
      </c>
      <c r="DD94">
        <f>IFERROR(VLOOKUP($B94,PirteiKisuiBeMutzarPrmia!$C$6:$AA$100,4,FALSE),0)</f>
        <v>0</v>
      </c>
      <c r="DE94">
        <f>IFERROR(VLOOKUP($B94,PirteiKisuiBeMutzarPrmia!$C$6:$AA$100,5,FALSE),0)</f>
        <v>0</v>
      </c>
      <c r="DF94">
        <f>IFERROR(VLOOKUP($B94,PirteiKisuiBeMutzarPrmia!$C$6:$AA$100,6,FALSE),0)</f>
        <v>0</v>
      </c>
      <c r="DG94">
        <f>IFERROR(VLOOKUP($B94,PirteiKisuiBeMutzarPrmia!$C$6:$AA$100,7,FALSE),0)</f>
        <v>0</v>
      </c>
      <c r="DH94">
        <f>IFERROR(VLOOKUP($B94,PirteiKisuiBeMutzarPrmia!$C$6:$AA$100,8,FALSE),0)</f>
        <v>0</v>
      </c>
      <c r="DI94">
        <f>IFERROR(VLOOKUP($B94,PirteiKisuiBeMutzarPrmia!$C$6:$AA$100,9,FALSE),0)</f>
        <v>0</v>
      </c>
      <c r="DJ94">
        <f>IFERROR(VLOOKUP($B94,PirteiKisuiBeMutzarPrmia!$C$6:$AA$100,10,FALSE),0)</f>
        <v>0</v>
      </c>
      <c r="DK94">
        <f>IFERROR(VLOOKUP($B94,PirteiKisuiBeMutzarPrmia!$C$6:$AA$100,11,FALSE),0)</f>
        <v>0</v>
      </c>
      <c r="DL94">
        <f t="shared" si="96"/>
        <v>0</v>
      </c>
      <c r="DM94">
        <f t="shared" si="97"/>
        <v>0</v>
      </c>
      <c r="DN94">
        <f t="shared" si="98"/>
        <v>0</v>
      </c>
      <c r="DO94">
        <f t="shared" si="52"/>
        <v>0</v>
      </c>
      <c r="DP94">
        <f t="shared" si="53"/>
        <v>0</v>
      </c>
      <c r="DQ94">
        <f>IF(OR(L94=1,L94=3),IFERROR(VLOOKUP($B94,PerutHafkadotMetchilatShanaAvgM!$C$6:$G$100,3,FALSE),0),0)</f>
        <v>0</v>
      </c>
      <c r="DR94">
        <f>IF(OR(L94=2,L94=4),IFERROR(VLOOKUP($B94,PerutHafkadotMetchilatShanaAvgM!$C$6:$G$100,3,FALSE),0),0)</f>
        <v>0</v>
      </c>
      <c r="DS94">
        <f>IFERROR(VLOOKUP($B94,PerutHafkadotMetchilatShanaAvgM!$C$6:$G$100,4,FALSE),0)</f>
        <v>0</v>
      </c>
      <c r="DT94">
        <f>IFERROR(VLOOKUP($B94,Kupa!$D$6:$AA$100,5,FALSE),0)</f>
        <v>0</v>
      </c>
      <c r="DU94">
        <f>IFERROR(VLOOKUP($B94,Kupa!$D$6:$AA$100,6,FALSE),0)</f>
        <v>0</v>
      </c>
      <c r="DV94">
        <f>IFERROR(VLOOKUP($B94,KisuiBKerenPensiaDBWithParams!$D$6:$AP$100,9,FALSE),0)</f>
        <v>0</v>
      </c>
      <c r="DW94">
        <f>IFERROR(VLOOKUP($B94,KisuiBKerenPensiaDBWithParams!$D$6:$AP$100,12,FALSE),0)</f>
        <v>0</v>
      </c>
      <c r="DX94">
        <f>IFERROR(VLOOKUP($B94,KisuiBKerenPensiaDBWithParams!$D$6:$AP$100,13,FALSE),0)</f>
        <v>0</v>
      </c>
      <c r="DY94">
        <f>IFERROR(VLOOKUP($B94,KisuiBKerenPensiaDBWithParams!$D$6:$AP$100,7,FALSE),0)</f>
        <v>0</v>
      </c>
      <c r="DZ94">
        <f>IFERROR(VLOOKUP($B94,KisuiBKerenPensiaDBWithParams!$D$6:$AP$100,17,FALSE),0)</f>
        <v>0</v>
      </c>
      <c r="EA94">
        <f>IFERROR(VLOOKUP($B94,KisuiBKerenPensiaDBWithParams!$D$6:$AP$100,20,FALSE),0)</f>
        <v>0</v>
      </c>
      <c r="EB94">
        <f>IFERROR(VLOOKUP($B94,KisuiBKerenPensiaDBWithParams!$D$6:$AP$100,21,FALSE),0)</f>
        <v>0</v>
      </c>
      <c r="EC94">
        <f t="shared" si="99"/>
        <v>0</v>
      </c>
      <c r="EG94">
        <f>IF(OR(G94=MyData!$J$50,G94=MyData!$J$51,G94=MyData!$J$52),1,IF(G94=MyData!$J$49,2,0))</f>
        <v>0</v>
      </c>
    </row>
    <row r="95" spans="1:137">
      <c r="A95">
        <f t="shared" si="100"/>
        <v>0</v>
      </c>
      <c r="B95" s="20">
        <f>RicusPolice!E92</f>
        <v>0</v>
      </c>
      <c r="C95" s="20">
        <f>RicusPolice!AL92</f>
        <v>0</v>
      </c>
      <c r="D95" s="20">
        <f>RicusPolice!F92</f>
        <v>0</v>
      </c>
      <c r="E95" s="20">
        <f>RicusPolice!R92</f>
        <v>0</v>
      </c>
      <c r="F95" s="20">
        <f>RicusPolice!N92</f>
        <v>0</v>
      </c>
      <c r="G95" s="20">
        <f>IFERROR(VLOOKUP($B95,PerutYitrot!$D$6:$P$100,4,FALSE),0)</f>
        <v>0</v>
      </c>
      <c r="H95" s="20">
        <f t="shared" si="54"/>
        <v>0</v>
      </c>
      <c r="I95" s="20">
        <f>RicusPolice!L92</f>
        <v>0</v>
      </c>
      <c r="J95" s="179">
        <f>IFERROR(VLOOKUP(TRIM(K95),MyData!$J$43:$K$49,2,FALSE),0)</f>
        <v>0</v>
      </c>
      <c r="K95" s="20">
        <f>RicusPolice!M92</f>
        <v>0</v>
      </c>
      <c r="L95" s="20">
        <f>RicusPolice!AM92</f>
        <v>0</v>
      </c>
      <c r="M95" s="20" t="str">
        <f>IF(B95&gt;0,RicusPolice!Y92," ")</f>
        <v xml:space="preserve"> </v>
      </c>
      <c r="N95" s="20" t="str">
        <f t="shared" si="55"/>
        <v/>
      </c>
      <c r="O95" s="20">
        <f>RicusPolice!N92</f>
        <v>0</v>
      </c>
      <c r="P95" s="20">
        <f>IFERROR(VLOOKUP(B95,PerutMasluleiHashkaa!$D$6:$R$100,4,FALSE),0)</f>
        <v>0</v>
      </c>
      <c r="Q95" s="19"/>
      <c r="R95" s="20">
        <f>RicusPolice!P92</f>
        <v>0</v>
      </c>
      <c r="S95" s="20"/>
      <c r="T95" s="21">
        <f>'נתונים ידניים'!H95</f>
        <v>0</v>
      </c>
      <c r="U95" s="21"/>
      <c r="V95" s="20">
        <f>PerutHafrashotLePolisa!E92</f>
        <v>0</v>
      </c>
      <c r="W95" s="20">
        <f>PerutHafrashotLePolisa!F92</f>
        <v>0</v>
      </c>
      <c r="X95" s="20">
        <f>PerutHafrashotLePolisa!G92</f>
        <v>0</v>
      </c>
      <c r="Y95">
        <f t="shared" si="56"/>
        <v>0</v>
      </c>
      <c r="Z95">
        <f>IFERROR(VLOOKUP(B95,PirteiHaasaka!$D$6:$R$100,5,FALSE),0)</f>
        <v>0</v>
      </c>
      <c r="AB95">
        <f>IFERROR(VLOOKUP(B95,HafkadotMetchilatShanaAverages!$D$6:$E$100,2,FALSE),0)</f>
        <v>0</v>
      </c>
      <c r="AF95">
        <f>IFERROR(VLOOKUP(B95,CrossTabYitraLeTkufa_till_2000!$D$6:$AB$100,6,FALSE),0)+IFERROR(VLOOKUP(B95,CrossTabYitraLeTkufa_after_2000!$D$6:$AB$100,6,FALSE),0)</f>
        <v>0</v>
      </c>
      <c r="AG95">
        <f>IFERROR(VLOOKUP(B95,CrossTabYitraLeTkufa_till_2000!$D$6:$AB$100,16,FALSE),0)</f>
        <v>0</v>
      </c>
      <c r="AH95">
        <f>IFERROR(VLOOKUP(B95,CrossTabYitraLeTkufa_after_2000!$D$6:$AB$100,16,FALSE),0)</f>
        <v>0</v>
      </c>
      <c r="AI95">
        <f>IFERROR(VLOOKUP(B95,CrossTabYitraLeTkufa_till_2000!$D$6:$AB$100,17,FALSE),0)</f>
        <v>0</v>
      </c>
      <c r="AJ95">
        <f>IFERROR(VLOOKUP(B95,CrossTabYitraLeTkufa_after_2000!$D$6:$AB$100,17,FALSE),0)</f>
        <v>0</v>
      </c>
      <c r="AK95" s="5">
        <f t="shared" si="57"/>
        <v>0</v>
      </c>
      <c r="AN95">
        <f>IFERROR(VLOOKUP(B95,PirteiKisuiBeMutzar_procerur!$C$6:$AA$100,2,FALSE),0)</f>
        <v>0</v>
      </c>
      <c r="AP95">
        <f>IFERROR(VLOOKUP($B95,PirteiKisuiBeMutzar_procerur!$C$6:$AA$100,5,FALSE),0)</f>
        <v>0</v>
      </c>
      <c r="AQ95">
        <f>IFERROR(VLOOKUP($B95,PirteiKisuiBeMutzar_procerur!$C$6:$AA$100,3,FALSE),0)</f>
        <v>0</v>
      </c>
      <c r="AR95">
        <f>IFERROR(VLOOKUP($B95,PirteiKisuiBeMutzar_procerur!$C$6:$AA$100,6,FALSE),0)</f>
        <v>0</v>
      </c>
      <c r="AS95">
        <f>IFERROR(VLOOKUP($B95,PirteiKisuiBeMutzar_procerur!$C$6:$AA$100,7,FALSE),0)</f>
        <v>0</v>
      </c>
      <c r="AW95">
        <f t="shared" si="58"/>
        <v>0</v>
      </c>
      <c r="AX95">
        <f t="shared" si="59"/>
        <v>0</v>
      </c>
      <c r="AY95">
        <f t="shared" si="60"/>
        <v>0</v>
      </c>
      <c r="AZ95">
        <f t="shared" si="61"/>
        <v>0</v>
      </c>
      <c r="BA95">
        <f t="shared" si="62"/>
        <v>0</v>
      </c>
      <c r="BB95">
        <f t="shared" si="63"/>
        <v>0</v>
      </c>
      <c r="BC95">
        <f t="shared" si="64"/>
        <v>0</v>
      </c>
      <c r="BD95">
        <f t="shared" si="65"/>
        <v>0</v>
      </c>
      <c r="BE95">
        <f t="shared" si="66"/>
        <v>0</v>
      </c>
      <c r="BF95">
        <f t="shared" si="67"/>
        <v>0</v>
      </c>
      <c r="BG95">
        <f t="shared" si="68"/>
        <v>0</v>
      </c>
      <c r="BH95">
        <f t="shared" si="69"/>
        <v>0</v>
      </c>
      <c r="BI95">
        <f t="shared" si="70"/>
        <v>0</v>
      </c>
      <c r="BK95">
        <f t="shared" si="71"/>
        <v>0</v>
      </c>
      <c r="BL95">
        <f t="shared" si="72"/>
        <v>0</v>
      </c>
      <c r="BM95">
        <f t="shared" si="73"/>
        <v>0</v>
      </c>
      <c r="BN95">
        <f t="shared" si="74"/>
        <v>0</v>
      </c>
      <c r="BO95">
        <f t="shared" si="75"/>
        <v>0</v>
      </c>
      <c r="BR95">
        <f t="shared" si="76"/>
        <v>0</v>
      </c>
      <c r="BS95">
        <f t="shared" si="77"/>
        <v>0</v>
      </c>
      <c r="BT95">
        <f t="shared" si="78"/>
        <v>0</v>
      </c>
      <c r="BU95">
        <f t="shared" si="79"/>
        <v>0</v>
      </c>
      <c r="BV95">
        <f t="shared" si="80"/>
        <v>0</v>
      </c>
      <c r="BX95">
        <f t="shared" si="81"/>
        <v>0</v>
      </c>
      <c r="BY95">
        <f t="shared" si="82"/>
        <v>0</v>
      </c>
      <c r="BZ95">
        <f t="shared" si="83"/>
        <v>0</v>
      </c>
      <c r="CA95">
        <f t="shared" si="84"/>
        <v>0</v>
      </c>
      <c r="CB95">
        <f t="shared" si="85"/>
        <v>0</v>
      </c>
      <c r="CE95">
        <f t="shared" si="86"/>
        <v>0</v>
      </c>
      <c r="CF95">
        <f t="shared" si="87"/>
        <v>0</v>
      </c>
      <c r="CG95">
        <f t="shared" si="88"/>
        <v>0</v>
      </c>
      <c r="CH95">
        <f t="shared" si="89"/>
        <v>0</v>
      </c>
      <c r="CI95">
        <f t="shared" si="90"/>
        <v>0</v>
      </c>
      <c r="CL95">
        <f t="shared" si="91"/>
        <v>0</v>
      </c>
      <c r="CM95">
        <f t="shared" si="92"/>
        <v>0</v>
      </c>
      <c r="CN95">
        <f t="shared" si="93"/>
        <v>0</v>
      </c>
      <c r="CO95">
        <f t="shared" si="94"/>
        <v>0</v>
      </c>
      <c r="CP95">
        <f t="shared" si="95"/>
        <v>0</v>
      </c>
      <c r="CQ95">
        <f>IFERROR(VLOOKUP($B95,SchumeiBituahYesodi!$C$6:$AA$100,8,FALSE),0)</f>
        <v>0</v>
      </c>
      <c r="CR95">
        <f>IFERROR(VLOOKUP($B95,PirteiKisuiBeMutzar_procerur!$C$6:$AA$100,2,FALSE),0)</f>
        <v>0</v>
      </c>
      <c r="CS95">
        <f>IFERROR(VLOOKUP($B95,PirteiKisuiBeMutzar_procerur!$C$6:$AA$100,3,FALSE),0)</f>
        <v>0</v>
      </c>
      <c r="CT95">
        <f>IFERROR(VLOOKUP($B95,PirteiKisuiBeMutzar_procerur!$C$6:$AA$100,4,FALSE),0)</f>
        <v>0</v>
      </c>
      <c r="CU95">
        <f>IFERROR(VLOOKUP($B95,PirteiKisuiBeMutzar_procerur!$C$6:$AA$100,5,FALSE),0)</f>
        <v>0</v>
      </c>
      <c r="CV95">
        <f>IFERROR(VLOOKUP($B95,PirteiKisuiBeMutzar_procerur!$C$6:$AA$100,6,FALSE),0)</f>
        <v>0</v>
      </c>
      <c r="CW95">
        <f>IFERROR(VLOOKUP($B95,PirteiKisuiBeMutzar_procerur!$C$6:$AA$100,7,FALSE),0)</f>
        <v>0</v>
      </c>
      <c r="CX95">
        <f>IFERROR(VLOOKUP($B95,PirteiKisuiBeMutzar_procerur!$C$6:$AA$100,8,FALSE),0)</f>
        <v>0</v>
      </c>
      <c r="CY95">
        <f>IFERROR(VLOOKUP($B95,PirteiKisuiBeMutzar_procerur!$C$6:$AA$100,9,FALSE),0)</f>
        <v>0</v>
      </c>
      <c r="CZ95">
        <f>IFERROR(VLOOKUP($B95,PirteiKisuiBeMutzar_procerur!$C$6:$AA$100,10,FALSE),0)</f>
        <v>0</v>
      </c>
      <c r="DA95">
        <f>IFERROR(VLOOKUP($B95,PirteiKisuiBeMutzar_procerur!$C$6:$AA$100,11,FALSE),0)</f>
        <v>0</v>
      </c>
      <c r="DB95">
        <f>IFERROR(VLOOKUP($B95,PirteiKisuiBeMutzarPrmia!$C$6:$AA$100,2,FALSE),0)</f>
        <v>0</v>
      </c>
      <c r="DC95">
        <f>IFERROR(VLOOKUP($B95,PirteiKisuiBeMutzarPrmia!$C$6:$AA$100,3,FALSE),0)</f>
        <v>0</v>
      </c>
      <c r="DD95">
        <f>IFERROR(VLOOKUP($B95,PirteiKisuiBeMutzarPrmia!$C$6:$AA$100,4,FALSE),0)</f>
        <v>0</v>
      </c>
      <c r="DE95">
        <f>IFERROR(VLOOKUP($B95,PirteiKisuiBeMutzarPrmia!$C$6:$AA$100,5,FALSE),0)</f>
        <v>0</v>
      </c>
      <c r="DF95">
        <f>IFERROR(VLOOKUP($B95,PirteiKisuiBeMutzarPrmia!$C$6:$AA$100,6,FALSE),0)</f>
        <v>0</v>
      </c>
      <c r="DG95">
        <f>IFERROR(VLOOKUP($B95,PirteiKisuiBeMutzarPrmia!$C$6:$AA$100,7,FALSE),0)</f>
        <v>0</v>
      </c>
      <c r="DH95">
        <f>IFERROR(VLOOKUP($B95,PirteiKisuiBeMutzarPrmia!$C$6:$AA$100,8,FALSE),0)</f>
        <v>0</v>
      </c>
      <c r="DI95">
        <f>IFERROR(VLOOKUP($B95,PirteiKisuiBeMutzarPrmia!$C$6:$AA$100,9,FALSE),0)</f>
        <v>0</v>
      </c>
      <c r="DJ95">
        <f>IFERROR(VLOOKUP($B95,PirteiKisuiBeMutzarPrmia!$C$6:$AA$100,10,FALSE),0)</f>
        <v>0</v>
      </c>
      <c r="DK95">
        <f>IFERROR(VLOOKUP($B95,PirteiKisuiBeMutzarPrmia!$C$6:$AA$100,11,FALSE),0)</f>
        <v>0</v>
      </c>
      <c r="DL95">
        <f t="shared" si="96"/>
        <v>0</v>
      </c>
      <c r="DM95">
        <f t="shared" si="97"/>
        <v>0</v>
      </c>
      <c r="DN95">
        <f t="shared" si="98"/>
        <v>0</v>
      </c>
      <c r="DO95">
        <f t="shared" si="52"/>
        <v>0</v>
      </c>
      <c r="DP95">
        <f t="shared" si="53"/>
        <v>0</v>
      </c>
      <c r="DQ95">
        <f>IF(OR(L95=1,L95=3),IFERROR(VLOOKUP($B95,PerutHafkadotMetchilatShanaAvgM!$C$6:$G$100,3,FALSE),0),0)</f>
        <v>0</v>
      </c>
      <c r="DR95">
        <f>IF(OR(L95=2,L95=4),IFERROR(VLOOKUP($B95,PerutHafkadotMetchilatShanaAvgM!$C$6:$G$100,3,FALSE),0),0)</f>
        <v>0</v>
      </c>
      <c r="DS95">
        <f>IFERROR(VLOOKUP($B95,PerutHafkadotMetchilatShanaAvgM!$C$6:$G$100,4,FALSE),0)</f>
        <v>0</v>
      </c>
      <c r="DT95">
        <f>IFERROR(VLOOKUP($B95,Kupa!$D$6:$AA$100,5,FALSE),0)</f>
        <v>0</v>
      </c>
      <c r="DU95">
        <f>IFERROR(VLOOKUP($B95,Kupa!$D$6:$AA$100,6,FALSE),0)</f>
        <v>0</v>
      </c>
      <c r="DV95">
        <f>IFERROR(VLOOKUP($B95,KisuiBKerenPensiaDBWithParams!$D$6:$AP$100,9,FALSE),0)</f>
        <v>0</v>
      </c>
      <c r="DW95">
        <f>IFERROR(VLOOKUP($B95,KisuiBKerenPensiaDBWithParams!$D$6:$AP$100,12,FALSE),0)</f>
        <v>0</v>
      </c>
      <c r="DX95">
        <f>IFERROR(VLOOKUP($B95,KisuiBKerenPensiaDBWithParams!$D$6:$AP$100,13,FALSE),0)</f>
        <v>0</v>
      </c>
      <c r="DY95">
        <f>IFERROR(VLOOKUP($B95,KisuiBKerenPensiaDBWithParams!$D$6:$AP$100,7,FALSE),0)</f>
        <v>0</v>
      </c>
      <c r="DZ95">
        <f>IFERROR(VLOOKUP($B95,KisuiBKerenPensiaDBWithParams!$D$6:$AP$100,17,FALSE),0)</f>
        <v>0</v>
      </c>
      <c r="EA95">
        <f>IFERROR(VLOOKUP($B95,KisuiBKerenPensiaDBWithParams!$D$6:$AP$100,20,FALSE),0)</f>
        <v>0</v>
      </c>
      <c r="EB95">
        <f>IFERROR(VLOOKUP($B95,KisuiBKerenPensiaDBWithParams!$D$6:$AP$100,21,FALSE),0)</f>
        <v>0</v>
      </c>
      <c r="EC95">
        <f t="shared" si="99"/>
        <v>0</v>
      </c>
      <c r="EG95">
        <f>IF(OR(G95=MyData!$J$50,G95=MyData!$J$51,G95=MyData!$J$52),1,IF(G95=MyData!$J$49,2,0))</f>
        <v>0</v>
      </c>
    </row>
    <row r="96" spans="1:137">
      <c r="A96">
        <f t="shared" si="100"/>
        <v>0</v>
      </c>
      <c r="B96" s="20">
        <f>RicusPolice!E93</f>
        <v>0</v>
      </c>
      <c r="C96" s="20">
        <f>RicusPolice!AL93</f>
        <v>0</v>
      </c>
      <c r="D96" s="20">
        <f>RicusPolice!F93</f>
        <v>0</v>
      </c>
      <c r="E96" s="20">
        <f>RicusPolice!R93</f>
        <v>0</v>
      </c>
      <c r="F96" s="20">
        <f>RicusPolice!N93</f>
        <v>0</v>
      </c>
      <c r="G96" s="20">
        <f>IFERROR(VLOOKUP($B96,PerutYitrot!$D$6:$P$100,4,FALSE),0)</f>
        <v>0</v>
      </c>
      <c r="H96" s="20">
        <f t="shared" si="54"/>
        <v>0</v>
      </c>
      <c r="I96" s="20">
        <f>RicusPolice!L93</f>
        <v>0</v>
      </c>
      <c r="J96" s="179">
        <f>IFERROR(VLOOKUP(TRIM(K96),MyData!$J$43:$K$49,2,FALSE),0)</f>
        <v>0</v>
      </c>
      <c r="K96" s="20">
        <f>RicusPolice!M93</f>
        <v>0</v>
      </c>
      <c r="L96" s="20">
        <f>RicusPolice!AM93</f>
        <v>0</v>
      </c>
      <c r="M96" s="20" t="str">
        <f>IF(B96&gt;0,RicusPolice!Y93," ")</f>
        <v xml:space="preserve"> </v>
      </c>
      <c r="N96" s="20" t="str">
        <f t="shared" si="55"/>
        <v/>
      </c>
      <c r="O96" s="20">
        <f>RicusPolice!N93</f>
        <v>0</v>
      </c>
      <c r="P96" s="20">
        <f>IFERROR(VLOOKUP(B96,PerutMasluleiHashkaa!$D$6:$R$100,4,FALSE),0)</f>
        <v>0</v>
      </c>
      <c r="Q96" s="19"/>
      <c r="R96" s="20">
        <f>RicusPolice!P93</f>
        <v>0</v>
      </c>
      <c r="S96" s="20"/>
      <c r="T96" s="21">
        <f>'נתונים ידניים'!H96</f>
        <v>0</v>
      </c>
      <c r="U96" s="21"/>
      <c r="V96" s="20">
        <f>PerutHafrashotLePolisa!E93</f>
        <v>0</v>
      </c>
      <c r="W96" s="20">
        <f>PerutHafrashotLePolisa!F93</f>
        <v>0</v>
      </c>
      <c r="X96" s="20">
        <f>PerutHafrashotLePolisa!G93</f>
        <v>0</v>
      </c>
      <c r="Y96">
        <f t="shared" si="56"/>
        <v>0</v>
      </c>
      <c r="Z96">
        <f>IFERROR(VLOOKUP(B96,PirteiHaasaka!$D$6:$R$100,5,FALSE),0)</f>
        <v>0</v>
      </c>
      <c r="AB96">
        <f>IFERROR(VLOOKUP(B96,HafkadotMetchilatShanaAverages!$D$6:$E$100,2,FALSE),0)</f>
        <v>0</v>
      </c>
      <c r="AF96">
        <f>IFERROR(VLOOKUP(B96,CrossTabYitraLeTkufa_till_2000!$D$6:$AB$100,6,FALSE),0)+IFERROR(VLOOKUP(B96,CrossTabYitraLeTkufa_after_2000!$D$6:$AB$100,6,FALSE),0)</f>
        <v>0</v>
      </c>
      <c r="AG96">
        <f>IFERROR(VLOOKUP(B96,CrossTabYitraLeTkufa_till_2000!$D$6:$AB$100,16,FALSE),0)</f>
        <v>0</v>
      </c>
      <c r="AH96">
        <f>IFERROR(VLOOKUP(B96,CrossTabYitraLeTkufa_after_2000!$D$6:$AB$100,16,FALSE),0)</f>
        <v>0</v>
      </c>
      <c r="AI96">
        <f>IFERROR(VLOOKUP(B96,CrossTabYitraLeTkufa_till_2000!$D$6:$AB$100,17,FALSE),0)</f>
        <v>0</v>
      </c>
      <c r="AJ96">
        <f>IFERROR(VLOOKUP(B96,CrossTabYitraLeTkufa_after_2000!$D$6:$AB$100,17,FALSE),0)</f>
        <v>0</v>
      </c>
      <c r="AK96" s="5">
        <f t="shared" si="57"/>
        <v>0</v>
      </c>
      <c r="AN96">
        <f>IFERROR(VLOOKUP(B96,PirteiKisuiBeMutzar_procerur!$C$6:$AA$100,2,FALSE),0)</f>
        <v>0</v>
      </c>
      <c r="AP96">
        <f>IFERROR(VLOOKUP($B96,PirteiKisuiBeMutzar_procerur!$C$6:$AA$100,5,FALSE),0)</f>
        <v>0</v>
      </c>
      <c r="AQ96">
        <f>IFERROR(VLOOKUP($B96,PirteiKisuiBeMutzar_procerur!$C$6:$AA$100,3,FALSE),0)</f>
        <v>0</v>
      </c>
      <c r="AR96">
        <f>IFERROR(VLOOKUP($B96,PirteiKisuiBeMutzar_procerur!$C$6:$AA$100,6,FALSE),0)</f>
        <v>0</v>
      </c>
      <c r="AS96">
        <f>IFERROR(VLOOKUP($B96,PirteiKisuiBeMutzar_procerur!$C$6:$AA$100,7,FALSE),0)</f>
        <v>0</v>
      </c>
      <c r="AW96">
        <f t="shared" si="58"/>
        <v>0</v>
      </c>
      <c r="AX96">
        <f t="shared" si="59"/>
        <v>0</v>
      </c>
      <c r="AY96">
        <f t="shared" si="60"/>
        <v>0</v>
      </c>
      <c r="AZ96">
        <f t="shared" si="61"/>
        <v>0</v>
      </c>
      <c r="BA96">
        <f t="shared" si="62"/>
        <v>0</v>
      </c>
      <c r="BB96">
        <f t="shared" si="63"/>
        <v>0</v>
      </c>
      <c r="BC96">
        <f t="shared" si="64"/>
        <v>0</v>
      </c>
      <c r="BD96">
        <f t="shared" si="65"/>
        <v>0</v>
      </c>
      <c r="BE96">
        <f t="shared" si="66"/>
        <v>0</v>
      </c>
      <c r="BF96">
        <f t="shared" si="67"/>
        <v>0</v>
      </c>
      <c r="BG96">
        <f t="shared" si="68"/>
        <v>0</v>
      </c>
      <c r="BH96">
        <f t="shared" si="69"/>
        <v>0</v>
      </c>
      <c r="BI96">
        <f t="shared" si="70"/>
        <v>0</v>
      </c>
      <c r="BK96">
        <f t="shared" si="71"/>
        <v>0</v>
      </c>
      <c r="BL96">
        <f t="shared" si="72"/>
        <v>0</v>
      </c>
      <c r="BM96">
        <f t="shared" si="73"/>
        <v>0</v>
      </c>
      <c r="BN96">
        <f t="shared" si="74"/>
        <v>0</v>
      </c>
      <c r="BO96">
        <f t="shared" si="75"/>
        <v>0</v>
      </c>
      <c r="BR96">
        <f t="shared" si="76"/>
        <v>0</v>
      </c>
      <c r="BS96">
        <f t="shared" si="77"/>
        <v>0</v>
      </c>
      <c r="BT96">
        <f t="shared" si="78"/>
        <v>0</v>
      </c>
      <c r="BU96">
        <f t="shared" si="79"/>
        <v>0</v>
      </c>
      <c r="BV96">
        <f t="shared" si="80"/>
        <v>0</v>
      </c>
      <c r="BX96">
        <f t="shared" si="81"/>
        <v>0</v>
      </c>
      <c r="BY96">
        <f t="shared" si="82"/>
        <v>0</v>
      </c>
      <c r="BZ96">
        <f t="shared" si="83"/>
        <v>0</v>
      </c>
      <c r="CA96">
        <f t="shared" si="84"/>
        <v>0</v>
      </c>
      <c r="CB96">
        <f t="shared" si="85"/>
        <v>0</v>
      </c>
      <c r="CE96">
        <f t="shared" si="86"/>
        <v>0</v>
      </c>
      <c r="CF96">
        <f t="shared" si="87"/>
        <v>0</v>
      </c>
      <c r="CG96">
        <f t="shared" si="88"/>
        <v>0</v>
      </c>
      <c r="CH96">
        <f t="shared" si="89"/>
        <v>0</v>
      </c>
      <c r="CI96">
        <f t="shared" si="90"/>
        <v>0</v>
      </c>
      <c r="CL96">
        <f t="shared" si="91"/>
        <v>0</v>
      </c>
      <c r="CM96">
        <f t="shared" si="92"/>
        <v>0</v>
      </c>
      <c r="CN96">
        <f t="shared" si="93"/>
        <v>0</v>
      </c>
      <c r="CO96">
        <f t="shared" si="94"/>
        <v>0</v>
      </c>
      <c r="CP96">
        <f t="shared" si="95"/>
        <v>0</v>
      </c>
      <c r="CQ96">
        <f>IFERROR(VLOOKUP($B96,SchumeiBituahYesodi!$C$6:$AA$100,8,FALSE),0)</f>
        <v>0</v>
      </c>
      <c r="CR96">
        <f>IFERROR(VLOOKUP($B96,PirteiKisuiBeMutzar_procerur!$C$6:$AA$100,2,FALSE),0)</f>
        <v>0</v>
      </c>
      <c r="CS96">
        <f>IFERROR(VLOOKUP($B96,PirteiKisuiBeMutzar_procerur!$C$6:$AA$100,3,FALSE),0)</f>
        <v>0</v>
      </c>
      <c r="CT96">
        <f>IFERROR(VLOOKUP($B96,PirteiKisuiBeMutzar_procerur!$C$6:$AA$100,4,FALSE),0)</f>
        <v>0</v>
      </c>
      <c r="CU96">
        <f>IFERROR(VLOOKUP($B96,PirteiKisuiBeMutzar_procerur!$C$6:$AA$100,5,FALSE),0)</f>
        <v>0</v>
      </c>
      <c r="CV96">
        <f>IFERROR(VLOOKUP($B96,PirteiKisuiBeMutzar_procerur!$C$6:$AA$100,6,FALSE),0)</f>
        <v>0</v>
      </c>
      <c r="CW96">
        <f>IFERROR(VLOOKUP($B96,PirteiKisuiBeMutzar_procerur!$C$6:$AA$100,7,FALSE),0)</f>
        <v>0</v>
      </c>
      <c r="CX96">
        <f>IFERROR(VLOOKUP($B96,PirteiKisuiBeMutzar_procerur!$C$6:$AA$100,8,FALSE),0)</f>
        <v>0</v>
      </c>
      <c r="CY96">
        <f>IFERROR(VLOOKUP($B96,PirteiKisuiBeMutzar_procerur!$C$6:$AA$100,9,FALSE),0)</f>
        <v>0</v>
      </c>
      <c r="CZ96">
        <f>IFERROR(VLOOKUP($B96,PirteiKisuiBeMutzar_procerur!$C$6:$AA$100,10,FALSE),0)</f>
        <v>0</v>
      </c>
      <c r="DA96">
        <f>IFERROR(VLOOKUP($B96,PirteiKisuiBeMutzar_procerur!$C$6:$AA$100,11,FALSE),0)</f>
        <v>0</v>
      </c>
      <c r="DB96">
        <f>IFERROR(VLOOKUP($B96,PirteiKisuiBeMutzarPrmia!$C$6:$AA$100,2,FALSE),0)</f>
        <v>0</v>
      </c>
      <c r="DC96">
        <f>IFERROR(VLOOKUP($B96,PirteiKisuiBeMutzarPrmia!$C$6:$AA$100,3,FALSE),0)</f>
        <v>0</v>
      </c>
      <c r="DD96">
        <f>IFERROR(VLOOKUP($B96,PirteiKisuiBeMutzarPrmia!$C$6:$AA$100,4,FALSE),0)</f>
        <v>0</v>
      </c>
      <c r="DE96">
        <f>IFERROR(VLOOKUP($B96,PirteiKisuiBeMutzarPrmia!$C$6:$AA$100,5,FALSE),0)</f>
        <v>0</v>
      </c>
      <c r="DF96">
        <f>IFERROR(VLOOKUP($B96,PirteiKisuiBeMutzarPrmia!$C$6:$AA$100,6,FALSE),0)</f>
        <v>0</v>
      </c>
      <c r="DG96">
        <f>IFERROR(VLOOKUP($B96,PirteiKisuiBeMutzarPrmia!$C$6:$AA$100,7,FALSE),0)</f>
        <v>0</v>
      </c>
      <c r="DH96">
        <f>IFERROR(VLOOKUP($B96,PirteiKisuiBeMutzarPrmia!$C$6:$AA$100,8,FALSE),0)</f>
        <v>0</v>
      </c>
      <c r="DI96">
        <f>IFERROR(VLOOKUP($B96,PirteiKisuiBeMutzarPrmia!$C$6:$AA$100,9,FALSE),0)</f>
        <v>0</v>
      </c>
      <c r="DJ96">
        <f>IFERROR(VLOOKUP($B96,PirteiKisuiBeMutzarPrmia!$C$6:$AA$100,10,FALSE),0)</f>
        <v>0</v>
      </c>
      <c r="DK96">
        <f>IFERROR(VLOOKUP($B96,PirteiKisuiBeMutzarPrmia!$C$6:$AA$100,11,FALSE),0)</f>
        <v>0</v>
      </c>
      <c r="DL96">
        <f t="shared" si="96"/>
        <v>0</v>
      </c>
      <c r="DM96">
        <f t="shared" si="97"/>
        <v>0</v>
      </c>
      <c r="DN96">
        <f t="shared" si="98"/>
        <v>0</v>
      </c>
      <c r="DO96">
        <f t="shared" si="52"/>
        <v>0</v>
      </c>
      <c r="DP96">
        <f t="shared" si="53"/>
        <v>0</v>
      </c>
      <c r="DQ96">
        <f>IF(OR(L96=1,L96=3),IFERROR(VLOOKUP($B96,PerutHafkadotMetchilatShanaAvgM!$C$6:$G$100,3,FALSE),0),0)</f>
        <v>0</v>
      </c>
      <c r="DR96">
        <f>IF(OR(L96=2,L96=4),IFERROR(VLOOKUP($B96,PerutHafkadotMetchilatShanaAvgM!$C$6:$G$100,3,FALSE),0),0)</f>
        <v>0</v>
      </c>
      <c r="DS96">
        <f>IFERROR(VLOOKUP($B96,PerutHafkadotMetchilatShanaAvgM!$C$6:$G$100,4,FALSE),0)</f>
        <v>0</v>
      </c>
      <c r="DT96">
        <f>IFERROR(VLOOKUP($B96,Kupa!$D$6:$AA$100,5,FALSE),0)</f>
        <v>0</v>
      </c>
      <c r="DU96">
        <f>IFERROR(VLOOKUP($B96,Kupa!$D$6:$AA$100,6,FALSE),0)</f>
        <v>0</v>
      </c>
      <c r="DV96">
        <f>IFERROR(VLOOKUP($B96,KisuiBKerenPensiaDBWithParams!$D$6:$AP$100,9,FALSE),0)</f>
        <v>0</v>
      </c>
      <c r="DW96">
        <f>IFERROR(VLOOKUP($B96,KisuiBKerenPensiaDBWithParams!$D$6:$AP$100,12,FALSE),0)</f>
        <v>0</v>
      </c>
      <c r="DX96">
        <f>IFERROR(VLOOKUP($B96,KisuiBKerenPensiaDBWithParams!$D$6:$AP$100,13,FALSE),0)</f>
        <v>0</v>
      </c>
      <c r="DY96">
        <f>IFERROR(VLOOKUP($B96,KisuiBKerenPensiaDBWithParams!$D$6:$AP$100,7,FALSE),0)</f>
        <v>0</v>
      </c>
      <c r="DZ96">
        <f>IFERROR(VLOOKUP($B96,KisuiBKerenPensiaDBWithParams!$D$6:$AP$100,17,FALSE),0)</f>
        <v>0</v>
      </c>
      <c r="EA96">
        <f>IFERROR(VLOOKUP($B96,KisuiBKerenPensiaDBWithParams!$D$6:$AP$100,20,FALSE),0)</f>
        <v>0</v>
      </c>
      <c r="EB96">
        <f>IFERROR(VLOOKUP($B96,KisuiBKerenPensiaDBWithParams!$D$6:$AP$100,21,FALSE),0)</f>
        <v>0</v>
      </c>
      <c r="EC96">
        <f t="shared" si="99"/>
        <v>0</v>
      </c>
      <c r="EG96">
        <f>IF(OR(G96=MyData!$J$50,G96=MyData!$J$51,G96=MyData!$J$52),1,IF(G96=MyData!$J$49,2,0))</f>
        <v>0</v>
      </c>
    </row>
    <row r="97" spans="1:137">
      <c r="A97">
        <f t="shared" si="100"/>
        <v>0</v>
      </c>
      <c r="B97" s="20">
        <f>RicusPolice!E94</f>
        <v>0</v>
      </c>
      <c r="C97" s="20">
        <f>RicusPolice!AL94</f>
        <v>0</v>
      </c>
      <c r="D97" s="20">
        <f>RicusPolice!F94</f>
        <v>0</v>
      </c>
      <c r="E97" s="20">
        <f>RicusPolice!R94</f>
        <v>0</v>
      </c>
      <c r="F97" s="20">
        <f>RicusPolice!N94</f>
        <v>0</v>
      </c>
      <c r="G97" s="20">
        <f>IFERROR(VLOOKUP($B97,PerutYitrot!$D$6:$P$100,4,FALSE),0)</f>
        <v>0</v>
      </c>
      <c r="H97" s="20">
        <f t="shared" si="54"/>
        <v>0</v>
      </c>
      <c r="I97" s="20">
        <f>RicusPolice!L94</f>
        <v>0</v>
      </c>
      <c r="J97" s="179">
        <f>IFERROR(VLOOKUP(TRIM(K97),MyData!$J$43:$K$49,2,FALSE),0)</f>
        <v>0</v>
      </c>
      <c r="K97" s="20">
        <f>RicusPolice!M94</f>
        <v>0</v>
      </c>
      <c r="L97" s="20">
        <f>RicusPolice!AM94</f>
        <v>0</v>
      </c>
      <c r="M97" s="20" t="str">
        <f>IF(B97&gt;0,RicusPolice!Y94," ")</f>
        <v xml:space="preserve"> </v>
      </c>
      <c r="N97" s="20" t="str">
        <f t="shared" si="55"/>
        <v/>
      </c>
      <c r="O97" s="20">
        <f>RicusPolice!N94</f>
        <v>0</v>
      </c>
      <c r="P97" s="20">
        <f>IFERROR(VLOOKUP(B97,PerutMasluleiHashkaa!$D$6:$R$100,4,FALSE),0)</f>
        <v>0</v>
      </c>
      <c r="Q97" s="19"/>
      <c r="R97" s="20">
        <f>RicusPolice!P94</f>
        <v>0</v>
      </c>
      <c r="S97" s="20"/>
      <c r="T97" s="21">
        <f>'נתונים ידניים'!H97</f>
        <v>0</v>
      </c>
      <c r="U97" s="21"/>
      <c r="V97" s="20">
        <f>PerutHafrashotLePolisa!E94</f>
        <v>0</v>
      </c>
      <c r="W97" s="20">
        <f>PerutHafrashotLePolisa!F94</f>
        <v>0</v>
      </c>
      <c r="X97" s="20">
        <f>PerutHafrashotLePolisa!G94</f>
        <v>0</v>
      </c>
      <c r="Y97">
        <f t="shared" si="56"/>
        <v>0</v>
      </c>
      <c r="Z97">
        <f>IFERROR(VLOOKUP(B97,PirteiHaasaka!$D$6:$R$100,5,FALSE),0)</f>
        <v>0</v>
      </c>
      <c r="AB97">
        <f>IFERROR(VLOOKUP(B97,HafkadotMetchilatShanaAverages!$D$6:$E$100,2,FALSE),0)</f>
        <v>0</v>
      </c>
      <c r="AF97">
        <f>IFERROR(VLOOKUP(B97,CrossTabYitraLeTkufa_till_2000!$D$6:$AB$100,6,FALSE),0)+IFERROR(VLOOKUP(B97,CrossTabYitraLeTkufa_after_2000!$D$6:$AB$100,6,FALSE),0)</f>
        <v>0</v>
      </c>
      <c r="AG97">
        <f>IFERROR(VLOOKUP(B97,CrossTabYitraLeTkufa_till_2000!$D$6:$AB$100,16,FALSE),0)</f>
        <v>0</v>
      </c>
      <c r="AH97">
        <f>IFERROR(VLOOKUP(B97,CrossTabYitraLeTkufa_after_2000!$D$6:$AB$100,16,FALSE),0)</f>
        <v>0</v>
      </c>
      <c r="AI97">
        <f>IFERROR(VLOOKUP(B97,CrossTabYitraLeTkufa_till_2000!$D$6:$AB$100,17,FALSE),0)</f>
        <v>0</v>
      </c>
      <c r="AJ97">
        <f>IFERROR(VLOOKUP(B97,CrossTabYitraLeTkufa_after_2000!$D$6:$AB$100,17,FALSE),0)</f>
        <v>0</v>
      </c>
      <c r="AK97" s="5">
        <f t="shared" si="57"/>
        <v>0</v>
      </c>
      <c r="AN97">
        <f>IFERROR(VLOOKUP(B97,PirteiKisuiBeMutzar_procerur!$C$6:$AA$100,2,FALSE),0)</f>
        <v>0</v>
      </c>
      <c r="AP97">
        <f>IFERROR(VLOOKUP($B97,PirteiKisuiBeMutzar_procerur!$C$6:$AA$100,5,FALSE),0)</f>
        <v>0</v>
      </c>
      <c r="AQ97">
        <f>IFERROR(VLOOKUP($B97,PirteiKisuiBeMutzar_procerur!$C$6:$AA$100,3,FALSE),0)</f>
        <v>0</v>
      </c>
      <c r="AR97">
        <f>IFERROR(VLOOKUP($B97,PirteiKisuiBeMutzar_procerur!$C$6:$AA$100,6,FALSE),0)</f>
        <v>0</v>
      </c>
      <c r="AS97">
        <f>IFERROR(VLOOKUP($B97,PirteiKisuiBeMutzar_procerur!$C$6:$AA$100,7,FALSE),0)</f>
        <v>0</v>
      </c>
      <c r="AW97">
        <f t="shared" si="58"/>
        <v>0</v>
      </c>
      <c r="AX97">
        <f t="shared" si="59"/>
        <v>0</v>
      </c>
      <c r="AY97">
        <f t="shared" si="60"/>
        <v>0</v>
      </c>
      <c r="AZ97">
        <f t="shared" si="61"/>
        <v>0</v>
      </c>
      <c r="BA97">
        <f t="shared" si="62"/>
        <v>0</v>
      </c>
      <c r="BB97">
        <f t="shared" si="63"/>
        <v>0</v>
      </c>
      <c r="BC97">
        <f t="shared" si="64"/>
        <v>0</v>
      </c>
      <c r="BD97">
        <f t="shared" si="65"/>
        <v>0</v>
      </c>
      <c r="BE97">
        <f t="shared" si="66"/>
        <v>0</v>
      </c>
      <c r="BF97">
        <f t="shared" si="67"/>
        <v>0</v>
      </c>
      <c r="BG97">
        <f t="shared" si="68"/>
        <v>0</v>
      </c>
      <c r="BH97">
        <f t="shared" si="69"/>
        <v>0</v>
      </c>
      <c r="BI97">
        <f t="shared" si="70"/>
        <v>0</v>
      </c>
      <c r="BK97">
        <f t="shared" si="71"/>
        <v>0</v>
      </c>
      <c r="BL97">
        <f t="shared" si="72"/>
        <v>0</v>
      </c>
      <c r="BM97">
        <f t="shared" si="73"/>
        <v>0</v>
      </c>
      <c r="BN97">
        <f t="shared" si="74"/>
        <v>0</v>
      </c>
      <c r="BO97">
        <f t="shared" si="75"/>
        <v>0</v>
      </c>
      <c r="BR97">
        <f t="shared" si="76"/>
        <v>0</v>
      </c>
      <c r="BS97">
        <f t="shared" si="77"/>
        <v>0</v>
      </c>
      <c r="BT97">
        <f t="shared" si="78"/>
        <v>0</v>
      </c>
      <c r="BU97">
        <f t="shared" si="79"/>
        <v>0</v>
      </c>
      <c r="BV97">
        <f t="shared" si="80"/>
        <v>0</v>
      </c>
      <c r="BX97">
        <f t="shared" si="81"/>
        <v>0</v>
      </c>
      <c r="BY97">
        <f t="shared" si="82"/>
        <v>0</v>
      </c>
      <c r="BZ97">
        <f t="shared" si="83"/>
        <v>0</v>
      </c>
      <c r="CA97">
        <f t="shared" si="84"/>
        <v>0</v>
      </c>
      <c r="CB97">
        <f t="shared" si="85"/>
        <v>0</v>
      </c>
      <c r="CE97">
        <f t="shared" si="86"/>
        <v>0</v>
      </c>
      <c r="CF97">
        <f t="shared" si="87"/>
        <v>0</v>
      </c>
      <c r="CG97">
        <f t="shared" si="88"/>
        <v>0</v>
      </c>
      <c r="CH97">
        <f t="shared" si="89"/>
        <v>0</v>
      </c>
      <c r="CI97">
        <f t="shared" si="90"/>
        <v>0</v>
      </c>
      <c r="CL97">
        <f t="shared" si="91"/>
        <v>0</v>
      </c>
      <c r="CM97">
        <f t="shared" si="92"/>
        <v>0</v>
      </c>
      <c r="CN97">
        <f t="shared" si="93"/>
        <v>0</v>
      </c>
      <c r="CO97">
        <f t="shared" si="94"/>
        <v>0</v>
      </c>
      <c r="CP97">
        <f t="shared" si="95"/>
        <v>0</v>
      </c>
      <c r="CQ97">
        <f>IFERROR(VLOOKUP($B97,SchumeiBituahYesodi!$C$6:$AA$100,8,FALSE),0)</f>
        <v>0</v>
      </c>
      <c r="CR97">
        <f>IFERROR(VLOOKUP($B97,PirteiKisuiBeMutzar_procerur!$C$6:$AA$100,2,FALSE),0)</f>
        <v>0</v>
      </c>
      <c r="CS97">
        <f>IFERROR(VLOOKUP($B97,PirteiKisuiBeMutzar_procerur!$C$6:$AA$100,3,FALSE),0)</f>
        <v>0</v>
      </c>
      <c r="CT97">
        <f>IFERROR(VLOOKUP($B97,PirteiKisuiBeMutzar_procerur!$C$6:$AA$100,4,FALSE),0)</f>
        <v>0</v>
      </c>
      <c r="CU97">
        <f>IFERROR(VLOOKUP($B97,PirteiKisuiBeMutzar_procerur!$C$6:$AA$100,5,FALSE),0)</f>
        <v>0</v>
      </c>
      <c r="CV97">
        <f>IFERROR(VLOOKUP($B97,PirteiKisuiBeMutzar_procerur!$C$6:$AA$100,6,FALSE),0)</f>
        <v>0</v>
      </c>
      <c r="CW97">
        <f>IFERROR(VLOOKUP($B97,PirteiKisuiBeMutzar_procerur!$C$6:$AA$100,7,FALSE),0)</f>
        <v>0</v>
      </c>
      <c r="CX97">
        <f>IFERROR(VLOOKUP($B97,PirteiKisuiBeMutzar_procerur!$C$6:$AA$100,8,FALSE),0)</f>
        <v>0</v>
      </c>
      <c r="CY97">
        <f>IFERROR(VLOOKUP($B97,PirteiKisuiBeMutzar_procerur!$C$6:$AA$100,9,FALSE),0)</f>
        <v>0</v>
      </c>
      <c r="CZ97">
        <f>IFERROR(VLOOKUP($B97,PirteiKisuiBeMutzar_procerur!$C$6:$AA$100,10,FALSE),0)</f>
        <v>0</v>
      </c>
      <c r="DA97">
        <f>IFERROR(VLOOKUP($B97,PirteiKisuiBeMutzar_procerur!$C$6:$AA$100,11,FALSE),0)</f>
        <v>0</v>
      </c>
      <c r="DB97">
        <f>IFERROR(VLOOKUP($B97,PirteiKisuiBeMutzarPrmia!$C$6:$AA$100,2,FALSE),0)</f>
        <v>0</v>
      </c>
      <c r="DC97">
        <f>IFERROR(VLOOKUP($B97,PirteiKisuiBeMutzarPrmia!$C$6:$AA$100,3,FALSE),0)</f>
        <v>0</v>
      </c>
      <c r="DD97">
        <f>IFERROR(VLOOKUP($B97,PirteiKisuiBeMutzarPrmia!$C$6:$AA$100,4,FALSE),0)</f>
        <v>0</v>
      </c>
      <c r="DE97">
        <f>IFERROR(VLOOKUP($B97,PirteiKisuiBeMutzarPrmia!$C$6:$AA$100,5,FALSE),0)</f>
        <v>0</v>
      </c>
      <c r="DF97">
        <f>IFERROR(VLOOKUP($B97,PirteiKisuiBeMutzarPrmia!$C$6:$AA$100,6,FALSE),0)</f>
        <v>0</v>
      </c>
      <c r="DG97">
        <f>IFERROR(VLOOKUP($B97,PirteiKisuiBeMutzarPrmia!$C$6:$AA$100,7,FALSE),0)</f>
        <v>0</v>
      </c>
      <c r="DH97">
        <f>IFERROR(VLOOKUP($B97,PirteiKisuiBeMutzarPrmia!$C$6:$AA$100,8,FALSE),0)</f>
        <v>0</v>
      </c>
      <c r="DI97">
        <f>IFERROR(VLOOKUP($B97,PirteiKisuiBeMutzarPrmia!$C$6:$AA$100,9,FALSE),0)</f>
        <v>0</v>
      </c>
      <c r="DJ97">
        <f>IFERROR(VLOOKUP($B97,PirteiKisuiBeMutzarPrmia!$C$6:$AA$100,10,FALSE),0)</f>
        <v>0</v>
      </c>
      <c r="DK97">
        <f>IFERROR(VLOOKUP($B97,PirteiKisuiBeMutzarPrmia!$C$6:$AA$100,11,FALSE),0)</f>
        <v>0</v>
      </c>
      <c r="DL97">
        <f t="shared" si="96"/>
        <v>0</v>
      </c>
      <c r="DM97">
        <f t="shared" si="97"/>
        <v>0</v>
      </c>
      <c r="DN97">
        <f t="shared" si="98"/>
        <v>0</v>
      </c>
      <c r="DO97">
        <f t="shared" si="52"/>
        <v>0</v>
      </c>
      <c r="DP97">
        <f t="shared" si="53"/>
        <v>0</v>
      </c>
      <c r="DQ97">
        <f>IF(OR(L97=1,L97=3),IFERROR(VLOOKUP($B97,PerutHafkadotMetchilatShanaAvgM!$C$6:$G$100,3,FALSE),0),0)</f>
        <v>0</v>
      </c>
      <c r="DR97">
        <f>IF(OR(L97=2,L97=4),IFERROR(VLOOKUP($B97,PerutHafkadotMetchilatShanaAvgM!$C$6:$G$100,3,FALSE),0),0)</f>
        <v>0</v>
      </c>
      <c r="DS97">
        <f>IFERROR(VLOOKUP($B97,PerutHafkadotMetchilatShanaAvgM!$C$6:$G$100,4,FALSE),0)</f>
        <v>0</v>
      </c>
      <c r="DT97">
        <f>IFERROR(VLOOKUP($B97,Kupa!$D$6:$AA$100,5,FALSE),0)</f>
        <v>0</v>
      </c>
      <c r="DU97">
        <f>IFERROR(VLOOKUP($B97,Kupa!$D$6:$AA$100,6,FALSE),0)</f>
        <v>0</v>
      </c>
      <c r="DV97">
        <f>IFERROR(VLOOKUP($B97,KisuiBKerenPensiaDBWithParams!$D$6:$AP$100,9,FALSE),0)</f>
        <v>0</v>
      </c>
      <c r="DW97">
        <f>IFERROR(VLOOKUP($B97,KisuiBKerenPensiaDBWithParams!$D$6:$AP$100,12,FALSE),0)</f>
        <v>0</v>
      </c>
      <c r="DX97">
        <f>IFERROR(VLOOKUP($B97,KisuiBKerenPensiaDBWithParams!$D$6:$AP$100,13,FALSE),0)</f>
        <v>0</v>
      </c>
      <c r="DY97">
        <f>IFERROR(VLOOKUP($B97,KisuiBKerenPensiaDBWithParams!$D$6:$AP$100,7,FALSE),0)</f>
        <v>0</v>
      </c>
      <c r="DZ97">
        <f>IFERROR(VLOOKUP($B97,KisuiBKerenPensiaDBWithParams!$D$6:$AP$100,17,FALSE),0)</f>
        <v>0</v>
      </c>
      <c r="EA97">
        <f>IFERROR(VLOOKUP($B97,KisuiBKerenPensiaDBWithParams!$D$6:$AP$100,20,FALSE),0)</f>
        <v>0</v>
      </c>
      <c r="EB97">
        <f>IFERROR(VLOOKUP($B97,KisuiBKerenPensiaDBWithParams!$D$6:$AP$100,21,FALSE),0)</f>
        <v>0</v>
      </c>
      <c r="EC97">
        <f t="shared" si="99"/>
        <v>0</v>
      </c>
      <c r="EG97">
        <f>IF(OR(G97=MyData!$J$50,G97=MyData!$J$51,G97=MyData!$J$52),1,IF(G97=MyData!$J$49,2,0))</f>
        <v>0</v>
      </c>
    </row>
    <row r="98" spans="1:137">
      <c r="A98">
        <f t="shared" si="100"/>
        <v>0</v>
      </c>
      <c r="B98" s="20">
        <f>RicusPolice!E95</f>
        <v>0</v>
      </c>
      <c r="C98" s="20">
        <f>RicusPolice!AL95</f>
        <v>0</v>
      </c>
      <c r="D98" s="20">
        <f>RicusPolice!F95</f>
        <v>0</v>
      </c>
      <c r="E98" s="20">
        <f>RicusPolice!R95</f>
        <v>0</v>
      </c>
      <c r="F98" s="20">
        <f>RicusPolice!N95</f>
        <v>0</v>
      </c>
      <c r="G98" s="20">
        <f>IFERROR(VLOOKUP($B98,PerutYitrot!$D$6:$P$100,4,FALSE),0)</f>
        <v>0</v>
      </c>
      <c r="H98" s="20">
        <f t="shared" si="54"/>
        <v>0</v>
      </c>
      <c r="I98" s="20">
        <f>RicusPolice!L95</f>
        <v>0</v>
      </c>
      <c r="J98" s="179">
        <f>IFERROR(VLOOKUP(TRIM(K98),MyData!$J$43:$K$49,2,FALSE),0)</f>
        <v>0</v>
      </c>
      <c r="K98" s="20">
        <f>RicusPolice!M95</f>
        <v>0</v>
      </c>
      <c r="L98" s="20">
        <f>RicusPolice!AM95</f>
        <v>0</v>
      </c>
      <c r="M98" s="20" t="str">
        <f>IF(B98&gt;0,RicusPolice!Y95," ")</f>
        <v xml:space="preserve"> </v>
      </c>
      <c r="N98" s="20" t="str">
        <f t="shared" si="55"/>
        <v/>
      </c>
      <c r="O98" s="20">
        <f>RicusPolice!N95</f>
        <v>0</v>
      </c>
      <c r="P98" s="20">
        <f>IFERROR(VLOOKUP(B98,PerutMasluleiHashkaa!$D$6:$R$100,4,FALSE),0)</f>
        <v>0</v>
      </c>
      <c r="Q98" s="19"/>
      <c r="R98" s="20">
        <f>RicusPolice!P95</f>
        <v>0</v>
      </c>
      <c r="S98" s="20"/>
      <c r="T98" s="21">
        <f>'נתונים ידניים'!H98</f>
        <v>0</v>
      </c>
      <c r="U98" s="21"/>
      <c r="V98" s="20">
        <f>PerutHafrashotLePolisa!E95</f>
        <v>0</v>
      </c>
      <c r="W98" s="20">
        <f>PerutHafrashotLePolisa!F95</f>
        <v>0</v>
      </c>
      <c r="X98" s="20">
        <f>PerutHafrashotLePolisa!G95</f>
        <v>0</v>
      </c>
      <c r="Y98">
        <f t="shared" si="56"/>
        <v>0</v>
      </c>
      <c r="Z98">
        <f>IFERROR(VLOOKUP(B98,PirteiHaasaka!$D$6:$R$100,5,FALSE),0)</f>
        <v>0</v>
      </c>
      <c r="AB98">
        <f>IFERROR(VLOOKUP(B98,HafkadotMetchilatShanaAverages!$D$6:$E$100,2,FALSE),0)</f>
        <v>0</v>
      </c>
      <c r="AF98">
        <f>IFERROR(VLOOKUP(B98,CrossTabYitraLeTkufa_till_2000!$D$6:$AB$100,6,FALSE),0)+IFERROR(VLOOKUP(B98,CrossTabYitraLeTkufa_after_2000!$D$6:$AB$100,6,FALSE),0)</f>
        <v>0</v>
      </c>
      <c r="AG98">
        <f>IFERROR(VLOOKUP(B98,CrossTabYitraLeTkufa_till_2000!$D$6:$AB$100,16,FALSE),0)</f>
        <v>0</v>
      </c>
      <c r="AH98">
        <f>IFERROR(VLOOKUP(B98,CrossTabYitraLeTkufa_after_2000!$D$6:$AB$100,16,FALSE),0)</f>
        <v>0</v>
      </c>
      <c r="AI98">
        <f>IFERROR(VLOOKUP(B98,CrossTabYitraLeTkufa_till_2000!$D$6:$AB$100,17,FALSE),0)</f>
        <v>0</v>
      </c>
      <c r="AJ98">
        <f>IFERROR(VLOOKUP(B98,CrossTabYitraLeTkufa_after_2000!$D$6:$AB$100,17,FALSE),0)</f>
        <v>0</v>
      </c>
      <c r="AK98" s="5">
        <f t="shared" si="57"/>
        <v>0</v>
      </c>
      <c r="AN98">
        <f>IFERROR(VLOOKUP(B98,PirteiKisuiBeMutzar_procerur!$C$6:$AA$100,2,FALSE),0)</f>
        <v>0</v>
      </c>
      <c r="AP98">
        <f>IFERROR(VLOOKUP($B98,PirteiKisuiBeMutzar_procerur!$C$6:$AA$100,5,FALSE),0)</f>
        <v>0</v>
      </c>
      <c r="AQ98">
        <f>IFERROR(VLOOKUP($B98,PirteiKisuiBeMutzar_procerur!$C$6:$AA$100,3,FALSE),0)</f>
        <v>0</v>
      </c>
      <c r="AR98">
        <f>IFERROR(VLOOKUP($B98,PirteiKisuiBeMutzar_procerur!$C$6:$AA$100,6,FALSE),0)</f>
        <v>0</v>
      </c>
      <c r="AS98">
        <f>IFERROR(VLOOKUP($B98,PirteiKisuiBeMutzar_procerur!$C$6:$AA$100,7,FALSE),0)</f>
        <v>0</v>
      </c>
      <c r="AW98">
        <f t="shared" si="58"/>
        <v>0</v>
      </c>
      <c r="AX98">
        <f t="shared" si="59"/>
        <v>0</v>
      </c>
      <c r="AY98">
        <f t="shared" si="60"/>
        <v>0</v>
      </c>
      <c r="AZ98">
        <f t="shared" si="61"/>
        <v>0</v>
      </c>
      <c r="BA98">
        <f t="shared" si="62"/>
        <v>0</v>
      </c>
      <c r="BB98">
        <f t="shared" si="63"/>
        <v>0</v>
      </c>
      <c r="BC98">
        <f t="shared" si="64"/>
        <v>0</v>
      </c>
      <c r="BD98">
        <f t="shared" si="65"/>
        <v>0</v>
      </c>
      <c r="BE98">
        <f t="shared" si="66"/>
        <v>0</v>
      </c>
      <c r="BF98">
        <f t="shared" si="67"/>
        <v>0</v>
      </c>
      <c r="BG98">
        <f t="shared" si="68"/>
        <v>0</v>
      </c>
      <c r="BH98">
        <f t="shared" si="69"/>
        <v>0</v>
      </c>
      <c r="BI98">
        <f t="shared" si="70"/>
        <v>0</v>
      </c>
      <c r="BK98">
        <f t="shared" si="71"/>
        <v>0</v>
      </c>
      <c r="BL98">
        <f t="shared" si="72"/>
        <v>0</v>
      </c>
      <c r="BM98">
        <f t="shared" si="73"/>
        <v>0</v>
      </c>
      <c r="BN98">
        <f t="shared" si="74"/>
        <v>0</v>
      </c>
      <c r="BO98">
        <f t="shared" si="75"/>
        <v>0</v>
      </c>
      <c r="BR98">
        <f t="shared" si="76"/>
        <v>0</v>
      </c>
      <c r="BS98">
        <f t="shared" si="77"/>
        <v>0</v>
      </c>
      <c r="BT98">
        <f t="shared" si="78"/>
        <v>0</v>
      </c>
      <c r="BU98">
        <f t="shared" si="79"/>
        <v>0</v>
      </c>
      <c r="BV98">
        <f t="shared" si="80"/>
        <v>0</v>
      </c>
      <c r="BX98">
        <f t="shared" si="81"/>
        <v>0</v>
      </c>
      <c r="BY98">
        <f t="shared" si="82"/>
        <v>0</v>
      </c>
      <c r="BZ98">
        <f t="shared" si="83"/>
        <v>0</v>
      </c>
      <c r="CA98">
        <f t="shared" si="84"/>
        <v>0</v>
      </c>
      <c r="CB98">
        <f t="shared" si="85"/>
        <v>0</v>
      </c>
      <c r="CE98">
        <f t="shared" si="86"/>
        <v>0</v>
      </c>
      <c r="CF98">
        <f t="shared" si="87"/>
        <v>0</v>
      </c>
      <c r="CG98">
        <f t="shared" si="88"/>
        <v>0</v>
      </c>
      <c r="CH98">
        <f t="shared" si="89"/>
        <v>0</v>
      </c>
      <c r="CI98">
        <f t="shared" si="90"/>
        <v>0</v>
      </c>
      <c r="CL98">
        <f t="shared" si="91"/>
        <v>0</v>
      </c>
      <c r="CM98">
        <f t="shared" si="92"/>
        <v>0</v>
      </c>
      <c r="CN98">
        <f t="shared" si="93"/>
        <v>0</v>
      </c>
      <c r="CO98">
        <f t="shared" si="94"/>
        <v>0</v>
      </c>
      <c r="CP98">
        <f t="shared" si="95"/>
        <v>0</v>
      </c>
      <c r="CQ98">
        <f>IFERROR(VLOOKUP($B98,SchumeiBituahYesodi!$C$6:$AA$100,8,FALSE),0)</f>
        <v>0</v>
      </c>
      <c r="CR98">
        <f>IFERROR(VLOOKUP($B98,PirteiKisuiBeMutzar_procerur!$C$6:$AA$100,2,FALSE),0)</f>
        <v>0</v>
      </c>
      <c r="CS98">
        <f>IFERROR(VLOOKUP($B98,PirteiKisuiBeMutzar_procerur!$C$6:$AA$100,3,FALSE),0)</f>
        <v>0</v>
      </c>
      <c r="CT98">
        <f>IFERROR(VLOOKUP($B98,PirteiKisuiBeMutzar_procerur!$C$6:$AA$100,4,FALSE),0)</f>
        <v>0</v>
      </c>
      <c r="CU98">
        <f>IFERROR(VLOOKUP($B98,PirteiKisuiBeMutzar_procerur!$C$6:$AA$100,5,FALSE),0)</f>
        <v>0</v>
      </c>
      <c r="CV98">
        <f>IFERROR(VLOOKUP($B98,PirteiKisuiBeMutzar_procerur!$C$6:$AA$100,6,FALSE),0)</f>
        <v>0</v>
      </c>
      <c r="CW98">
        <f>IFERROR(VLOOKUP($B98,PirteiKisuiBeMutzar_procerur!$C$6:$AA$100,7,FALSE),0)</f>
        <v>0</v>
      </c>
      <c r="CX98">
        <f>IFERROR(VLOOKUP($B98,PirteiKisuiBeMutzar_procerur!$C$6:$AA$100,8,FALSE),0)</f>
        <v>0</v>
      </c>
      <c r="CY98">
        <f>IFERROR(VLOOKUP($B98,PirteiKisuiBeMutzar_procerur!$C$6:$AA$100,9,FALSE),0)</f>
        <v>0</v>
      </c>
      <c r="CZ98">
        <f>IFERROR(VLOOKUP($B98,PirteiKisuiBeMutzar_procerur!$C$6:$AA$100,10,FALSE),0)</f>
        <v>0</v>
      </c>
      <c r="DA98">
        <f>IFERROR(VLOOKUP($B98,PirteiKisuiBeMutzar_procerur!$C$6:$AA$100,11,FALSE),0)</f>
        <v>0</v>
      </c>
      <c r="DB98">
        <f>IFERROR(VLOOKUP($B98,PirteiKisuiBeMutzarPrmia!$C$6:$AA$100,2,FALSE),0)</f>
        <v>0</v>
      </c>
      <c r="DC98">
        <f>IFERROR(VLOOKUP($B98,PirteiKisuiBeMutzarPrmia!$C$6:$AA$100,3,FALSE),0)</f>
        <v>0</v>
      </c>
      <c r="DD98">
        <f>IFERROR(VLOOKUP($B98,PirteiKisuiBeMutzarPrmia!$C$6:$AA$100,4,FALSE),0)</f>
        <v>0</v>
      </c>
      <c r="DE98">
        <f>IFERROR(VLOOKUP($B98,PirteiKisuiBeMutzarPrmia!$C$6:$AA$100,5,FALSE),0)</f>
        <v>0</v>
      </c>
      <c r="DF98">
        <f>IFERROR(VLOOKUP($B98,PirteiKisuiBeMutzarPrmia!$C$6:$AA$100,6,FALSE),0)</f>
        <v>0</v>
      </c>
      <c r="DG98">
        <f>IFERROR(VLOOKUP($B98,PirteiKisuiBeMutzarPrmia!$C$6:$AA$100,7,FALSE),0)</f>
        <v>0</v>
      </c>
      <c r="DH98">
        <f>IFERROR(VLOOKUP($B98,PirteiKisuiBeMutzarPrmia!$C$6:$AA$100,8,FALSE),0)</f>
        <v>0</v>
      </c>
      <c r="DI98">
        <f>IFERROR(VLOOKUP($B98,PirteiKisuiBeMutzarPrmia!$C$6:$AA$100,9,FALSE),0)</f>
        <v>0</v>
      </c>
      <c r="DJ98">
        <f>IFERROR(VLOOKUP($B98,PirteiKisuiBeMutzarPrmia!$C$6:$AA$100,10,FALSE),0)</f>
        <v>0</v>
      </c>
      <c r="DK98">
        <f>IFERROR(VLOOKUP($B98,PirteiKisuiBeMutzarPrmia!$C$6:$AA$100,11,FALSE),0)</f>
        <v>0</v>
      </c>
      <c r="DL98">
        <f t="shared" si="96"/>
        <v>0</v>
      </c>
      <c r="DM98">
        <f t="shared" si="97"/>
        <v>0</v>
      </c>
      <c r="DN98">
        <f t="shared" si="98"/>
        <v>0</v>
      </c>
      <c r="DO98">
        <f t="shared" ref="DO98:DO101" si="101">AG98+AH98+AI98+AJ98</f>
        <v>0</v>
      </c>
      <c r="DP98">
        <f t="shared" si="53"/>
        <v>0</v>
      </c>
      <c r="DQ98">
        <f>IF(OR(L98=1,L98=3),IFERROR(VLOOKUP($B98,PerutHafkadotMetchilatShanaAvgM!$C$6:$G$100,3,FALSE),0),0)</f>
        <v>0</v>
      </c>
      <c r="DR98">
        <f>IF(OR(L98=2,L98=4),IFERROR(VLOOKUP($B98,PerutHafkadotMetchilatShanaAvgM!$C$6:$G$100,3,FALSE),0),0)</f>
        <v>0</v>
      </c>
      <c r="DS98">
        <f>IFERROR(VLOOKUP($B98,PerutHafkadotMetchilatShanaAvgM!$C$6:$G$100,4,FALSE),0)</f>
        <v>0</v>
      </c>
      <c r="DT98">
        <f>IFERROR(VLOOKUP($B98,Kupa!$D$6:$AA$100,5,FALSE),0)</f>
        <v>0</v>
      </c>
      <c r="DU98">
        <f>IFERROR(VLOOKUP($B98,Kupa!$D$6:$AA$100,6,FALSE),0)</f>
        <v>0</v>
      </c>
      <c r="DV98">
        <f>IFERROR(VLOOKUP($B98,KisuiBKerenPensiaDBWithParams!$D$6:$AP$100,9,FALSE),0)</f>
        <v>0</v>
      </c>
      <c r="DW98">
        <f>IFERROR(VLOOKUP($B98,KisuiBKerenPensiaDBWithParams!$D$6:$AP$100,12,FALSE),0)</f>
        <v>0</v>
      </c>
      <c r="DX98">
        <f>IFERROR(VLOOKUP($B98,KisuiBKerenPensiaDBWithParams!$D$6:$AP$100,13,FALSE),0)</f>
        <v>0</v>
      </c>
      <c r="DY98">
        <f>IFERROR(VLOOKUP($B98,KisuiBKerenPensiaDBWithParams!$D$6:$AP$100,7,FALSE),0)</f>
        <v>0</v>
      </c>
      <c r="DZ98">
        <f>IFERROR(VLOOKUP($B98,KisuiBKerenPensiaDBWithParams!$D$6:$AP$100,17,FALSE),0)</f>
        <v>0</v>
      </c>
      <c r="EA98">
        <f>IFERROR(VLOOKUP($B98,KisuiBKerenPensiaDBWithParams!$D$6:$AP$100,20,FALSE),0)</f>
        <v>0</v>
      </c>
      <c r="EB98">
        <f>IFERROR(VLOOKUP($B98,KisuiBKerenPensiaDBWithParams!$D$6:$AP$100,21,FALSE),0)</f>
        <v>0</v>
      </c>
      <c r="EC98">
        <f t="shared" si="99"/>
        <v>0</v>
      </c>
      <c r="EG98">
        <f>IF(OR(G98=MyData!$J$50,G98=MyData!$J$51,G98=MyData!$J$52),1,IF(G98=MyData!$J$49,2,0))</f>
        <v>0</v>
      </c>
    </row>
    <row r="99" spans="1:137">
      <c r="A99">
        <f t="shared" si="100"/>
        <v>0</v>
      </c>
      <c r="B99" s="20">
        <f>RicusPolice!E96</f>
        <v>0</v>
      </c>
      <c r="C99" s="20">
        <f>RicusPolice!AL96</f>
        <v>0</v>
      </c>
      <c r="D99" s="20">
        <f>RicusPolice!F96</f>
        <v>0</v>
      </c>
      <c r="E99" s="20">
        <f>RicusPolice!R96</f>
        <v>0</v>
      </c>
      <c r="F99" s="20">
        <f>RicusPolice!N96</f>
        <v>0</v>
      </c>
      <c r="G99" s="20">
        <f>IFERROR(VLOOKUP($B99,PerutYitrot!$D$6:$P$100,4,FALSE),0)</f>
        <v>0</v>
      </c>
      <c r="H99" s="20">
        <f t="shared" si="54"/>
        <v>0</v>
      </c>
      <c r="I99" s="20">
        <f>RicusPolice!L96</f>
        <v>0</v>
      </c>
      <c r="J99" s="179">
        <f>IFERROR(VLOOKUP(TRIM(K99),MyData!$J$43:$K$49,2,FALSE),0)</f>
        <v>0</v>
      </c>
      <c r="K99" s="20">
        <f>RicusPolice!M96</f>
        <v>0</v>
      </c>
      <c r="L99" s="20">
        <f>RicusPolice!AM96</f>
        <v>0</v>
      </c>
      <c r="M99" s="20" t="str">
        <f>IF(B99&gt;0,RicusPolice!Y96," ")</f>
        <v xml:space="preserve"> </v>
      </c>
      <c r="N99" s="20" t="str">
        <f t="shared" si="55"/>
        <v/>
      </c>
      <c r="O99" s="20">
        <f>RicusPolice!N96</f>
        <v>0</v>
      </c>
      <c r="P99" s="20">
        <f>IFERROR(VLOOKUP(B99,PerutMasluleiHashkaa!$D$6:$R$100,4,FALSE),0)</f>
        <v>0</v>
      </c>
      <c r="Q99" s="19"/>
      <c r="R99" s="20">
        <f>RicusPolice!P96</f>
        <v>0</v>
      </c>
      <c r="S99" s="20"/>
      <c r="T99" s="21">
        <f>'נתונים ידניים'!H99</f>
        <v>0</v>
      </c>
      <c r="U99" s="21"/>
      <c r="V99" s="20">
        <f>PerutHafrashotLePolisa!E96</f>
        <v>0</v>
      </c>
      <c r="W99" s="20">
        <f>PerutHafrashotLePolisa!F96</f>
        <v>0</v>
      </c>
      <c r="X99" s="20">
        <f>PerutHafrashotLePolisa!G96</f>
        <v>0</v>
      </c>
      <c r="Y99">
        <f t="shared" si="56"/>
        <v>0</v>
      </c>
      <c r="Z99">
        <f>IFERROR(VLOOKUP(B99,PirteiHaasaka!$D$6:$R$100,5,FALSE),0)</f>
        <v>0</v>
      </c>
      <c r="AB99">
        <f>IFERROR(VLOOKUP(B99,HafkadotMetchilatShanaAverages!$D$6:$E$100,2,FALSE),0)</f>
        <v>0</v>
      </c>
      <c r="AF99">
        <f>IFERROR(VLOOKUP(B99,CrossTabYitraLeTkufa_till_2000!$D$6:$AB$100,6,FALSE),0)+IFERROR(VLOOKUP(B99,CrossTabYitraLeTkufa_after_2000!$D$6:$AB$100,6,FALSE),0)</f>
        <v>0</v>
      </c>
      <c r="AG99">
        <f>IFERROR(VLOOKUP(B99,CrossTabYitraLeTkufa_till_2000!$D$6:$AB$100,16,FALSE),0)</f>
        <v>0</v>
      </c>
      <c r="AH99">
        <f>IFERROR(VLOOKUP(B99,CrossTabYitraLeTkufa_after_2000!$D$6:$AB$100,16,FALSE),0)</f>
        <v>0</v>
      </c>
      <c r="AI99">
        <f>IFERROR(VLOOKUP(B99,CrossTabYitraLeTkufa_till_2000!$D$6:$AB$100,17,FALSE),0)</f>
        <v>0</v>
      </c>
      <c r="AJ99">
        <f>IFERROR(VLOOKUP(B99,CrossTabYitraLeTkufa_after_2000!$D$6:$AB$100,17,FALSE),0)</f>
        <v>0</v>
      </c>
      <c r="AK99" s="5">
        <f t="shared" si="57"/>
        <v>0</v>
      </c>
      <c r="AN99">
        <f>IFERROR(VLOOKUP(B99,PirteiKisuiBeMutzar_procerur!$C$6:$AA$100,2,FALSE),0)</f>
        <v>0</v>
      </c>
      <c r="AP99">
        <f>IFERROR(VLOOKUP($B99,PirteiKisuiBeMutzar_procerur!$C$6:$AA$100,5,FALSE),0)</f>
        <v>0</v>
      </c>
      <c r="AQ99">
        <f>IFERROR(VLOOKUP($B99,PirteiKisuiBeMutzar_procerur!$C$6:$AA$100,3,FALSE),0)</f>
        <v>0</v>
      </c>
      <c r="AR99">
        <f>IFERROR(VLOOKUP($B99,PirteiKisuiBeMutzar_procerur!$C$6:$AA$100,6,FALSE),0)</f>
        <v>0</v>
      </c>
      <c r="AS99">
        <f>IFERROR(VLOOKUP($B99,PirteiKisuiBeMutzar_procerur!$C$6:$AA$100,7,FALSE),0)</f>
        <v>0</v>
      </c>
      <c r="AW99">
        <f t="shared" si="58"/>
        <v>0</v>
      </c>
      <c r="AX99">
        <f t="shared" si="59"/>
        <v>0</v>
      </c>
      <c r="AY99">
        <f t="shared" si="60"/>
        <v>0</v>
      </c>
      <c r="AZ99">
        <f t="shared" si="61"/>
        <v>0</v>
      </c>
      <c r="BA99">
        <f t="shared" si="62"/>
        <v>0</v>
      </c>
      <c r="BB99">
        <f t="shared" si="63"/>
        <v>0</v>
      </c>
      <c r="BC99">
        <f t="shared" si="64"/>
        <v>0</v>
      </c>
      <c r="BD99">
        <f t="shared" si="65"/>
        <v>0</v>
      </c>
      <c r="BE99">
        <f t="shared" si="66"/>
        <v>0</v>
      </c>
      <c r="BF99">
        <f t="shared" si="67"/>
        <v>0</v>
      </c>
      <c r="BG99">
        <f t="shared" si="68"/>
        <v>0</v>
      </c>
      <c r="BH99">
        <f t="shared" si="69"/>
        <v>0</v>
      </c>
      <c r="BI99">
        <f t="shared" si="70"/>
        <v>0</v>
      </c>
      <c r="BK99">
        <f t="shared" si="71"/>
        <v>0</v>
      </c>
      <c r="BL99">
        <f t="shared" si="72"/>
        <v>0</v>
      </c>
      <c r="BM99">
        <f t="shared" si="73"/>
        <v>0</v>
      </c>
      <c r="BN99">
        <f t="shared" si="74"/>
        <v>0</v>
      </c>
      <c r="BO99">
        <f t="shared" si="75"/>
        <v>0</v>
      </c>
      <c r="BR99">
        <f t="shared" si="76"/>
        <v>0</v>
      </c>
      <c r="BS99">
        <f t="shared" si="77"/>
        <v>0</v>
      </c>
      <c r="BT99">
        <f t="shared" si="78"/>
        <v>0</v>
      </c>
      <c r="BU99">
        <f t="shared" si="79"/>
        <v>0</v>
      </c>
      <c r="BV99">
        <f t="shared" si="80"/>
        <v>0</v>
      </c>
      <c r="BX99">
        <f t="shared" si="81"/>
        <v>0</v>
      </c>
      <c r="BY99">
        <f t="shared" si="82"/>
        <v>0</v>
      </c>
      <c r="BZ99">
        <f t="shared" si="83"/>
        <v>0</v>
      </c>
      <c r="CA99">
        <f t="shared" si="84"/>
        <v>0</v>
      </c>
      <c r="CB99">
        <f t="shared" si="85"/>
        <v>0</v>
      </c>
      <c r="CE99">
        <f t="shared" si="86"/>
        <v>0</v>
      </c>
      <c r="CF99">
        <f t="shared" si="87"/>
        <v>0</v>
      </c>
      <c r="CG99">
        <f t="shared" si="88"/>
        <v>0</v>
      </c>
      <c r="CH99">
        <f t="shared" si="89"/>
        <v>0</v>
      </c>
      <c r="CI99">
        <f t="shared" si="90"/>
        <v>0</v>
      </c>
      <c r="CL99">
        <f t="shared" si="91"/>
        <v>0</v>
      </c>
      <c r="CM99">
        <f t="shared" si="92"/>
        <v>0</v>
      </c>
      <c r="CN99">
        <f t="shared" si="93"/>
        <v>0</v>
      </c>
      <c r="CO99">
        <f t="shared" si="94"/>
        <v>0</v>
      </c>
      <c r="CP99">
        <f t="shared" si="95"/>
        <v>0</v>
      </c>
      <c r="CQ99">
        <f>IFERROR(VLOOKUP($B99,SchumeiBituahYesodi!$C$6:$AA$100,8,FALSE),0)</f>
        <v>0</v>
      </c>
      <c r="CR99">
        <f>IFERROR(VLOOKUP($B99,PirteiKisuiBeMutzar_procerur!$C$6:$AA$100,2,FALSE),0)</f>
        <v>0</v>
      </c>
      <c r="CS99">
        <f>IFERROR(VLOOKUP($B99,PirteiKisuiBeMutzar_procerur!$C$6:$AA$100,3,FALSE),0)</f>
        <v>0</v>
      </c>
      <c r="CT99">
        <f>IFERROR(VLOOKUP($B99,PirteiKisuiBeMutzar_procerur!$C$6:$AA$100,4,FALSE),0)</f>
        <v>0</v>
      </c>
      <c r="CU99">
        <f>IFERROR(VLOOKUP($B99,PirteiKisuiBeMutzar_procerur!$C$6:$AA$100,5,FALSE),0)</f>
        <v>0</v>
      </c>
      <c r="CV99">
        <f>IFERROR(VLOOKUP($B99,PirteiKisuiBeMutzar_procerur!$C$6:$AA$100,6,FALSE),0)</f>
        <v>0</v>
      </c>
      <c r="CW99">
        <f>IFERROR(VLOOKUP($B99,PirteiKisuiBeMutzar_procerur!$C$6:$AA$100,7,FALSE),0)</f>
        <v>0</v>
      </c>
      <c r="CX99">
        <f>IFERROR(VLOOKUP($B99,PirteiKisuiBeMutzar_procerur!$C$6:$AA$100,8,FALSE),0)</f>
        <v>0</v>
      </c>
      <c r="CY99">
        <f>IFERROR(VLOOKUP($B99,PirteiKisuiBeMutzar_procerur!$C$6:$AA$100,9,FALSE),0)</f>
        <v>0</v>
      </c>
      <c r="CZ99">
        <f>IFERROR(VLOOKUP($B99,PirteiKisuiBeMutzar_procerur!$C$6:$AA$100,10,FALSE),0)</f>
        <v>0</v>
      </c>
      <c r="DA99">
        <f>IFERROR(VLOOKUP($B99,PirteiKisuiBeMutzar_procerur!$C$6:$AA$100,11,FALSE),0)</f>
        <v>0</v>
      </c>
      <c r="DB99">
        <f>IFERROR(VLOOKUP($B99,PirteiKisuiBeMutzarPrmia!$C$6:$AA$100,2,FALSE),0)</f>
        <v>0</v>
      </c>
      <c r="DC99">
        <f>IFERROR(VLOOKUP($B99,PirteiKisuiBeMutzarPrmia!$C$6:$AA$100,3,FALSE),0)</f>
        <v>0</v>
      </c>
      <c r="DD99">
        <f>IFERROR(VLOOKUP($B99,PirteiKisuiBeMutzarPrmia!$C$6:$AA$100,4,FALSE),0)</f>
        <v>0</v>
      </c>
      <c r="DE99">
        <f>IFERROR(VLOOKUP($B99,PirteiKisuiBeMutzarPrmia!$C$6:$AA$100,5,FALSE),0)</f>
        <v>0</v>
      </c>
      <c r="DF99">
        <f>IFERROR(VLOOKUP($B99,PirteiKisuiBeMutzarPrmia!$C$6:$AA$100,6,FALSE),0)</f>
        <v>0</v>
      </c>
      <c r="DG99">
        <f>IFERROR(VLOOKUP($B99,PirteiKisuiBeMutzarPrmia!$C$6:$AA$100,7,FALSE),0)</f>
        <v>0</v>
      </c>
      <c r="DH99">
        <f>IFERROR(VLOOKUP($B99,PirteiKisuiBeMutzarPrmia!$C$6:$AA$100,8,FALSE),0)</f>
        <v>0</v>
      </c>
      <c r="DI99">
        <f>IFERROR(VLOOKUP($B99,PirteiKisuiBeMutzarPrmia!$C$6:$AA$100,9,FALSE),0)</f>
        <v>0</v>
      </c>
      <c r="DJ99">
        <f>IFERROR(VLOOKUP($B99,PirteiKisuiBeMutzarPrmia!$C$6:$AA$100,10,FALSE),0)</f>
        <v>0</v>
      </c>
      <c r="DK99">
        <f>IFERROR(VLOOKUP($B99,PirteiKisuiBeMutzarPrmia!$C$6:$AA$100,11,FALSE),0)</f>
        <v>0</v>
      </c>
      <c r="DL99">
        <f t="shared" si="96"/>
        <v>0</v>
      </c>
      <c r="DM99">
        <f t="shared" si="97"/>
        <v>0</v>
      </c>
      <c r="DN99">
        <f t="shared" si="98"/>
        <v>0</v>
      </c>
      <c r="DO99">
        <f t="shared" si="101"/>
        <v>0</v>
      </c>
      <c r="DP99">
        <f t="shared" si="53"/>
        <v>0</v>
      </c>
      <c r="DQ99">
        <f>IF(OR(L99=1,L99=3),IFERROR(VLOOKUP($B99,PerutHafkadotMetchilatShanaAvgM!$C$6:$G$100,3,FALSE),0),0)</f>
        <v>0</v>
      </c>
      <c r="DR99">
        <f>IF(OR(L99=2,L99=4),IFERROR(VLOOKUP($B99,PerutHafkadotMetchilatShanaAvgM!$C$6:$G$100,3,FALSE),0),0)</f>
        <v>0</v>
      </c>
      <c r="DS99">
        <f>IFERROR(VLOOKUP($B99,PerutHafkadotMetchilatShanaAvgM!$C$6:$G$100,4,FALSE),0)</f>
        <v>0</v>
      </c>
      <c r="DT99">
        <f>IFERROR(VLOOKUP($B99,Kupa!$D$6:$AA$100,5,FALSE),0)</f>
        <v>0</v>
      </c>
      <c r="DU99">
        <f>IFERROR(VLOOKUP($B99,Kupa!$D$6:$AA$100,6,FALSE),0)</f>
        <v>0</v>
      </c>
      <c r="DV99">
        <f>IFERROR(VLOOKUP($B99,KisuiBKerenPensiaDBWithParams!$D$6:$AP$100,9,FALSE),0)</f>
        <v>0</v>
      </c>
      <c r="DW99">
        <f>IFERROR(VLOOKUP($B99,KisuiBKerenPensiaDBWithParams!$D$6:$AP$100,12,FALSE),0)</f>
        <v>0</v>
      </c>
      <c r="DX99">
        <f>IFERROR(VLOOKUP($B99,KisuiBKerenPensiaDBWithParams!$D$6:$AP$100,13,FALSE),0)</f>
        <v>0</v>
      </c>
      <c r="DY99">
        <f>IFERROR(VLOOKUP($B99,KisuiBKerenPensiaDBWithParams!$D$6:$AP$100,7,FALSE),0)</f>
        <v>0</v>
      </c>
      <c r="DZ99">
        <f>IFERROR(VLOOKUP($B99,KisuiBKerenPensiaDBWithParams!$D$6:$AP$100,17,FALSE),0)</f>
        <v>0</v>
      </c>
      <c r="EA99">
        <f>IFERROR(VLOOKUP($B99,KisuiBKerenPensiaDBWithParams!$D$6:$AP$100,20,FALSE),0)</f>
        <v>0</v>
      </c>
      <c r="EB99">
        <f>IFERROR(VLOOKUP($B99,KisuiBKerenPensiaDBWithParams!$D$6:$AP$100,21,FALSE),0)</f>
        <v>0</v>
      </c>
      <c r="EC99">
        <f t="shared" si="99"/>
        <v>0</v>
      </c>
      <c r="EG99">
        <f>IF(OR(G99=MyData!$J$50,G99=MyData!$J$51,G99=MyData!$J$52),1,IF(G99=MyData!$J$49,2,0))</f>
        <v>0</v>
      </c>
    </row>
    <row r="100" spans="1:137">
      <c r="A100">
        <f t="shared" si="100"/>
        <v>0</v>
      </c>
      <c r="B100" s="20">
        <f>RicusPolice!E97</f>
        <v>0</v>
      </c>
      <c r="C100" s="20">
        <f>RicusPolice!AL97</f>
        <v>0</v>
      </c>
      <c r="D100" s="20">
        <f>RicusPolice!F97</f>
        <v>0</v>
      </c>
      <c r="E100" s="20">
        <f>RicusPolice!R97</f>
        <v>0</v>
      </c>
      <c r="F100" s="20">
        <f>RicusPolice!N97</f>
        <v>0</v>
      </c>
      <c r="G100" s="20">
        <f>IFERROR(VLOOKUP($B100,PerutYitrot!$D$6:$P$100,4,FALSE),0)</f>
        <v>0</v>
      </c>
      <c r="H100" s="20">
        <f t="shared" si="54"/>
        <v>0</v>
      </c>
      <c r="I100" s="20">
        <f>RicusPolice!L97</f>
        <v>0</v>
      </c>
      <c r="J100" s="179">
        <f>IFERROR(VLOOKUP(TRIM(K100),MyData!$J$43:$K$49,2,FALSE),0)</f>
        <v>0</v>
      </c>
      <c r="K100" s="20">
        <f>RicusPolice!M97</f>
        <v>0</v>
      </c>
      <c r="L100" s="20">
        <f>RicusPolice!AM97</f>
        <v>0</v>
      </c>
      <c r="M100" s="20" t="str">
        <f>IF(B100&gt;0,RicusPolice!Y97," ")</f>
        <v xml:space="preserve"> </v>
      </c>
      <c r="N100" s="20" t="str">
        <f t="shared" si="55"/>
        <v/>
      </c>
      <c r="O100" s="20">
        <f>RicusPolice!N97</f>
        <v>0</v>
      </c>
      <c r="P100" s="20">
        <f>IFERROR(VLOOKUP(B100,PerutMasluleiHashkaa!$D$6:$R$100,4,FALSE),0)</f>
        <v>0</v>
      </c>
      <c r="Q100" s="19"/>
      <c r="R100" s="20">
        <f>RicusPolice!P97</f>
        <v>0</v>
      </c>
      <c r="S100" s="20"/>
      <c r="T100" s="21">
        <f>'נתונים ידניים'!H100</f>
        <v>0</v>
      </c>
      <c r="U100" s="21"/>
      <c r="V100" s="20">
        <f>PerutHafrashotLePolisa!E97</f>
        <v>0</v>
      </c>
      <c r="W100" s="20">
        <f>PerutHafrashotLePolisa!F97</f>
        <v>0</v>
      </c>
      <c r="X100" s="20">
        <f>PerutHafrashotLePolisa!G97</f>
        <v>0</v>
      </c>
      <c r="Y100">
        <f t="shared" si="56"/>
        <v>0</v>
      </c>
      <c r="Z100">
        <f>IFERROR(VLOOKUP(B100,PirteiHaasaka!$D$6:$R$100,5,FALSE),0)</f>
        <v>0</v>
      </c>
      <c r="AB100">
        <f>IFERROR(VLOOKUP(B100,HafkadotMetchilatShanaAverages!$D$6:$E$100,2,FALSE),0)</f>
        <v>0</v>
      </c>
      <c r="AF100">
        <f>IFERROR(VLOOKUP(B100,CrossTabYitraLeTkufa_till_2000!$D$6:$AB$100,6,FALSE),0)+IFERROR(VLOOKUP(B100,CrossTabYitraLeTkufa_after_2000!$D$6:$AB$100,6,FALSE),0)</f>
        <v>0</v>
      </c>
      <c r="AG100">
        <f>IFERROR(VLOOKUP(B100,CrossTabYitraLeTkufa_till_2000!$D$6:$AB$100,16,FALSE),0)</f>
        <v>0</v>
      </c>
      <c r="AH100">
        <f>IFERROR(VLOOKUP(B100,CrossTabYitraLeTkufa_after_2000!$D$6:$AB$100,16,FALSE),0)</f>
        <v>0</v>
      </c>
      <c r="AI100">
        <f>IFERROR(VLOOKUP(B100,CrossTabYitraLeTkufa_till_2000!$D$6:$AB$100,17,FALSE),0)</f>
        <v>0</v>
      </c>
      <c r="AJ100">
        <f>IFERROR(VLOOKUP(B100,CrossTabYitraLeTkufa_after_2000!$D$6:$AB$100,17,FALSE),0)</f>
        <v>0</v>
      </c>
      <c r="AK100" s="5">
        <f t="shared" si="57"/>
        <v>0</v>
      </c>
      <c r="AN100">
        <f>IFERROR(VLOOKUP(B100,PirteiKisuiBeMutzar_procerur!$C$6:$AA$100,2,FALSE),0)</f>
        <v>0</v>
      </c>
      <c r="AP100">
        <f>IFERROR(VLOOKUP($B100,PirteiKisuiBeMutzar_procerur!$C$6:$AA$100,5,FALSE),0)</f>
        <v>0</v>
      </c>
      <c r="AQ100">
        <f>IFERROR(VLOOKUP($B100,PirteiKisuiBeMutzar_procerur!$C$6:$AA$100,3,FALSE),0)</f>
        <v>0</v>
      </c>
      <c r="AR100">
        <f>IFERROR(VLOOKUP($B100,PirteiKisuiBeMutzar_procerur!$C$6:$AA$100,6,FALSE),0)</f>
        <v>0</v>
      </c>
      <c r="AS100">
        <f>IFERROR(VLOOKUP($B100,PirteiKisuiBeMutzar_procerur!$C$6:$AA$100,7,FALSE),0)</f>
        <v>0</v>
      </c>
      <c r="AW100">
        <f t="shared" si="58"/>
        <v>0</v>
      </c>
      <c r="AX100">
        <f t="shared" si="59"/>
        <v>0</v>
      </c>
      <c r="AY100">
        <f t="shared" si="60"/>
        <v>0</v>
      </c>
      <c r="AZ100">
        <f t="shared" si="61"/>
        <v>0</v>
      </c>
      <c r="BA100">
        <f t="shared" si="62"/>
        <v>0</v>
      </c>
      <c r="BB100">
        <f t="shared" si="63"/>
        <v>0</v>
      </c>
      <c r="BC100">
        <f t="shared" si="64"/>
        <v>0</v>
      </c>
      <c r="BD100">
        <f t="shared" si="65"/>
        <v>0</v>
      </c>
      <c r="BE100">
        <f t="shared" si="66"/>
        <v>0</v>
      </c>
      <c r="BF100">
        <f t="shared" si="67"/>
        <v>0</v>
      </c>
      <c r="BG100">
        <f t="shared" si="68"/>
        <v>0</v>
      </c>
      <c r="BH100">
        <f t="shared" si="69"/>
        <v>0</v>
      </c>
      <c r="BI100">
        <f t="shared" si="70"/>
        <v>0</v>
      </c>
      <c r="BK100">
        <f t="shared" si="71"/>
        <v>0</v>
      </c>
      <c r="BL100">
        <f t="shared" si="72"/>
        <v>0</v>
      </c>
      <c r="BM100">
        <f t="shared" si="73"/>
        <v>0</v>
      </c>
      <c r="BN100">
        <f t="shared" si="74"/>
        <v>0</v>
      </c>
      <c r="BO100">
        <f t="shared" si="75"/>
        <v>0</v>
      </c>
      <c r="BR100">
        <f t="shared" si="76"/>
        <v>0</v>
      </c>
      <c r="BS100">
        <f t="shared" si="77"/>
        <v>0</v>
      </c>
      <c r="BT100">
        <f t="shared" si="78"/>
        <v>0</v>
      </c>
      <c r="BU100">
        <f t="shared" si="79"/>
        <v>0</v>
      </c>
      <c r="BV100">
        <f t="shared" si="80"/>
        <v>0</v>
      </c>
      <c r="BX100">
        <f t="shared" si="81"/>
        <v>0</v>
      </c>
      <c r="BY100">
        <f t="shared" si="82"/>
        <v>0</v>
      </c>
      <c r="BZ100">
        <f t="shared" si="83"/>
        <v>0</v>
      </c>
      <c r="CA100">
        <f t="shared" si="84"/>
        <v>0</v>
      </c>
      <c r="CB100">
        <f t="shared" si="85"/>
        <v>0</v>
      </c>
      <c r="CE100">
        <f t="shared" si="86"/>
        <v>0</v>
      </c>
      <c r="CF100">
        <f t="shared" si="87"/>
        <v>0</v>
      </c>
      <c r="CG100">
        <f t="shared" si="88"/>
        <v>0</v>
      </c>
      <c r="CH100">
        <f t="shared" si="89"/>
        <v>0</v>
      </c>
      <c r="CI100">
        <f t="shared" si="90"/>
        <v>0</v>
      </c>
      <c r="CL100">
        <f t="shared" si="91"/>
        <v>0</v>
      </c>
      <c r="CM100">
        <f t="shared" si="92"/>
        <v>0</v>
      </c>
      <c r="CN100">
        <f t="shared" si="93"/>
        <v>0</v>
      </c>
      <c r="CO100">
        <f t="shared" si="94"/>
        <v>0</v>
      </c>
      <c r="CP100">
        <f t="shared" si="95"/>
        <v>0</v>
      </c>
      <c r="CQ100">
        <f>IFERROR(VLOOKUP($B100,SchumeiBituahYesodi!$C$6:$AA$100,8,FALSE),0)</f>
        <v>0</v>
      </c>
      <c r="CR100">
        <f>IFERROR(VLOOKUP($B100,PirteiKisuiBeMutzar_procerur!$C$6:$AA$100,2,FALSE),0)</f>
        <v>0</v>
      </c>
      <c r="CS100">
        <f>IFERROR(VLOOKUP($B100,PirteiKisuiBeMutzar_procerur!$C$6:$AA$100,3,FALSE),0)</f>
        <v>0</v>
      </c>
      <c r="CT100">
        <f>IFERROR(VLOOKUP($B100,PirteiKisuiBeMutzar_procerur!$C$6:$AA$100,4,FALSE),0)</f>
        <v>0</v>
      </c>
      <c r="CU100">
        <f>IFERROR(VLOOKUP($B100,PirteiKisuiBeMutzar_procerur!$C$6:$AA$100,5,FALSE),0)</f>
        <v>0</v>
      </c>
      <c r="CV100">
        <f>IFERROR(VLOOKUP($B100,PirteiKisuiBeMutzar_procerur!$C$6:$AA$100,6,FALSE),0)</f>
        <v>0</v>
      </c>
      <c r="CW100">
        <f>IFERROR(VLOOKUP($B100,PirteiKisuiBeMutzar_procerur!$C$6:$AA$100,7,FALSE),0)</f>
        <v>0</v>
      </c>
      <c r="CX100">
        <f>IFERROR(VLOOKUP($B100,PirteiKisuiBeMutzar_procerur!$C$6:$AA$100,8,FALSE),0)</f>
        <v>0</v>
      </c>
      <c r="CY100">
        <f>IFERROR(VLOOKUP($B100,PirteiKisuiBeMutzar_procerur!$C$6:$AA$100,9,FALSE),0)</f>
        <v>0</v>
      </c>
      <c r="CZ100">
        <f>IFERROR(VLOOKUP($B100,PirteiKisuiBeMutzar_procerur!$C$6:$AA$100,10,FALSE),0)</f>
        <v>0</v>
      </c>
      <c r="DA100">
        <f>IFERROR(VLOOKUP($B100,PirteiKisuiBeMutzar_procerur!$C$6:$AA$100,11,FALSE),0)</f>
        <v>0</v>
      </c>
      <c r="DB100">
        <f>IFERROR(VLOOKUP($B100,PirteiKisuiBeMutzarPrmia!$C$6:$AA$100,2,FALSE),0)</f>
        <v>0</v>
      </c>
      <c r="DC100">
        <f>IFERROR(VLOOKUP($B100,PirteiKisuiBeMutzarPrmia!$C$6:$AA$100,3,FALSE),0)</f>
        <v>0</v>
      </c>
      <c r="DD100">
        <f>IFERROR(VLOOKUP($B100,PirteiKisuiBeMutzarPrmia!$C$6:$AA$100,4,FALSE),0)</f>
        <v>0</v>
      </c>
      <c r="DE100">
        <f>IFERROR(VLOOKUP($B100,PirteiKisuiBeMutzarPrmia!$C$6:$AA$100,5,FALSE),0)</f>
        <v>0</v>
      </c>
      <c r="DF100">
        <f>IFERROR(VLOOKUP($B100,PirteiKisuiBeMutzarPrmia!$C$6:$AA$100,6,FALSE),0)</f>
        <v>0</v>
      </c>
      <c r="DG100">
        <f>IFERROR(VLOOKUP($B100,PirteiKisuiBeMutzarPrmia!$C$6:$AA$100,7,FALSE),0)</f>
        <v>0</v>
      </c>
      <c r="DH100">
        <f>IFERROR(VLOOKUP($B100,PirteiKisuiBeMutzarPrmia!$C$6:$AA$100,8,FALSE),0)</f>
        <v>0</v>
      </c>
      <c r="DI100">
        <f>IFERROR(VLOOKUP($B100,PirteiKisuiBeMutzarPrmia!$C$6:$AA$100,9,FALSE),0)</f>
        <v>0</v>
      </c>
      <c r="DJ100">
        <f>IFERROR(VLOOKUP($B100,PirteiKisuiBeMutzarPrmia!$C$6:$AA$100,10,FALSE),0)</f>
        <v>0</v>
      </c>
      <c r="DK100">
        <f>IFERROR(VLOOKUP($B100,PirteiKisuiBeMutzarPrmia!$C$6:$AA$100,11,FALSE),0)</f>
        <v>0</v>
      </c>
      <c r="DL100">
        <f t="shared" si="96"/>
        <v>0</v>
      </c>
      <c r="DM100">
        <f t="shared" si="97"/>
        <v>0</v>
      </c>
      <c r="DN100">
        <f t="shared" si="98"/>
        <v>0</v>
      </c>
      <c r="DO100">
        <f t="shared" si="101"/>
        <v>0</v>
      </c>
      <c r="DP100">
        <f t="shared" si="53"/>
        <v>0</v>
      </c>
      <c r="DQ100">
        <f>IF(OR(L100=1,L100=3),IFERROR(VLOOKUP($B100,PerutHafkadotMetchilatShanaAvgM!$C$6:$G$100,3,FALSE),0),0)</f>
        <v>0</v>
      </c>
      <c r="DR100">
        <f>IF(OR(L100=2,L100=4),IFERROR(VLOOKUP($B100,PerutHafkadotMetchilatShanaAvgM!$C$6:$G$100,3,FALSE),0),0)</f>
        <v>0</v>
      </c>
      <c r="DS100">
        <f>IFERROR(VLOOKUP($B100,PerutHafkadotMetchilatShanaAvgM!$C$6:$G$100,4,FALSE),0)</f>
        <v>0</v>
      </c>
      <c r="DT100">
        <f>IFERROR(VLOOKUP($B100,Kupa!$D$6:$AA$100,5,FALSE),0)</f>
        <v>0</v>
      </c>
      <c r="DU100">
        <f>IFERROR(VLOOKUP($B100,Kupa!$D$6:$AA$100,6,FALSE),0)</f>
        <v>0</v>
      </c>
      <c r="DV100">
        <f>IFERROR(VLOOKUP($B100,KisuiBKerenPensiaDBWithParams!$D$6:$AP$100,9,FALSE),0)</f>
        <v>0</v>
      </c>
      <c r="DW100">
        <f>IFERROR(VLOOKUP($B100,KisuiBKerenPensiaDBWithParams!$D$6:$AP$100,12,FALSE),0)</f>
        <v>0</v>
      </c>
      <c r="DX100">
        <f>IFERROR(VLOOKUP($B100,KisuiBKerenPensiaDBWithParams!$D$6:$AP$100,13,FALSE),0)</f>
        <v>0</v>
      </c>
      <c r="DY100">
        <f>IFERROR(VLOOKUP($B100,KisuiBKerenPensiaDBWithParams!$D$6:$AP$100,7,FALSE),0)</f>
        <v>0</v>
      </c>
      <c r="DZ100">
        <f>IFERROR(VLOOKUP($B100,KisuiBKerenPensiaDBWithParams!$D$6:$AP$100,17,FALSE),0)</f>
        <v>0</v>
      </c>
      <c r="EA100">
        <f>IFERROR(VLOOKUP($B100,KisuiBKerenPensiaDBWithParams!$D$6:$AP$100,20,FALSE),0)</f>
        <v>0</v>
      </c>
      <c r="EB100">
        <f>IFERROR(VLOOKUP($B100,KisuiBKerenPensiaDBWithParams!$D$6:$AP$100,21,FALSE),0)</f>
        <v>0</v>
      </c>
      <c r="EC100">
        <f t="shared" si="99"/>
        <v>0</v>
      </c>
      <c r="EG100">
        <f>IF(OR(G100=MyData!$J$50,G100=MyData!$J$51,G100=MyData!$J$52),1,IF(G100=MyData!$J$49,2,0))</f>
        <v>0</v>
      </c>
    </row>
    <row r="101" spans="1:137">
      <c r="A101">
        <f t="shared" si="100"/>
        <v>0</v>
      </c>
      <c r="B101" s="20">
        <f>RicusPolice!E98</f>
        <v>0</v>
      </c>
      <c r="C101" s="20">
        <f>RicusPolice!AL98</f>
        <v>0</v>
      </c>
      <c r="D101" s="20">
        <f>RicusPolice!F98</f>
        <v>0</v>
      </c>
      <c r="E101" s="20">
        <f>RicusPolice!R98</f>
        <v>0</v>
      </c>
      <c r="F101" s="20">
        <f>RicusPolice!N98</f>
        <v>0</v>
      </c>
      <c r="G101" s="20">
        <f>IFERROR(VLOOKUP($B101,PerutYitrot!$D$6:$P$100,4,FALSE),0)</f>
        <v>0</v>
      </c>
      <c r="H101" s="20">
        <f t="shared" si="54"/>
        <v>0</v>
      </c>
      <c r="I101" s="20">
        <f>RicusPolice!L98</f>
        <v>0</v>
      </c>
      <c r="J101" s="179">
        <f>IFERROR(VLOOKUP(TRIM(K101),MyData!$J$43:$K$49,2,FALSE),0)</f>
        <v>0</v>
      </c>
      <c r="K101" s="20">
        <f>RicusPolice!M98</f>
        <v>0</v>
      </c>
      <c r="L101" s="20">
        <f>RicusPolice!AM98</f>
        <v>0</v>
      </c>
      <c r="M101" s="20" t="str">
        <f>IF(B101&gt;0,RicusPolice!Y98," ")</f>
        <v xml:space="preserve"> </v>
      </c>
      <c r="N101" s="20" t="str">
        <f t="shared" si="55"/>
        <v/>
      </c>
      <c r="O101" s="20">
        <f>RicusPolice!N98</f>
        <v>0</v>
      </c>
      <c r="P101" s="20">
        <f>IFERROR(VLOOKUP(B101,PerutMasluleiHashkaa!$D$6:$R$100,4,FALSE),0)</f>
        <v>0</v>
      </c>
      <c r="Q101" s="19"/>
      <c r="R101" s="20">
        <f>RicusPolice!P98</f>
        <v>0</v>
      </c>
      <c r="S101" s="20"/>
      <c r="T101" s="21">
        <f>'נתונים ידניים'!H101</f>
        <v>0</v>
      </c>
      <c r="U101" s="21"/>
      <c r="V101" s="20">
        <f>PerutHafrashotLePolisa!E98</f>
        <v>0</v>
      </c>
      <c r="W101" s="20">
        <f>PerutHafrashotLePolisa!F98</f>
        <v>0</v>
      </c>
      <c r="X101" s="20">
        <f>PerutHafrashotLePolisa!G98</f>
        <v>0</v>
      </c>
      <c r="Y101">
        <f t="shared" si="56"/>
        <v>0</v>
      </c>
      <c r="Z101">
        <f>IFERROR(VLOOKUP(B101,PirteiHaasaka!$D$6:$R$100,5,FALSE),0)</f>
        <v>0</v>
      </c>
      <c r="AB101">
        <f>IFERROR(VLOOKUP(B101,HafkadotMetchilatShanaAverages!$D$6:$E$100,2,FALSE),0)</f>
        <v>0</v>
      </c>
      <c r="AF101">
        <f>IFERROR(VLOOKUP(B101,CrossTabYitraLeTkufa_till_2000!$D$6:$AB$100,6,FALSE),0)+IFERROR(VLOOKUP(B101,CrossTabYitraLeTkufa_after_2000!$D$6:$AB$100,6,FALSE),0)</f>
        <v>0</v>
      </c>
      <c r="AG101">
        <f>IFERROR(VLOOKUP(B101,CrossTabYitraLeTkufa_till_2000!$D$6:$AB$100,16,FALSE),0)</f>
        <v>0</v>
      </c>
      <c r="AH101">
        <f>IFERROR(VLOOKUP(B101,CrossTabYitraLeTkufa_after_2000!$D$6:$AB$100,16,FALSE),0)</f>
        <v>0</v>
      </c>
      <c r="AI101">
        <f>IFERROR(VLOOKUP(B101,CrossTabYitraLeTkufa_till_2000!$D$6:$AB$100,17,FALSE),0)</f>
        <v>0</v>
      </c>
      <c r="AJ101">
        <f>IFERROR(VLOOKUP(B101,CrossTabYitraLeTkufa_after_2000!$D$6:$AB$100,17,FALSE),0)</f>
        <v>0</v>
      </c>
      <c r="AK101" s="5">
        <f t="shared" si="57"/>
        <v>0</v>
      </c>
      <c r="AN101">
        <f>IFERROR(VLOOKUP(B101,PirteiKisuiBeMutzar_procerur!$C$6:$AA$100,2,FALSE),0)</f>
        <v>0</v>
      </c>
      <c r="AP101">
        <f>IFERROR(VLOOKUP($B101,PirteiKisuiBeMutzar_procerur!$C$6:$AA$100,5,FALSE),0)</f>
        <v>0</v>
      </c>
      <c r="AQ101">
        <f>IFERROR(VLOOKUP($B101,PirteiKisuiBeMutzar_procerur!$C$6:$AA$100,3,FALSE),0)</f>
        <v>0</v>
      </c>
      <c r="AR101">
        <f>IFERROR(VLOOKUP($B101,PirteiKisuiBeMutzar_procerur!$C$6:$AA$100,6,FALSE),0)</f>
        <v>0</v>
      </c>
      <c r="AS101">
        <f>IFERROR(VLOOKUP($B101,PirteiKisuiBeMutzar_procerur!$C$6:$AA$100,7,FALSE),0)</f>
        <v>0</v>
      </c>
      <c r="AW101">
        <f t="shared" si="58"/>
        <v>0</v>
      </c>
      <c r="AX101">
        <f t="shared" si="59"/>
        <v>0</v>
      </c>
      <c r="AY101">
        <f t="shared" si="60"/>
        <v>0</v>
      </c>
      <c r="AZ101">
        <f t="shared" si="61"/>
        <v>0</v>
      </c>
      <c r="BA101">
        <f t="shared" si="62"/>
        <v>0</v>
      </c>
      <c r="BB101">
        <f t="shared" si="63"/>
        <v>0</v>
      </c>
      <c r="BC101">
        <f t="shared" si="64"/>
        <v>0</v>
      </c>
      <c r="BD101">
        <f t="shared" si="65"/>
        <v>0</v>
      </c>
      <c r="BE101">
        <f t="shared" si="66"/>
        <v>0</v>
      </c>
      <c r="BF101">
        <f t="shared" si="67"/>
        <v>0</v>
      </c>
      <c r="BG101">
        <f t="shared" si="68"/>
        <v>0</v>
      </c>
      <c r="BH101">
        <f t="shared" si="69"/>
        <v>0</v>
      </c>
      <c r="BI101">
        <f t="shared" si="70"/>
        <v>0</v>
      </c>
      <c r="BK101">
        <f t="shared" si="71"/>
        <v>0</v>
      </c>
      <c r="BL101">
        <f t="shared" si="72"/>
        <v>0</v>
      </c>
      <c r="BM101">
        <f t="shared" si="73"/>
        <v>0</v>
      </c>
      <c r="BN101">
        <f t="shared" si="74"/>
        <v>0</v>
      </c>
      <c r="BO101">
        <f t="shared" si="75"/>
        <v>0</v>
      </c>
      <c r="BR101">
        <f t="shared" si="76"/>
        <v>0</v>
      </c>
      <c r="BS101">
        <f t="shared" si="77"/>
        <v>0</v>
      </c>
      <c r="BT101">
        <f t="shared" si="78"/>
        <v>0</v>
      </c>
      <c r="BU101">
        <f t="shared" si="79"/>
        <v>0</v>
      </c>
      <c r="BV101">
        <f t="shared" si="80"/>
        <v>0</v>
      </c>
      <c r="BX101">
        <f t="shared" si="81"/>
        <v>0</v>
      </c>
      <c r="BY101">
        <f t="shared" si="82"/>
        <v>0</v>
      </c>
      <c r="BZ101">
        <f t="shared" si="83"/>
        <v>0</v>
      </c>
      <c r="CA101">
        <f t="shared" si="84"/>
        <v>0</v>
      </c>
      <c r="CB101">
        <f t="shared" si="85"/>
        <v>0</v>
      </c>
      <c r="CE101">
        <f t="shared" si="86"/>
        <v>0</v>
      </c>
      <c r="CF101">
        <f t="shared" si="87"/>
        <v>0</v>
      </c>
      <c r="CG101">
        <f t="shared" si="88"/>
        <v>0</v>
      </c>
      <c r="CH101">
        <f t="shared" si="89"/>
        <v>0</v>
      </c>
      <c r="CI101">
        <f t="shared" si="90"/>
        <v>0</v>
      </c>
      <c r="CL101">
        <f t="shared" si="91"/>
        <v>0</v>
      </c>
      <c r="CM101">
        <f t="shared" si="92"/>
        <v>0</v>
      </c>
      <c r="CN101">
        <f t="shared" si="93"/>
        <v>0</v>
      </c>
      <c r="CO101">
        <f t="shared" si="94"/>
        <v>0</v>
      </c>
      <c r="CP101">
        <f t="shared" si="95"/>
        <v>0</v>
      </c>
      <c r="CQ101">
        <f>IFERROR(VLOOKUP($B101,SchumeiBituahYesodi!$C$6:$AA$100,8,FALSE),0)</f>
        <v>0</v>
      </c>
      <c r="CR101">
        <f>IFERROR(VLOOKUP($B101,PirteiKisuiBeMutzar_procerur!$C$6:$AA$100,2,FALSE),0)</f>
        <v>0</v>
      </c>
      <c r="CS101">
        <f>IFERROR(VLOOKUP($B101,PirteiKisuiBeMutzar_procerur!$C$6:$AA$100,3,FALSE),0)</f>
        <v>0</v>
      </c>
      <c r="CT101">
        <f>IFERROR(VLOOKUP($B101,PirteiKisuiBeMutzar_procerur!$C$6:$AA$100,4,FALSE),0)</f>
        <v>0</v>
      </c>
      <c r="CU101">
        <f>IFERROR(VLOOKUP($B101,PirteiKisuiBeMutzar_procerur!$C$6:$AA$100,5,FALSE),0)</f>
        <v>0</v>
      </c>
      <c r="CV101">
        <f>IFERROR(VLOOKUP($B101,PirteiKisuiBeMutzar_procerur!$C$6:$AA$100,6,FALSE),0)</f>
        <v>0</v>
      </c>
      <c r="CW101">
        <f>IFERROR(VLOOKUP($B101,PirteiKisuiBeMutzar_procerur!$C$6:$AA$100,7,FALSE),0)</f>
        <v>0</v>
      </c>
      <c r="CX101">
        <f>IFERROR(VLOOKUP($B101,PirteiKisuiBeMutzar_procerur!$C$6:$AA$100,8,FALSE),0)</f>
        <v>0</v>
      </c>
      <c r="CY101">
        <f>IFERROR(VLOOKUP($B101,PirteiKisuiBeMutzar_procerur!$C$6:$AA$100,9,FALSE),0)</f>
        <v>0</v>
      </c>
      <c r="CZ101">
        <f>IFERROR(VLOOKUP($B101,PirteiKisuiBeMutzar_procerur!$C$6:$AA$100,10,FALSE),0)</f>
        <v>0</v>
      </c>
      <c r="DA101">
        <f>IFERROR(VLOOKUP($B101,PirteiKisuiBeMutzar_procerur!$C$6:$AA$100,11,FALSE),0)</f>
        <v>0</v>
      </c>
      <c r="DB101">
        <f>IFERROR(VLOOKUP($B101,PirteiKisuiBeMutzarPrmia!$C$6:$AA$100,2,FALSE),0)</f>
        <v>0</v>
      </c>
      <c r="DC101">
        <f>IFERROR(VLOOKUP($B101,PirteiKisuiBeMutzarPrmia!$C$6:$AA$100,3,FALSE),0)</f>
        <v>0</v>
      </c>
      <c r="DD101">
        <f>IFERROR(VLOOKUP($B101,PirteiKisuiBeMutzarPrmia!$C$6:$AA$100,4,FALSE),0)</f>
        <v>0</v>
      </c>
      <c r="DE101">
        <f>IFERROR(VLOOKUP($B101,PirteiKisuiBeMutzarPrmia!$C$6:$AA$100,5,FALSE),0)</f>
        <v>0</v>
      </c>
      <c r="DF101">
        <f>IFERROR(VLOOKUP($B101,PirteiKisuiBeMutzarPrmia!$C$6:$AA$100,6,FALSE),0)</f>
        <v>0</v>
      </c>
      <c r="DG101">
        <f>IFERROR(VLOOKUP($B101,PirteiKisuiBeMutzarPrmia!$C$6:$AA$100,7,FALSE),0)</f>
        <v>0</v>
      </c>
      <c r="DH101">
        <f>IFERROR(VLOOKUP($B101,PirteiKisuiBeMutzarPrmia!$C$6:$AA$100,8,FALSE),0)</f>
        <v>0</v>
      </c>
      <c r="DI101">
        <f>IFERROR(VLOOKUP($B101,PirteiKisuiBeMutzarPrmia!$C$6:$AA$100,9,FALSE),0)</f>
        <v>0</v>
      </c>
      <c r="DJ101">
        <f>IFERROR(VLOOKUP($B101,PirteiKisuiBeMutzarPrmia!$C$6:$AA$100,10,FALSE),0)</f>
        <v>0</v>
      </c>
      <c r="DK101">
        <f>IFERROR(VLOOKUP($B101,PirteiKisuiBeMutzarPrmia!$C$6:$AA$100,11,FALSE),0)</f>
        <v>0</v>
      </c>
      <c r="DL101">
        <f t="shared" si="96"/>
        <v>0</v>
      </c>
      <c r="DM101">
        <f t="shared" si="97"/>
        <v>0</v>
      </c>
      <c r="DN101">
        <f t="shared" si="98"/>
        <v>0</v>
      </c>
      <c r="DO101">
        <f t="shared" si="101"/>
        <v>0</v>
      </c>
      <c r="DP101">
        <f t="shared" si="53"/>
        <v>0</v>
      </c>
      <c r="DQ101">
        <f>IF(OR(L101=1,L101=3),IFERROR(VLOOKUP($B101,PerutHafkadotMetchilatShanaAvgM!$C$6:$G$100,3,FALSE),0),0)</f>
        <v>0</v>
      </c>
      <c r="DR101">
        <f>IF(OR(L101=2,L101=4),IFERROR(VLOOKUP($B101,PerutHafkadotMetchilatShanaAvgM!$C$6:$G$100,3,FALSE),0),0)</f>
        <v>0</v>
      </c>
      <c r="DS101">
        <f>IFERROR(VLOOKUP($B101,PerutHafkadotMetchilatShanaAvgM!$C$6:$G$100,4,FALSE),0)</f>
        <v>0</v>
      </c>
      <c r="DT101">
        <f>IFERROR(VLOOKUP($B101,Kupa!$D$6:$AA$100,5,FALSE),0)</f>
        <v>0</v>
      </c>
      <c r="DU101">
        <f>IFERROR(VLOOKUP($B101,Kupa!$D$6:$AA$100,6,FALSE),0)</f>
        <v>0</v>
      </c>
      <c r="DV101">
        <f>IFERROR(VLOOKUP($B101,KisuiBKerenPensiaDBWithParams!$D$6:$AP$100,9,FALSE),0)</f>
        <v>0</v>
      </c>
      <c r="DW101">
        <f>IFERROR(VLOOKUP($B101,KisuiBKerenPensiaDBWithParams!$D$6:$AP$100,12,FALSE),0)</f>
        <v>0</v>
      </c>
      <c r="DX101">
        <f>IFERROR(VLOOKUP($B101,KisuiBKerenPensiaDBWithParams!$D$6:$AP$100,13,FALSE),0)</f>
        <v>0</v>
      </c>
      <c r="DY101">
        <f>IFERROR(VLOOKUP($B101,KisuiBKerenPensiaDBWithParams!$D$6:$AP$100,7,FALSE),0)</f>
        <v>0</v>
      </c>
      <c r="DZ101">
        <f>IFERROR(VLOOKUP($B101,KisuiBKerenPensiaDBWithParams!$D$6:$AP$100,17,FALSE),0)</f>
        <v>0</v>
      </c>
      <c r="EA101">
        <f>IFERROR(VLOOKUP($B101,KisuiBKerenPensiaDBWithParams!$D$6:$AP$100,20,FALSE),0)</f>
        <v>0</v>
      </c>
      <c r="EB101">
        <f>IFERROR(VLOOKUP($B101,KisuiBKerenPensiaDBWithParams!$D$6:$AP$100,21,FALSE),0)</f>
        <v>0</v>
      </c>
      <c r="EC101">
        <f t="shared" si="99"/>
        <v>0</v>
      </c>
      <c r="EG101">
        <f>IF(OR(G101=MyData!$J$50,G101=MyData!$J$51,G101=MyData!$J$52),1,IF(G101=MyData!$J$49,2,0))</f>
        <v>0</v>
      </c>
    </row>
    <row r="102" spans="1:137">
      <c r="A102">
        <f t="shared" si="100"/>
        <v>0</v>
      </c>
      <c r="B102" s="20">
        <f>RicusPolice!E99</f>
        <v>0</v>
      </c>
      <c r="C102" s="20">
        <f>RicusPolice!AL99</f>
        <v>0</v>
      </c>
      <c r="D102" s="20">
        <f>RicusPolice!F99</f>
        <v>0</v>
      </c>
      <c r="E102" s="20">
        <f>RicusPolice!R99</f>
        <v>0</v>
      </c>
      <c r="F102" s="20">
        <f>RicusPolice!N99</f>
        <v>0</v>
      </c>
      <c r="G102" s="20">
        <f>IFERROR(VLOOKUP($B102,PerutYitrot!$D$6:$P$100,4,FALSE),0)</f>
        <v>0</v>
      </c>
      <c r="H102" s="20">
        <f t="shared" si="54"/>
        <v>0</v>
      </c>
      <c r="I102" s="20">
        <f>RicusPolice!L99</f>
        <v>0</v>
      </c>
      <c r="J102" s="179">
        <f>IFERROR(VLOOKUP(TRIM(K102),MyData!$J$43:$K$49,2,FALSE),0)</f>
        <v>0</v>
      </c>
      <c r="K102" s="20">
        <f>RicusPolice!M99</f>
        <v>0</v>
      </c>
      <c r="L102" s="20">
        <f>RicusPolice!AM99</f>
        <v>0</v>
      </c>
      <c r="M102" s="20" t="str">
        <f>IF(B102&gt;0,RicusPolice!Y99," ")</f>
        <v xml:space="preserve"> </v>
      </c>
      <c r="N102" s="20" t="str">
        <f t="shared" si="55"/>
        <v/>
      </c>
      <c r="O102" s="20">
        <f>RicusPolice!N99</f>
        <v>0</v>
      </c>
      <c r="P102" s="20">
        <f>IFERROR(VLOOKUP(B102,PerutMasluleiHashkaa!$D$6:$R$100,4,FALSE),0)</f>
        <v>0</v>
      </c>
      <c r="Q102" s="19"/>
      <c r="R102" s="20">
        <f>RicusPolice!P99</f>
        <v>0</v>
      </c>
      <c r="S102" s="20"/>
      <c r="T102" s="21">
        <f>'נתונים ידניים'!H102</f>
        <v>0</v>
      </c>
      <c r="U102" s="21"/>
      <c r="V102" s="20">
        <f>PerutHafrashotLePolisa!E99</f>
        <v>0</v>
      </c>
      <c r="W102" s="20">
        <f>PerutHafrashotLePolisa!F99</f>
        <v>0</v>
      </c>
      <c r="X102" s="20">
        <f>PerutHafrashotLePolisa!G99</f>
        <v>0</v>
      </c>
      <c r="Y102">
        <f t="shared" si="56"/>
        <v>0</v>
      </c>
      <c r="Z102">
        <f>IFERROR(VLOOKUP(B102,PirteiHaasaka!$D$6:$R$100,5,FALSE),0)</f>
        <v>0</v>
      </c>
      <c r="AB102">
        <f>IFERROR(VLOOKUP(B102,HafkadotMetchilatShanaAverages!$D$6:$E$100,2,FALSE),0)</f>
        <v>0</v>
      </c>
      <c r="AF102">
        <f>IFERROR(VLOOKUP(B102,CrossTabYitraLeTkufa_till_2000!$D$6:$AB$100,6,FALSE),0)+IFERROR(VLOOKUP(B102,CrossTabYitraLeTkufa_after_2000!$D$6:$AB$100,6,FALSE),0)</f>
        <v>0</v>
      </c>
      <c r="AG102">
        <f>IFERROR(VLOOKUP(B102,CrossTabYitraLeTkufa_till_2000!$D$6:$AB$100,16,FALSE),0)</f>
        <v>0</v>
      </c>
      <c r="AH102">
        <f>IFERROR(VLOOKUP(B102,CrossTabYitraLeTkufa_after_2000!$D$6:$AB$100,16,FALSE),0)</f>
        <v>0</v>
      </c>
      <c r="AI102">
        <f>IFERROR(VLOOKUP(B102,CrossTabYitraLeTkufa_till_2000!$D$6:$AB$100,17,FALSE),0)</f>
        <v>0</v>
      </c>
      <c r="AJ102">
        <f>IFERROR(VLOOKUP(B102,CrossTabYitraLeTkufa_after_2000!$D$6:$AB$100,17,FALSE),0)</f>
        <v>0</v>
      </c>
      <c r="AK102" s="5">
        <f t="shared" si="57"/>
        <v>0</v>
      </c>
      <c r="AN102">
        <f>IFERROR(VLOOKUP(B102,PirteiKisuiBeMutzar_procerur!$C$6:$AA$100,2,FALSE),0)</f>
        <v>0</v>
      </c>
      <c r="AP102">
        <f>IFERROR(VLOOKUP($B102,PirteiKisuiBeMutzar_procerur!$C$6:$AA$100,5,FALSE),0)</f>
        <v>0</v>
      </c>
      <c r="AQ102">
        <f>IFERROR(VLOOKUP($B102,PirteiKisuiBeMutzar_procerur!$C$6:$AA$100,3,FALSE),0)</f>
        <v>0</v>
      </c>
      <c r="AR102">
        <f>IFERROR(VLOOKUP($B102,PirteiKisuiBeMutzar_procerur!$C$6:$AA$100,6,FALSE),0)</f>
        <v>0</v>
      </c>
      <c r="AS102">
        <f>IFERROR(VLOOKUP($B102,PirteiKisuiBeMutzar_procerur!$C$6:$AA$100,7,FALSE),0)</f>
        <v>0</v>
      </c>
    </row>
  </sheetData>
  <mergeCells count="16">
    <mergeCell ref="B7:J7"/>
    <mergeCell ref="V7:Y7"/>
    <mergeCell ref="AF7:AJ7"/>
    <mergeCell ref="AL7:AM7"/>
    <mergeCell ref="AN7:AO7"/>
    <mergeCell ref="AB3:AC3"/>
    <mergeCell ref="BU1:BV1"/>
    <mergeCell ref="CB1:CC1"/>
    <mergeCell ref="CB3:CC3"/>
    <mergeCell ref="CL7:CP7"/>
    <mergeCell ref="AW7:AY7"/>
    <mergeCell ref="AZ7:BD7"/>
    <mergeCell ref="BK7:BO7"/>
    <mergeCell ref="BR7:BV7"/>
    <mergeCell ref="BX7:CB7"/>
    <mergeCell ref="CE7:CI7"/>
  </mergeCells>
  <dataValidations count="2">
    <dataValidation type="list" errorStyle="warning" allowBlank="1" showInputMessage="1" showErrorMessage="1" sqref="Q9:Q102">
      <formula1>$BQ$19:$BQ$22</formula1>
    </dataValidation>
    <dataValidation type="list" errorStyle="warning" allowBlank="1" showInputMessage="1" showErrorMessage="1" sqref="S9:S102">
      <formula1>$BF$4:$BP$4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 codeName="Worksheet______31"/>
  <dimension ref="D2:T104"/>
  <sheetViews>
    <sheetView rightToLeft="1" topLeftCell="C1" workbookViewId="0">
      <selection activeCell="D5" sqref="D5:T5"/>
    </sheetView>
  </sheetViews>
  <sheetFormatPr defaultRowHeight="12.75"/>
  <cols>
    <col min="15" max="15" width="13.42578125" customWidth="1"/>
    <col min="16" max="16" width="13.85546875" customWidth="1"/>
  </cols>
  <sheetData>
    <row r="2" spans="4:20" ht="15.75">
      <c r="H2" s="25" t="s">
        <v>510</v>
      </c>
    </row>
    <row r="5" spans="4:20" ht="31.5" customHeight="1">
      <c r="D5" s="3" t="s">
        <v>2</v>
      </c>
      <c r="E5" s="3"/>
      <c r="F5" s="3"/>
      <c r="G5" s="3"/>
      <c r="H5" s="3"/>
      <c r="I5" s="3" t="s">
        <v>16</v>
      </c>
      <c r="J5" s="3" t="s">
        <v>206</v>
      </c>
      <c r="K5" s="3" t="s">
        <v>207</v>
      </c>
      <c r="L5" s="3" t="s">
        <v>17</v>
      </c>
      <c r="M5" s="3" t="s">
        <v>18</v>
      </c>
      <c r="N5" s="3" t="s">
        <v>208</v>
      </c>
      <c r="O5" s="3" t="s">
        <v>209</v>
      </c>
      <c r="P5" s="3" t="s">
        <v>210</v>
      </c>
      <c r="Q5" s="3" t="s">
        <v>21</v>
      </c>
      <c r="S5" s="4" t="s">
        <v>301</v>
      </c>
      <c r="T5" s="4" t="s">
        <v>300</v>
      </c>
    </row>
    <row r="6" spans="4:20">
      <c r="S6">
        <f>K6+L6+M6+Q6</f>
        <v>0</v>
      </c>
      <c r="T6">
        <f t="shared" ref="T6:T37" si="0">J6+N6</f>
        <v>0</v>
      </c>
    </row>
    <row r="7" spans="4:20">
      <c r="S7">
        <f t="shared" ref="S7:S70" si="1">K7+L7+M7+Q7</f>
        <v>0</v>
      </c>
      <c r="T7">
        <f t="shared" si="0"/>
        <v>0</v>
      </c>
    </row>
    <row r="8" spans="4:20">
      <c r="S8">
        <f t="shared" si="1"/>
        <v>0</v>
      </c>
      <c r="T8">
        <f t="shared" si="0"/>
        <v>0</v>
      </c>
    </row>
    <row r="9" spans="4:20">
      <c r="S9">
        <f t="shared" si="1"/>
        <v>0</v>
      </c>
      <c r="T9">
        <f t="shared" si="0"/>
        <v>0</v>
      </c>
    </row>
    <row r="10" spans="4:20">
      <c r="S10">
        <f t="shared" si="1"/>
        <v>0</v>
      </c>
      <c r="T10">
        <f t="shared" si="0"/>
        <v>0</v>
      </c>
    </row>
    <row r="11" spans="4:20">
      <c r="S11">
        <f t="shared" si="1"/>
        <v>0</v>
      </c>
      <c r="T11">
        <f t="shared" si="0"/>
        <v>0</v>
      </c>
    </row>
    <row r="12" spans="4:20">
      <c r="S12">
        <f t="shared" si="1"/>
        <v>0</v>
      </c>
      <c r="T12">
        <f t="shared" si="0"/>
        <v>0</v>
      </c>
    </row>
    <row r="13" spans="4:20">
      <c r="S13">
        <f t="shared" si="1"/>
        <v>0</v>
      </c>
      <c r="T13">
        <f t="shared" si="0"/>
        <v>0</v>
      </c>
    </row>
    <row r="14" spans="4:20">
      <c r="S14">
        <f t="shared" si="1"/>
        <v>0</v>
      </c>
      <c r="T14">
        <f t="shared" si="0"/>
        <v>0</v>
      </c>
    </row>
    <row r="15" spans="4:20">
      <c r="S15">
        <f t="shared" si="1"/>
        <v>0</v>
      </c>
      <c r="T15">
        <f t="shared" si="0"/>
        <v>0</v>
      </c>
    </row>
    <row r="16" spans="4:20">
      <c r="S16">
        <f t="shared" si="1"/>
        <v>0</v>
      </c>
      <c r="T16">
        <f t="shared" si="0"/>
        <v>0</v>
      </c>
    </row>
    <row r="17" spans="19:20">
      <c r="S17">
        <f t="shared" si="1"/>
        <v>0</v>
      </c>
      <c r="T17">
        <f t="shared" si="0"/>
        <v>0</v>
      </c>
    </row>
    <row r="18" spans="19:20">
      <c r="S18">
        <f t="shared" si="1"/>
        <v>0</v>
      </c>
      <c r="T18">
        <f t="shared" si="0"/>
        <v>0</v>
      </c>
    </row>
    <row r="19" spans="19:20">
      <c r="S19">
        <f t="shared" si="1"/>
        <v>0</v>
      </c>
      <c r="T19">
        <f t="shared" si="0"/>
        <v>0</v>
      </c>
    </row>
    <row r="20" spans="19:20">
      <c r="S20">
        <f t="shared" si="1"/>
        <v>0</v>
      </c>
      <c r="T20">
        <f t="shared" si="0"/>
        <v>0</v>
      </c>
    </row>
    <row r="21" spans="19:20">
      <c r="S21">
        <f t="shared" si="1"/>
        <v>0</v>
      </c>
      <c r="T21">
        <f t="shared" si="0"/>
        <v>0</v>
      </c>
    </row>
    <row r="22" spans="19:20">
      <c r="S22">
        <f t="shared" si="1"/>
        <v>0</v>
      </c>
      <c r="T22">
        <f t="shared" si="0"/>
        <v>0</v>
      </c>
    </row>
    <row r="23" spans="19:20">
      <c r="S23">
        <f t="shared" si="1"/>
        <v>0</v>
      </c>
      <c r="T23">
        <f t="shared" si="0"/>
        <v>0</v>
      </c>
    </row>
    <row r="24" spans="19:20">
      <c r="S24">
        <f t="shared" si="1"/>
        <v>0</v>
      </c>
      <c r="T24">
        <f t="shared" si="0"/>
        <v>0</v>
      </c>
    </row>
    <row r="25" spans="19:20">
      <c r="S25">
        <f t="shared" si="1"/>
        <v>0</v>
      </c>
      <c r="T25">
        <f t="shared" si="0"/>
        <v>0</v>
      </c>
    </row>
    <row r="26" spans="19:20">
      <c r="S26">
        <f t="shared" si="1"/>
        <v>0</v>
      </c>
      <c r="T26">
        <f t="shared" si="0"/>
        <v>0</v>
      </c>
    </row>
    <row r="27" spans="19:20">
      <c r="S27">
        <f t="shared" si="1"/>
        <v>0</v>
      </c>
      <c r="T27">
        <f t="shared" si="0"/>
        <v>0</v>
      </c>
    </row>
    <row r="28" spans="19:20">
      <c r="S28">
        <f t="shared" si="1"/>
        <v>0</v>
      </c>
      <c r="T28">
        <f t="shared" si="0"/>
        <v>0</v>
      </c>
    </row>
    <row r="29" spans="19:20">
      <c r="S29">
        <f t="shared" si="1"/>
        <v>0</v>
      </c>
      <c r="T29">
        <f t="shared" si="0"/>
        <v>0</v>
      </c>
    </row>
    <row r="30" spans="19:20">
      <c r="S30">
        <f t="shared" si="1"/>
        <v>0</v>
      </c>
      <c r="T30">
        <f t="shared" si="0"/>
        <v>0</v>
      </c>
    </row>
    <row r="31" spans="19:20">
      <c r="S31">
        <f t="shared" si="1"/>
        <v>0</v>
      </c>
      <c r="T31">
        <f t="shared" si="0"/>
        <v>0</v>
      </c>
    </row>
    <row r="32" spans="19:20">
      <c r="S32">
        <f t="shared" si="1"/>
        <v>0</v>
      </c>
      <c r="T32">
        <f t="shared" si="0"/>
        <v>0</v>
      </c>
    </row>
    <row r="33" spans="19:20">
      <c r="S33">
        <f t="shared" si="1"/>
        <v>0</v>
      </c>
      <c r="T33">
        <f t="shared" si="0"/>
        <v>0</v>
      </c>
    </row>
    <row r="34" spans="19:20">
      <c r="S34">
        <f t="shared" si="1"/>
        <v>0</v>
      </c>
      <c r="T34">
        <f t="shared" si="0"/>
        <v>0</v>
      </c>
    </row>
    <row r="35" spans="19:20">
      <c r="S35">
        <f t="shared" si="1"/>
        <v>0</v>
      </c>
      <c r="T35">
        <f t="shared" si="0"/>
        <v>0</v>
      </c>
    </row>
    <row r="36" spans="19:20">
      <c r="S36">
        <f t="shared" si="1"/>
        <v>0</v>
      </c>
      <c r="T36">
        <f t="shared" si="0"/>
        <v>0</v>
      </c>
    </row>
    <row r="37" spans="19:20">
      <c r="S37">
        <f t="shared" si="1"/>
        <v>0</v>
      </c>
      <c r="T37">
        <f t="shared" si="0"/>
        <v>0</v>
      </c>
    </row>
    <row r="38" spans="19:20">
      <c r="S38">
        <f t="shared" si="1"/>
        <v>0</v>
      </c>
      <c r="T38">
        <f t="shared" ref="T38:T69" si="2">J38+N38</f>
        <v>0</v>
      </c>
    </row>
    <row r="39" spans="19:20">
      <c r="S39">
        <f t="shared" si="1"/>
        <v>0</v>
      </c>
      <c r="T39">
        <f t="shared" si="2"/>
        <v>0</v>
      </c>
    </row>
    <row r="40" spans="19:20">
      <c r="S40">
        <f t="shared" si="1"/>
        <v>0</v>
      </c>
      <c r="T40">
        <f t="shared" si="2"/>
        <v>0</v>
      </c>
    </row>
    <row r="41" spans="19:20">
      <c r="S41">
        <f t="shared" si="1"/>
        <v>0</v>
      </c>
      <c r="T41">
        <f t="shared" si="2"/>
        <v>0</v>
      </c>
    </row>
    <row r="42" spans="19:20">
      <c r="S42">
        <f t="shared" si="1"/>
        <v>0</v>
      </c>
      <c r="T42">
        <f t="shared" si="2"/>
        <v>0</v>
      </c>
    </row>
    <row r="43" spans="19:20">
      <c r="S43">
        <f t="shared" si="1"/>
        <v>0</v>
      </c>
      <c r="T43">
        <f t="shared" si="2"/>
        <v>0</v>
      </c>
    </row>
    <row r="44" spans="19:20">
      <c r="S44">
        <f t="shared" si="1"/>
        <v>0</v>
      </c>
      <c r="T44">
        <f t="shared" si="2"/>
        <v>0</v>
      </c>
    </row>
    <row r="45" spans="19:20">
      <c r="S45">
        <f t="shared" si="1"/>
        <v>0</v>
      </c>
      <c r="T45">
        <f t="shared" si="2"/>
        <v>0</v>
      </c>
    </row>
    <row r="46" spans="19:20">
      <c r="S46">
        <f t="shared" si="1"/>
        <v>0</v>
      </c>
      <c r="T46">
        <f t="shared" si="2"/>
        <v>0</v>
      </c>
    </row>
    <row r="47" spans="19:20">
      <c r="S47">
        <f t="shared" si="1"/>
        <v>0</v>
      </c>
      <c r="T47">
        <f t="shared" si="2"/>
        <v>0</v>
      </c>
    </row>
    <row r="48" spans="19:20">
      <c r="S48">
        <f t="shared" si="1"/>
        <v>0</v>
      </c>
      <c r="T48">
        <f t="shared" si="2"/>
        <v>0</v>
      </c>
    </row>
    <row r="49" spans="19:20">
      <c r="S49">
        <f t="shared" si="1"/>
        <v>0</v>
      </c>
      <c r="T49">
        <f t="shared" si="2"/>
        <v>0</v>
      </c>
    </row>
    <row r="50" spans="19:20">
      <c r="S50">
        <f t="shared" si="1"/>
        <v>0</v>
      </c>
      <c r="T50">
        <f t="shared" si="2"/>
        <v>0</v>
      </c>
    </row>
    <row r="51" spans="19:20">
      <c r="S51">
        <f t="shared" si="1"/>
        <v>0</v>
      </c>
      <c r="T51">
        <f t="shared" si="2"/>
        <v>0</v>
      </c>
    </row>
    <row r="52" spans="19:20">
      <c r="S52">
        <f t="shared" si="1"/>
        <v>0</v>
      </c>
      <c r="T52">
        <f t="shared" si="2"/>
        <v>0</v>
      </c>
    </row>
    <row r="53" spans="19:20">
      <c r="S53">
        <f t="shared" si="1"/>
        <v>0</v>
      </c>
      <c r="T53">
        <f t="shared" si="2"/>
        <v>0</v>
      </c>
    </row>
    <row r="54" spans="19:20">
      <c r="S54">
        <f t="shared" si="1"/>
        <v>0</v>
      </c>
      <c r="T54">
        <f t="shared" si="2"/>
        <v>0</v>
      </c>
    </row>
    <row r="55" spans="19:20">
      <c r="S55">
        <f t="shared" si="1"/>
        <v>0</v>
      </c>
      <c r="T55">
        <f t="shared" si="2"/>
        <v>0</v>
      </c>
    </row>
    <row r="56" spans="19:20">
      <c r="S56">
        <f t="shared" si="1"/>
        <v>0</v>
      </c>
      <c r="T56">
        <f t="shared" si="2"/>
        <v>0</v>
      </c>
    </row>
    <row r="57" spans="19:20">
      <c r="S57">
        <f t="shared" si="1"/>
        <v>0</v>
      </c>
      <c r="T57">
        <f t="shared" si="2"/>
        <v>0</v>
      </c>
    </row>
    <row r="58" spans="19:20">
      <c r="S58">
        <f t="shared" si="1"/>
        <v>0</v>
      </c>
      <c r="T58">
        <f t="shared" si="2"/>
        <v>0</v>
      </c>
    </row>
    <row r="59" spans="19:20">
      <c r="S59">
        <f t="shared" si="1"/>
        <v>0</v>
      </c>
      <c r="T59">
        <f t="shared" si="2"/>
        <v>0</v>
      </c>
    </row>
    <row r="60" spans="19:20">
      <c r="S60">
        <f t="shared" si="1"/>
        <v>0</v>
      </c>
      <c r="T60">
        <f t="shared" si="2"/>
        <v>0</v>
      </c>
    </row>
    <row r="61" spans="19:20">
      <c r="S61">
        <f t="shared" si="1"/>
        <v>0</v>
      </c>
      <c r="T61">
        <f t="shared" si="2"/>
        <v>0</v>
      </c>
    </row>
    <row r="62" spans="19:20">
      <c r="S62">
        <f t="shared" si="1"/>
        <v>0</v>
      </c>
      <c r="T62">
        <f t="shared" si="2"/>
        <v>0</v>
      </c>
    </row>
    <row r="63" spans="19:20">
      <c r="S63">
        <f t="shared" si="1"/>
        <v>0</v>
      </c>
      <c r="T63">
        <f t="shared" si="2"/>
        <v>0</v>
      </c>
    </row>
    <row r="64" spans="19:20">
      <c r="S64">
        <f t="shared" si="1"/>
        <v>0</v>
      </c>
      <c r="T64">
        <f t="shared" si="2"/>
        <v>0</v>
      </c>
    </row>
    <row r="65" spans="19:20">
      <c r="S65">
        <f t="shared" si="1"/>
        <v>0</v>
      </c>
      <c r="T65">
        <f t="shared" si="2"/>
        <v>0</v>
      </c>
    </row>
    <row r="66" spans="19:20">
      <c r="S66">
        <f t="shared" si="1"/>
        <v>0</v>
      </c>
      <c r="T66">
        <f t="shared" si="2"/>
        <v>0</v>
      </c>
    </row>
    <row r="67" spans="19:20">
      <c r="S67">
        <f t="shared" si="1"/>
        <v>0</v>
      </c>
      <c r="T67">
        <f t="shared" si="2"/>
        <v>0</v>
      </c>
    </row>
    <row r="68" spans="19:20">
      <c r="S68">
        <f t="shared" si="1"/>
        <v>0</v>
      </c>
      <c r="T68">
        <f t="shared" si="2"/>
        <v>0</v>
      </c>
    </row>
    <row r="69" spans="19:20">
      <c r="S69">
        <f t="shared" si="1"/>
        <v>0</v>
      </c>
      <c r="T69">
        <f t="shared" si="2"/>
        <v>0</v>
      </c>
    </row>
    <row r="70" spans="19:20">
      <c r="S70">
        <f t="shared" si="1"/>
        <v>0</v>
      </c>
      <c r="T70">
        <f t="shared" ref="T70:T104" si="3">J70+N70</f>
        <v>0</v>
      </c>
    </row>
    <row r="71" spans="19:20">
      <c r="S71">
        <f t="shared" ref="S71:S104" si="4">K71+L71+M71+Q71</f>
        <v>0</v>
      </c>
      <c r="T71">
        <f t="shared" si="3"/>
        <v>0</v>
      </c>
    </row>
    <row r="72" spans="19:20">
      <c r="S72">
        <f t="shared" si="4"/>
        <v>0</v>
      </c>
      <c r="T72">
        <f t="shared" si="3"/>
        <v>0</v>
      </c>
    </row>
    <row r="73" spans="19:20">
      <c r="S73">
        <f t="shared" si="4"/>
        <v>0</v>
      </c>
      <c r="T73">
        <f t="shared" si="3"/>
        <v>0</v>
      </c>
    </row>
    <row r="74" spans="19:20">
      <c r="S74">
        <f t="shared" si="4"/>
        <v>0</v>
      </c>
      <c r="T74">
        <f t="shared" si="3"/>
        <v>0</v>
      </c>
    </row>
    <row r="75" spans="19:20">
      <c r="S75">
        <f t="shared" si="4"/>
        <v>0</v>
      </c>
      <c r="T75">
        <f t="shared" si="3"/>
        <v>0</v>
      </c>
    </row>
    <row r="76" spans="19:20">
      <c r="S76">
        <f t="shared" si="4"/>
        <v>0</v>
      </c>
      <c r="T76">
        <f t="shared" si="3"/>
        <v>0</v>
      </c>
    </row>
    <row r="77" spans="19:20">
      <c r="S77">
        <f t="shared" si="4"/>
        <v>0</v>
      </c>
      <c r="T77">
        <f t="shared" si="3"/>
        <v>0</v>
      </c>
    </row>
    <row r="78" spans="19:20">
      <c r="S78">
        <f t="shared" si="4"/>
        <v>0</v>
      </c>
      <c r="T78">
        <f t="shared" si="3"/>
        <v>0</v>
      </c>
    </row>
    <row r="79" spans="19:20">
      <c r="S79">
        <f t="shared" si="4"/>
        <v>0</v>
      </c>
      <c r="T79">
        <f t="shared" si="3"/>
        <v>0</v>
      </c>
    </row>
    <row r="80" spans="19:20">
      <c r="S80">
        <f t="shared" si="4"/>
        <v>0</v>
      </c>
      <c r="T80">
        <f t="shared" si="3"/>
        <v>0</v>
      </c>
    </row>
    <row r="81" spans="19:20">
      <c r="S81">
        <f t="shared" si="4"/>
        <v>0</v>
      </c>
      <c r="T81">
        <f t="shared" si="3"/>
        <v>0</v>
      </c>
    </row>
    <row r="82" spans="19:20">
      <c r="S82">
        <f t="shared" si="4"/>
        <v>0</v>
      </c>
      <c r="T82">
        <f t="shared" si="3"/>
        <v>0</v>
      </c>
    </row>
    <row r="83" spans="19:20">
      <c r="S83">
        <f t="shared" si="4"/>
        <v>0</v>
      </c>
      <c r="T83">
        <f t="shared" si="3"/>
        <v>0</v>
      </c>
    </row>
    <row r="84" spans="19:20">
      <c r="S84">
        <f t="shared" si="4"/>
        <v>0</v>
      </c>
      <c r="T84">
        <f t="shared" si="3"/>
        <v>0</v>
      </c>
    </row>
    <row r="85" spans="19:20">
      <c r="S85">
        <f t="shared" si="4"/>
        <v>0</v>
      </c>
      <c r="T85">
        <f t="shared" si="3"/>
        <v>0</v>
      </c>
    </row>
    <row r="86" spans="19:20">
      <c r="S86">
        <f t="shared" si="4"/>
        <v>0</v>
      </c>
      <c r="T86">
        <f t="shared" si="3"/>
        <v>0</v>
      </c>
    </row>
    <row r="87" spans="19:20">
      <c r="S87">
        <f t="shared" si="4"/>
        <v>0</v>
      </c>
      <c r="T87">
        <f t="shared" si="3"/>
        <v>0</v>
      </c>
    </row>
    <row r="88" spans="19:20">
      <c r="S88">
        <f t="shared" si="4"/>
        <v>0</v>
      </c>
      <c r="T88">
        <f t="shared" si="3"/>
        <v>0</v>
      </c>
    </row>
    <row r="89" spans="19:20">
      <c r="S89">
        <f t="shared" si="4"/>
        <v>0</v>
      </c>
      <c r="T89">
        <f t="shared" si="3"/>
        <v>0</v>
      </c>
    </row>
    <row r="90" spans="19:20">
      <c r="S90">
        <f t="shared" si="4"/>
        <v>0</v>
      </c>
      <c r="T90">
        <f t="shared" si="3"/>
        <v>0</v>
      </c>
    </row>
    <row r="91" spans="19:20">
      <c r="S91">
        <f t="shared" si="4"/>
        <v>0</v>
      </c>
      <c r="T91">
        <f t="shared" si="3"/>
        <v>0</v>
      </c>
    </row>
    <row r="92" spans="19:20">
      <c r="S92">
        <f t="shared" si="4"/>
        <v>0</v>
      </c>
      <c r="T92">
        <f t="shared" si="3"/>
        <v>0</v>
      </c>
    </row>
    <row r="93" spans="19:20">
      <c r="S93">
        <f t="shared" si="4"/>
        <v>0</v>
      </c>
      <c r="T93">
        <f t="shared" si="3"/>
        <v>0</v>
      </c>
    </row>
    <row r="94" spans="19:20">
      <c r="S94">
        <f t="shared" si="4"/>
        <v>0</v>
      </c>
      <c r="T94">
        <f t="shared" si="3"/>
        <v>0</v>
      </c>
    </row>
    <row r="95" spans="19:20">
      <c r="S95">
        <f t="shared" si="4"/>
        <v>0</v>
      </c>
      <c r="T95">
        <f t="shared" si="3"/>
        <v>0</v>
      </c>
    </row>
    <row r="96" spans="19:20">
      <c r="S96">
        <f t="shared" si="4"/>
        <v>0</v>
      </c>
      <c r="T96">
        <f t="shared" si="3"/>
        <v>0</v>
      </c>
    </row>
    <row r="97" spans="19:20">
      <c r="S97">
        <f t="shared" si="4"/>
        <v>0</v>
      </c>
      <c r="T97">
        <f t="shared" si="3"/>
        <v>0</v>
      </c>
    </row>
    <row r="98" spans="19:20">
      <c r="S98">
        <f t="shared" si="4"/>
        <v>0</v>
      </c>
      <c r="T98">
        <f t="shared" si="3"/>
        <v>0</v>
      </c>
    </row>
    <row r="99" spans="19:20">
      <c r="S99">
        <f t="shared" si="4"/>
        <v>0</v>
      </c>
      <c r="T99">
        <f t="shared" si="3"/>
        <v>0</v>
      </c>
    </row>
    <row r="100" spans="19:20">
      <c r="S100">
        <f t="shared" si="4"/>
        <v>0</v>
      </c>
      <c r="T100">
        <f t="shared" si="3"/>
        <v>0</v>
      </c>
    </row>
    <row r="101" spans="19:20">
      <c r="S101">
        <f t="shared" si="4"/>
        <v>0</v>
      </c>
      <c r="T101">
        <f t="shared" si="3"/>
        <v>0</v>
      </c>
    </row>
    <row r="102" spans="19:20">
      <c r="S102">
        <f t="shared" si="4"/>
        <v>0</v>
      </c>
      <c r="T102">
        <f t="shared" si="3"/>
        <v>0</v>
      </c>
    </row>
    <row r="103" spans="19:20">
      <c r="S103">
        <f t="shared" si="4"/>
        <v>0</v>
      </c>
      <c r="T103">
        <f t="shared" si="3"/>
        <v>0</v>
      </c>
    </row>
    <row r="104" spans="19:20">
      <c r="S104">
        <f t="shared" si="4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Worksheet______110"/>
  <dimension ref="D5:T58"/>
  <sheetViews>
    <sheetView rightToLeft="1" workbookViewId="0">
      <selection activeCell="S6" sqref="S6:T6"/>
    </sheetView>
  </sheetViews>
  <sheetFormatPr defaultRowHeight="12.75"/>
  <sheetData>
    <row r="5" spans="4:20" ht="47.25">
      <c r="D5" s="3" t="s">
        <v>2</v>
      </c>
      <c r="E5" s="3"/>
      <c r="F5" s="3"/>
      <c r="G5" s="3"/>
      <c r="H5" s="3"/>
      <c r="I5" s="3" t="s">
        <v>16</v>
      </c>
      <c r="J5" s="3" t="s">
        <v>206</v>
      </c>
      <c r="K5" s="3" t="s">
        <v>207</v>
      </c>
      <c r="L5" s="3" t="s">
        <v>17</v>
      </c>
      <c r="M5" s="3" t="s">
        <v>18</v>
      </c>
      <c r="N5" s="3" t="s">
        <v>208</v>
      </c>
      <c r="O5" s="3" t="s">
        <v>209</v>
      </c>
      <c r="P5" s="3" t="s">
        <v>210</v>
      </c>
      <c r="Q5" s="3" t="s">
        <v>21</v>
      </c>
      <c r="S5" s="4" t="s">
        <v>301</v>
      </c>
      <c r="T5" s="4" t="s">
        <v>300</v>
      </c>
    </row>
    <row r="6" spans="4:20">
      <c r="S6">
        <f>K6+L6+M6+Q6</f>
        <v>0</v>
      </c>
      <c r="T6">
        <f>J6+N6</f>
        <v>0</v>
      </c>
    </row>
    <row r="7" spans="4:20">
      <c r="S7">
        <f t="shared" ref="S7:S58" si="0">K7+L7+M7+Q7</f>
        <v>0</v>
      </c>
      <c r="T7">
        <f t="shared" ref="T7:T58" si="1">J7+N7</f>
        <v>0</v>
      </c>
    </row>
    <row r="8" spans="4:20">
      <c r="S8">
        <f t="shared" si="0"/>
        <v>0</v>
      </c>
      <c r="T8">
        <f t="shared" si="1"/>
        <v>0</v>
      </c>
    </row>
    <row r="9" spans="4:20">
      <c r="S9">
        <f t="shared" si="0"/>
        <v>0</v>
      </c>
      <c r="T9">
        <f t="shared" si="1"/>
        <v>0</v>
      </c>
    </row>
    <row r="10" spans="4:20">
      <c r="S10">
        <f t="shared" si="0"/>
        <v>0</v>
      </c>
      <c r="T10">
        <f t="shared" si="1"/>
        <v>0</v>
      </c>
    </row>
    <row r="11" spans="4:20">
      <c r="S11">
        <f t="shared" si="0"/>
        <v>0</v>
      </c>
      <c r="T11">
        <f t="shared" si="1"/>
        <v>0</v>
      </c>
    </row>
    <row r="12" spans="4:20">
      <c r="S12">
        <f t="shared" si="0"/>
        <v>0</v>
      </c>
      <c r="T12">
        <f t="shared" si="1"/>
        <v>0</v>
      </c>
    </row>
    <row r="13" spans="4:20">
      <c r="S13">
        <f t="shared" si="0"/>
        <v>0</v>
      </c>
      <c r="T13">
        <f t="shared" si="1"/>
        <v>0</v>
      </c>
    </row>
    <row r="14" spans="4:20">
      <c r="S14">
        <f t="shared" si="0"/>
        <v>0</v>
      </c>
      <c r="T14">
        <f t="shared" si="1"/>
        <v>0</v>
      </c>
    </row>
    <row r="15" spans="4:20">
      <c r="S15">
        <f t="shared" si="0"/>
        <v>0</v>
      </c>
      <c r="T15">
        <f t="shared" si="1"/>
        <v>0</v>
      </c>
    </row>
    <row r="16" spans="4:20">
      <c r="S16">
        <f t="shared" si="0"/>
        <v>0</v>
      </c>
      <c r="T16">
        <f t="shared" si="1"/>
        <v>0</v>
      </c>
    </row>
    <row r="17" spans="19:20">
      <c r="S17">
        <f t="shared" si="0"/>
        <v>0</v>
      </c>
      <c r="T17">
        <f t="shared" si="1"/>
        <v>0</v>
      </c>
    </row>
    <row r="18" spans="19:20">
      <c r="S18">
        <f t="shared" si="0"/>
        <v>0</v>
      </c>
      <c r="T18">
        <f t="shared" si="1"/>
        <v>0</v>
      </c>
    </row>
    <row r="19" spans="19:20">
      <c r="S19">
        <f t="shared" si="0"/>
        <v>0</v>
      </c>
      <c r="T19">
        <f t="shared" si="1"/>
        <v>0</v>
      </c>
    </row>
    <row r="20" spans="19:20">
      <c r="S20">
        <f t="shared" si="0"/>
        <v>0</v>
      </c>
      <c r="T20">
        <f t="shared" si="1"/>
        <v>0</v>
      </c>
    </row>
    <row r="21" spans="19:20">
      <c r="S21">
        <f t="shared" si="0"/>
        <v>0</v>
      </c>
      <c r="T21">
        <f t="shared" si="1"/>
        <v>0</v>
      </c>
    </row>
    <row r="22" spans="19:20">
      <c r="S22">
        <f t="shared" si="0"/>
        <v>0</v>
      </c>
      <c r="T22">
        <f t="shared" si="1"/>
        <v>0</v>
      </c>
    </row>
    <row r="23" spans="19:20">
      <c r="S23">
        <f t="shared" si="0"/>
        <v>0</v>
      </c>
      <c r="T23">
        <f t="shared" si="1"/>
        <v>0</v>
      </c>
    </row>
    <row r="24" spans="19:20">
      <c r="S24">
        <f t="shared" si="0"/>
        <v>0</v>
      </c>
      <c r="T24">
        <f t="shared" si="1"/>
        <v>0</v>
      </c>
    </row>
    <row r="25" spans="19:20">
      <c r="S25">
        <f t="shared" si="0"/>
        <v>0</v>
      </c>
      <c r="T25">
        <f t="shared" si="1"/>
        <v>0</v>
      </c>
    </row>
    <row r="26" spans="19:20">
      <c r="S26">
        <f t="shared" si="0"/>
        <v>0</v>
      </c>
      <c r="T26">
        <f t="shared" si="1"/>
        <v>0</v>
      </c>
    </row>
    <row r="27" spans="19:20">
      <c r="S27">
        <f t="shared" si="0"/>
        <v>0</v>
      </c>
      <c r="T27">
        <f t="shared" si="1"/>
        <v>0</v>
      </c>
    </row>
    <row r="28" spans="19:20">
      <c r="S28">
        <f t="shared" si="0"/>
        <v>0</v>
      </c>
      <c r="T28">
        <f t="shared" si="1"/>
        <v>0</v>
      </c>
    </row>
    <row r="29" spans="19:20">
      <c r="S29">
        <f t="shared" si="0"/>
        <v>0</v>
      </c>
      <c r="T29">
        <f t="shared" si="1"/>
        <v>0</v>
      </c>
    </row>
    <row r="30" spans="19:20">
      <c r="S30">
        <f t="shared" si="0"/>
        <v>0</v>
      </c>
      <c r="T30">
        <f t="shared" si="1"/>
        <v>0</v>
      </c>
    </row>
    <row r="31" spans="19:20">
      <c r="S31">
        <f t="shared" si="0"/>
        <v>0</v>
      </c>
      <c r="T31">
        <f t="shared" si="1"/>
        <v>0</v>
      </c>
    </row>
    <row r="32" spans="19:20">
      <c r="S32">
        <f t="shared" si="0"/>
        <v>0</v>
      </c>
      <c r="T32">
        <f t="shared" si="1"/>
        <v>0</v>
      </c>
    </row>
    <row r="33" spans="19:20">
      <c r="S33">
        <f t="shared" si="0"/>
        <v>0</v>
      </c>
      <c r="T33">
        <f t="shared" si="1"/>
        <v>0</v>
      </c>
    </row>
    <row r="34" spans="19:20">
      <c r="S34">
        <f t="shared" si="0"/>
        <v>0</v>
      </c>
      <c r="T34">
        <f t="shared" si="1"/>
        <v>0</v>
      </c>
    </row>
    <row r="35" spans="19:20">
      <c r="S35">
        <f t="shared" si="0"/>
        <v>0</v>
      </c>
      <c r="T35">
        <f t="shared" si="1"/>
        <v>0</v>
      </c>
    </row>
    <row r="36" spans="19:20">
      <c r="S36">
        <f t="shared" si="0"/>
        <v>0</v>
      </c>
      <c r="T36">
        <f t="shared" si="1"/>
        <v>0</v>
      </c>
    </row>
    <row r="37" spans="19:20">
      <c r="S37">
        <f t="shared" si="0"/>
        <v>0</v>
      </c>
      <c r="T37">
        <f t="shared" si="1"/>
        <v>0</v>
      </c>
    </row>
    <row r="38" spans="19:20">
      <c r="S38">
        <f t="shared" si="0"/>
        <v>0</v>
      </c>
      <c r="T38">
        <f t="shared" si="1"/>
        <v>0</v>
      </c>
    </row>
    <row r="39" spans="19:20">
      <c r="S39">
        <f t="shared" si="0"/>
        <v>0</v>
      </c>
      <c r="T39">
        <f t="shared" si="1"/>
        <v>0</v>
      </c>
    </row>
    <row r="40" spans="19:20">
      <c r="S40">
        <f t="shared" si="0"/>
        <v>0</v>
      </c>
      <c r="T40">
        <f t="shared" si="1"/>
        <v>0</v>
      </c>
    </row>
    <row r="41" spans="19:20">
      <c r="S41">
        <f t="shared" si="0"/>
        <v>0</v>
      </c>
      <c r="T41">
        <f t="shared" si="1"/>
        <v>0</v>
      </c>
    </row>
    <row r="42" spans="19:20">
      <c r="S42">
        <f t="shared" si="0"/>
        <v>0</v>
      </c>
      <c r="T42">
        <f t="shared" si="1"/>
        <v>0</v>
      </c>
    </row>
    <row r="43" spans="19:20">
      <c r="S43">
        <f t="shared" si="0"/>
        <v>0</v>
      </c>
      <c r="T43">
        <f t="shared" si="1"/>
        <v>0</v>
      </c>
    </row>
    <row r="44" spans="19:20">
      <c r="S44">
        <f t="shared" si="0"/>
        <v>0</v>
      </c>
      <c r="T44">
        <f t="shared" si="1"/>
        <v>0</v>
      </c>
    </row>
    <row r="45" spans="19:20">
      <c r="S45">
        <f t="shared" si="0"/>
        <v>0</v>
      </c>
      <c r="T45">
        <f t="shared" si="1"/>
        <v>0</v>
      </c>
    </row>
    <row r="46" spans="19:20">
      <c r="S46">
        <f t="shared" si="0"/>
        <v>0</v>
      </c>
      <c r="T46">
        <f t="shared" si="1"/>
        <v>0</v>
      </c>
    </row>
    <row r="47" spans="19:20">
      <c r="S47">
        <f t="shared" si="0"/>
        <v>0</v>
      </c>
      <c r="T47">
        <f t="shared" si="1"/>
        <v>0</v>
      </c>
    </row>
    <row r="48" spans="19:20">
      <c r="S48">
        <f t="shared" si="0"/>
        <v>0</v>
      </c>
      <c r="T48">
        <f t="shared" si="1"/>
        <v>0</v>
      </c>
    </row>
    <row r="49" spans="19:20">
      <c r="S49">
        <f t="shared" si="0"/>
        <v>0</v>
      </c>
      <c r="T49">
        <f t="shared" si="1"/>
        <v>0</v>
      </c>
    </row>
    <row r="50" spans="19:20">
      <c r="S50">
        <f t="shared" si="0"/>
        <v>0</v>
      </c>
      <c r="T50">
        <f t="shared" si="1"/>
        <v>0</v>
      </c>
    </row>
    <row r="51" spans="19:20">
      <c r="S51">
        <f t="shared" si="0"/>
        <v>0</v>
      </c>
      <c r="T51">
        <f t="shared" si="1"/>
        <v>0</v>
      </c>
    </row>
    <row r="52" spans="19:20">
      <c r="S52">
        <f t="shared" si="0"/>
        <v>0</v>
      </c>
      <c r="T52">
        <f t="shared" si="1"/>
        <v>0</v>
      </c>
    </row>
    <row r="53" spans="19:20">
      <c r="S53">
        <f t="shared" si="0"/>
        <v>0</v>
      </c>
      <c r="T53">
        <f t="shared" si="1"/>
        <v>0</v>
      </c>
    </row>
    <row r="54" spans="19:20">
      <c r="S54">
        <f t="shared" si="0"/>
        <v>0</v>
      </c>
      <c r="T54">
        <f t="shared" si="1"/>
        <v>0</v>
      </c>
    </row>
    <row r="55" spans="19:20">
      <c r="S55">
        <f t="shared" si="0"/>
        <v>0</v>
      </c>
      <c r="T55">
        <f t="shared" si="1"/>
        <v>0</v>
      </c>
    </row>
    <row r="56" spans="19:20">
      <c r="S56">
        <f t="shared" si="0"/>
        <v>0</v>
      </c>
      <c r="T56">
        <f t="shared" si="1"/>
        <v>0</v>
      </c>
    </row>
    <row r="57" spans="19:20">
      <c r="S57">
        <f t="shared" si="0"/>
        <v>0</v>
      </c>
      <c r="T57">
        <f t="shared" si="1"/>
        <v>0</v>
      </c>
    </row>
    <row r="58" spans="19:20">
      <c r="S58">
        <f t="shared" si="0"/>
        <v>0</v>
      </c>
      <c r="T58">
        <f t="shared" si="1"/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Worksheet______26"/>
  <dimension ref="D5:T66"/>
  <sheetViews>
    <sheetView rightToLeft="1" workbookViewId="0">
      <selection activeCell="N60" sqref="N60"/>
    </sheetView>
  </sheetViews>
  <sheetFormatPr defaultRowHeight="12.75"/>
  <sheetData>
    <row r="5" spans="4:20" ht="47.25">
      <c r="D5" s="3" t="s">
        <v>2</v>
      </c>
      <c r="E5" s="3"/>
      <c r="F5" s="3"/>
      <c r="G5" s="3"/>
      <c r="H5" s="3"/>
      <c r="I5" s="3" t="s">
        <v>16</v>
      </c>
      <c r="J5" s="3" t="s">
        <v>206</v>
      </c>
      <c r="K5" s="3" t="s">
        <v>207</v>
      </c>
      <c r="L5" s="3" t="s">
        <v>17</v>
      </c>
      <c r="M5" s="3" t="s">
        <v>18</v>
      </c>
      <c r="N5" s="3" t="s">
        <v>208</v>
      </c>
      <c r="O5" s="3" t="s">
        <v>209</v>
      </c>
      <c r="P5" s="3" t="s">
        <v>210</v>
      </c>
      <c r="Q5" s="3" t="s">
        <v>21</v>
      </c>
      <c r="S5" s="4" t="s">
        <v>301</v>
      </c>
      <c r="T5" s="4" t="s">
        <v>300</v>
      </c>
    </row>
    <row r="6" spans="4:20">
      <c r="S6">
        <f>K6+L6+M6+Q6</f>
        <v>0</v>
      </c>
      <c r="T6">
        <f>J6+N6</f>
        <v>0</v>
      </c>
    </row>
    <row r="7" spans="4:20">
      <c r="S7">
        <f t="shared" ref="S7:S66" si="0">K7+L7+M7+Q7</f>
        <v>0</v>
      </c>
      <c r="T7">
        <f t="shared" ref="T7:T66" si="1">J7+N7</f>
        <v>0</v>
      </c>
    </row>
    <row r="8" spans="4:20">
      <c r="S8">
        <f t="shared" si="0"/>
        <v>0</v>
      </c>
      <c r="T8">
        <f t="shared" si="1"/>
        <v>0</v>
      </c>
    </row>
    <row r="9" spans="4:20">
      <c r="S9">
        <f t="shared" si="0"/>
        <v>0</v>
      </c>
      <c r="T9">
        <f t="shared" si="1"/>
        <v>0</v>
      </c>
    </row>
    <row r="10" spans="4:20">
      <c r="S10">
        <f t="shared" si="0"/>
        <v>0</v>
      </c>
      <c r="T10">
        <f t="shared" si="1"/>
        <v>0</v>
      </c>
    </row>
    <row r="11" spans="4:20">
      <c r="S11">
        <f t="shared" si="0"/>
        <v>0</v>
      </c>
      <c r="T11">
        <f t="shared" si="1"/>
        <v>0</v>
      </c>
    </row>
    <row r="12" spans="4:20">
      <c r="S12">
        <f t="shared" si="0"/>
        <v>0</v>
      </c>
      <c r="T12">
        <f t="shared" si="1"/>
        <v>0</v>
      </c>
    </row>
    <row r="13" spans="4:20">
      <c r="S13">
        <f t="shared" si="0"/>
        <v>0</v>
      </c>
      <c r="T13">
        <f t="shared" si="1"/>
        <v>0</v>
      </c>
    </row>
    <row r="14" spans="4:20">
      <c r="S14">
        <f t="shared" si="0"/>
        <v>0</v>
      </c>
      <c r="T14">
        <f t="shared" si="1"/>
        <v>0</v>
      </c>
    </row>
    <row r="15" spans="4:20">
      <c r="S15">
        <f t="shared" si="0"/>
        <v>0</v>
      </c>
      <c r="T15">
        <f t="shared" si="1"/>
        <v>0</v>
      </c>
    </row>
    <row r="16" spans="4:20">
      <c r="S16">
        <f t="shared" si="0"/>
        <v>0</v>
      </c>
      <c r="T16">
        <f t="shared" si="1"/>
        <v>0</v>
      </c>
    </row>
    <row r="17" spans="19:20">
      <c r="S17">
        <f t="shared" si="0"/>
        <v>0</v>
      </c>
      <c r="T17">
        <f t="shared" si="1"/>
        <v>0</v>
      </c>
    </row>
    <row r="18" spans="19:20">
      <c r="S18">
        <f t="shared" si="0"/>
        <v>0</v>
      </c>
      <c r="T18">
        <f t="shared" si="1"/>
        <v>0</v>
      </c>
    </row>
    <row r="19" spans="19:20">
      <c r="S19">
        <f t="shared" si="0"/>
        <v>0</v>
      </c>
      <c r="T19">
        <f t="shared" si="1"/>
        <v>0</v>
      </c>
    </row>
    <row r="20" spans="19:20">
      <c r="S20">
        <f t="shared" si="0"/>
        <v>0</v>
      </c>
      <c r="T20">
        <f t="shared" si="1"/>
        <v>0</v>
      </c>
    </row>
    <row r="21" spans="19:20">
      <c r="S21">
        <f t="shared" si="0"/>
        <v>0</v>
      </c>
      <c r="T21">
        <f t="shared" si="1"/>
        <v>0</v>
      </c>
    </row>
    <row r="22" spans="19:20">
      <c r="S22">
        <f t="shared" si="0"/>
        <v>0</v>
      </c>
      <c r="T22">
        <f t="shared" si="1"/>
        <v>0</v>
      </c>
    </row>
    <row r="23" spans="19:20">
      <c r="S23">
        <f t="shared" si="0"/>
        <v>0</v>
      </c>
      <c r="T23">
        <f t="shared" si="1"/>
        <v>0</v>
      </c>
    </row>
    <row r="24" spans="19:20">
      <c r="S24">
        <f t="shared" si="0"/>
        <v>0</v>
      </c>
      <c r="T24">
        <f t="shared" si="1"/>
        <v>0</v>
      </c>
    </row>
    <row r="25" spans="19:20">
      <c r="S25">
        <f t="shared" si="0"/>
        <v>0</v>
      </c>
      <c r="T25">
        <f t="shared" si="1"/>
        <v>0</v>
      </c>
    </row>
    <row r="26" spans="19:20">
      <c r="S26">
        <f t="shared" si="0"/>
        <v>0</v>
      </c>
      <c r="T26">
        <f t="shared" si="1"/>
        <v>0</v>
      </c>
    </row>
    <row r="27" spans="19:20">
      <c r="S27">
        <f t="shared" si="0"/>
        <v>0</v>
      </c>
      <c r="T27">
        <f t="shared" si="1"/>
        <v>0</v>
      </c>
    </row>
    <row r="28" spans="19:20">
      <c r="S28">
        <f t="shared" si="0"/>
        <v>0</v>
      </c>
      <c r="T28">
        <f t="shared" si="1"/>
        <v>0</v>
      </c>
    </row>
    <row r="29" spans="19:20">
      <c r="S29">
        <f t="shared" si="0"/>
        <v>0</v>
      </c>
      <c r="T29">
        <f t="shared" si="1"/>
        <v>0</v>
      </c>
    </row>
    <row r="30" spans="19:20">
      <c r="S30">
        <f t="shared" si="0"/>
        <v>0</v>
      </c>
      <c r="T30">
        <f t="shared" si="1"/>
        <v>0</v>
      </c>
    </row>
    <row r="31" spans="19:20">
      <c r="S31">
        <f t="shared" si="0"/>
        <v>0</v>
      </c>
      <c r="T31">
        <f t="shared" si="1"/>
        <v>0</v>
      </c>
    </row>
    <row r="32" spans="19:20">
      <c r="S32">
        <f t="shared" si="0"/>
        <v>0</v>
      </c>
      <c r="T32">
        <f t="shared" si="1"/>
        <v>0</v>
      </c>
    </row>
    <row r="33" spans="19:20">
      <c r="S33">
        <f t="shared" si="0"/>
        <v>0</v>
      </c>
      <c r="T33">
        <f t="shared" si="1"/>
        <v>0</v>
      </c>
    </row>
    <row r="34" spans="19:20">
      <c r="S34">
        <f t="shared" si="0"/>
        <v>0</v>
      </c>
      <c r="T34">
        <f t="shared" si="1"/>
        <v>0</v>
      </c>
    </row>
    <row r="35" spans="19:20">
      <c r="S35">
        <f t="shared" si="0"/>
        <v>0</v>
      </c>
      <c r="T35">
        <f t="shared" si="1"/>
        <v>0</v>
      </c>
    </row>
    <row r="36" spans="19:20">
      <c r="S36">
        <f t="shared" si="0"/>
        <v>0</v>
      </c>
      <c r="T36">
        <f t="shared" si="1"/>
        <v>0</v>
      </c>
    </row>
    <row r="37" spans="19:20">
      <c r="S37">
        <f t="shared" si="0"/>
        <v>0</v>
      </c>
      <c r="T37">
        <f t="shared" si="1"/>
        <v>0</v>
      </c>
    </row>
    <row r="38" spans="19:20">
      <c r="S38">
        <f t="shared" si="0"/>
        <v>0</v>
      </c>
      <c r="T38">
        <f t="shared" si="1"/>
        <v>0</v>
      </c>
    </row>
    <row r="39" spans="19:20">
      <c r="S39">
        <f t="shared" si="0"/>
        <v>0</v>
      </c>
      <c r="T39">
        <f t="shared" si="1"/>
        <v>0</v>
      </c>
    </row>
    <row r="40" spans="19:20">
      <c r="S40">
        <f t="shared" si="0"/>
        <v>0</v>
      </c>
      <c r="T40">
        <f t="shared" si="1"/>
        <v>0</v>
      </c>
    </row>
    <row r="41" spans="19:20">
      <c r="S41">
        <f t="shared" si="0"/>
        <v>0</v>
      </c>
      <c r="T41">
        <f t="shared" si="1"/>
        <v>0</v>
      </c>
    </row>
    <row r="42" spans="19:20">
      <c r="S42">
        <f t="shared" si="0"/>
        <v>0</v>
      </c>
      <c r="T42">
        <f t="shared" si="1"/>
        <v>0</v>
      </c>
    </row>
    <row r="43" spans="19:20">
      <c r="S43">
        <f t="shared" si="0"/>
        <v>0</v>
      </c>
      <c r="T43">
        <f t="shared" si="1"/>
        <v>0</v>
      </c>
    </row>
    <row r="44" spans="19:20">
      <c r="S44">
        <f t="shared" si="0"/>
        <v>0</v>
      </c>
      <c r="T44">
        <f t="shared" si="1"/>
        <v>0</v>
      </c>
    </row>
    <row r="45" spans="19:20">
      <c r="S45">
        <f t="shared" si="0"/>
        <v>0</v>
      </c>
      <c r="T45">
        <f t="shared" si="1"/>
        <v>0</v>
      </c>
    </row>
    <row r="46" spans="19:20">
      <c r="S46">
        <f t="shared" si="0"/>
        <v>0</v>
      </c>
      <c r="T46">
        <f t="shared" si="1"/>
        <v>0</v>
      </c>
    </row>
    <row r="47" spans="19:20">
      <c r="S47">
        <f t="shared" si="0"/>
        <v>0</v>
      </c>
      <c r="T47">
        <f t="shared" si="1"/>
        <v>0</v>
      </c>
    </row>
    <row r="48" spans="19:20">
      <c r="S48">
        <f t="shared" si="0"/>
        <v>0</v>
      </c>
      <c r="T48">
        <f t="shared" si="1"/>
        <v>0</v>
      </c>
    </row>
    <row r="49" spans="19:20">
      <c r="S49">
        <f t="shared" si="0"/>
        <v>0</v>
      </c>
      <c r="T49">
        <f t="shared" si="1"/>
        <v>0</v>
      </c>
    </row>
    <row r="50" spans="19:20">
      <c r="S50">
        <f t="shared" si="0"/>
        <v>0</v>
      </c>
      <c r="T50">
        <f t="shared" si="1"/>
        <v>0</v>
      </c>
    </row>
    <row r="51" spans="19:20">
      <c r="S51">
        <f t="shared" si="0"/>
        <v>0</v>
      </c>
      <c r="T51">
        <f t="shared" si="1"/>
        <v>0</v>
      </c>
    </row>
    <row r="52" spans="19:20">
      <c r="S52">
        <f t="shared" si="0"/>
        <v>0</v>
      </c>
      <c r="T52">
        <f t="shared" si="1"/>
        <v>0</v>
      </c>
    </row>
    <row r="53" spans="19:20">
      <c r="S53">
        <f t="shared" si="0"/>
        <v>0</v>
      </c>
      <c r="T53">
        <f t="shared" si="1"/>
        <v>0</v>
      </c>
    </row>
    <row r="54" spans="19:20">
      <c r="S54">
        <f t="shared" si="0"/>
        <v>0</v>
      </c>
      <c r="T54">
        <f t="shared" si="1"/>
        <v>0</v>
      </c>
    </row>
    <row r="55" spans="19:20">
      <c r="S55">
        <f t="shared" si="0"/>
        <v>0</v>
      </c>
      <c r="T55">
        <f t="shared" si="1"/>
        <v>0</v>
      </c>
    </row>
    <row r="56" spans="19:20">
      <c r="S56">
        <f t="shared" si="0"/>
        <v>0</v>
      </c>
      <c r="T56">
        <f t="shared" si="1"/>
        <v>0</v>
      </c>
    </row>
    <row r="57" spans="19:20">
      <c r="S57">
        <f t="shared" si="0"/>
        <v>0</v>
      </c>
      <c r="T57">
        <f t="shared" si="1"/>
        <v>0</v>
      </c>
    </row>
    <row r="58" spans="19:20">
      <c r="S58">
        <f t="shared" si="0"/>
        <v>0</v>
      </c>
      <c r="T58">
        <f t="shared" si="1"/>
        <v>0</v>
      </c>
    </row>
    <row r="59" spans="19:20">
      <c r="S59">
        <f t="shared" si="0"/>
        <v>0</v>
      </c>
      <c r="T59">
        <f t="shared" si="1"/>
        <v>0</v>
      </c>
    </row>
    <row r="60" spans="19:20">
      <c r="S60">
        <f t="shared" si="0"/>
        <v>0</v>
      </c>
      <c r="T60">
        <f t="shared" si="1"/>
        <v>0</v>
      </c>
    </row>
    <row r="61" spans="19:20">
      <c r="S61">
        <f t="shared" si="0"/>
        <v>0</v>
      </c>
      <c r="T61">
        <f t="shared" si="1"/>
        <v>0</v>
      </c>
    </row>
    <row r="62" spans="19:20">
      <c r="S62">
        <f t="shared" si="0"/>
        <v>0</v>
      </c>
      <c r="T62">
        <f t="shared" si="1"/>
        <v>0</v>
      </c>
    </row>
    <row r="63" spans="19:20">
      <c r="S63">
        <f t="shared" si="0"/>
        <v>0</v>
      </c>
      <c r="T63">
        <f t="shared" si="1"/>
        <v>0</v>
      </c>
    </row>
    <row r="64" spans="19:20">
      <c r="S64">
        <f t="shared" si="0"/>
        <v>0</v>
      </c>
      <c r="T64">
        <f t="shared" si="1"/>
        <v>0</v>
      </c>
    </row>
    <row r="65" spans="19:20">
      <c r="S65">
        <f t="shared" si="0"/>
        <v>0</v>
      </c>
      <c r="T65">
        <f t="shared" si="1"/>
        <v>0</v>
      </c>
    </row>
    <row r="66" spans="19:20">
      <c r="S66">
        <f t="shared" si="0"/>
        <v>0</v>
      </c>
      <c r="T66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sheetPr codeName="Worksheet______3"/>
  <dimension ref="C2:R5"/>
  <sheetViews>
    <sheetView rightToLeft="1" topLeftCell="C133" workbookViewId="0">
      <selection activeCell="J9" sqref="J9"/>
    </sheetView>
  </sheetViews>
  <sheetFormatPr defaultRowHeight="12.75"/>
  <cols>
    <col min="3" max="3" width="11.7109375" customWidth="1"/>
    <col min="4" max="4" width="11.28515625" customWidth="1"/>
    <col min="5" max="5" width="17.5703125" customWidth="1"/>
    <col min="6" max="6" width="13.140625" customWidth="1"/>
    <col min="7" max="7" width="24.7109375" customWidth="1"/>
    <col min="8" max="8" width="16" customWidth="1"/>
    <col min="9" max="9" width="12.7109375" customWidth="1"/>
    <col min="10" max="10" width="10.28515625" customWidth="1"/>
    <col min="14" max="14" width="10.140625" customWidth="1"/>
    <col min="15" max="16" width="11.42578125" customWidth="1"/>
  </cols>
  <sheetData>
    <row r="2" spans="3:18" ht="23.25">
      <c r="H2" s="10" t="s">
        <v>182</v>
      </c>
    </row>
    <row r="5" spans="3:18" ht="47.25">
      <c r="C5" s="11" t="s">
        <v>1</v>
      </c>
      <c r="D5" s="11" t="s">
        <v>2</v>
      </c>
      <c r="E5" s="11" t="s">
        <v>13</v>
      </c>
      <c r="F5" s="11" t="s">
        <v>83</v>
      </c>
      <c r="G5" s="11" t="s">
        <v>14</v>
      </c>
      <c r="H5" s="11" t="s">
        <v>200</v>
      </c>
      <c r="I5" s="11" t="s">
        <v>201</v>
      </c>
      <c r="J5" s="11" t="s">
        <v>202</v>
      </c>
      <c r="K5" s="11" t="s">
        <v>203</v>
      </c>
      <c r="L5" s="11" t="s">
        <v>204</v>
      </c>
      <c r="M5" s="11" t="s">
        <v>205</v>
      </c>
      <c r="N5" s="11" t="s">
        <v>140</v>
      </c>
      <c r="O5" s="11" t="s">
        <v>1</v>
      </c>
      <c r="P5" s="11" t="s">
        <v>15</v>
      </c>
      <c r="Q5" s="11" t="s">
        <v>83</v>
      </c>
      <c r="R5" s="11" t="s">
        <v>83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Worksheet______41"/>
  <dimension ref="D5:Q104"/>
  <sheetViews>
    <sheetView rightToLeft="1" workbookViewId="0">
      <selection activeCell="I6" sqref="I6:Q104"/>
    </sheetView>
  </sheetViews>
  <sheetFormatPr defaultRowHeight="12.75"/>
  <cols>
    <col min="15" max="15" width="14" customWidth="1"/>
    <col min="16" max="16" width="15.28515625" customWidth="1"/>
  </cols>
  <sheetData>
    <row r="5" spans="4:17" ht="31.5">
      <c r="D5" s="3" t="s">
        <v>2</v>
      </c>
      <c r="E5" s="3"/>
      <c r="F5" s="3"/>
      <c r="G5" s="3"/>
      <c r="H5" s="3"/>
      <c r="I5" s="3" t="s">
        <v>16</v>
      </c>
      <c r="J5" s="3" t="s">
        <v>206</v>
      </c>
      <c r="K5" s="3" t="s">
        <v>207</v>
      </c>
      <c r="L5" s="3" t="s">
        <v>17</v>
      </c>
      <c r="M5" s="3" t="s">
        <v>18</v>
      </c>
      <c r="N5" s="3" t="s">
        <v>208</v>
      </c>
      <c r="O5" s="3" t="s">
        <v>209</v>
      </c>
      <c r="P5" s="3" t="s">
        <v>210</v>
      </c>
      <c r="Q5" s="3" t="s">
        <v>21</v>
      </c>
    </row>
    <row r="6" spans="4:17"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4:17"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4:17"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4:17"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4:17"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4:17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4:17"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4:17"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4:17"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4:17"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4:17"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9:17"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9:17"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9:17"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9:17"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9:17"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9:17"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9:17"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9:17"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9:17"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9:17"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9:17"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9:17"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9:17"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9:17"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9:17"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9:17"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9:17"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9:17"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9:17"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9:17"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9:17"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9:17"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9:17"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9:17"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9:17"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9:17"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9:17"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9:17"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9:17"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9:17"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9:17"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9:17"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9:17"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9:17"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9:17"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9:17"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9:17"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9:17"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9:17"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9:17"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9:17"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9:17"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9:17"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9:17"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9:17"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9:17"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9:17"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9:17"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9:17"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9:17"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9:17"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9:17"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9:17"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9:17"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9:17"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9:17"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9:17"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9:17"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9:17"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9:17"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9:17"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9:17"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9:17"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9:17"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9:17"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9:17"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9:17"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9:17"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9:17"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9:17"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9:17"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9:17"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9:17"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9:17"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9:17"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9:17"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9:17"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9:17"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9:17"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9:17"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9:17"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9:17"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9:17"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9:17"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9:17"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9:17"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9:17"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9:17"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sheetPr codeName="Worksheet______32"/>
  <dimension ref="C6:E9"/>
  <sheetViews>
    <sheetView rightToLeft="1" workbookViewId="0">
      <selection activeCell="C17" sqref="C17"/>
    </sheetView>
  </sheetViews>
  <sheetFormatPr defaultRowHeight="12.75"/>
  <cols>
    <col min="3" max="3" width="18" bestFit="1" customWidth="1"/>
    <col min="4" max="4" width="13.5703125" bestFit="1" customWidth="1"/>
    <col min="5" max="5" width="8.42578125" customWidth="1"/>
  </cols>
  <sheetData>
    <row r="6" spans="3:5">
      <c r="C6" s="28" t="s">
        <v>1015</v>
      </c>
      <c r="D6" s="28" t="s">
        <v>307</v>
      </c>
    </row>
    <row r="7" spans="3:5">
      <c r="C7" s="28" t="s">
        <v>304</v>
      </c>
      <c r="D7" t="s">
        <v>305</v>
      </c>
      <c r="E7" t="s">
        <v>306</v>
      </c>
    </row>
    <row r="8" spans="3:5">
      <c r="C8" s="29" t="s">
        <v>305</v>
      </c>
      <c r="D8" s="27"/>
      <c r="E8" s="27"/>
    </row>
    <row r="9" spans="3:5">
      <c r="C9" s="29" t="s">
        <v>306</v>
      </c>
      <c r="D9" s="27"/>
      <c r="E9" s="2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sheetPr codeName="Worksheet______51"/>
  <dimension ref="C2:S5"/>
  <sheetViews>
    <sheetView rightToLeft="1" workbookViewId="0">
      <selection activeCell="P5" sqref="P5"/>
    </sheetView>
  </sheetViews>
  <sheetFormatPr defaultRowHeight="12.75"/>
  <cols>
    <col min="4" max="4" width="11.42578125" customWidth="1"/>
    <col min="5" max="5" width="10.7109375" customWidth="1"/>
    <col min="8" max="8" width="11.140625" customWidth="1"/>
    <col min="9" max="9" width="9.7109375" customWidth="1"/>
    <col min="10" max="10" width="10.140625" customWidth="1"/>
    <col min="11" max="11" width="10.85546875" customWidth="1"/>
    <col min="12" max="12" width="10.140625" customWidth="1"/>
    <col min="13" max="13" width="11" customWidth="1"/>
    <col min="14" max="14" width="10" customWidth="1"/>
    <col min="15" max="15" width="13.5703125" customWidth="1"/>
  </cols>
  <sheetData>
    <row r="2" spans="3:19" ht="23.25">
      <c r="K2" s="10" t="s">
        <v>183</v>
      </c>
    </row>
    <row r="4" spans="3:19" ht="13.5" thickBot="1"/>
    <row r="5" spans="3:19" ht="75.75" thickBot="1">
      <c r="C5" s="8" t="s">
        <v>0</v>
      </c>
      <c r="D5" s="8" t="s">
        <v>162</v>
      </c>
      <c r="E5" s="8" t="s">
        <v>37</v>
      </c>
      <c r="F5" s="8" t="s">
        <v>83</v>
      </c>
      <c r="G5" s="8" t="s">
        <v>1009</v>
      </c>
      <c r="H5" s="9" t="s">
        <v>1010</v>
      </c>
      <c r="I5" s="9" t="s">
        <v>164</v>
      </c>
      <c r="J5" s="8" t="s">
        <v>165</v>
      </c>
      <c r="K5" s="8" t="s">
        <v>167</v>
      </c>
      <c r="L5" s="8" t="s">
        <v>166</v>
      </c>
      <c r="M5" s="9" t="s">
        <v>168</v>
      </c>
      <c r="N5" s="9" t="s">
        <v>169</v>
      </c>
      <c r="O5" s="8" t="s">
        <v>170</v>
      </c>
      <c r="P5" s="8" t="s">
        <v>1</v>
      </c>
      <c r="Q5" s="8" t="s">
        <v>3</v>
      </c>
      <c r="R5" s="8"/>
      <c r="S5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sheetPr codeName="Worksheet______61"/>
  <dimension ref="C2:J5"/>
  <sheetViews>
    <sheetView rightToLeft="1" workbookViewId="0">
      <selection activeCell="J5" sqref="J5"/>
    </sheetView>
  </sheetViews>
  <sheetFormatPr defaultRowHeight="12.75"/>
  <cols>
    <col min="4" max="4" width="10.7109375" customWidth="1"/>
    <col min="5" max="5" width="11.85546875" customWidth="1"/>
    <col min="7" max="7" width="11" customWidth="1"/>
    <col min="8" max="8" width="12.140625" customWidth="1"/>
    <col min="9" max="9" width="11.5703125" customWidth="1"/>
    <col min="10" max="10" width="14.140625" customWidth="1"/>
  </cols>
  <sheetData>
    <row r="2" spans="3:10" ht="23.25">
      <c r="F2" s="10" t="s">
        <v>184</v>
      </c>
    </row>
    <row r="4" spans="3:10" ht="13.5" thickBot="1"/>
    <row r="5" spans="3:10" ht="55.5" customHeight="1" thickBot="1">
      <c r="C5" s="8" t="s">
        <v>0</v>
      </c>
      <c r="D5" s="8" t="s">
        <v>162</v>
      </c>
      <c r="E5" s="8" t="s">
        <v>37</v>
      </c>
      <c r="F5" s="8" t="s">
        <v>83</v>
      </c>
      <c r="G5" s="8" t="s">
        <v>163</v>
      </c>
      <c r="H5" s="8" t="s">
        <v>171</v>
      </c>
      <c r="I5" s="8" t="s">
        <v>172</v>
      </c>
      <c r="J5" s="8" t="s">
        <v>173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sheetPr codeName="Worksheet______2"/>
  <dimension ref="C2:N5"/>
  <sheetViews>
    <sheetView rightToLeft="1" workbookViewId="0">
      <selection activeCell="H2" sqref="H2"/>
    </sheetView>
  </sheetViews>
  <sheetFormatPr defaultRowHeight="12.75"/>
  <cols>
    <col min="3" max="3" width="13.42578125" customWidth="1"/>
    <col min="4" max="4" width="13.140625" customWidth="1"/>
    <col min="5" max="5" width="13.28515625" customWidth="1"/>
    <col min="6" max="6" width="12.7109375" customWidth="1"/>
    <col min="7" max="7" width="12.5703125" customWidth="1"/>
    <col min="9" max="9" width="13.28515625" customWidth="1"/>
    <col min="10" max="10" width="11.42578125" customWidth="1"/>
    <col min="11" max="11" width="12" customWidth="1"/>
    <col min="12" max="12" width="13.140625" customWidth="1"/>
    <col min="13" max="13" width="12.140625" customWidth="1"/>
    <col min="14" max="14" width="12.7109375" customWidth="1"/>
  </cols>
  <sheetData>
    <row r="2" spans="3:14" ht="23.25">
      <c r="H2" s="10" t="s">
        <v>185</v>
      </c>
    </row>
    <row r="5" spans="3:14" ht="31.5">
      <c r="C5" s="3" t="s">
        <v>1</v>
      </c>
      <c r="D5" s="3" t="s">
        <v>2</v>
      </c>
      <c r="E5" s="3" t="s">
        <v>16</v>
      </c>
      <c r="F5" s="3" t="s">
        <v>22</v>
      </c>
      <c r="G5" s="3" t="s">
        <v>23</v>
      </c>
      <c r="H5" s="3" t="s">
        <v>17</v>
      </c>
      <c r="I5" s="3" t="s">
        <v>34</v>
      </c>
      <c r="J5" s="3" t="s">
        <v>18</v>
      </c>
      <c r="K5" s="3" t="s">
        <v>35</v>
      </c>
      <c r="L5" s="3" t="s">
        <v>20</v>
      </c>
      <c r="M5" s="3" t="s">
        <v>19</v>
      </c>
      <c r="N5" s="3" t="s">
        <v>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sheetPr codeName="Worksheet______28"/>
  <dimension ref="C5:F5"/>
  <sheetViews>
    <sheetView rightToLeft="1" workbookViewId="0">
      <selection activeCell="G16" sqref="G16"/>
    </sheetView>
  </sheetViews>
  <sheetFormatPr defaultRowHeight="12.75"/>
  <cols>
    <col min="3" max="3" width="12.85546875" customWidth="1"/>
    <col min="4" max="4" width="12.140625" customWidth="1"/>
    <col min="5" max="5" width="13" customWidth="1"/>
    <col min="6" max="6" width="12.85546875" customWidth="1"/>
  </cols>
  <sheetData>
    <row r="5" spans="3:6" ht="31.5">
      <c r="C5" s="4" t="s">
        <v>2</v>
      </c>
      <c r="D5" s="4" t="s">
        <v>1106</v>
      </c>
      <c r="E5" s="4" t="s">
        <v>1107</v>
      </c>
      <c r="F5" s="4" t="s">
        <v>1108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Worksheet______16"/>
  <dimension ref="A1:Q51"/>
  <sheetViews>
    <sheetView rightToLeft="1" topLeftCell="C1" workbookViewId="0">
      <selection activeCell="Q6" sqref="N6:Q49"/>
    </sheetView>
  </sheetViews>
  <sheetFormatPr defaultRowHeight="12.75"/>
  <cols>
    <col min="1" max="1" width="6.7109375" customWidth="1"/>
    <col min="2" max="5" width="12.7109375" customWidth="1"/>
    <col min="6" max="8" width="14.7109375" customWidth="1"/>
    <col min="9" max="9" width="14" customWidth="1"/>
    <col min="10" max="10" width="12.28515625" customWidth="1"/>
    <col min="11" max="11" width="13.28515625" customWidth="1"/>
    <col min="12" max="12" width="10.7109375" customWidth="1"/>
    <col min="13" max="13" width="11.7109375" customWidth="1"/>
    <col min="14" max="14" width="11.28515625" customWidth="1"/>
  </cols>
  <sheetData>
    <row r="1" spans="1:17" ht="35.25">
      <c r="A1" s="145"/>
      <c r="B1" s="146" t="s">
        <v>491</v>
      </c>
      <c r="C1" s="146"/>
      <c r="D1" s="1025" t="str">
        <f>ClientList!E6 &amp;" " &amp;ClientList!F6</f>
        <v xml:space="preserve"> </v>
      </c>
      <c r="E1" s="1025"/>
      <c r="F1" s="1025"/>
      <c r="G1" s="1025"/>
      <c r="H1" s="1025"/>
      <c r="I1" s="1025"/>
      <c r="J1" s="1025"/>
      <c r="K1" s="147"/>
      <c r="L1" s="147"/>
      <c r="M1" s="147"/>
      <c r="N1" s="147"/>
      <c r="O1" s="147"/>
      <c r="P1" s="147"/>
      <c r="Q1" s="148" t="s">
        <v>492</v>
      </c>
    </row>
    <row r="2" spans="1:17" ht="18.75">
      <c r="A2" s="149"/>
      <c r="B2" s="150" t="s">
        <v>493</v>
      </c>
      <c r="C2" s="150"/>
      <c r="D2" s="151"/>
      <c r="E2" s="150"/>
      <c r="F2" s="151"/>
      <c r="G2" s="151"/>
      <c r="H2" s="151"/>
      <c r="I2" s="151"/>
      <c r="J2" s="151"/>
      <c r="K2" s="151"/>
      <c r="L2" s="152"/>
      <c r="M2" s="149"/>
      <c r="N2" s="151" t="s">
        <v>494</v>
      </c>
      <c r="O2" s="153"/>
      <c r="P2" s="153"/>
      <c r="Q2" s="153"/>
    </row>
    <row r="3" spans="1:17" ht="18.75">
      <c r="A3" s="149"/>
      <c r="B3" s="154" t="s">
        <v>495</v>
      </c>
      <c r="C3" s="154"/>
      <c r="D3" s="153"/>
      <c r="E3" s="154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7" ht="13.5" thickBot="1">
      <c r="A4" s="155"/>
      <c r="B4" s="155"/>
      <c r="C4" s="155"/>
      <c r="D4" s="156"/>
      <c r="E4" s="157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7" ht="57" thickBot="1">
      <c r="A5" s="158" t="s">
        <v>496</v>
      </c>
      <c r="B5" s="158" t="s">
        <v>497</v>
      </c>
      <c r="C5" s="158" t="s">
        <v>516</v>
      </c>
      <c r="D5" s="158" t="s">
        <v>231</v>
      </c>
      <c r="E5" s="159" t="s">
        <v>498</v>
      </c>
      <c r="F5" s="158" t="s">
        <v>1081</v>
      </c>
      <c r="G5" s="158" t="s">
        <v>1082</v>
      </c>
      <c r="H5" s="158" t="s">
        <v>1024</v>
      </c>
      <c r="I5" s="158" t="s">
        <v>500</v>
      </c>
      <c r="J5" s="160" t="s">
        <v>501</v>
      </c>
      <c r="K5" s="161" t="s">
        <v>27</v>
      </c>
      <c r="L5" s="161" t="s">
        <v>16</v>
      </c>
      <c r="M5" s="162" t="s">
        <v>252</v>
      </c>
      <c r="N5" s="163" t="s">
        <v>253</v>
      </c>
      <c r="O5" s="163" t="s">
        <v>502</v>
      </c>
      <c r="P5" s="163" t="s">
        <v>503</v>
      </c>
      <c r="Q5" s="163" t="s">
        <v>504</v>
      </c>
    </row>
    <row r="6" spans="1:17" ht="39.950000000000003" customHeight="1">
      <c r="A6" s="164" t="str">
        <f>IF(main!A9&gt;0,main!A9,"")</f>
        <v/>
      </c>
      <c r="B6" s="165" t="str">
        <f>IF(main!B9&gt;0,main!B9,"")</f>
        <v/>
      </c>
      <c r="C6" s="165" t="str">
        <f>IF(main!C9&gt;0,main!C9,"")</f>
        <v/>
      </c>
      <c r="D6" s="165" t="str">
        <f>IF(main!D9&gt;0,main!D9,"")</f>
        <v/>
      </c>
      <c r="E6" s="165" t="str">
        <f>IF(main!E9&gt;0,main!E9,"")</f>
        <v/>
      </c>
      <c r="F6" s="165" t="str">
        <f>main!N9</f>
        <v/>
      </c>
      <c r="G6" s="165" t="str">
        <f>IF(main!K9&gt;0,main!K9,"")</f>
        <v/>
      </c>
      <c r="H6" s="165" t="str">
        <f>IF(main!O9&gt;0,main!O9,"")</f>
        <v/>
      </c>
      <c r="I6" s="989" t="str">
        <f>IF(main!R9&gt;0,main!R9,"")</f>
        <v/>
      </c>
      <c r="J6" s="164">
        <f>IF(main!CQ9+main!CR9&gt;0,main!CQ9+main!CR9,0)</f>
        <v>0</v>
      </c>
      <c r="K6" s="164">
        <f>main!DO9</f>
        <v>0</v>
      </c>
      <c r="L6" s="1004">
        <f>main!AF9</f>
        <v>0</v>
      </c>
      <c r="M6" s="164">
        <f>main!DP9</f>
        <v>0</v>
      </c>
      <c r="N6" s="164">
        <f>IF(main!CU9&gt;0,main!CU9,0)</f>
        <v>0</v>
      </c>
      <c r="O6" s="164">
        <f>IF(main!EC9&gt;0,main!EC9,0)</f>
        <v>0</v>
      </c>
      <c r="P6" s="164">
        <f>IF(main!CW9&gt;0,main!CW9,0)</f>
        <v>0</v>
      </c>
      <c r="Q6" s="164">
        <f>IF(main!DN9&gt;0,main!DN9,0)</f>
        <v>0</v>
      </c>
    </row>
    <row r="7" spans="1:17" ht="39.950000000000003" customHeight="1">
      <c r="A7" s="164" t="str">
        <f>IF(main!A10&gt;0,main!A10,"")</f>
        <v/>
      </c>
      <c r="B7" s="165" t="str">
        <f>IF(main!B10&gt;0,main!B10,"")</f>
        <v/>
      </c>
      <c r="C7" s="165" t="str">
        <f>IF(main!C10&gt;0,main!C10,"")</f>
        <v/>
      </c>
      <c r="D7" s="165" t="str">
        <f>IF(main!D10&gt;0,main!D10,"")</f>
        <v/>
      </c>
      <c r="E7" s="165" t="str">
        <f>IF(main!E10&gt;0,main!E10,"")</f>
        <v/>
      </c>
      <c r="F7" s="165" t="str">
        <f>main!N10</f>
        <v/>
      </c>
      <c r="G7" s="165" t="str">
        <f>IF(main!K10&gt;0,main!K10,"")</f>
        <v/>
      </c>
      <c r="H7" s="165" t="str">
        <f>IF(main!O10&gt;0,main!O10,"")</f>
        <v/>
      </c>
      <c r="I7" s="989" t="str">
        <f>IF(main!R10&gt;0,main!R10,"")</f>
        <v/>
      </c>
      <c r="J7" s="164">
        <f>IF(main!CQ10+main!CR10&gt;0,main!CQ10+main!CR10,0)</f>
        <v>0</v>
      </c>
      <c r="K7" s="164">
        <f>main!DO10</f>
        <v>0</v>
      </c>
      <c r="L7" s="1004">
        <f>main!AF10</f>
        <v>0</v>
      </c>
      <c r="M7" s="164">
        <f>main!DP10</f>
        <v>0</v>
      </c>
      <c r="N7" s="164">
        <f>IF(main!CU10&gt;0,main!CU10,0)</f>
        <v>0</v>
      </c>
      <c r="O7" s="164">
        <f>IF(main!EC10&gt;0,main!EC10,0)</f>
        <v>0</v>
      </c>
      <c r="P7" s="164">
        <f>IF(main!CW10&gt;0,main!CW10,0)</f>
        <v>0</v>
      </c>
      <c r="Q7" s="164">
        <f>IF(main!DN10&gt;0,main!DN10,0)</f>
        <v>0</v>
      </c>
    </row>
    <row r="8" spans="1:17" ht="39.950000000000003" customHeight="1">
      <c r="A8" s="164" t="str">
        <f>IF(main!A11&gt;0,main!A11,"")</f>
        <v/>
      </c>
      <c r="B8" s="165" t="str">
        <f>IF(main!B11&gt;0,main!B11,"")</f>
        <v/>
      </c>
      <c r="C8" s="165" t="str">
        <f>IF(main!C11&gt;0,main!C11,"")</f>
        <v/>
      </c>
      <c r="D8" s="165" t="str">
        <f>IF(main!D11&gt;0,main!D11,"")</f>
        <v/>
      </c>
      <c r="E8" s="165" t="str">
        <f>IF(main!E11&gt;0,main!E11,"")</f>
        <v/>
      </c>
      <c r="F8" s="165" t="str">
        <f>main!N11</f>
        <v/>
      </c>
      <c r="G8" s="165" t="str">
        <f>IF(main!K11&gt;0,main!K11,"")</f>
        <v/>
      </c>
      <c r="H8" s="165" t="str">
        <f>IF(main!O11&gt;0,main!O11,"")</f>
        <v/>
      </c>
      <c r="I8" s="989" t="str">
        <f>IF(main!R11&gt;0,main!R11,"")</f>
        <v/>
      </c>
      <c r="J8" s="164">
        <f>IF(main!CQ11+main!CR11&gt;0,main!CQ11+main!CR11,0)</f>
        <v>0</v>
      </c>
      <c r="K8" s="164">
        <f>main!DO11</f>
        <v>0</v>
      </c>
      <c r="L8" s="1004">
        <f>main!AF11</f>
        <v>0</v>
      </c>
      <c r="M8" s="164">
        <f>main!DP11</f>
        <v>0</v>
      </c>
      <c r="N8" s="164">
        <f>IF(main!CU11&gt;0,main!CU11,0)</f>
        <v>0</v>
      </c>
      <c r="O8" s="164">
        <f>IF(main!EC11&gt;0,main!EC11,0)</f>
        <v>0</v>
      </c>
      <c r="P8" s="164">
        <f>IF(main!CW11&gt;0,main!CW11,0)</f>
        <v>0</v>
      </c>
      <c r="Q8" s="164">
        <f>IF(main!DN11&gt;0,main!DN11,0)</f>
        <v>0</v>
      </c>
    </row>
    <row r="9" spans="1:17" ht="39.950000000000003" customHeight="1">
      <c r="A9" s="164" t="str">
        <f>IF(main!A12&gt;0,main!A12,"")</f>
        <v/>
      </c>
      <c r="B9" s="165" t="str">
        <f>IF(main!B12&gt;0,main!B12,"")</f>
        <v/>
      </c>
      <c r="C9" s="165" t="str">
        <f>IF(main!C12&gt;0,main!C12,"")</f>
        <v/>
      </c>
      <c r="D9" s="165" t="str">
        <f>IF(main!D12&gt;0,main!D12,"")</f>
        <v/>
      </c>
      <c r="E9" s="165" t="str">
        <f>IF(main!E12&gt;0,main!E12,"")</f>
        <v/>
      </c>
      <c r="F9" s="165" t="str">
        <f>main!N12</f>
        <v/>
      </c>
      <c r="G9" s="165" t="str">
        <f>IF(main!K12&gt;0,main!K12,"")</f>
        <v/>
      </c>
      <c r="H9" s="165" t="str">
        <f>IF(main!O12&gt;0,main!O12,"")</f>
        <v/>
      </c>
      <c r="I9" s="989" t="str">
        <f>IF(main!R12&gt;0,main!R12,"")</f>
        <v/>
      </c>
      <c r="J9" s="164">
        <f>IF(main!CQ12+main!CR12&gt;0,main!CQ12+main!CR12,0)</f>
        <v>0</v>
      </c>
      <c r="K9" s="164">
        <f>main!DO12</f>
        <v>0</v>
      </c>
      <c r="L9" s="1004">
        <f>main!AF12</f>
        <v>0</v>
      </c>
      <c r="M9" s="164">
        <f>main!DP12</f>
        <v>0</v>
      </c>
      <c r="N9" s="164">
        <f>IF(main!CU12&gt;0,main!CU12,0)</f>
        <v>0</v>
      </c>
      <c r="O9" s="164">
        <f>IF(main!EC12&gt;0,main!EC12,0)</f>
        <v>0</v>
      </c>
      <c r="P9" s="164">
        <f>IF(main!CW12&gt;0,main!CW12,0)</f>
        <v>0</v>
      </c>
      <c r="Q9" s="164">
        <f>IF(main!DN12&gt;0,main!DN12,0)</f>
        <v>0</v>
      </c>
    </row>
    <row r="10" spans="1:17" ht="39.950000000000003" customHeight="1">
      <c r="A10" s="164" t="str">
        <f>IF(main!A13&gt;0,main!A13,"")</f>
        <v/>
      </c>
      <c r="B10" s="165" t="str">
        <f>IF(main!B13&gt;0,main!B13,"")</f>
        <v/>
      </c>
      <c r="C10" s="165" t="str">
        <f>IF(main!C13&gt;0,main!C13,"")</f>
        <v/>
      </c>
      <c r="D10" s="165" t="str">
        <f>IF(main!D13&gt;0,main!D13,"")</f>
        <v/>
      </c>
      <c r="E10" s="165" t="str">
        <f>IF(main!E13&gt;0,main!E13,"")</f>
        <v/>
      </c>
      <c r="F10" s="165" t="str">
        <f>main!N13</f>
        <v/>
      </c>
      <c r="G10" s="165" t="str">
        <f>IF(main!K13&gt;0,main!K13,"")</f>
        <v/>
      </c>
      <c r="H10" s="165" t="str">
        <f>IF(main!O13&gt;0,main!O13,"")</f>
        <v/>
      </c>
      <c r="I10" s="989" t="str">
        <f>IF(main!R13&gt;0,main!R13,"")</f>
        <v/>
      </c>
      <c r="J10" s="164">
        <f>IF(main!CQ13+main!CR13&gt;0,main!CQ13+main!CR13,0)</f>
        <v>0</v>
      </c>
      <c r="K10" s="164">
        <f>main!DO13</f>
        <v>0</v>
      </c>
      <c r="L10" s="1004">
        <f>main!AF13</f>
        <v>0</v>
      </c>
      <c r="M10" s="164">
        <f>main!DP13</f>
        <v>0</v>
      </c>
      <c r="N10" s="164">
        <f>IF(main!CU13&gt;0,main!CU13,0)</f>
        <v>0</v>
      </c>
      <c r="O10" s="164">
        <f>IF(main!EC13&gt;0,main!EC13,0)</f>
        <v>0</v>
      </c>
      <c r="P10" s="164">
        <f>IF(main!CW13&gt;0,main!CW13,0)</f>
        <v>0</v>
      </c>
      <c r="Q10" s="164">
        <f>IF(main!DN13&gt;0,main!DN13,0)</f>
        <v>0</v>
      </c>
    </row>
    <row r="11" spans="1:17" ht="39.950000000000003" customHeight="1">
      <c r="A11" s="164" t="str">
        <f>IF(main!A14&gt;0,main!A14,"")</f>
        <v/>
      </c>
      <c r="B11" s="165" t="str">
        <f>IF(main!B14&gt;0,main!B14,"")</f>
        <v/>
      </c>
      <c r="C11" s="165" t="str">
        <f>IF(main!C14&gt;0,main!C14,"")</f>
        <v/>
      </c>
      <c r="D11" s="165" t="str">
        <f>IF(main!D14&gt;0,main!D14,"")</f>
        <v/>
      </c>
      <c r="E11" s="165" t="str">
        <f>IF(main!E14&gt;0,main!E14,"")</f>
        <v/>
      </c>
      <c r="F11" s="165" t="str">
        <f>main!N14</f>
        <v/>
      </c>
      <c r="G11" s="165" t="str">
        <f>IF(main!K14&gt;0,main!K14,"")</f>
        <v/>
      </c>
      <c r="H11" s="165" t="str">
        <f>IF(main!O14&gt;0,main!O14,"")</f>
        <v/>
      </c>
      <c r="I11" s="989" t="str">
        <f>IF(main!R14&gt;0,main!R14,"")</f>
        <v/>
      </c>
      <c r="J11" s="164">
        <f>IF(main!CQ14+main!CR14&gt;0,main!CQ14+main!CR14,0)</f>
        <v>0</v>
      </c>
      <c r="K11" s="164">
        <f>main!DO14</f>
        <v>0</v>
      </c>
      <c r="L11" s="1004">
        <f>main!AF14</f>
        <v>0</v>
      </c>
      <c r="M11" s="164">
        <f>main!DP14</f>
        <v>0</v>
      </c>
      <c r="N11" s="164">
        <f>IF(main!CU14&gt;0,main!CU14,0)</f>
        <v>0</v>
      </c>
      <c r="O11" s="164">
        <f>IF(main!EC14&gt;0,main!EC14,0)</f>
        <v>0</v>
      </c>
      <c r="P11" s="164">
        <f>IF(main!CW14&gt;0,main!CW14,0)</f>
        <v>0</v>
      </c>
      <c r="Q11" s="164">
        <f>IF(main!DN14&gt;0,main!DN14,0)</f>
        <v>0</v>
      </c>
    </row>
    <row r="12" spans="1:17" ht="39.950000000000003" customHeight="1">
      <c r="A12" s="164" t="str">
        <f>IF(main!A15&gt;0,main!A15,"")</f>
        <v/>
      </c>
      <c r="B12" s="165" t="str">
        <f>IF(main!B15&gt;0,main!B15,"")</f>
        <v/>
      </c>
      <c r="C12" s="165" t="str">
        <f>IF(main!C15&gt;0,main!C15,"")</f>
        <v/>
      </c>
      <c r="D12" s="165" t="str">
        <f>IF(main!D15&gt;0,main!D15,"")</f>
        <v/>
      </c>
      <c r="E12" s="165" t="str">
        <f>IF(main!E15&gt;0,main!E15,"")</f>
        <v/>
      </c>
      <c r="F12" s="165" t="str">
        <f>main!N15</f>
        <v/>
      </c>
      <c r="G12" s="165" t="str">
        <f>IF(main!K15&gt;0,main!K15,"")</f>
        <v/>
      </c>
      <c r="H12" s="165" t="str">
        <f>IF(main!O15&gt;0,main!O15,"")</f>
        <v/>
      </c>
      <c r="I12" s="989" t="str">
        <f>IF(main!R15&gt;0,main!R15,"")</f>
        <v/>
      </c>
      <c r="J12" s="164">
        <f>IF(main!CQ15+main!CR15&gt;0,main!CQ15+main!CR15,0)</f>
        <v>0</v>
      </c>
      <c r="K12" s="164">
        <f>main!DO15</f>
        <v>0</v>
      </c>
      <c r="L12" s="1004">
        <f>main!AF15</f>
        <v>0</v>
      </c>
      <c r="M12" s="164">
        <f>main!DP15</f>
        <v>0</v>
      </c>
      <c r="N12" s="164">
        <f>IF(main!CU15&gt;0,main!CU15,0)</f>
        <v>0</v>
      </c>
      <c r="O12" s="164">
        <f>IF(main!EC15&gt;0,main!EC15,0)</f>
        <v>0</v>
      </c>
      <c r="P12" s="164">
        <f>IF(main!CW15&gt;0,main!CW15,0)</f>
        <v>0</v>
      </c>
      <c r="Q12" s="164">
        <f>IF(main!DN15&gt;0,main!DN15,0)</f>
        <v>0</v>
      </c>
    </row>
    <row r="13" spans="1:17" ht="39.950000000000003" customHeight="1">
      <c r="A13" s="164" t="str">
        <f>IF(main!A16&gt;0,main!A16,"")</f>
        <v/>
      </c>
      <c r="B13" s="165" t="str">
        <f>IF(main!B16&gt;0,main!B16,"")</f>
        <v/>
      </c>
      <c r="C13" s="165" t="str">
        <f>IF(main!C16&gt;0,main!C16,"")</f>
        <v/>
      </c>
      <c r="D13" s="165" t="str">
        <f>IF(main!D16&gt;0,main!D16,"")</f>
        <v/>
      </c>
      <c r="E13" s="165" t="str">
        <f>IF(main!E16&gt;0,main!E16,"")</f>
        <v/>
      </c>
      <c r="F13" s="165" t="str">
        <f>main!N16</f>
        <v/>
      </c>
      <c r="G13" s="165" t="str">
        <f>IF(main!K16&gt;0,main!K16,"")</f>
        <v/>
      </c>
      <c r="H13" s="165" t="str">
        <f>IF(main!O16&gt;0,main!O16,"")</f>
        <v/>
      </c>
      <c r="I13" s="989" t="str">
        <f>IF(main!R16&gt;0,main!R16,"")</f>
        <v/>
      </c>
      <c r="J13" s="164">
        <f>IF(main!CQ16+main!CR16&gt;0,main!CQ16+main!CR16,0)</f>
        <v>0</v>
      </c>
      <c r="K13" s="164">
        <f>main!DO16</f>
        <v>0</v>
      </c>
      <c r="L13" s="1004">
        <f>main!AF16</f>
        <v>0</v>
      </c>
      <c r="M13" s="164">
        <f>main!DP16</f>
        <v>0</v>
      </c>
      <c r="N13" s="164">
        <f>IF(main!CU16&gt;0,main!CU16,0)</f>
        <v>0</v>
      </c>
      <c r="O13" s="164">
        <f>IF(main!EC16&gt;0,main!EC16,0)</f>
        <v>0</v>
      </c>
      <c r="P13" s="164">
        <f>IF(main!CW16&gt;0,main!CW16,0)</f>
        <v>0</v>
      </c>
      <c r="Q13" s="164">
        <f>IF(main!DN16&gt;0,main!DN16,0)</f>
        <v>0</v>
      </c>
    </row>
    <row r="14" spans="1:17" ht="39.950000000000003" customHeight="1">
      <c r="A14" s="164" t="str">
        <f>IF(main!A17&gt;0,main!A17,"")</f>
        <v/>
      </c>
      <c r="B14" s="165" t="str">
        <f>IF(main!B17&gt;0,main!B17,"")</f>
        <v/>
      </c>
      <c r="C14" s="165" t="str">
        <f>IF(main!C17&gt;0,main!C17,"")</f>
        <v/>
      </c>
      <c r="D14" s="165" t="str">
        <f>IF(main!D17&gt;0,main!D17,"")</f>
        <v/>
      </c>
      <c r="E14" s="165" t="str">
        <f>IF(main!E17&gt;0,main!E17,"")</f>
        <v/>
      </c>
      <c r="F14" s="165" t="str">
        <f>main!N17</f>
        <v/>
      </c>
      <c r="G14" s="165" t="str">
        <f>IF(main!K17&gt;0,main!K17,"")</f>
        <v/>
      </c>
      <c r="H14" s="165" t="str">
        <f>IF(main!O17&gt;0,main!O17,"")</f>
        <v/>
      </c>
      <c r="I14" s="989" t="str">
        <f>IF(main!R17&gt;0,main!R17,"")</f>
        <v/>
      </c>
      <c r="J14" s="164">
        <f>IF(main!CQ17+main!CR17&gt;0,main!CQ17+main!CR17,0)</f>
        <v>0</v>
      </c>
      <c r="K14" s="164">
        <f>main!DO17</f>
        <v>0</v>
      </c>
      <c r="L14" s="1004">
        <f>main!AF17</f>
        <v>0</v>
      </c>
      <c r="M14" s="164">
        <f>main!DP17</f>
        <v>0</v>
      </c>
      <c r="N14" s="164">
        <f>IF(main!CU17&gt;0,main!CU17,0)</f>
        <v>0</v>
      </c>
      <c r="O14" s="164">
        <f>IF(main!EC17&gt;0,main!EC17,0)</f>
        <v>0</v>
      </c>
      <c r="P14" s="164">
        <f>IF(main!CW17&gt;0,main!CW17,0)</f>
        <v>0</v>
      </c>
      <c r="Q14" s="164">
        <f>IF(main!DN17&gt;0,main!DN17,0)</f>
        <v>0</v>
      </c>
    </row>
    <row r="15" spans="1:17" ht="39.950000000000003" customHeight="1">
      <c r="A15" s="164" t="str">
        <f>IF(main!A18&gt;0,main!A18,"")</f>
        <v/>
      </c>
      <c r="B15" s="165" t="str">
        <f>IF(main!B18&gt;0,main!B18,"")</f>
        <v/>
      </c>
      <c r="C15" s="165" t="str">
        <f>IF(main!C18&gt;0,main!C18,"")</f>
        <v/>
      </c>
      <c r="D15" s="165" t="str">
        <f>IF(main!D18&gt;0,main!D18,"")</f>
        <v/>
      </c>
      <c r="E15" s="165" t="str">
        <f>IF(main!E18&gt;0,main!E18,"")</f>
        <v/>
      </c>
      <c r="F15" s="165" t="str">
        <f>main!N18</f>
        <v/>
      </c>
      <c r="G15" s="165" t="str">
        <f>IF(main!K18&gt;0,main!K18,"")</f>
        <v/>
      </c>
      <c r="H15" s="165" t="str">
        <f>IF(main!O18&gt;0,main!O18,"")</f>
        <v/>
      </c>
      <c r="I15" s="989" t="str">
        <f>IF(main!R18&gt;0,main!R18,"")</f>
        <v/>
      </c>
      <c r="J15" s="164">
        <f>IF(main!CQ18+main!CR18&gt;0,main!CQ18+main!CR18,0)</f>
        <v>0</v>
      </c>
      <c r="K15" s="164">
        <f>main!DO18</f>
        <v>0</v>
      </c>
      <c r="L15" s="1004">
        <f>main!AF18</f>
        <v>0</v>
      </c>
      <c r="M15" s="164">
        <f>main!DP18</f>
        <v>0</v>
      </c>
      <c r="N15" s="164">
        <f>IF(main!CU18&gt;0,main!CU18,0)</f>
        <v>0</v>
      </c>
      <c r="O15" s="164">
        <f>IF(main!EC18&gt;0,main!EC18,0)</f>
        <v>0</v>
      </c>
      <c r="P15" s="164">
        <f>IF(main!CW18&gt;0,main!CW18,0)</f>
        <v>0</v>
      </c>
      <c r="Q15" s="164">
        <f>IF(main!DN18&gt;0,main!DN18,0)</f>
        <v>0</v>
      </c>
    </row>
    <row r="16" spans="1:17" ht="39.950000000000003" customHeight="1">
      <c r="A16" s="164" t="str">
        <f>IF(main!A19&gt;0,main!A19,"")</f>
        <v/>
      </c>
      <c r="B16" s="165" t="str">
        <f>IF(main!B19&gt;0,main!B19,"")</f>
        <v/>
      </c>
      <c r="C16" s="165" t="str">
        <f>IF(main!C19&gt;0,main!C19,"")</f>
        <v/>
      </c>
      <c r="D16" s="165" t="str">
        <f>IF(main!D19&gt;0,main!D19,"")</f>
        <v/>
      </c>
      <c r="E16" s="165" t="str">
        <f>IF(main!E19&gt;0,main!E19,"")</f>
        <v/>
      </c>
      <c r="F16" s="165" t="str">
        <f>main!N19</f>
        <v/>
      </c>
      <c r="G16" s="165" t="str">
        <f>IF(main!K19&gt;0,main!K19,"")</f>
        <v/>
      </c>
      <c r="H16" s="165" t="str">
        <f>IF(main!O19&gt;0,main!O19,"")</f>
        <v/>
      </c>
      <c r="I16" s="989" t="str">
        <f>IF(main!R19&gt;0,main!R19,"")</f>
        <v/>
      </c>
      <c r="J16" s="164">
        <f>IF(main!CQ19+main!CR19&gt;0,main!CQ19+main!CR19,0)</f>
        <v>0</v>
      </c>
      <c r="K16" s="164">
        <f>main!DO19</f>
        <v>0</v>
      </c>
      <c r="L16" s="1004">
        <f>main!AF19</f>
        <v>0</v>
      </c>
      <c r="M16" s="164">
        <f>main!DP19</f>
        <v>0</v>
      </c>
      <c r="N16" s="164">
        <f>IF(main!CU19&gt;0,main!CU19,0)</f>
        <v>0</v>
      </c>
      <c r="O16" s="164">
        <f>IF(main!EC19&gt;0,main!EC19,0)</f>
        <v>0</v>
      </c>
      <c r="P16" s="164">
        <f>IF(main!CW19&gt;0,main!CW19,0)</f>
        <v>0</v>
      </c>
      <c r="Q16" s="164">
        <f>IF(main!DN19&gt;0,main!DN19,0)</f>
        <v>0</v>
      </c>
    </row>
    <row r="17" spans="1:17" ht="39.950000000000003" customHeight="1">
      <c r="A17" s="164" t="str">
        <f>IF(main!A20&gt;0,main!A20,"")</f>
        <v/>
      </c>
      <c r="B17" s="165" t="str">
        <f>IF(main!B20&gt;0,main!B20,"")</f>
        <v/>
      </c>
      <c r="C17" s="165" t="str">
        <f>IF(main!C20&gt;0,main!C20,"")</f>
        <v/>
      </c>
      <c r="D17" s="165" t="str">
        <f>IF(main!D20&gt;0,main!D20,"")</f>
        <v/>
      </c>
      <c r="E17" s="165" t="str">
        <f>IF(main!E20&gt;0,main!E20,"")</f>
        <v/>
      </c>
      <c r="F17" s="165" t="str">
        <f>main!N20</f>
        <v/>
      </c>
      <c r="G17" s="165" t="str">
        <f>IF(main!K20&gt;0,main!K20,"")</f>
        <v/>
      </c>
      <c r="H17" s="165" t="str">
        <f>IF(main!O20&gt;0,main!O20,"")</f>
        <v/>
      </c>
      <c r="I17" s="989" t="str">
        <f>IF(main!R20&gt;0,main!R20,"")</f>
        <v/>
      </c>
      <c r="J17" s="164">
        <f>IF(main!CQ20+main!CR20&gt;0,main!CQ20+main!CR20,0)</f>
        <v>0</v>
      </c>
      <c r="K17" s="164">
        <f>main!DO20</f>
        <v>0</v>
      </c>
      <c r="L17" s="1004">
        <f>main!AF20</f>
        <v>0</v>
      </c>
      <c r="M17" s="164">
        <f>main!DP20</f>
        <v>0</v>
      </c>
      <c r="N17" s="164">
        <f>IF(main!CU20&gt;0,main!CU20,0)</f>
        <v>0</v>
      </c>
      <c r="O17" s="164">
        <f>IF(main!EC20&gt;0,main!EC20,0)</f>
        <v>0</v>
      </c>
      <c r="P17" s="164">
        <f>IF(main!CW20&gt;0,main!CW20,0)</f>
        <v>0</v>
      </c>
      <c r="Q17" s="164">
        <f>IF(main!DN20&gt;0,main!DN20,0)</f>
        <v>0</v>
      </c>
    </row>
    <row r="18" spans="1:17" ht="39.950000000000003" customHeight="1">
      <c r="A18" s="164" t="str">
        <f>IF(main!A21&gt;0,main!A21,"")</f>
        <v/>
      </c>
      <c r="B18" s="165" t="str">
        <f>IF(main!B21&gt;0,main!B21,"")</f>
        <v/>
      </c>
      <c r="C18" s="165" t="str">
        <f>IF(main!C21&gt;0,main!C21,"")</f>
        <v/>
      </c>
      <c r="D18" s="165" t="str">
        <f>IF(main!D21&gt;0,main!D21,"")</f>
        <v/>
      </c>
      <c r="E18" s="165" t="str">
        <f>IF(main!E21&gt;0,main!E21,"")</f>
        <v/>
      </c>
      <c r="F18" s="165" t="str">
        <f>main!N21</f>
        <v/>
      </c>
      <c r="G18" s="165" t="str">
        <f>IF(main!K21&gt;0,main!K21,"")</f>
        <v/>
      </c>
      <c r="H18" s="165" t="str">
        <f>IF(main!O21&gt;0,main!O21,"")</f>
        <v/>
      </c>
      <c r="I18" s="989" t="str">
        <f>IF(main!R21&gt;0,main!R21,"")</f>
        <v/>
      </c>
      <c r="J18" s="164">
        <f>IF(main!CQ21+main!CR21&gt;0,main!CQ21+main!CR21,0)</f>
        <v>0</v>
      </c>
      <c r="K18" s="164">
        <f>main!DO21</f>
        <v>0</v>
      </c>
      <c r="L18" s="1004">
        <f>main!AF21</f>
        <v>0</v>
      </c>
      <c r="M18" s="164">
        <f>main!DP21</f>
        <v>0</v>
      </c>
      <c r="N18" s="164">
        <f>IF(main!CU21&gt;0,main!CU21,0)</f>
        <v>0</v>
      </c>
      <c r="O18" s="164">
        <f>IF(main!EC21&gt;0,main!EC21,0)</f>
        <v>0</v>
      </c>
      <c r="P18" s="164">
        <f>IF(main!CW21&gt;0,main!CW21,0)</f>
        <v>0</v>
      </c>
      <c r="Q18" s="164">
        <f>IF(main!DN21&gt;0,main!DN21,0)</f>
        <v>0</v>
      </c>
    </row>
    <row r="19" spans="1:17" ht="39.950000000000003" customHeight="1">
      <c r="A19" s="164" t="str">
        <f>IF(main!A22&gt;0,main!A22,"")</f>
        <v/>
      </c>
      <c r="B19" s="165" t="str">
        <f>IF(main!B22&gt;0,main!B22,"")</f>
        <v/>
      </c>
      <c r="C19" s="165" t="str">
        <f>IF(main!C22&gt;0,main!C22,"")</f>
        <v/>
      </c>
      <c r="D19" s="165" t="str">
        <f>IF(main!D22&gt;0,main!D22,"")</f>
        <v/>
      </c>
      <c r="E19" s="165" t="str">
        <f>IF(main!E22&gt;0,main!E22,"")</f>
        <v/>
      </c>
      <c r="F19" s="165" t="str">
        <f>main!N22</f>
        <v/>
      </c>
      <c r="G19" s="165" t="str">
        <f>IF(main!K22&gt;0,main!K22,"")</f>
        <v/>
      </c>
      <c r="H19" s="165" t="str">
        <f>IF(main!O22&gt;0,main!O22,"")</f>
        <v/>
      </c>
      <c r="I19" s="989" t="str">
        <f>IF(main!R22&gt;0,main!R22,"")</f>
        <v/>
      </c>
      <c r="J19" s="164">
        <f>IF(main!CQ22+main!CR22&gt;0,main!CQ22+main!CR22,0)</f>
        <v>0</v>
      </c>
      <c r="K19" s="164">
        <f>main!DO22</f>
        <v>0</v>
      </c>
      <c r="L19" s="1004">
        <f>main!AF22</f>
        <v>0</v>
      </c>
      <c r="M19" s="164">
        <f>main!DP22</f>
        <v>0</v>
      </c>
      <c r="N19" s="164">
        <f>IF(main!CU22&gt;0,main!CU22,0)</f>
        <v>0</v>
      </c>
      <c r="O19" s="164">
        <f>IF(main!EC22&gt;0,main!EC22,0)</f>
        <v>0</v>
      </c>
      <c r="P19" s="164">
        <f>IF(main!CW22&gt;0,main!CW22,0)</f>
        <v>0</v>
      </c>
      <c r="Q19" s="164">
        <f>IF(main!DN22&gt;0,main!DN22,0)</f>
        <v>0</v>
      </c>
    </row>
    <row r="20" spans="1:17" ht="39.950000000000003" customHeight="1">
      <c r="A20" s="164" t="str">
        <f>IF(main!A23&gt;0,main!A23,"")</f>
        <v/>
      </c>
      <c r="B20" s="165" t="str">
        <f>IF(main!B23&gt;0,main!B23,"")</f>
        <v/>
      </c>
      <c r="C20" s="165" t="str">
        <f>IF(main!C23&gt;0,main!C23,"")</f>
        <v/>
      </c>
      <c r="D20" s="165" t="str">
        <f>IF(main!D23&gt;0,main!D23,"")</f>
        <v/>
      </c>
      <c r="E20" s="165" t="str">
        <f>IF(main!E23&gt;0,main!E23,"")</f>
        <v/>
      </c>
      <c r="F20" s="165" t="str">
        <f>main!N23</f>
        <v/>
      </c>
      <c r="G20" s="165" t="str">
        <f>IF(main!K23&gt;0,main!K23,"")</f>
        <v/>
      </c>
      <c r="H20" s="165" t="str">
        <f>IF(main!O23&gt;0,main!O23,"")</f>
        <v/>
      </c>
      <c r="I20" s="989" t="str">
        <f>IF(main!R23&gt;0,main!R23,"")</f>
        <v/>
      </c>
      <c r="J20" s="164">
        <f>IF(main!CQ23+main!CR23&gt;0,main!CQ23+main!CR23,0)</f>
        <v>0</v>
      </c>
      <c r="K20" s="164">
        <f>main!DO23</f>
        <v>0</v>
      </c>
      <c r="L20" s="1004">
        <f>main!AF23</f>
        <v>0</v>
      </c>
      <c r="M20" s="164">
        <f>main!DP23</f>
        <v>0</v>
      </c>
      <c r="N20" s="164">
        <f>IF(main!CU23&gt;0,main!CU23,0)</f>
        <v>0</v>
      </c>
      <c r="O20" s="164">
        <f>IF(main!EC23&gt;0,main!EC23,0)</f>
        <v>0</v>
      </c>
      <c r="P20" s="164">
        <f>IF(main!CW23&gt;0,main!CW23,0)</f>
        <v>0</v>
      </c>
      <c r="Q20" s="164">
        <f>IF(main!DN23&gt;0,main!DN23,0)</f>
        <v>0</v>
      </c>
    </row>
    <row r="21" spans="1:17" ht="39.950000000000003" customHeight="1">
      <c r="A21" s="164" t="str">
        <f>IF(main!A24&gt;0,main!A24,"")</f>
        <v/>
      </c>
      <c r="B21" s="165" t="str">
        <f>IF(main!B24&gt;0,main!B24,"")</f>
        <v/>
      </c>
      <c r="C21" s="165" t="str">
        <f>IF(main!C24&gt;0,main!C24,"")</f>
        <v/>
      </c>
      <c r="D21" s="165" t="str">
        <f>IF(main!D24&gt;0,main!D24,"")</f>
        <v/>
      </c>
      <c r="E21" s="165" t="str">
        <f>IF(main!E24&gt;0,main!E24,"")</f>
        <v/>
      </c>
      <c r="F21" s="165" t="str">
        <f>main!N24</f>
        <v/>
      </c>
      <c r="G21" s="165" t="str">
        <f>IF(main!K24&gt;0,main!K24,"")</f>
        <v/>
      </c>
      <c r="H21" s="165" t="str">
        <f>IF(main!O24&gt;0,main!O24,"")</f>
        <v/>
      </c>
      <c r="I21" s="989" t="str">
        <f>IF(main!R24&gt;0,main!R24,"")</f>
        <v/>
      </c>
      <c r="J21" s="164">
        <f>IF(main!CQ24+main!CR24&gt;0,main!CQ24+main!CR24,0)</f>
        <v>0</v>
      </c>
      <c r="K21" s="164">
        <f>main!DO24</f>
        <v>0</v>
      </c>
      <c r="L21" s="1004">
        <f>main!AF24</f>
        <v>0</v>
      </c>
      <c r="M21" s="164">
        <f>main!DP24</f>
        <v>0</v>
      </c>
      <c r="N21" s="164">
        <f>IF(main!CU24&gt;0,main!CU24,0)</f>
        <v>0</v>
      </c>
      <c r="O21" s="164">
        <f>IF(main!EC24&gt;0,main!EC24,0)</f>
        <v>0</v>
      </c>
      <c r="P21" s="164">
        <f>IF(main!CW24&gt;0,main!CW24,0)</f>
        <v>0</v>
      </c>
      <c r="Q21" s="164">
        <f>IF(main!DN24&gt;0,main!DN24,0)</f>
        <v>0</v>
      </c>
    </row>
    <row r="22" spans="1:17" ht="39.950000000000003" customHeight="1">
      <c r="A22" s="164" t="str">
        <f>IF(main!A25&gt;0,main!A25,"")</f>
        <v/>
      </c>
      <c r="B22" s="165" t="str">
        <f>IF(main!B25&gt;0,main!B25,"")</f>
        <v/>
      </c>
      <c r="C22" s="165" t="str">
        <f>IF(main!C25&gt;0,main!C25,"")</f>
        <v/>
      </c>
      <c r="D22" s="165" t="str">
        <f>IF(main!D25&gt;0,main!D25,"")</f>
        <v/>
      </c>
      <c r="E22" s="165" t="str">
        <f>IF(main!E25&gt;0,main!E25,"")</f>
        <v/>
      </c>
      <c r="F22" s="165" t="str">
        <f>main!N25</f>
        <v/>
      </c>
      <c r="G22" s="165" t="str">
        <f>IF(main!K25&gt;0,main!K25,"")</f>
        <v/>
      </c>
      <c r="H22" s="165" t="str">
        <f>IF(main!O25&gt;0,main!O25,"")</f>
        <v/>
      </c>
      <c r="I22" s="989" t="str">
        <f>IF(main!R25&gt;0,main!R25,"")</f>
        <v/>
      </c>
      <c r="J22" s="164">
        <f>IF(main!CQ25+main!CR25&gt;0,main!CQ25+main!CR25,0)</f>
        <v>0</v>
      </c>
      <c r="K22" s="164">
        <f>main!DO25</f>
        <v>0</v>
      </c>
      <c r="L22" s="1004">
        <f>main!AF25</f>
        <v>0</v>
      </c>
      <c r="M22" s="164">
        <f>main!DP25</f>
        <v>0</v>
      </c>
      <c r="N22" s="164">
        <f>IF(main!CU25&gt;0,main!CU25,0)</f>
        <v>0</v>
      </c>
      <c r="O22" s="164">
        <f>IF(main!EC25&gt;0,main!EC25,0)</f>
        <v>0</v>
      </c>
      <c r="P22" s="164">
        <f>IF(main!CW25&gt;0,main!CW25,0)</f>
        <v>0</v>
      </c>
      <c r="Q22" s="164">
        <f>IF(main!DN25&gt;0,main!DN25,0)</f>
        <v>0</v>
      </c>
    </row>
    <row r="23" spans="1:17" ht="39.950000000000003" customHeight="1">
      <c r="A23" s="164" t="str">
        <f>IF(main!A26&gt;0,main!A26,"")</f>
        <v/>
      </c>
      <c r="B23" s="165" t="str">
        <f>IF(main!B26&gt;0,main!B26,"")</f>
        <v/>
      </c>
      <c r="C23" s="165" t="str">
        <f>IF(main!C26&gt;0,main!C26,"")</f>
        <v/>
      </c>
      <c r="D23" s="165" t="str">
        <f>IF(main!D26&gt;0,main!D26,"")</f>
        <v/>
      </c>
      <c r="E23" s="165" t="str">
        <f>IF(main!E26&gt;0,main!E26,"")</f>
        <v/>
      </c>
      <c r="F23" s="165" t="str">
        <f>main!N26</f>
        <v/>
      </c>
      <c r="G23" s="165" t="str">
        <f>IF(main!K26&gt;0,main!K26,"")</f>
        <v/>
      </c>
      <c r="H23" s="165" t="str">
        <f>IF(main!O26&gt;0,main!O26,"")</f>
        <v/>
      </c>
      <c r="I23" s="989" t="str">
        <f>IF(main!R26&gt;0,main!R26,"")</f>
        <v/>
      </c>
      <c r="J23" s="164">
        <f>IF(main!CQ26+main!CR26&gt;0,main!CQ26+main!CR26,0)</f>
        <v>0</v>
      </c>
      <c r="K23" s="164">
        <f>main!DO26</f>
        <v>0</v>
      </c>
      <c r="L23" s="1004">
        <f>main!AF26</f>
        <v>0</v>
      </c>
      <c r="M23" s="164">
        <f>main!DP26</f>
        <v>0</v>
      </c>
      <c r="N23" s="164">
        <f>IF(main!CU26&gt;0,main!CU26,0)</f>
        <v>0</v>
      </c>
      <c r="O23" s="164">
        <f>IF(main!EC26&gt;0,main!EC26,0)</f>
        <v>0</v>
      </c>
      <c r="P23" s="164">
        <f>IF(main!CW26&gt;0,main!CW26,0)</f>
        <v>0</v>
      </c>
      <c r="Q23" s="164">
        <f>IF(main!DN26&gt;0,main!DN26,0)</f>
        <v>0</v>
      </c>
    </row>
    <row r="24" spans="1:17" ht="39.950000000000003" customHeight="1">
      <c r="A24" s="164" t="str">
        <f>IF(main!A27&gt;0,main!A27,"")</f>
        <v/>
      </c>
      <c r="B24" s="165" t="str">
        <f>IF(main!B27&gt;0,main!B27,"")</f>
        <v/>
      </c>
      <c r="C24" s="165" t="str">
        <f>IF(main!C27&gt;0,main!C27,"")</f>
        <v/>
      </c>
      <c r="D24" s="165" t="str">
        <f>IF(main!D27&gt;0,main!D27,"")</f>
        <v/>
      </c>
      <c r="E24" s="165" t="str">
        <f>IF(main!E27&gt;0,main!E27,"")</f>
        <v/>
      </c>
      <c r="F24" s="165" t="str">
        <f>main!N27</f>
        <v/>
      </c>
      <c r="G24" s="165" t="str">
        <f>IF(main!K27&gt;0,main!K27,"")</f>
        <v/>
      </c>
      <c r="H24" s="165" t="str">
        <f>IF(main!O27&gt;0,main!O27,"")</f>
        <v/>
      </c>
      <c r="I24" s="989" t="str">
        <f>IF(main!R27&gt;0,main!R27,"")</f>
        <v/>
      </c>
      <c r="J24" s="164">
        <f>IF(main!CQ27+main!CR27&gt;0,main!CQ27+main!CR27,0)</f>
        <v>0</v>
      </c>
      <c r="K24" s="164">
        <f>main!DO27</f>
        <v>0</v>
      </c>
      <c r="L24" s="1004">
        <f>main!AF27</f>
        <v>0</v>
      </c>
      <c r="M24" s="164">
        <f>main!DP27</f>
        <v>0</v>
      </c>
      <c r="N24" s="164">
        <f>IF(main!CU27&gt;0,main!CU27,0)</f>
        <v>0</v>
      </c>
      <c r="O24" s="164">
        <f>IF(main!EC27&gt;0,main!EC27,0)</f>
        <v>0</v>
      </c>
      <c r="P24" s="164">
        <f>IF(main!CW27&gt;0,main!CW27,0)</f>
        <v>0</v>
      </c>
      <c r="Q24" s="164">
        <f>IF(main!DN27&gt;0,main!DN27,0)</f>
        <v>0</v>
      </c>
    </row>
    <row r="25" spans="1:17" ht="39.950000000000003" customHeight="1">
      <c r="A25" s="164" t="str">
        <f>IF(main!A28&gt;0,main!A28,"")</f>
        <v/>
      </c>
      <c r="B25" s="165" t="str">
        <f>IF(main!B28&gt;0,main!B28,"")</f>
        <v/>
      </c>
      <c r="C25" s="165" t="str">
        <f>IF(main!C28&gt;0,main!C28,"")</f>
        <v/>
      </c>
      <c r="D25" s="165" t="str">
        <f>IF(main!D28&gt;0,main!D28,"")</f>
        <v/>
      </c>
      <c r="E25" s="165" t="str">
        <f>IF(main!E28&gt;0,main!E28,"")</f>
        <v/>
      </c>
      <c r="F25" s="165" t="str">
        <f>main!N28</f>
        <v/>
      </c>
      <c r="G25" s="165" t="str">
        <f>IF(main!K28&gt;0,main!K28,"")</f>
        <v/>
      </c>
      <c r="H25" s="165" t="str">
        <f>IF(main!O28&gt;0,main!O28,"")</f>
        <v/>
      </c>
      <c r="I25" s="989" t="str">
        <f>IF(main!R28&gt;0,main!R28,"")</f>
        <v/>
      </c>
      <c r="J25" s="164">
        <f>IF(main!CQ28+main!CR28&gt;0,main!CQ28+main!CR28,0)</f>
        <v>0</v>
      </c>
      <c r="K25" s="164">
        <f>main!DO28</f>
        <v>0</v>
      </c>
      <c r="L25" s="1004">
        <f>main!AF28</f>
        <v>0</v>
      </c>
      <c r="M25" s="164">
        <f>main!DP28</f>
        <v>0</v>
      </c>
      <c r="N25" s="164">
        <f>IF(main!CU28&gt;0,main!CU28,0)</f>
        <v>0</v>
      </c>
      <c r="O25" s="164">
        <f>IF(main!EC28&gt;0,main!EC28,0)</f>
        <v>0</v>
      </c>
      <c r="P25" s="164">
        <f>IF(main!CW28&gt;0,main!CW28,0)</f>
        <v>0</v>
      </c>
      <c r="Q25" s="164">
        <f>IF(main!DN28&gt;0,main!DN28,0)</f>
        <v>0</v>
      </c>
    </row>
    <row r="26" spans="1:17" ht="39.950000000000003" customHeight="1">
      <c r="A26" s="164" t="str">
        <f>IF(main!A29&gt;0,main!A29,"")</f>
        <v/>
      </c>
      <c r="B26" s="165" t="str">
        <f>IF(main!B29&gt;0,main!B29,"")</f>
        <v/>
      </c>
      <c r="C26" s="165" t="str">
        <f>IF(main!C29&gt;0,main!C29,"")</f>
        <v/>
      </c>
      <c r="D26" s="165" t="str">
        <f>IF(main!D29&gt;0,main!D29,"")</f>
        <v/>
      </c>
      <c r="E26" s="165" t="str">
        <f>IF(main!E29&gt;0,main!E29,"")</f>
        <v/>
      </c>
      <c r="F26" s="165" t="str">
        <f>main!N29</f>
        <v/>
      </c>
      <c r="G26" s="165" t="str">
        <f>IF(main!K29&gt;0,main!K29,"")</f>
        <v/>
      </c>
      <c r="H26" s="165" t="str">
        <f>IF(main!O29&gt;0,main!O29,"")</f>
        <v/>
      </c>
      <c r="I26" s="989" t="str">
        <f>IF(main!R29&gt;0,main!R29,"")</f>
        <v/>
      </c>
      <c r="J26" s="164">
        <f>IF(main!CQ29+main!CR29&gt;0,main!CQ29+main!CR29,0)</f>
        <v>0</v>
      </c>
      <c r="K26" s="164">
        <f>main!DO29</f>
        <v>0</v>
      </c>
      <c r="L26" s="1004">
        <f>main!AF29</f>
        <v>0</v>
      </c>
      <c r="M26" s="164">
        <f>main!DP29</f>
        <v>0</v>
      </c>
      <c r="N26" s="164">
        <f>IF(main!CU29&gt;0,main!CU29,0)</f>
        <v>0</v>
      </c>
      <c r="O26" s="164">
        <f>IF(main!EC29&gt;0,main!EC29,0)</f>
        <v>0</v>
      </c>
      <c r="P26" s="164">
        <f>IF(main!CW29&gt;0,main!CW29,0)</f>
        <v>0</v>
      </c>
      <c r="Q26" s="164">
        <f>IF(main!DN29&gt;0,main!DN29,0)</f>
        <v>0</v>
      </c>
    </row>
    <row r="27" spans="1:17" ht="39.950000000000003" customHeight="1">
      <c r="A27" s="164" t="str">
        <f>IF(main!A30&gt;0,main!A30,"")</f>
        <v/>
      </c>
      <c r="B27" s="165" t="str">
        <f>IF(main!B30&gt;0,main!B30,"")</f>
        <v/>
      </c>
      <c r="C27" s="165" t="str">
        <f>IF(main!C30&gt;0,main!C30,"")</f>
        <v/>
      </c>
      <c r="D27" s="165" t="str">
        <f>IF(main!D30&gt;0,main!D30,"")</f>
        <v/>
      </c>
      <c r="E27" s="165" t="str">
        <f>IF(main!E30&gt;0,main!E30,"")</f>
        <v/>
      </c>
      <c r="F27" s="165" t="str">
        <f>main!N30</f>
        <v/>
      </c>
      <c r="G27" s="165" t="str">
        <f>IF(main!K30&gt;0,main!K30,"")</f>
        <v/>
      </c>
      <c r="H27" s="165" t="str">
        <f>IF(main!O30&gt;0,main!O30,"")</f>
        <v/>
      </c>
      <c r="I27" s="989" t="str">
        <f>IF(main!R30&gt;0,main!R30,"")</f>
        <v/>
      </c>
      <c r="J27" s="164">
        <f>IF(main!CQ30+main!CR30&gt;0,main!CQ30+main!CR30,0)</f>
        <v>0</v>
      </c>
      <c r="K27" s="164">
        <f>main!DO30</f>
        <v>0</v>
      </c>
      <c r="L27" s="1004">
        <f>main!AF30</f>
        <v>0</v>
      </c>
      <c r="M27" s="164">
        <f>main!DP30</f>
        <v>0</v>
      </c>
      <c r="N27" s="164">
        <f>IF(main!CU30&gt;0,main!CU30,0)</f>
        <v>0</v>
      </c>
      <c r="O27" s="164">
        <f>IF(main!EC30&gt;0,main!EC30,0)</f>
        <v>0</v>
      </c>
      <c r="P27" s="164">
        <f>IF(main!CW30&gt;0,main!CW30,0)</f>
        <v>0</v>
      </c>
      <c r="Q27" s="164">
        <f>IF(main!DN30&gt;0,main!DN30,0)</f>
        <v>0</v>
      </c>
    </row>
    <row r="28" spans="1:17" ht="39.950000000000003" customHeight="1">
      <c r="A28" s="164" t="str">
        <f>IF(main!A31&gt;0,main!A31,"")</f>
        <v/>
      </c>
      <c r="B28" s="165" t="str">
        <f>IF(main!B31&gt;0,main!B31,"")</f>
        <v/>
      </c>
      <c r="C28" s="165" t="str">
        <f>IF(main!C31&gt;0,main!C31,"")</f>
        <v/>
      </c>
      <c r="D28" s="165" t="str">
        <f>IF(main!D31&gt;0,main!D31,"")</f>
        <v/>
      </c>
      <c r="E28" s="165" t="str">
        <f>IF(main!E31&gt;0,main!E31,"")</f>
        <v/>
      </c>
      <c r="F28" s="165" t="str">
        <f>main!N31</f>
        <v/>
      </c>
      <c r="G28" s="165" t="str">
        <f>IF(main!K31&gt;0,main!K31,"")</f>
        <v/>
      </c>
      <c r="H28" s="165" t="str">
        <f>IF(main!O31&gt;0,main!O31,"")</f>
        <v/>
      </c>
      <c r="I28" s="989" t="str">
        <f>IF(main!R31&gt;0,main!R31,"")</f>
        <v/>
      </c>
      <c r="J28" s="164">
        <f>IF(main!CQ31+main!CR31&gt;0,main!CQ31+main!CR31,0)</f>
        <v>0</v>
      </c>
      <c r="K28" s="164">
        <f>main!DO31</f>
        <v>0</v>
      </c>
      <c r="L28" s="1004">
        <f>main!AF31</f>
        <v>0</v>
      </c>
      <c r="M28" s="164">
        <f>main!DP31</f>
        <v>0</v>
      </c>
      <c r="N28" s="164">
        <f>IF(main!CU31&gt;0,main!CU31,0)</f>
        <v>0</v>
      </c>
      <c r="O28" s="164">
        <f>IF(main!EC31&gt;0,main!EC31,0)</f>
        <v>0</v>
      </c>
      <c r="P28" s="164">
        <f>IF(main!CW31&gt;0,main!CW31,0)</f>
        <v>0</v>
      </c>
      <c r="Q28" s="164">
        <f>IF(main!DN31&gt;0,main!DN31,0)</f>
        <v>0</v>
      </c>
    </row>
    <row r="29" spans="1:17" ht="39.950000000000003" customHeight="1">
      <c r="A29" s="164" t="str">
        <f>IF(main!A32&gt;0,main!A32,"")</f>
        <v/>
      </c>
      <c r="B29" s="165" t="str">
        <f>IF(main!B32&gt;0,main!B32,"")</f>
        <v/>
      </c>
      <c r="C29" s="165" t="str">
        <f>IF(main!C32&gt;0,main!C32,"")</f>
        <v/>
      </c>
      <c r="D29" s="165" t="str">
        <f>IF(main!D32&gt;0,main!D32,"")</f>
        <v/>
      </c>
      <c r="E29" s="165" t="str">
        <f>IF(main!E32&gt;0,main!E32,"")</f>
        <v/>
      </c>
      <c r="F29" s="165" t="str">
        <f>main!N32</f>
        <v/>
      </c>
      <c r="G29" s="165" t="str">
        <f>IF(main!K32&gt;0,main!K32,"")</f>
        <v/>
      </c>
      <c r="H29" s="165" t="str">
        <f>IF(main!O32&gt;0,main!O32,"")</f>
        <v/>
      </c>
      <c r="I29" s="989" t="str">
        <f>IF(main!R32&gt;0,main!R32,"")</f>
        <v/>
      </c>
      <c r="J29" s="164">
        <f>IF(main!CQ32+main!CR32&gt;0,main!CQ32+main!CR32,0)</f>
        <v>0</v>
      </c>
      <c r="K29" s="164">
        <f>main!DO32</f>
        <v>0</v>
      </c>
      <c r="L29" s="1004">
        <f>main!AF32</f>
        <v>0</v>
      </c>
      <c r="M29" s="164">
        <f>main!DP32</f>
        <v>0</v>
      </c>
      <c r="N29" s="164">
        <f>IF(main!CU32&gt;0,main!CU32,0)</f>
        <v>0</v>
      </c>
      <c r="O29" s="164">
        <f>IF(main!EC32&gt;0,main!EC32,0)</f>
        <v>0</v>
      </c>
      <c r="P29" s="164">
        <f>IF(main!CW32&gt;0,main!CW32,0)</f>
        <v>0</v>
      </c>
      <c r="Q29" s="164">
        <f>IF(main!DN32&gt;0,main!DN32,0)</f>
        <v>0</v>
      </c>
    </row>
    <row r="30" spans="1:17" ht="39.950000000000003" customHeight="1">
      <c r="A30" s="164" t="str">
        <f>IF(main!A33&gt;0,main!A33,"")</f>
        <v/>
      </c>
      <c r="B30" s="165" t="str">
        <f>IF(main!B33&gt;0,main!B33,"")</f>
        <v/>
      </c>
      <c r="C30" s="165" t="str">
        <f>IF(main!C33&gt;0,main!C33,"")</f>
        <v/>
      </c>
      <c r="D30" s="165" t="str">
        <f>IF(main!D33&gt;0,main!D33,"")</f>
        <v/>
      </c>
      <c r="E30" s="165" t="str">
        <f>IF(main!E33&gt;0,main!E33,"")</f>
        <v/>
      </c>
      <c r="F30" s="165" t="str">
        <f>main!N33</f>
        <v/>
      </c>
      <c r="G30" s="165" t="str">
        <f>IF(main!K33&gt;0,main!K33,"")</f>
        <v/>
      </c>
      <c r="H30" s="165" t="str">
        <f>IF(main!O33&gt;0,main!O33,"")</f>
        <v/>
      </c>
      <c r="I30" s="989" t="str">
        <f>IF(main!R33&gt;0,main!R33,"")</f>
        <v/>
      </c>
      <c r="J30" s="164">
        <f>IF(main!CQ33+main!CR33&gt;0,main!CQ33+main!CR33,0)</f>
        <v>0</v>
      </c>
      <c r="K30" s="164">
        <f>main!DO33</f>
        <v>0</v>
      </c>
      <c r="L30" s="1004">
        <f>main!AF33</f>
        <v>0</v>
      </c>
      <c r="M30" s="164">
        <f>main!DP33</f>
        <v>0</v>
      </c>
      <c r="N30" s="164">
        <f>IF(main!CU33&gt;0,main!CU33,0)</f>
        <v>0</v>
      </c>
      <c r="O30" s="164">
        <f>IF(main!EC33&gt;0,main!EC33,0)</f>
        <v>0</v>
      </c>
      <c r="P30" s="164">
        <f>IF(main!CW33&gt;0,main!CW33,0)</f>
        <v>0</v>
      </c>
      <c r="Q30" s="164">
        <f>IF(main!DN33&gt;0,main!DN33,0)</f>
        <v>0</v>
      </c>
    </row>
    <row r="31" spans="1:17" ht="39.950000000000003" customHeight="1">
      <c r="A31" s="164" t="str">
        <f>IF(main!A34&gt;0,main!A34,"")</f>
        <v/>
      </c>
      <c r="B31" s="165" t="str">
        <f>IF(main!B34&gt;0,main!B34,"")</f>
        <v/>
      </c>
      <c r="C31" s="165" t="str">
        <f>IF(main!C34&gt;0,main!C34,"")</f>
        <v/>
      </c>
      <c r="D31" s="165" t="str">
        <f>IF(main!D34&gt;0,main!D34,"")</f>
        <v/>
      </c>
      <c r="E31" s="165" t="str">
        <f>IF(main!E34&gt;0,main!E34,"")</f>
        <v/>
      </c>
      <c r="F31" s="165" t="str">
        <f>main!N34</f>
        <v/>
      </c>
      <c r="G31" s="165" t="str">
        <f>IF(main!K34&gt;0,main!K34,"")</f>
        <v/>
      </c>
      <c r="H31" s="165" t="str">
        <f>IF(main!O34&gt;0,main!O34,"")</f>
        <v/>
      </c>
      <c r="I31" s="989" t="str">
        <f>IF(main!R34&gt;0,main!R34,"")</f>
        <v/>
      </c>
      <c r="J31" s="164">
        <f>IF(main!CQ34+main!CR34&gt;0,main!CQ34+main!CR34,0)</f>
        <v>0</v>
      </c>
      <c r="K31" s="164">
        <f>main!DO34</f>
        <v>0</v>
      </c>
      <c r="L31" s="1004">
        <f>main!AF34</f>
        <v>0</v>
      </c>
      <c r="M31" s="164">
        <f>main!DP34</f>
        <v>0</v>
      </c>
      <c r="N31" s="164">
        <f>IF(main!CU34&gt;0,main!CU34,0)</f>
        <v>0</v>
      </c>
      <c r="O31" s="164">
        <f>IF(main!EC34&gt;0,main!EC34,0)</f>
        <v>0</v>
      </c>
      <c r="P31" s="164">
        <f>IF(main!CW34&gt;0,main!CW34,0)</f>
        <v>0</v>
      </c>
      <c r="Q31" s="164">
        <f>IF(main!DN34&gt;0,main!DN34,0)</f>
        <v>0</v>
      </c>
    </row>
    <row r="32" spans="1:17" ht="39.950000000000003" customHeight="1">
      <c r="A32" s="164" t="str">
        <f>IF(main!A35&gt;0,main!A35,"")</f>
        <v/>
      </c>
      <c r="B32" s="165" t="str">
        <f>IF(main!B35&gt;0,main!B35,"")</f>
        <v/>
      </c>
      <c r="C32" s="165" t="str">
        <f>IF(main!C35&gt;0,main!C35,"")</f>
        <v/>
      </c>
      <c r="D32" s="165" t="str">
        <f>IF(main!D35&gt;0,main!D35,"")</f>
        <v/>
      </c>
      <c r="E32" s="165" t="str">
        <f>IF(main!E35&gt;0,main!E35,"")</f>
        <v/>
      </c>
      <c r="F32" s="165" t="str">
        <f>main!N35</f>
        <v/>
      </c>
      <c r="G32" s="165" t="str">
        <f>IF(main!K35&gt;0,main!K35,"")</f>
        <v/>
      </c>
      <c r="H32" s="165" t="str">
        <f>IF(main!O35&gt;0,main!O35,"")</f>
        <v/>
      </c>
      <c r="I32" s="989" t="str">
        <f>IF(main!R35&gt;0,main!R35,"")</f>
        <v/>
      </c>
      <c r="J32" s="164">
        <f>IF(main!CQ35+main!CR35&gt;0,main!CQ35+main!CR35,0)</f>
        <v>0</v>
      </c>
      <c r="K32" s="164">
        <f>main!DO35</f>
        <v>0</v>
      </c>
      <c r="L32" s="1004">
        <f>main!AF35</f>
        <v>0</v>
      </c>
      <c r="M32" s="164">
        <f>main!DP35</f>
        <v>0</v>
      </c>
      <c r="N32" s="164">
        <f>IF(main!CU35&gt;0,main!CU35,0)</f>
        <v>0</v>
      </c>
      <c r="O32" s="164">
        <f>IF(main!EC35&gt;0,main!EC35,0)</f>
        <v>0</v>
      </c>
      <c r="P32" s="164">
        <f>IF(main!CW35&gt;0,main!CW35,0)</f>
        <v>0</v>
      </c>
      <c r="Q32" s="164">
        <f>IF(main!DN35&gt;0,main!DN35,0)</f>
        <v>0</v>
      </c>
    </row>
    <row r="33" spans="1:17" ht="39.950000000000003" customHeight="1">
      <c r="A33" s="164" t="str">
        <f>IF(main!A36&gt;0,main!A36,"")</f>
        <v/>
      </c>
      <c r="B33" s="165" t="str">
        <f>IF(main!B36&gt;0,main!B36,"")</f>
        <v/>
      </c>
      <c r="C33" s="165" t="str">
        <f>IF(main!C36&gt;0,main!C36,"")</f>
        <v/>
      </c>
      <c r="D33" s="165" t="str">
        <f>IF(main!D36&gt;0,main!D36,"")</f>
        <v/>
      </c>
      <c r="E33" s="165" t="str">
        <f>IF(main!E36&gt;0,main!E36,"")</f>
        <v/>
      </c>
      <c r="F33" s="165" t="str">
        <f>main!N36</f>
        <v/>
      </c>
      <c r="G33" s="165" t="str">
        <f>IF(main!K36&gt;0,main!K36,"")</f>
        <v/>
      </c>
      <c r="H33" s="165" t="str">
        <f>IF(main!O36&gt;0,main!O36,"")</f>
        <v/>
      </c>
      <c r="I33" s="989" t="str">
        <f>IF(main!R36&gt;0,main!R36,"")</f>
        <v/>
      </c>
      <c r="J33" s="164">
        <f>IF(main!CQ36+main!CR36&gt;0,main!CQ36+main!CR36,0)</f>
        <v>0</v>
      </c>
      <c r="K33" s="164">
        <f>main!DO36</f>
        <v>0</v>
      </c>
      <c r="L33" s="1004">
        <f>main!AF36</f>
        <v>0</v>
      </c>
      <c r="M33" s="164">
        <f>main!DP36</f>
        <v>0</v>
      </c>
      <c r="N33" s="164">
        <f>IF(main!CU36&gt;0,main!CU36,0)</f>
        <v>0</v>
      </c>
      <c r="O33" s="164">
        <f>IF(main!EC36&gt;0,main!EC36,0)</f>
        <v>0</v>
      </c>
      <c r="P33" s="164">
        <f>IF(main!CW36&gt;0,main!CW36,0)</f>
        <v>0</v>
      </c>
      <c r="Q33" s="164">
        <f>IF(main!DN36&gt;0,main!DN36,0)</f>
        <v>0</v>
      </c>
    </row>
    <row r="34" spans="1:17" ht="39.950000000000003" customHeight="1">
      <c r="A34" s="164" t="str">
        <f>IF(main!A37&gt;0,main!A37,"")</f>
        <v/>
      </c>
      <c r="B34" s="165" t="str">
        <f>IF(main!B37&gt;0,main!B37,"")</f>
        <v/>
      </c>
      <c r="C34" s="165" t="str">
        <f>IF(main!C37&gt;0,main!C37,"")</f>
        <v/>
      </c>
      <c r="D34" s="165" t="str">
        <f>IF(main!D37&gt;0,main!D37,"")</f>
        <v/>
      </c>
      <c r="E34" s="165" t="str">
        <f>IF(main!E37&gt;0,main!E37,"")</f>
        <v/>
      </c>
      <c r="F34" s="165" t="str">
        <f>main!N37</f>
        <v/>
      </c>
      <c r="G34" s="165" t="str">
        <f>IF(main!K37&gt;0,main!K37,"")</f>
        <v/>
      </c>
      <c r="H34" s="165" t="str">
        <f>IF(main!O37&gt;0,main!O37,"")</f>
        <v/>
      </c>
      <c r="I34" s="989" t="str">
        <f>IF(main!R37&gt;0,main!R37,"")</f>
        <v/>
      </c>
      <c r="J34" s="164">
        <f>IF(main!CQ37+main!CR37&gt;0,main!CQ37+main!CR37,0)</f>
        <v>0</v>
      </c>
      <c r="K34" s="164">
        <f>main!DO37</f>
        <v>0</v>
      </c>
      <c r="L34" s="1004">
        <f>main!AF37</f>
        <v>0</v>
      </c>
      <c r="M34" s="164">
        <f>main!DP37</f>
        <v>0</v>
      </c>
      <c r="N34" s="164">
        <f>IF(main!CU37&gt;0,main!CU37,0)</f>
        <v>0</v>
      </c>
      <c r="O34" s="164">
        <f>IF(main!EC37&gt;0,main!EC37,0)</f>
        <v>0</v>
      </c>
      <c r="P34" s="164">
        <f>IF(main!CW37&gt;0,main!CW37,0)</f>
        <v>0</v>
      </c>
      <c r="Q34" s="164">
        <f>IF(main!DN37&gt;0,main!DN37,0)</f>
        <v>0</v>
      </c>
    </row>
    <row r="35" spans="1:17" ht="39.950000000000003" customHeight="1">
      <c r="A35" s="164" t="str">
        <f>IF(main!A38&gt;0,main!A38,"")</f>
        <v/>
      </c>
      <c r="B35" s="165" t="str">
        <f>IF(main!B38&gt;0,main!B38,"")</f>
        <v/>
      </c>
      <c r="C35" s="165" t="str">
        <f>IF(main!C38&gt;0,main!C38,"")</f>
        <v/>
      </c>
      <c r="D35" s="165" t="str">
        <f>IF(main!D38&gt;0,main!D38,"")</f>
        <v/>
      </c>
      <c r="E35" s="165" t="str">
        <f>IF(main!E38&gt;0,main!E38,"")</f>
        <v/>
      </c>
      <c r="F35" s="165" t="str">
        <f>main!N38</f>
        <v/>
      </c>
      <c r="G35" s="165" t="str">
        <f>IF(main!K38&gt;0,main!K38,"")</f>
        <v/>
      </c>
      <c r="H35" s="165" t="str">
        <f>IF(main!O38&gt;0,main!O38,"")</f>
        <v/>
      </c>
      <c r="I35" s="989" t="str">
        <f>IF(main!R38&gt;0,main!R38,"")</f>
        <v/>
      </c>
      <c r="J35" s="164">
        <f>IF(main!CQ38+main!CR38&gt;0,main!CQ38+main!CR38,0)</f>
        <v>0</v>
      </c>
      <c r="K35" s="164">
        <f>main!DO38</f>
        <v>0</v>
      </c>
      <c r="L35" s="1004">
        <f>main!AF38</f>
        <v>0</v>
      </c>
      <c r="M35" s="164">
        <f>main!DP38</f>
        <v>0</v>
      </c>
      <c r="N35" s="164">
        <f>IF(main!CU38&gt;0,main!CU38,0)</f>
        <v>0</v>
      </c>
      <c r="O35" s="164">
        <f>IF(main!EC38&gt;0,main!EC38,0)</f>
        <v>0</v>
      </c>
      <c r="P35" s="164">
        <f>IF(main!CW38&gt;0,main!CW38,0)</f>
        <v>0</v>
      </c>
      <c r="Q35" s="164">
        <f>IF(main!DN38&gt;0,main!DN38,0)</f>
        <v>0</v>
      </c>
    </row>
    <row r="36" spans="1:17" ht="39.950000000000003" customHeight="1">
      <c r="A36" s="164" t="str">
        <f>IF(main!A39&gt;0,main!A39,"")</f>
        <v/>
      </c>
      <c r="B36" s="165" t="str">
        <f>IF(main!B39&gt;0,main!B39,"")</f>
        <v/>
      </c>
      <c r="C36" s="165" t="str">
        <f>IF(main!C39&gt;0,main!C39,"")</f>
        <v/>
      </c>
      <c r="D36" s="165" t="str">
        <f>IF(main!D39&gt;0,main!D39,"")</f>
        <v/>
      </c>
      <c r="E36" s="165" t="str">
        <f>IF(main!E39&gt;0,main!E39,"")</f>
        <v/>
      </c>
      <c r="F36" s="165" t="str">
        <f>main!N39</f>
        <v/>
      </c>
      <c r="G36" s="165" t="str">
        <f>IF(main!K39&gt;0,main!K39,"")</f>
        <v/>
      </c>
      <c r="H36" s="165" t="str">
        <f>IF(main!O39&gt;0,main!O39,"")</f>
        <v/>
      </c>
      <c r="I36" s="989" t="str">
        <f>IF(main!R39&gt;0,main!R39,"")</f>
        <v/>
      </c>
      <c r="J36" s="164">
        <f>IF(main!CQ39+main!CR39&gt;0,main!CQ39+main!CR39,0)</f>
        <v>0</v>
      </c>
      <c r="K36" s="164">
        <f>main!DO39</f>
        <v>0</v>
      </c>
      <c r="L36" s="1004">
        <f>main!AF39</f>
        <v>0</v>
      </c>
      <c r="M36" s="164">
        <f>main!DP39</f>
        <v>0</v>
      </c>
      <c r="N36" s="164">
        <f>IF(main!CU39&gt;0,main!CU39,0)</f>
        <v>0</v>
      </c>
      <c r="O36" s="164">
        <f>IF(main!EC39&gt;0,main!EC39,0)</f>
        <v>0</v>
      </c>
      <c r="P36" s="164">
        <f>IF(main!CW39&gt;0,main!CW39,0)</f>
        <v>0</v>
      </c>
      <c r="Q36" s="164">
        <f>IF(main!DN39&gt;0,main!DN39,0)</f>
        <v>0</v>
      </c>
    </row>
    <row r="37" spans="1:17" ht="39.950000000000003" customHeight="1">
      <c r="A37" s="164" t="str">
        <f>IF(main!A40&gt;0,main!A40,"")</f>
        <v/>
      </c>
      <c r="B37" s="165" t="str">
        <f>IF(main!B40&gt;0,main!B40,"")</f>
        <v/>
      </c>
      <c r="C37" s="165" t="str">
        <f>IF(main!C40&gt;0,main!C40,"")</f>
        <v/>
      </c>
      <c r="D37" s="165" t="str">
        <f>IF(main!D40&gt;0,main!D40,"")</f>
        <v/>
      </c>
      <c r="E37" s="165" t="str">
        <f>IF(main!E40&gt;0,main!E40,"")</f>
        <v/>
      </c>
      <c r="F37" s="165" t="str">
        <f>main!N40</f>
        <v/>
      </c>
      <c r="G37" s="165" t="str">
        <f>IF(main!K40&gt;0,main!K40,"")</f>
        <v/>
      </c>
      <c r="H37" s="165" t="str">
        <f>IF(main!O40&gt;0,main!O40,"")</f>
        <v/>
      </c>
      <c r="I37" s="989" t="str">
        <f>IF(main!R40&gt;0,main!R40,"")</f>
        <v/>
      </c>
      <c r="J37" s="164">
        <f>IF(main!CQ40+main!CR40&gt;0,main!CQ40+main!CR40,0)</f>
        <v>0</v>
      </c>
      <c r="K37" s="164">
        <f>main!DO40</f>
        <v>0</v>
      </c>
      <c r="L37" s="1004">
        <f>main!AF40</f>
        <v>0</v>
      </c>
      <c r="M37" s="164">
        <f>main!DP40</f>
        <v>0</v>
      </c>
      <c r="N37" s="164">
        <f>IF(main!CU40&gt;0,main!CU40,0)</f>
        <v>0</v>
      </c>
      <c r="O37" s="164">
        <f>IF(main!EC40&gt;0,main!EC40,0)</f>
        <v>0</v>
      </c>
      <c r="P37" s="164">
        <f>IF(main!CW40&gt;0,main!CW40,0)</f>
        <v>0</v>
      </c>
      <c r="Q37" s="164">
        <f>IF(main!DN40&gt;0,main!DN40,0)</f>
        <v>0</v>
      </c>
    </row>
    <row r="38" spans="1:17" ht="39.950000000000003" customHeight="1">
      <c r="A38" s="164" t="str">
        <f>IF(main!A41&gt;0,main!A41,"")</f>
        <v/>
      </c>
      <c r="B38" s="165" t="str">
        <f>IF(main!B41&gt;0,main!B41,"")</f>
        <v/>
      </c>
      <c r="C38" s="165" t="str">
        <f>IF(main!C41&gt;0,main!C41,"")</f>
        <v/>
      </c>
      <c r="D38" s="165" t="str">
        <f>IF(main!D41&gt;0,main!D41,"")</f>
        <v/>
      </c>
      <c r="E38" s="165" t="str">
        <f>IF(main!E41&gt;0,main!E41,"")</f>
        <v/>
      </c>
      <c r="F38" s="165" t="str">
        <f>main!N41</f>
        <v/>
      </c>
      <c r="G38" s="165" t="str">
        <f>IF(main!K41&gt;0,main!K41,"")</f>
        <v/>
      </c>
      <c r="H38" s="165" t="str">
        <f>IF(main!O41&gt;0,main!O41,"")</f>
        <v/>
      </c>
      <c r="I38" s="989" t="str">
        <f>IF(main!R41&gt;0,main!R41,"")</f>
        <v/>
      </c>
      <c r="J38" s="164">
        <f>IF(main!CQ41+main!CR41&gt;0,main!CQ41+main!CR41,0)</f>
        <v>0</v>
      </c>
      <c r="K38" s="164">
        <f>main!DO41</f>
        <v>0</v>
      </c>
      <c r="L38" s="1004">
        <f>main!AF41</f>
        <v>0</v>
      </c>
      <c r="M38" s="164">
        <f>main!DP41</f>
        <v>0</v>
      </c>
      <c r="N38" s="164">
        <f>IF(main!CU41&gt;0,main!CU41,0)</f>
        <v>0</v>
      </c>
      <c r="O38" s="164">
        <f>IF(main!EC41&gt;0,main!EC41,0)</f>
        <v>0</v>
      </c>
      <c r="P38" s="164">
        <f>IF(main!CW41&gt;0,main!CW41,0)</f>
        <v>0</v>
      </c>
      <c r="Q38" s="164">
        <f>IF(main!DN41&gt;0,main!DN41,0)</f>
        <v>0</v>
      </c>
    </row>
    <row r="39" spans="1:17" ht="39.950000000000003" customHeight="1">
      <c r="A39" s="164" t="str">
        <f>IF(main!A42&gt;0,main!A42,"")</f>
        <v/>
      </c>
      <c r="B39" s="165" t="str">
        <f>IF(main!B42&gt;0,main!B42,"")</f>
        <v/>
      </c>
      <c r="C39" s="165" t="str">
        <f>IF(main!C42&gt;0,main!C42,"")</f>
        <v/>
      </c>
      <c r="D39" s="165" t="str">
        <f>IF(main!D42&gt;0,main!D42,"")</f>
        <v/>
      </c>
      <c r="E39" s="165" t="str">
        <f>IF(main!E42&gt;0,main!E42,"")</f>
        <v/>
      </c>
      <c r="F39" s="165" t="str">
        <f>main!N42</f>
        <v/>
      </c>
      <c r="G39" s="165" t="str">
        <f>IF(main!K42&gt;0,main!K42,"")</f>
        <v/>
      </c>
      <c r="H39" s="165" t="str">
        <f>IF(main!O42&gt;0,main!O42,"")</f>
        <v/>
      </c>
      <c r="I39" s="989" t="str">
        <f>IF(main!R42&gt;0,main!R42,"")</f>
        <v/>
      </c>
      <c r="J39" s="164">
        <f>IF(main!CQ42+main!CR42&gt;0,main!CQ42+main!CR42,0)</f>
        <v>0</v>
      </c>
      <c r="K39" s="164">
        <f>main!DO42</f>
        <v>0</v>
      </c>
      <c r="L39" s="1004">
        <f>main!AF42</f>
        <v>0</v>
      </c>
      <c r="M39" s="164">
        <f>main!DP42</f>
        <v>0</v>
      </c>
      <c r="N39" s="164">
        <f>IF(main!CU42&gt;0,main!CU42,0)</f>
        <v>0</v>
      </c>
      <c r="O39" s="164">
        <f>IF(main!EC42&gt;0,main!EC42,0)</f>
        <v>0</v>
      </c>
      <c r="P39" s="164">
        <f>IF(main!CW42&gt;0,main!CW42,0)</f>
        <v>0</v>
      </c>
      <c r="Q39" s="164">
        <f>IF(main!DN42&gt;0,main!DN42,0)</f>
        <v>0</v>
      </c>
    </row>
    <row r="40" spans="1:17" ht="39.950000000000003" customHeight="1">
      <c r="A40" s="164" t="str">
        <f>IF(main!A43&gt;0,main!A43,"")</f>
        <v/>
      </c>
      <c r="B40" s="165" t="str">
        <f>IF(main!B43&gt;0,main!B43,"")</f>
        <v/>
      </c>
      <c r="C40" s="165" t="str">
        <f>IF(main!C43&gt;0,main!C43,"")</f>
        <v/>
      </c>
      <c r="D40" s="165" t="str">
        <f>IF(main!D43&gt;0,main!D43,"")</f>
        <v/>
      </c>
      <c r="E40" s="165" t="str">
        <f>IF(main!E43&gt;0,main!E43,"")</f>
        <v/>
      </c>
      <c r="F40" s="165" t="str">
        <f>main!N43</f>
        <v/>
      </c>
      <c r="G40" s="165" t="str">
        <f>IF(main!K43&gt;0,main!K43,"")</f>
        <v/>
      </c>
      <c r="H40" s="165" t="str">
        <f>IF(main!O43&gt;0,main!O43,"")</f>
        <v/>
      </c>
      <c r="I40" s="989" t="str">
        <f>IF(main!R43&gt;0,main!R43,"")</f>
        <v/>
      </c>
      <c r="J40" s="164">
        <f>IF(main!CQ43+main!CR43&gt;0,main!CQ43+main!CR43,0)</f>
        <v>0</v>
      </c>
      <c r="K40" s="164">
        <f>main!DO43</f>
        <v>0</v>
      </c>
      <c r="L40" s="1004">
        <f>main!AF43</f>
        <v>0</v>
      </c>
      <c r="M40" s="164">
        <f>main!DP43</f>
        <v>0</v>
      </c>
      <c r="N40" s="164">
        <f>IF(main!CU43&gt;0,main!CU43,0)</f>
        <v>0</v>
      </c>
      <c r="O40" s="164">
        <f>IF(main!EC43&gt;0,main!EC43,0)</f>
        <v>0</v>
      </c>
      <c r="P40" s="164">
        <f>IF(main!CW43&gt;0,main!CW43,0)</f>
        <v>0</v>
      </c>
      <c r="Q40" s="164">
        <f>IF(main!DN43&gt;0,main!DN43,0)</f>
        <v>0</v>
      </c>
    </row>
    <row r="41" spans="1:17" ht="39.950000000000003" customHeight="1">
      <c r="A41" s="164" t="str">
        <f>IF(main!A44&gt;0,main!A44,"")</f>
        <v/>
      </c>
      <c r="B41" s="165" t="str">
        <f>IF(main!B44&gt;0,main!B44,"")</f>
        <v/>
      </c>
      <c r="C41" s="165" t="str">
        <f>IF(main!C44&gt;0,main!C44,"")</f>
        <v/>
      </c>
      <c r="D41" s="165" t="str">
        <f>IF(main!D44&gt;0,main!D44,"")</f>
        <v/>
      </c>
      <c r="E41" s="165" t="str">
        <f>IF(main!E44&gt;0,main!E44,"")</f>
        <v/>
      </c>
      <c r="F41" s="165" t="str">
        <f>main!N44</f>
        <v/>
      </c>
      <c r="G41" s="165" t="str">
        <f>IF(main!K44&gt;0,main!K44,"")</f>
        <v/>
      </c>
      <c r="H41" s="165" t="str">
        <f>IF(main!O44&gt;0,main!O44,"")</f>
        <v/>
      </c>
      <c r="I41" s="989" t="str">
        <f>IF(main!R44&gt;0,main!R44,"")</f>
        <v/>
      </c>
      <c r="J41" s="164">
        <f>IF(main!CQ44+main!CR44&gt;0,main!CQ44+main!CR44,0)</f>
        <v>0</v>
      </c>
      <c r="K41" s="164">
        <f>main!DO44</f>
        <v>0</v>
      </c>
      <c r="L41" s="1004">
        <f>main!AF44</f>
        <v>0</v>
      </c>
      <c r="M41" s="164">
        <f>main!DP44</f>
        <v>0</v>
      </c>
      <c r="N41" s="164">
        <f>IF(main!CU44&gt;0,main!CU44,0)</f>
        <v>0</v>
      </c>
      <c r="O41" s="164">
        <f>IF(main!EC44&gt;0,main!EC44,0)</f>
        <v>0</v>
      </c>
      <c r="P41" s="164">
        <f>IF(main!CW44&gt;0,main!CW44,0)</f>
        <v>0</v>
      </c>
      <c r="Q41" s="164">
        <f>IF(main!DN44&gt;0,main!DN44,0)</f>
        <v>0</v>
      </c>
    </row>
    <row r="42" spans="1:17" ht="39.950000000000003" customHeight="1">
      <c r="A42" s="164" t="str">
        <f>IF(main!A45&gt;0,main!A45,"")</f>
        <v/>
      </c>
      <c r="B42" s="165" t="str">
        <f>IF(main!B45&gt;0,main!B45,"")</f>
        <v/>
      </c>
      <c r="C42" s="165" t="str">
        <f>IF(main!C45&gt;0,main!C45,"")</f>
        <v/>
      </c>
      <c r="D42" s="165" t="str">
        <f>IF(main!D45&gt;0,main!D45,"")</f>
        <v/>
      </c>
      <c r="E42" s="165" t="str">
        <f>IF(main!E45&gt;0,main!E45,"")</f>
        <v/>
      </c>
      <c r="F42" s="165" t="str">
        <f>main!N45</f>
        <v/>
      </c>
      <c r="G42" s="165" t="str">
        <f>IF(main!K45&gt;0,main!K45,"")</f>
        <v/>
      </c>
      <c r="H42" s="165" t="str">
        <f>IF(main!O45&gt;0,main!O45,"")</f>
        <v/>
      </c>
      <c r="I42" s="989" t="str">
        <f>IF(main!R45&gt;0,main!R45,"")</f>
        <v/>
      </c>
      <c r="J42" s="164">
        <f>IF(main!CQ45+main!CR45&gt;0,main!CQ45+main!CR45,0)</f>
        <v>0</v>
      </c>
      <c r="K42" s="164">
        <f>main!DO45</f>
        <v>0</v>
      </c>
      <c r="L42" s="1004">
        <f>main!AF45</f>
        <v>0</v>
      </c>
      <c r="M42" s="164">
        <f>main!DP45</f>
        <v>0</v>
      </c>
      <c r="N42" s="164">
        <f>IF(main!CU45&gt;0,main!CU45,0)</f>
        <v>0</v>
      </c>
      <c r="O42" s="164">
        <f>IF(main!EC45&gt;0,main!EC45,0)</f>
        <v>0</v>
      </c>
      <c r="P42" s="164">
        <f>IF(main!CW45&gt;0,main!CW45,0)</f>
        <v>0</v>
      </c>
      <c r="Q42" s="164">
        <f>IF(main!DN45&gt;0,main!DN45,0)</f>
        <v>0</v>
      </c>
    </row>
    <row r="43" spans="1:17" ht="39.950000000000003" customHeight="1">
      <c r="A43" s="164" t="str">
        <f>IF(main!A46&gt;0,main!A46,"")</f>
        <v/>
      </c>
      <c r="B43" s="165" t="str">
        <f>IF(main!B46&gt;0,main!B46,"")</f>
        <v/>
      </c>
      <c r="C43" s="165" t="str">
        <f>IF(main!C46&gt;0,main!C46,"")</f>
        <v/>
      </c>
      <c r="D43" s="165" t="str">
        <f>IF(main!D46&gt;0,main!D46,"")</f>
        <v/>
      </c>
      <c r="E43" s="165" t="str">
        <f>IF(main!E46&gt;0,main!E46,"")</f>
        <v/>
      </c>
      <c r="F43" s="165" t="str">
        <f>main!N46</f>
        <v/>
      </c>
      <c r="G43" s="165" t="str">
        <f>IF(main!K46&gt;0,main!K46,"")</f>
        <v/>
      </c>
      <c r="H43" s="165" t="str">
        <f>IF(main!O46&gt;0,main!O46,"")</f>
        <v/>
      </c>
      <c r="I43" s="989" t="str">
        <f>IF(main!R46&gt;0,main!R46,"")</f>
        <v/>
      </c>
      <c r="J43" s="164">
        <f>IF(main!CQ46+main!CR46&gt;0,main!CQ46+main!CR46,0)</f>
        <v>0</v>
      </c>
      <c r="K43" s="164">
        <f>main!DO46</f>
        <v>0</v>
      </c>
      <c r="L43" s="1004">
        <f>main!AF46</f>
        <v>0</v>
      </c>
      <c r="M43" s="164">
        <f>main!DP46</f>
        <v>0</v>
      </c>
      <c r="N43" s="164">
        <f>IF(main!CU46&gt;0,main!CU46,0)</f>
        <v>0</v>
      </c>
      <c r="O43" s="164">
        <f>IF(main!EC46&gt;0,main!EC46,0)</f>
        <v>0</v>
      </c>
      <c r="P43" s="164">
        <f>IF(main!CW46&gt;0,main!CW46,0)</f>
        <v>0</v>
      </c>
      <c r="Q43" s="164">
        <f>IF(main!DN46&gt;0,main!DN46,0)</f>
        <v>0</v>
      </c>
    </row>
    <row r="44" spans="1:17" ht="39.950000000000003" customHeight="1">
      <c r="A44" s="164" t="str">
        <f>IF(main!A47&gt;0,main!A47,"")</f>
        <v/>
      </c>
      <c r="B44" s="165" t="str">
        <f>IF(main!B47&gt;0,main!B47,"")</f>
        <v/>
      </c>
      <c r="C44" s="165" t="str">
        <f>IF(main!C47&gt;0,main!C47,"")</f>
        <v/>
      </c>
      <c r="D44" s="165" t="str">
        <f>IF(main!D47&gt;0,main!D47,"")</f>
        <v/>
      </c>
      <c r="E44" s="165" t="str">
        <f>IF(main!E47&gt;0,main!E47,"")</f>
        <v/>
      </c>
      <c r="F44" s="165" t="str">
        <f>main!N47</f>
        <v/>
      </c>
      <c r="G44" s="165" t="str">
        <f>IF(main!K47&gt;0,main!K47,"")</f>
        <v/>
      </c>
      <c r="H44" s="165" t="str">
        <f>IF(main!O47&gt;0,main!O47,"")</f>
        <v/>
      </c>
      <c r="I44" s="989" t="str">
        <f>IF(main!R47&gt;0,main!R47,"")</f>
        <v/>
      </c>
      <c r="J44" s="164">
        <f>IF(main!CQ47+main!CR47&gt;0,main!CQ47+main!CR47,0)</f>
        <v>0</v>
      </c>
      <c r="K44" s="164">
        <f>main!DO47</f>
        <v>0</v>
      </c>
      <c r="L44" s="1004">
        <f>main!AF47</f>
        <v>0</v>
      </c>
      <c r="M44" s="164">
        <f>main!DP47</f>
        <v>0</v>
      </c>
      <c r="N44" s="164">
        <f>IF(main!CU47&gt;0,main!CU47,0)</f>
        <v>0</v>
      </c>
      <c r="O44" s="164">
        <f>IF(main!EC47&gt;0,main!EC47,0)</f>
        <v>0</v>
      </c>
      <c r="P44" s="164">
        <f>IF(main!CW47&gt;0,main!CW47,0)</f>
        <v>0</v>
      </c>
      <c r="Q44" s="164">
        <f>IF(main!DN47&gt;0,main!DN47,0)</f>
        <v>0</v>
      </c>
    </row>
    <row r="45" spans="1:17" ht="39.950000000000003" customHeight="1">
      <c r="A45" s="164" t="str">
        <f>IF(main!A48&gt;0,main!A48,"")</f>
        <v/>
      </c>
      <c r="B45" s="165" t="str">
        <f>IF(main!B48&gt;0,main!B48,"")</f>
        <v/>
      </c>
      <c r="C45" s="165" t="str">
        <f>IF(main!C48&gt;0,main!C48,"")</f>
        <v/>
      </c>
      <c r="D45" s="165" t="str">
        <f>IF(main!D48&gt;0,main!D48,"")</f>
        <v/>
      </c>
      <c r="E45" s="165" t="str">
        <f>IF(main!E48&gt;0,main!E48,"")</f>
        <v/>
      </c>
      <c r="F45" s="165" t="str">
        <f>main!N48</f>
        <v/>
      </c>
      <c r="G45" s="165" t="str">
        <f>IF(main!K48&gt;0,main!K48,"")</f>
        <v/>
      </c>
      <c r="H45" s="165" t="str">
        <f>IF(main!O48&gt;0,main!O48,"")</f>
        <v/>
      </c>
      <c r="I45" s="989" t="str">
        <f>IF(main!R48&gt;0,main!R48,"")</f>
        <v/>
      </c>
      <c r="J45" s="164">
        <f>IF(main!CQ48+main!CR48&gt;0,main!CQ48+main!CR48,0)</f>
        <v>0</v>
      </c>
      <c r="K45" s="164">
        <f>main!DO48</f>
        <v>0</v>
      </c>
      <c r="L45" s="1004">
        <f>main!AF48</f>
        <v>0</v>
      </c>
      <c r="M45" s="164">
        <f>main!DP48</f>
        <v>0</v>
      </c>
      <c r="N45" s="164">
        <f>IF(main!CU48&gt;0,main!CU48,0)</f>
        <v>0</v>
      </c>
      <c r="O45" s="164">
        <f>IF(main!EC48&gt;0,main!EC48,0)</f>
        <v>0</v>
      </c>
      <c r="P45" s="164">
        <f>IF(main!CW48&gt;0,main!CW48,0)</f>
        <v>0</v>
      </c>
      <c r="Q45" s="164">
        <f>IF(main!DN48&gt;0,main!DN48,0)</f>
        <v>0</v>
      </c>
    </row>
    <row r="46" spans="1:17" ht="39.950000000000003" customHeight="1">
      <c r="A46" s="164" t="str">
        <f>IF(main!A49&gt;0,main!A49,"")</f>
        <v/>
      </c>
      <c r="B46" s="165" t="str">
        <f>IF(main!B49&gt;0,main!B49,"")</f>
        <v/>
      </c>
      <c r="C46" s="165" t="str">
        <f>IF(main!C49&gt;0,main!C49,"")</f>
        <v/>
      </c>
      <c r="D46" s="165" t="str">
        <f>IF(main!D49&gt;0,main!D49,"")</f>
        <v/>
      </c>
      <c r="E46" s="165" t="str">
        <f>IF(main!E49&gt;0,main!E49,"")</f>
        <v/>
      </c>
      <c r="F46" s="165" t="str">
        <f>main!N49</f>
        <v/>
      </c>
      <c r="G46" s="165" t="str">
        <f>IF(main!K49&gt;0,main!K49,"")</f>
        <v/>
      </c>
      <c r="H46" s="165" t="str">
        <f>IF(main!O49&gt;0,main!O49,"")</f>
        <v/>
      </c>
      <c r="I46" s="989" t="str">
        <f>IF(main!R49&gt;0,main!R49,"")</f>
        <v/>
      </c>
      <c r="J46" s="164">
        <f>IF(main!CQ49+main!CR49&gt;0,main!CQ49+main!CR49,0)</f>
        <v>0</v>
      </c>
      <c r="K46" s="164">
        <f>main!DO49</f>
        <v>0</v>
      </c>
      <c r="L46" s="1004">
        <f>main!AF49</f>
        <v>0</v>
      </c>
      <c r="M46" s="164">
        <f>main!DP49</f>
        <v>0</v>
      </c>
      <c r="N46" s="164">
        <f>IF(main!CU49&gt;0,main!CU49,0)</f>
        <v>0</v>
      </c>
      <c r="O46" s="164">
        <f>IF(main!EC49&gt;0,main!EC49,0)</f>
        <v>0</v>
      </c>
      <c r="P46" s="164">
        <f>IF(main!CW49&gt;0,main!CW49,0)</f>
        <v>0</v>
      </c>
      <c r="Q46" s="164">
        <f>IF(main!DN49&gt;0,main!DN49,0)</f>
        <v>0</v>
      </c>
    </row>
    <row r="47" spans="1:17" ht="39.950000000000003" customHeight="1">
      <c r="A47" s="164" t="str">
        <f>IF(main!A50&gt;0,main!A50,"")</f>
        <v/>
      </c>
      <c r="B47" s="165" t="str">
        <f>IF(main!B50&gt;0,main!B50,"")</f>
        <v/>
      </c>
      <c r="C47" s="165" t="str">
        <f>IF(main!C50&gt;0,main!C50,"")</f>
        <v/>
      </c>
      <c r="D47" s="165" t="str">
        <f>IF(main!D50&gt;0,main!D50,"")</f>
        <v/>
      </c>
      <c r="E47" s="165" t="str">
        <f>IF(main!E50&gt;0,main!E50,"")</f>
        <v/>
      </c>
      <c r="F47" s="165" t="str">
        <f>main!N50</f>
        <v/>
      </c>
      <c r="G47" s="165" t="str">
        <f>IF(main!K50&gt;0,main!K50,"")</f>
        <v/>
      </c>
      <c r="H47" s="165" t="str">
        <f>IF(main!O50&gt;0,main!O50,"")</f>
        <v/>
      </c>
      <c r="I47" s="989" t="str">
        <f>IF(main!R50&gt;0,main!R50,"")</f>
        <v/>
      </c>
      <c r="J47" s="164">
        <f>IF(main!CQ50+main!CR50&gt;0,main!CQ50+main!CR50,0)</f>
        <v>0</v>
      </c>
      <c r="K47" s="164">
        <f>main!DO50</f>
        <v>0</v>
      </c>
      <c r="L47" s="1004">
        <f>main!AF50</f>
        <v>0</v>
      </c>
      <c r="M47" s="164">
        <f>main!DP50</f>
        <v>0</v>
      </c>
      <c r="N47" s="164">
        <f>IF(main!CU50&gt;0,main!CU50,0)</f>
        <v>0</v>
      </c>
      <c r="O47" s="164">
        <f>IF(main!EC50&gt;0,main!EC50,0)</f>
        <v>0</v>
      </c>
      <c r="P47" s="164">
        <f>IF(main!CW50&gt;0,main!CW50,0)</f>
        <v>0</v>
      </c>
      <c r="Q47" s="164">
        <f>IF(main!DN50&gt;0,main!DN50,0)</f>
        <v>0</v>
      </c>
    </row>
    <row r="48" spans="1:17" ht="39.950000000000003" customHeight="1">
      <c r="A48" s="164" t="str">
        <f>IF(main!A51&gt;0,main!A51,"")</f>
        <v/>
      </c>
      <c r="B48" s="165" t="str">
        <f>IF(main!B51&gt;0,main!B51,"")</f>
        <v/>
      </c>
      <c r="C48" s="165" t="str">
        <f>IF(main!C51&gt;0,main!C51,"")</f>
        <v/>
      </c>
      <c r="D48" s="165" t="str">
        <f>IF(main!D51&gt;0,main!D51,"")</f>
        <v/>
      </c>
      <c r="E48" s="165" t="str">
        <f>IF(main!E51&gt;0,main!E51,"")</f>
        <v/>
      </c>
      <c r="F48" s="165" t="str">
        <f>main!N51</f>
        <v/>
      </c>
      <c r="G48" s="165" t="str">
        <f>IF(main!K51&gt;0,main!K51,"")</f>
        <v/>
      </c>
      <c r="H48" s="165" t="str">
        <f>IF(main!O51&gt;0,main!O51,"")</f>
        <v/>
      </c>
      <c r="I48" s="989" t="str">
        <f>IF(main!R51&gt;0,main!R51,"")</f>
        <v/>
      </c>
      <c r="J48" s="164">
        <f>IF(main!CQ51+main!CR51&gt;0,main!CQ51+main!CR51,0)</f>
        <v>0</v>
      </c>
      <c r="K48" s="164">
        <f>main!DO51</f>
        <v>0</v>
      </c>
      <c r="L48" s="1004">
        <f>main!AF51</f>
        <v>0</v>
      </c>
      <c r="M48" s="164">
        <f>main!DP51</f>
        <v>0</v>
      </c>
      <c r="N48" s="164">
        <f>IF(main!CU51&gt;0,main!CU51,0)</f>
        <v>0</v>
      </c>
      <c r="O48" s="164">
        <f>IF(main!EC51&gt;0,main!EC51,0)</f>
        <v>0</v>
      </c>
      <c r="P48" s="164">
        <f>IF(main!CW51&gt;0,main!CW51,0)</f>
        <v>0</v>
      </c>
      <c r="Q48" s="164">
        <f>IF(main!DN51&gt;0,main!DN51,0)</f>
        <v>0</v>
      </c>
    </row>
    <row r="49" spans="1:17" ht="19.5" thickBot="1">
      <c r="A49" s="164" t="str">
        <f>IF(main!A52&gt;0,main!A52,"")</f>
        <v/>
      </c>
      <c r="B49" s="165" t="str">
        <f>IF(main!B52&gt;0,main!B52,"")</f>
        <v/>
      </c>
      <c r="C49" s="165" t="str">
        <f>IF(main!C52&gt;0,main!C52,"")</f>
        <v/>
      </c>
      <c r="D49" s="165" t="str">
        <f>IF(main!D52&gt;0,main!D52,"")</f>
        <v/>
      </c>
      <c r="E49" s="165" t="str">
        <f>IF(main!E52&gt;0,main!E52,"")</f>
        <v/>
      </c>
      <c r="F49" s="165" t="str">
        <f>main!N52</f>
        <v/>
      </c>
      <c r="G49" s="165" t="str">
        <f>IF(main!K52&gt;0,main!K52,"")</f>
        <v/>
      </c>
      <c r="H49" s="165" t="str">
        <f>IF(main!O52&gt;0,main!O52,"")</f>
        <v/>
      </c>
      <c r="I49" s="989" t="str">
        <f>IF(main!R52&gt;0,main!R52,"")</f>
        <v/>
      </c>
      <c r="J49" s="164">
        <f>IF(main!CQ52+main!CR52&gt;0,main!CQ52+main!CR52,0)</f>
        <v>0</v>
      </c>
      <c r="K49" s="164">
        <f>main!DO52</f>
        <v>0</v>
      </c>
      <c r="L49" s="1004">
        <f>main!AF52</f>
        <v>0</v>
      </c>
      <c r="M49" s="164">
        <f>main!DP52</f>
        <v>0</v>
      </c>
      <c r="N49" s="164">
        <f>IF(main!CU52&gt;0,main!CU52,0)</f>
        <v>0</v>
      </c>
      <c r="O49" s="164">
        <f>IF(main!EC52&gt;0,main!EC52,0)</f>
        <v>0</v>
      </c>
      <c r="P49" s="164">
        <f>IF(main!CW52&gt;0,main!CW52,0)</f>
        <v>0</v>
      </c>
      <c r="Q49" s="164">
        <f>IF(main!DN52&gt;0,main!DN52,0)</f>
        <v>0</v>
      </c>
    </row>
    <row r="50" spans="1:17" ht="29.25" thickTop="1" thickBot="1">
      <c r="A50" s="166"/>
      <c r="B50" s="167" t="s">
        <v>252</v>
      </c>
      <c r="C50" s="988"/>
      <c r="D50" s="168"/>
      <c r="E50" s="169"/>
      <c r="F50" s="170"/>
      <c r="G50" s="170"/>
      <c r="H50" s="170"/>
      <c r="I50" s="170"/>
      <c r="J50" s="171">
        <f>SUM(J6:J49)</f>
        <v>0</v>
      </c>
      <c r="K50" s="172">
        <f>SUM(K6:K49)</f>
        <v>0</v>
      </c>
      <c r="L50" s="172">
        <f>SUM(L6:L49)</f>
        <v>0</v>
      </c>
      <c r="M50" s="172">
        <f>SUM(M6:M49)</f>
        <v>0</v>
      </c>
      <c r="N50" s="172">
        <f t="shared" ref="N50" si="0">SUM(N6:N49)</f>
        <v>0</v>
      </c>
      <c r="O50" s="172" t="s">
        <v>541</v>
      </c>
      <c r="P50" s="172"/>
      <c r="Q50" s="172">
        <f>SUM(Q6:Q49)</f>
        <v>0</v>
      </c>
    </row>
    <row r="51" spans="1:17" ht="19.5" thickTop="1">
      <c r="A51" s="173"/>
      <c r="B51" s="173"/>
      <c r="C51" s="173"/>
      <c r="D51" s="174"/>
      <c r="E51" s="173"/>
      <c r="F51" s="174"/>
      <c r="G51" s="174"/>
      <c r="H51" s="174"/>
      <c r="I51" s="174"/>
      <c r="J51" s="174"/>
      <c r="K51" s="174"/>
      <c r="L51" s="174"/>
      <c r="M51" s="174"/>
      <c r="N51" s="174"/>
      <c r="O51" s="175"/>
      <c r="P51" s="175"/>
      <c r="Q51" s="176">
        <v>0</v>
      </c>
    </row>
  </sheetData>
  <mergeCells count="1">
    <mergeCell ref="D1:J1"/>
  </mergeCells>
  <pageMargins left="0.7" right="0.7" top="0.75" bottom="0.75" header="0.3" footer="0.3"/>
  <pageSetup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>
  <sheetPr codeName="Worksheet______5"/>
  <dimension ref="C2:N5"/>
  <sheetViews>
    <sheetView rightToLeft="1" topLeftCell="C1" workbookViewId="0">
      <selection activeCell="G2" sqref="G2"/>
    </sheetView>
  </sheetViews>
  <sheetFormatPr defaultRowHeight="12.75"/>
  <cols>
    <col min="4" max="4" width="10.42578125" customWidth="1"/>
    <col min="5" max="5" width="11.7109375" customWidth="1"/>
    <col min="6" max="6" width="13.42578125" customWidth="1"/>
    <col min="7" max="7" width="10.7109375" customWidth="1"/>
    <col min="8" max="8" width="13.42578125" customWidth="1"/>
    <col min="9" max="9" width="11.28515625" customWidth="1"/>
    <col min="10" max="10" width="11.7109375" customWidth="1"/>
    <col min="12" max="12" width="10.85546875" customWidth="1"/>
    <col min="13" max="13" width="11" customWidth="1"/>
    <col min="14" max="14" width="12.7109375" customWidth="1"/>
  </cols>
  <sheetData>
    <row r="2" spans="3:14" ht="18">
      <c r="G2" s="22" t="s">
        <v>297</v>
      </c>
    </row>
    <row r="5" spans="3:14" ht="47.25">
      <c r="C5" s="3" t="s">
        <v>36</v>
      </c>
      <c r="D5" s="3" t="s">
        <v>2</v>
      </c>
      <c r="E5" s="3" t="s">
        <v>37</v>
      </c>
      <c r="F5" s="3" t="s">
        <v>38</v>
      </c>
      <c r="G5" s="3" t="s">
        <v>39</v>
      </c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  <c r="M5" s="3" t="s">
        <v>45</v>
      </c>
      <c r="N5" s="3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sheetPr codeName="Worksheet______7"/>
  <dimension ref="C2:T5"/>
  <sheetViews>
    <sheetView rightToLeft="1" workbookViewId="0">
      <selection activeCell="H13" sqref="H13"/>
    </sheetView>
  </sheetViews>
  <sheetFormatPr defaultRowHeight="12.75"/>
  <cols>
    <col min="7" max="7" width="12" customWidth="1"/>
    <col min="8" max="8" width="18.5703125" customWidth="1"/>
    <col min="9" max="9" width="12.7109375" customWidth="1"/>
    <col min="10" max="10" width="25.28515625" customWidth="1"/>
    <col min="12" max="13" width="13" customWidth="1"/>
    <col min="14" max="14" width="14.5703125" customWidth="1"/>
    <col min="15" max="15" width="11.42578125" customWidth="1"/>
    <col min="16" max="16" width="11.85546875" customWidth="1"/>
    <col min="17" max="17" width="10.85546875" customWidth="1"/>
    <col min="18" max="18" width="12.5703125" customWidth="1"/>
    <col min="19" max="19" width="11.42578125" customWidth="1"/>
  </cols>
  <sheetData>
    <row r="2" spans="3:20" ht="23.25">
      <c r="J2" s="10" t="s">
        <v>298</v>
      </c>
    </row>
    <row r="4" spans="3:20" ht="13.5" thickBot="1"/>
    <row r="5" spans="3:20" ht="75.75" thickBot="1">
      <c r="C5" s="9" t="s">
        <v>0</v>
      </c>
      <c r="D5" s="9" t="s">
        <v>2</v>
      </c>
      <c r="E5" s="9" t="s">
        <v>37</v>
      </c>
      <c r="F5" s="9" t="s">
        <v>83</v>
      </c>
      <c r="G5" s="9" t="s">
        <v>90</v>
      </c>
      <c r="H5" s="9" t="s">
        <v>91</v>
      </c>
      <c r="I5" s="9" t="s">
        <v>92</v>
      </c>
      <c r="J5" s="9" t="s">
        <v>93</v>
      </c>
      <c r="K5" s="9" t="s">
        <v>94</v>
      </c>
      <c r="L5" s="9" t="s">
        <v>95</v>
      </c>
      <c r="M5" s="9" t="s">
        <v>96</v>
      </c>
      <c r="N5" s="9" t="s">
        <v>97</v>
      </c>
      <c r="O5" s="9" t="s">
        <v>98</v>
      </c>
      <c r="P5" s="9" t="s">
        <v>99</v>
      </c>
      <c r="Q5" s="9" t="s">
        <v>100</v>
      </c>
      <c r="R5" s="9" t="s">
        <v>101</v>
      </c>
      <c r="S5" s="9" t="s">
        <v>102</v>
      </c>
      <c r="T5" s="9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sheetPr codeName="Worksheet______71"/>
  <dimension ref="C2:R5"/>
  <sheetViews>
    <sheetView rightToLeft="1" workbookViewId="0">
      <selection activeCell="J2" sqref="J2"/>
    </sheetView>
  </sheetViews>
  <sheetFormatPr defaultRowHeight="12.75"/>
  <cols>
    <col min="9" max="9" width="11.7109375" customWidth="1"/>
    <col min="10" max="10" width="10.85546875" customWidth="1"/>
  </cols>
  <sheetData>
    <row r="2" spans="3:18" ht="23.25">
      <c r="J2" s="10" t="s">
        <v>186</v>
      </c>
    </row>
    <row r="5" spans="3:18" ht="37.5" customHeight="1">
      <c r="C5" s="4" t="s">
        <v>0</v>
      </c>
      <c r="D5" s="4" t="s">
        <v>2</v>
      </c>
      <c r="E5" s="4" t="s">
        <v>37</v>
      </c>
      <c r="F5" s="4"/>
      <c r="G5" s="4" t="s">
        <v>145</v>
      </c>
      <c r="H5" s="4" t="s">
        <v>146</v>
      </c>
      <c r="I5" s="4" t="s">
        <v>140</v>
      </c>
      <c r="J5" s="4" t="s">
        <v>147</v>
      </c>
      <c r="K5" s="4" t="s">
        <v>146</v>
      </c>
      <c r="L5" s="4" t="s">
        <v>1</v>
      </c>
      <c r="M5" s="4" t="s">
        <v>83</v>
      </c>
      <c r="N5" s="4" t="s">
        <v>151</v>
      </c>
      <c r="O5" s="4" t="s">
        <v>152</v>
      </c>
      <c r="P5" s="4" t="s">
        <v>83</v>
      </c>
      <c r="Q5" s="4" t="s">
        <v>3</v>
      </c>
      <c r="R5" s="4" t="s">
        <v>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sheetPr codeName="Worksheet______81"/>
  <dimension ref="C2:T5"/>
  <sheetViews>
    <sheetView rightToLeft="1" workbookViewId="0">
      <selection activeCell="J2" sqref="J2"/>
    </sheetView>
  </sheetViews>
  <sheetFormatPr defaultRowHeight="12.75"/>
  <sheetData>
    <row r="2" spans="3:20" ht="23.25">
      <c r="J2" s="10" t="s">
        <v>187</v>
      </c>
    </row>
    <row r="5" spans="3:20" ht="31.5">
      <c r="C5" s="4" t="s">
        <v>0</v>
      </c>
      <c r="D5" s="4" t="s">
        <v>2</v>
      </c>
      <c r="E5" s="4" t="s">
        <v>37</v>
      </c>
      <c r="F5" s="4" t="s">
        <v>83</v>
      </c>
      <c r="G5" s="4" t="s">
        <v>40</v>
      </c>
      <c r="H5" s="4" t="s">
        <v>148</v>
      </c>
      <c r="I5" s="4" t="s">
        <v>149</v>
      </c>
      <c r="J5" s="4" t="s">
        <v>150</v>
      </c>
      <c r="K5" s="4" t="s">
        <v>83</v>
      </c>
      <c r="L5" s="4" t="s">
        <v>83</v>
      </c>
      <c r="M5" s="4" t="s">
        <v>83</v>
      </c>
      <c r="N5" s="4" t="s">
        <v>83</v>
      </c>
      <c r="O5" s="4" t="s">
        <v>83</v>
      </c>
      <c r="P5" s="4" t="s">
        <v>83</v>
      </c>
      <c r="Q5" s="4" t="s">
        <v>1</v>
      </c>
      <c r="R5" s="4" t="s">
        <v>3</v>
      </c>
      <c r="S5" s="4"/>
      <c r="T5" s="4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sheetPr codeName="Worksheet______91"/>
  <dimension ref="C2:E5"/>
  <sheetViews>
    <sheetView rightToLeft="1" workbookViewId="0">
      <selection activeCell="D2" sqref="D2"/>
    </sheetView>
  </sheetViews>
  <sheetFormatPr defaultRowHeight="12.75"/>
  <cols>
    <col min="4" max="4" width="11.42578125" customWidth="1"/>
    <col min="5" max="5" width="12.7109375" customWidth="1"/>
  </cols>
  <sheetData>
    <row r="2" spans="3:5" ht="23.25">
      <c r="D2" s="10" t="s">
        <v>188</v>
      </c>
    </row>
    <row r="5" spans="3:5" ht="31.5">
      <c r="C5" s="3" t="s">
        <v>0</v>
      </c>
      <c r="D5" s="3" t="s">
        <v>2</v>
      </c>
      <c r="E5" s="3" t="s">
        <v>174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sheetPr codeName="Worksheet______8"/>
  <dimension ref="C2:I7"/>
  <sheetViews>
    <sheetView rightToLeft="1" topLeftCell="C1" workbookViewId="0">
      <selection activeCell="F2" sqref="F2"/>
    </sheetView>
  </sheetViews>
  <sheetFormatPr defaultRowHeight="12.75"/>
  <cols>
    <col min="3" max="3" width="12.7109375" customWidth="1"/>
    <col min="4" max="4" width="13.42578125" customWidth="1"/>
    <col min="5" max="5" width="15.28515625" customWidth="1"/>
    <col min="6" max="6" width="13.42578125" customWidth="1"/>
    <col min="7" max="7" width="16.140625" customWidth="1"/>
    <col min="8" max="8" width="18.42578125" customWidth="1"/>
    <col min="9" max="9" width="20.5703125" customWidth="1"/>
  </cols>
  <sheetData>
    <row r="2" spans="3:9" ht="23.25">
      <c r="F2" s="10" t="s">
        <v>189</v>
      </c>
    </row>
    <row r="4" spans="3:9" ht="13.5" thickBot="1"/>
    <row r="5" spans="3:9" ht="30.75" thickBot="1">
      <c r="C5" s="1" t="s">
        <v>2</v>
      </c>
      <c r="D5" s="1" t="s">
        <v>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</row>
    <row r="6" spans="3:9">
      <c r="C6">
        <v>1</v>
      </c>
    </row>
    <row r="7" spans="3:9">
      <c r="C7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6.xml><?xml version="1.0" encoding="utf-8"?>
<worksheet xmlns="http://schemas.openxmlformats.org/spreadsheetml/2006/main" xmlns:r="http://schemas.openxmlformats.org/officeDocument/2006/relationships">
  <sheetPr codeName="Worksheet______9"/>
  <dimension ref="C5:R5"/>
  <sheetViews>
    <sheetView rightToLeft="1" topLeftCell="C1" workbookViewId="0">
      <selection activeCell="K14" sqref="K14"/>
    </sheetView>
  </sheetViews>
  <sheetFormatPr defaultRowHeight="12.75"/>
  <cols>
    <col min="5" max="5" width="13.42578125" customWidth="1"/>
    <col min="6" max="6" width="12.5703125" customWidth="1"/>
  </cols>
  <sheetData>
    <row r="5" spans="3:18" ht="15.75">
      <c r="C5" s="2" t="s">
        <v>0</v>
      </c>
      <c r="D5" s="2" t="s">
        <v>1</v>
      </c>
      <c r="E5" s="2" t="s">
        <v>46</v>
      </c>
      <c r="F5" s="2" t="s">
        <v>47</v>
      </c>
      <c r="G5" s="2"/>
      <c r="H5" s="2" t="s">
        <v>48</v>
      </c>
      <c r="I5" s="2" t="s">
        <v>49</v>
      </c>
      <c r="J5" s="2"/>
      <c r="K5" s="2"/>
      <c r="L5" s="2" t="s">
        <v>50</v>
      </c>
      <c r="M5" s="2"/>
      <c r="N5" s="2" t="s">
        <v>51</v>
      </c>
      <c r="O5" s="2"/>
      <c r="P5" s="2" t="s">
        <v>52</v>
      </c>
      <c r="Q5" s="2"/>
      <c r="R5" s="2" t="s">
        <v>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sheetPr codeName="Worksheet______42"/>
  <dimension ref="C5:M5"/>
  <sheetViews>
    <sheetView rightToLeft="1" workbookViewId="0">
      <selection activeCell="L5" sqref="L5"/>
    </sheetView>
  </sheetViews>
  <sheetFormatPr defaultRowHeight="12.75"/>
  <cols>
    <col min="4" max="4" width="12.28515625" customWidth="1"/>
    <col min="5" max="5" width="11.85546875" customWidth="1"/>
    <col min="6" max="6" width="11.5703125" customWidth="1"/>
    <col min="7" max="7" width="11.28515625" customWidth="1"/>
    <col min="8" max="8" width="10.28515625" customWidth="1"/>
    <col min="9" max="9" width="11.7109375" customWidth="1"/>
    <col min="10" max="10" width="11" customWidth="1"/>
    <col min="11" max="11" width="11.7109375" customWidth="1"/>
    <col min="12" max="12" width="11.140625" customWidth="1"/>
    <col min="13" max="13" width="13" customWidth="1"/>
  </cols>
  <sheetData>
    <row r="5" spans="3:13" ht="31.5">
      <c r="C5" s="3" t="s">
        <v>2</v>
      </c>
      <c r="D5" s="3" t="s">
        <v>319</v>
      </c>
      <c r="E5" s="3" t="s">
        <v>309</v>
      </c>
      <c r="F5" s="3" t="s">
        <v>310</v>
      </c>
      <c r="G5" s="3" t="s">
        <v>311</v>
      </c>
      <c r="H5" s="3" t="s">
        <v>320</v>
      </c>
      <c r="I5" s="3" t="s">
        <v>321</v>
      </c>
      <c r="J5" s="3" t="s">
        <v>314</v>
      </c>
      <c r="K5" s="3" t="s">
        <v>322</v>
      </c>
      <c r="L5" s="3" t="s">
        <v>316</v>
      </c>
      <c r="M5" s="3" t="s">
        <v>317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sheetPr codeName="Worksheet______52"/>
  <dimension ref="C5:M21"/>
  <sheetViews>
    <sheetView rightToLeft="1" workbookViewId="0">
      <selection activeCell="F20" sqref="F20"/>
    </sheetView>
  </sheetViews>
  <sheetFormatPr defaultRowHeight="12.75"/>
  <sheetData>
    <row r="5" spans="3:13" ht="31.5">
      <c r="C5" s="4" t="s">
        <v>2</v>
      </c>
      <c r="D5" s="4" t="s">
        <v>319</v>
      </c>
      <c r="E5" s="4" t="s">
        <v>309</v>
      </c>
      <c r="F5" s="4" t="s">
        <v>310</v>
      </c>
      <c r="G5" s="4" t="s">
        <v>311</v>
      </c>
      <c r="H5" s="4" t="s">
        <v>320</v>
      </c>
      <c r="I5" s="4" t="s">
        <v>321</v>
      </c>
      <c r="J5" s="4" t="s">
        <v>314</v>
      </c>
      <c r="K5" s="4" t="s">
        <v>322</v>
      </c>
      <c r="L5" s="4" t="s">
        <v>316</v>
      </c>
      <c r="M5" s="4" t="s">
        <v>317</v>
      </c>
    </row>
    <row r="21" spans="11:11">
      <c r="K21" s="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sheetPr codeName="Worksheet______62"/>
  <dimension ref="C5:V5"/>
  <sheetViews>
    <sheetView rightToLeft="1" workbookViewId="0">
      <selection activeCell="K6" sqref="K6"/>
    </sheetView>
  </sheetViews>
  <sheetFormatPr defaultRowHeight="12.75"/>
  <cols>
    <col min="4" max="4" width="11.28515625" customWidth="1"/>
    <col min="5" max="5" width="15.28515625" customWidth="1"/>
    <col min="7" max="7" width="13.28515625" customWidth="1"/>
    <col min="8" max="8" width="16" customWidth="1"/>
    <col min="10" max="10" width="12.140625" customWidth="1"/>
    <col min="17" max="17" width="17.140625" customWidth="1"/>
    <col min="18" max="18" width="12.7109375" customWidth="1"/>
    <col min="20" max="20" width="23.28515625" customWidth="1"/>
  </cols>
  <sheetData>
    <row r="5" spans="3:22" ht="47.25">
      <c r="C5" s="4" t="s">
        <v>0</v>
      </c>
      <c r="D5" s="4" t="s">
        <v>2</v>
      </c>
      <c r="E5" s="4" t="s">
        <v>37</v>
      </c>
      <c r="F5" s="4" t="s">
        <v>83</v>
      </c>
      <c r="G5" s="4" t="s">
        <v>62</v>
      </c>
      <c r="H5" s="4" t="s">
        <v>291</v>
      </c>
      <c r="I5" s="4" t="s">
        <v>323</v>
      </c>
      <c r="J5" s="4" t="s">
        <v>324</v>
      </c>
      <c r="K5" s="4" t="s">
        <v>63</v>
      </c>
      <c r="L5" s="4" t="s">
        <v>325</v>
      </c>
      <c r="M5" s="4" t="s">
        <v>326</v>
      </c>
      <c r="N5" s="4" t="s">
        <v>327</v>
      </c>
      <c r="O5" s="4" t="s">
        <v>328</v>
      </c>
      <c r="P5" s="4" t="s">
        <v>329</v>
      </c>
      <c r="Q5" s="4" t="s">
        <v>291</v>
      </c>
      <c r="R5" s="4" t="s">
        <v>324</v>
      </c>
      <c r="S5" s="4" t="s">
        <v>323</v>
      </c>
      <c r="T5" s="4" t="s">
        <v>330</v>
      </c>
      <c r="U5" s="4" t="s">
        <v>1</v>
      </c>
      <c r="V5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Worksheet______113"/>
  <dimension ref="A1:M51"/>
  <sheetViews>
    <sheetView rightToLeft="1" workbookViewId="0">
      <selection activeCell="O44" sqref="O44"/>
    </sheetView>
  </sheetViews>
  <sheetFormatPr defaultRowHeight="12.75"/>
  <cols>
    <col min="1" max="1" width="9.140625" style="937"/>
    <col min="2" max="2" width="14" style="937" customWidth="1"/>
    <col min="3" max="3" width="10.28515625" style="937" customWidth="1"/>
    <col min="4" max="4" width="11.28515625" style="937" customWidth="1"/>
    <col min="5" max="6" width="9.5703125" style="937" customWidth="1"/>
    <col min="7" max="7" width="13.140625" style="937" customWidth="1"/>
    <col min="8" max="11" width="9.140625" style="937"/>
    <col min="13" max="13" width="9.140625" style="997"/>
    <col min="14" max="16384" width="9.140625" style="937"/>
  </cols>
  <sheetData>
    <row r="1" spans="1:13" ht="35.25">
      <c r="B1" s="934"/>
      <c r="C1" s="934"/>
      <c r="D1" s="934"/>
      <c r="E1" s="935"/>
      <c r="F1" s="935"/>
      <c r="G1" s="935"/>
      <c r="H1" s="936" t="s">
        <v>492</v>
      </c>
      <c r="I1" s="935"/>
      <c r="K1" s="935"/>
    </row>
    <row r="2" spans="1:13" ht="18.75">
      <c r="B2" s="938"/>
      <c r="C2" s="938"/>
      <c r="D2" s="938"/>
      <c r="E2" s="939"/>
      <c r="F2" s="939"/>
      <c r="G2" s="939"/>
      <c r="H2" s="943"/>
      <c r="I2" s="943"/>
      <c r="J2" s="943"/>
      <c r="K2" s="943"/>
    </row>
    <row r="3" spans="1:13" ht="18.75">
      <c r="B3" s="938"/>
      <c r="C3" s="938"/>
      <c r="D3" s="938"/>
      <c r="E3" s="943"/>
      <c r="F3" s="943"/>
      <c r="G3" s="943"/>
      <c r="H3" s="943"/>
      <c r="I3" s="943"/>
      <c r="J3" s="943"/>
      <c r="K3" s="943"/>
    </row>
    <row r="4" spans="1:13" ht="13.5" thickBot="1">
      <c r="B4" s="946"/>
      <c r="C4" s="946"/>
      <c r="D4" s="946"/>
      <c r="E4" s="947"/>
      <c r="F4" s="947"/>
      <c r="G4" s="947"/>
      <c r="H4" s="947"/>
      <c r="I4" s="947"/>
      <c r="J4" s="947"/>
      <c r="K4" s="947"/>
    </row>
    <row r="5" spans="1:13" ht="75.75" thickBot="1">
      <c r="A5" s="992" t="s">
        <v>0</v>
      </c>
      <c r="B5" s="953" t="s">
        <v>497</v>
      </c>
      <c r="C5" s="990" t="s">
        <v>1083</v>
      </c>
      <c r="D5" s="990" t="s">
        <v>1084</v>
      </c>
      <c r="E5" s="954" t="s">
        <v>1064</v>
      </c>
      <c r="F5" s="955" t="s">
        <v>1071</v>
      </c>
      <c r="G5" s="957" t="s">
        <v>254</v>
      </c>
      <c r="H5" s="957" t="s">
        <v>314</v>
      </c>
      <c r="I5" s="957" t="s">
        <v>317</v>
      </c>
      <c r="J5" s="957" t="s">
        <v>1030</v>
      </c>
      <c r="K5" s="957" t="s">
        <v>1031</v>
      </c>
      <c r="M5" s="996" t="s">
        <v>1111</v>
      </c>
    </row>
    <row r="6" spans="1:13" ht="18.75">
      <c r="A6" s="993" t="str">
        <f>IF(main!A9&gt;0,main!A9,"")</f>
        <v/>
      </c>
      <c r="B6" s="958" t="str">
        <f>IF(main!B9&gt;0,main!B9,"")</f>
        <v/>
      </c>
      <c r="C6" s="958"/>
      <c r="D6" s="958"/>
      <c r="E6" s="958">
        <f>main!EC9</f>
        <v>0</v>
      </c>
      <c r="F6" s="958">
        <f>main!DW9</f>
        <v>0</v>
      </c>
      <c r="G6" s="958">
        <f>main!CS9</f>
        <v>0</v>
      </c>
      <c r="H6" s="958">
        <f>main!CX9</f>
        <v>0</v>
      </c>
      <c r="I6" s="958">
        <f>main!DA9</f>
        <v>0</v>
      </c>
      <c r="J6" s="958">
        <f>main!DQ9</f>
        <v>0</v>
      </c>
      <c r="K6" s="958">
        <f>main!DN9</f>
        <v>0</v>
      </c>
      <c r="L6" s="1005"/>
      <c r="M6" s="1006">
        <f>main!DS9</f>
        <v>0</v>
      </c>
    </row>
    <row r="7" spans="1:13" ht="18.75">
      <c r="A7" s="993" t="str">
        <f>IF(main!A10&gt;0,main!A10,"")</f>
        <v/>
      </c>
      <c r="B7" s="958" t="str">
        <f>IF(main!B10&gt;0,main!B10,"")</f>
        <v/>
      </c>
      <c r="C7" s="958"/>
      <c r="D7" s="958"/>
      <c r="E7" s="958">
        <f>main!EC10</f>
        <v>0</v>
      </c>
      <c r="F7" s="958">
        <f>main!DW10</f>
        <v>0</v>
      </c>
      <c r="G7" s="958">
        <f>main!CS10</f>
        <v>0</v>
      </c>
      <c r="H7" s="958">
        <f>main!CX10</f>
        <v>0</v>
      </c>
      <c r="I7" s="958">
        <f>main!DA10</f>
        <v>0</v>
      </c>
      <c r="J7" s="958">
        <f>main!DQ10</f>
        <v>0</v>
      </c>
      <c r="K7" s="958">
        <f>main!DN10</f>
        <v>0</v>
      </c>
      <c r="L7" s="1005"/>
      <c r="M7" s="1006">
        <f>main!DS10</f>
        <v>0</v>
      </c>
    </row>
    <row r="8" spans="1:13" ht="18.75">
      <c r="A8" s="993" t="str">
        <f>IF(main!A11&gt;0,main!A11,"")</f>
        <v/>
      </c>
      <c r="B8" s="958" t="str">
        <f>IF(main!B11&gt;0,main!B11,"")</f>
        <v/>
      </c>
      <c r="C8" s="958"/>
      <c r="D8" s="958"/>
      <c r="E8" s="958">
        <f>main!EC11</f>
        <v>0</v>
      </c>
      <c r="F8" s="958">
        <f>main!DW11</f>
        <v>0</v>
      </c>
      <c r="G8" s="958">
        <f>main!CS11</f>
        <v>0</v>
      </c>
      <c r="H8" s="958">
        <f>main!CX11</f>
        <v>0</v>
      </c>
      <c r="I8" s="958">
        <f>main!DA11</f>
        <v>0</v>
      </c>
      <c r="J8" s="958">
        <f>main!DQ11</f>
        <v>0</v>
      </c>
      <c r="K8" s="958">
        <f>main!DN11</f>
        <v>0</v>
      </c>
      <c r="L8" s="1005"/>
      <c r="M8" s="1006">
        <f>main!DS11</f>
        <v>0</v>
      </c>
    </row>
    <row r="9" spans="1:13" ht="18.75">
      <c r="A9" s="993" t="str">
        <f>IF(main!A12&gt;0,main!A12,"")</f>
        <v/>
      </c>
      <c r="B9" s="958" t="str">
        <f>IF(main!B12&gt;0,main!B12,"")</f>
        <v/>
      </c>
      <c r="C9" s="958"/>
      <c r="D9" s="958"/>
      <c r="E9" s="958">
        <f>main!EC12</f>
        <v>0</v>
      </c>
      <c r="F9" s="958">
        <f>main!DW12</f>
        <v>0</v>
      </c>
      <c r="G9" s="958">
        <f>main!CS12</f>
        <v>0</v>
      </c>
      <c r="H9" s="958">
        <f>main!CX12</f>
        <v>0</v>
      </c>
      <c r="I9" s="958">
        <f>main!DA12</f>
        <v>0</v>
      </c>
      <c r="J9" s="958">
        <f>main!DQ12</f>
        <v>0</v>
      </c>
      <c r="K9" s="958">
        <f>main!DN12</f>
        <v>0</v>
      </c>
      <c r="L9" s="1005"/>
      <c r="M9" s="1006">
        <f>main!DS12</f>
        <v>0</v>
      </c>
    </row>
    <row r="10" spans="1:13" ht="18.75">
      <c r="A10" s="993" t="str">
        <f>IF(main!A13&gt;0,main!A13,"")</f>
        <v/>
      </c>
      <c r="B10" s="958" t="str">
        <f>IF(main!B13&gt;0,main!B13,"")</f>
        <v/>
      </c>
      <c r="C10" s="958"/>
      <c r="D10" s="958"/>
      <c r="E10" s="958">
        <f>main!EC13</f>
        <v>0</v>
      </c>
      <c r="F10" s="958">
        <f>main!DW13</f>
        <v>0</v>
      </c>
      <c r="G10" s="958">
        <f>main!CS13</f>
        <v>0</v>
      </c>
      <c r="H10" s="958">
        <f>main!CX13</f>
        <v>0</v>
      </c>
      <c r="I10" s="958">
        <f>main!DA13</f>
        <v>0</v>
      </c>
      <c r="J10" s="958">
        <f>main!DQ13</f>
        <v>0</v>
      </c>
      <c r="K10" s="958">
        <f>main!DN13</f>
        <v>0</v>
      </c>
      <c r="L10" s="1005"/>
      <c r="M10" s="1006">
        <f>main!DS13</f>
        <v>0</v>
      </c>
    </row>
    <row r="11" spans="1:13" ht="18.75">
      <c r="A11" s="993" t="str">
        <f>IF(main!A14&gt;0,main!A14,"")</f>
        <v/>
      </c>
      <c r="B11" s="958" t="str">
        <f>IF(main!B14&gt;0,main!B14,"")</f>
        <v/>
      </c>
      <c r="C11" s="958"/>
      <c r="D11" s="958"/>
      <c r="E11" s="958">
        <f>main!EC14</f>
        <v>0</v>
      </c>
      <c r="F11" s="958">
        <f>main!DW14</f>
        <v>0</v>
      </c>
      <c r="G11" s="958">
        <f>main!CS14</f>
        <v>0</v>
      </c>
      <c r="H11" s="958">
        <f>main!CX14</f>
        <v>0</v>
      </c>
      <c r="I11" s="958">
        <f>main!DA14</f>
        <v>0</v>
      </c>
      <c r="J11" s="958">
        <f>main!DQ14</f>
        <v>0</v>
      </c>
      <c r="K11" s="958">
        <f>main!DN14</f>
        <v>0</v>
      </c>
      <c r="L11" s="1005"/>
      <c r="M11" s="1006">
        <f>main!DS14</f>
        <v>0</v>
      </c>
    </row>
    <row r="12" spans="1:13" ht="18.75">
      <c r="A12" s="993" t="str">
        <f>IF(main!A15&gt;0,main!A15,"")</f>
        <v/>
      </c>
      <c r="B12" s="958" t="str">
        <f>IF(main!B15&gt;0,main!B15,"")</f>
        <v/>
      </c>
      <c r="C12" s="958"/>
      <c r="D12" s="958"/>
      <c r="E12" s="958">
        <f>main!EC15</f>
        <v>0</v>
      </c>
      <c r="F12" s="958">
        <f>main!DW15</f>
        <v>0</v>
      </c>
      <c r="G12" s="958">
        <f>main!CS15</f>
        <v>0</v>
      </c>
      <c r="H12" s="958">
        <f>main!CX15</f>
        <v>0</v>
      </c>
      <c r="I12" s="958">
        <f>main!DA15</f>
        <v>0</v>
      </c>
      <c r="J12" s="958">
        <f>main!DQ15</f>
        <v>0</v>
      </c>
      <c r="K12" s="958">
        <f>main!DN15</f>
        <v>0</v>
      </c>
      <c r="L12" s="1005"/>
      <c r="M12" s="1006">
        <f>main!DS15</f>
        <v>0</v>
      </c>
    </row>
    <row r="13" spans="1:13" ht="18.75">
      <c r="A13" s="993" t="str">
        <f>IF(main!A16&gt;0,main!A16,"")</f>
        <v/>
      </c>
      <c r="B13" s="958" t="str">
        <f>IF(main!B16&gt;0,main!B16,"")</f>
        <v/>
      </c>
      <c r="C13" s="958"/>
      <c r="D13" s="958"/>
      <c r="E13" s="958">
        <f>main!EC16</f>
        <v>0</v>
      </c>
      <c r="F13" s="958">
        <f>main!DW16</f>
        <v>0</v>
      </c>
      <c r="G13" s="958">
        <f>main!CS16</f>
        <v>0</v>
      </c>
      <c r="H13" s="958">
        <f>main!CX16</f>
        <v>0</v>
      </c>
      <c r="I13" s="958">
        <f>main!DA16</f>
        <v>0</v>
      </c>
      <c r="J13" s="958">
        <f>main!DQ16</f>
        <v>0</v>
      </c>
      <c r="K13" s="958">
        <f>main!DN16</f>
        <v>0</v>
      </c>
      <c r="L13" s="1005"/>
      <c r="M13" s="1006">
        <f>main!DS16</f>
        <v>0</v>
      </c>
    </row>
    <row r="14" spans="1:13" ht="18.75">
      <c r="A14" s="993" t="str">
        <f>IF(main!A17&gt;0,main!A17,"")</f>
        <v/>
      </c>
      <c r="B14" s="958" t="str">
        <f>IF(main!B17&gt;0,main!B17,"")</f>
        <v/>
      </c>
      <c r="C14" s="958"/>
      <c r="D14" s="958"/>
      <c r="E14" s="958">
        <f>main!EC17</f>
        <v>0</v>
      </c>
      <c r="F14" s="958">
        <f>main!DW17</f>
        <v>0</v>
      </c>
      <c r="G14" s="958">
        <f>main!CS17</f>
        <v>0</v>
      </c>
      <c r="H14" s="958">
        <f>main!CX17</f>
        <v>0</v>
      </c>
      <c r="I14" s="958">
        <f>main!DA17</f>
        <v>0</v>
      </c>
      <c r="J14" s="958">
        <f>main!DQ17</f>
        <v>0</v>
      </c>
      <c r="K14" s="958">
        <f>main!DN17</f>
        <v>0</v>
      </c>
      <c r="L14" s="1005"/>
      <c r="M14" s="1006">
        <f>main!DS17</f>
        <v>0</v>
      </c>
    </row>
    <row r="15" spans="1:13" ht="18.75">
      <c r="A15" s="993" t="str">
        <f>IF(main!A18&gt;0,main!A18,"")</f>
        <v/>
      </c>
      <c r="B15" s="958" t="str">
        <f>IF(main!B18&gt;0,main!B18,"")</f>
        <v/>
      </c>
      <c r="C15" s="958"/>
      <c r="D15" s="958"/>
      <c r="E15" s="958">
        <f>main!EC18</f>
        <v>0</v>
      </c>
      <c r="F15" s="958">
        <f>main!DW18</f>
        <v>0</v>
      </c>
      <c r="G15" s="958">
        <f>main!CS18</f>
        <v>0</v>
      </c>
      <c r="H15" s="958">
        <f>main!CX18</f>
        <v>0</v>
      </c>
      <c r="I15" s="958">
        <f>main!DA18</f>
        <v>0</v>
      </c>
      <c r="J15" s="958">
        <f>main!DQ18</f>
        <v>0</v>
      </c>
      <c r="K15" s="958">
        <f>main!DN18</f>
        <v>0</v>
      </c>
      <c r="L15" s="1005"/>
      <c r="M15" s="1006">
        <f>main!DS18</f>
        <v>0</v>
      </c>
    </row>
    <row r="16" spans="1:13" ht="18.75">
      <c r="A16" s="993" t="str">
        <f>IF(main!A19&gt;0,main!A19,"")</f>
        <v/>
      </c>
      <c r="B16" s="958" t="str">
        <f>IF(main!B19&gt;0,main!B19,"")</f>
        <v/>
      </c>
      <c r="C16" s="958"/>
      <c r="D16" s="958"/>
      <c r="E16" s="958">
        <f>main!EC19</f>
        <v>0</v>
      </c>
      <c r="F16" s="958">
        <f>main!DW19</f>
        <v>0</v>
      </c>
      <c r="G16" s="958">
        <f>main!CS19</f>
        <v>0</v>
      </c>
      <c r="H16" s="958">
        <f>main!CX19</f>
        <v>0</v>
      </c>
      <c r="I16" s="958">
        <f>main!DA19</f>
        <v>0</v>
      </c>
      <c r="J16" s="958">
        <f>main!DQ19</f>
        <v>0</v>
      </c>
      <c r="K16" s="958">
        <f>main!DN19</f>
        <v>0</v>
      </c>
      <c r="L16" s="1005"/>
      <c r="M16" s="1006">
        <f>main!DS19</f>
        <v>0</v>
      </c>
    </row>
    <row r="17" spans="1:13" ht="18.75">
      <c r="A17" s="993" t="str">
        <f>IF(main!A20&gt;0,main!A20,"")</f>
        <v/>
      </c>
      <c r="B17" s="958" t="str">
        <f>IF(main!B20&gt;0,main!B20,"")</f>
        <v/>
      </c>
      <c r="C17" s="958"/>
      <c r="D17" s="958"/>
      <c r="E17" s="958">
        <f>main!EC20</f>
        <v>0</v>
      </c>
      <c r="F17" s="958">
        <f>main!DW20</f>
        <v>0</v>
      </c>
      <c r="G17" s="958">
        <f>main!CS20</f>
        <v>0</v>
      </c>
      <c r="H17" s="958">
        <f>main!CX20</f>
        <v>0</v>
      </c>
      <c r="I17" s="958">
        <f>main!DA20</f>
        <v>0</v>
      </c>
      <c r="J17" s="958">
        <f>main!DQ20</f>
        <v>0</v>
      </c>
      <c r="K17" s="958">
        <f>main!DN20</f>
        <v>0</v>
      </c>
      <c r="L17" s="1005"/>
      <c r="M17" s="1006">
        <f>main!DS20</f>
        <v>0</v>
      </c>
    </row>
    <row r="18" spans="1:13" ht="18.75">
      <c r="A18" s="993" t="str">
        <f>IF(main!A21&gt;0,main!A21,"")</f>
        <v/>
      </c>
      <c r="B18" s="958" t="str">
        <f>IF(main!B21&gt;0,main!B21,"")</f>
        <v/>
      </c>
      <c r="C18" s="958"/>
      <c r="D18" s="958"/>
      <c r="E18" s="958">
        <f>main!EC21</f>
        <v>0</v>
      </c>
      <c r="F18" s="958">
        <f>main!DW21</f>
        <v>0</v>
      </c>
      <c r="G18" s="958">
        <f>main!CS21</f>
        <v>0</v>
      </c>
      <c r="H18" s="958">
        <f>main!CX21</f>
        <v>0</v>
      </c>
      <c r="I18" s="958">
        <f>main!DA21</f>
        <v>0</v>
      </c>
      <c r="J18" s="958">
        <f>main!DQ21</f>
        <v>0</v>
      </c>
      <c r="K18" s="958">
        <f>main!DN21</f>
        <v>0</v>
      </c>
      <c r="L18" s="1005"/>
      <c r="M18" s="1006">
        <f>main!DS21</f>
        <v>0</v>
      </c>
    </row>
    <row r="19" spans="1:13" ht="18.75">
      <c r="A19" s="993" t="str">
        <f>IF(main!A22&gt;0,main!A22,"")</f>
        <v/>
      </c>
      <c r="B19" s="958" t="str">
        <f>IF(main!B22&gt;0,main!B22,"")</f>
        <v/>
      </c>
      <c r="C19" s="958"/>
      <c r="D19" s="958"/>
      <c r="E19" s="958">
        <f>main!EC22</f>
        <v>0</v>
      </c>
      <c r="F19" s="958">
        <f>main!DW22</f>
        <v>0</v>
      </c>
      <c r="G19" s="958">
        <f>main!CS22</f>
        <v>0</v>
      </c>
      <c r="H19" s="958">
        <f>main!CX22</f>
        <v>0</v>
      </c>
      <c r="I19" s="958">
        <f>main!DA22</f>
        <v>0</v>
      </c>
      <c r="J19" s="958">
        <f>main!DQ22</f>
        <v>0</v>
      </c>
      <c r="K19" s="958">
        <f>main!DN22</f>
        <v>0</v>
      </c>
      <c r="L19" s="1005"/>
      <c r="M19" s="1006">
        <f>main!DS22</f>
        <v>0</v>
      </c>
    </row>
    <row r="20" spans="1:13" ht="18.75">
      <c r="A20" s="993" t="str">
        <f>IF(main!A23&gt;0,main!A23,"")</f>
        <v/>
      </c>
      <c r="B20" s="958" t="str">
        <f>IF(main!B23&gt;0,main!B23,"")</f>
        <v/>
      </c>
      <c r="C20" s="958"/>
      <c r="D20" s="958"/>
      <c r="E20" s="958">
        <f>main!EC23</f>
        <v>0</v>
      </c>
      <c r="F20" s="958">
        <f>main!DW23</f>
        <v>0</v>
      </c>
      <c r="G20" s="958">
        <f>main!CS23</f>
        <v>0</v>
      </c>
      <c r="H20" s="958">
        <f>main!CX23</f>
        <v>0</v>
      </c>
      <c r="I20" s="958">
        <f>main!DA23</f>
        <v>0</v>
      </c>
      <c r="J20" s="958">
        <f>main!DQ23</f>
        <v>0</v>
      </c>
      <c r="K20" s="958">
        <f>main!DN23</f>
        <v>0</v>
      </c>
      <c r="L20" s="1005"/>
      <c r="M20" s="1006">
        <f>main!DS23</f>
        <v>0</v>
      </c>
    </row>
    <row r="21" spans="1:13" ht="18.75">
      <c r="A21" s="993" t="str">
        <f>IF(main!A24&gt;0,main!A24,"")</f>
        <v/>
      </c>
      <c r="B21" s="958" t="str">
        <f>IF(main!B24&gt;0,main!B24,"")</f>
        <v/>
      </c>
      <c r="C21" s="958"/>
      <c r="D21" s="958"/>
      <c r="E21" s="958">
        <f>main!EC24</f>
        <v>0</v>
      </c>
      <c r="F21" s="958">
        <f>main!DW24</f>
        <v>0</v>
      </c>
      <c r="G21" s="958">
        <f>main!CS24</f>
        <v>0</v>
      </c>
      <c r="H21" s="958">
        <f>main!CX24</f>
        <v>0</v>
      </c>
      <c r="I21" s="958">
        <f>main!DA24</f>
        <v>0</v>
      </c>
      <c r="J21" s="958">
        <f>main!DQ24</f>
        <v>0</v>
      </c>
      <c r="K21" s="958">
        <f>main!DN24</f>
        <v>0</v>
      </c>
      <c r="L21" s="1005"/>
      <c r="M21" s="1006">
        <f>main!DS24</f>
        <v>0</v>
      </c>
    </row>
    <row r="22" spans="1:13" ht="18.75">
      <c r="A22" s="993" t="str">
        <f>IF(main!A25&gt;0,main!A25,"")</f>
        <v/>
      </c>
      <c r="B22" s="958" t="str">
        <f>IF(main!B25&gt;0,main!B25,"")</f>
        <v/>
      </c>
      <c r="C22" s="958"/>
      <c r="D22" s="958"/>
      <c r="E22" s="958">
        <f>main!EC25</f>
        <v>0</v>
      </c>
      <c r="F22" s="958">
        <f>main!DW25</f>
        <v>0</v>
      </c>
      <c r="G22" s="958">
        <f>main!CS25</f>
        <v>0</v>
      </c>
      <c r="H22" s="958">
        <f>main!CX25</f>
        <v>0</v>
      </c>
      <c r="I22" s="958">
        <f>main!DA25</f>
        <v>0</v>
      </c>
      <c r="J22" s="958">
        <f>main!DQ25</f>
        <v>0</v>
      </c>
      <c r="K22" s="958">
        <f>main!DN25</f>
        <v>0</v>
      </c>
      <c r="L22" s="1005"/>
      <c r="M22" s="1006">
        <f>main!DS25</f>
        <v>0</v>
      </c>
    </row>
    <row r="23" spans="1:13" ht="18.75">
      <c r="A23" s="993" t="str">
        <f>IF(main!A26&gt;0,main!A26,"")</f>
        <v/>
      </c>
      <c r="B23" s="958" t="str">
        <f>IF(main!B26&gt;0,main!B26,"")</f>
        <v/>
      </c>
      <c r="C23" s="958"/>
      <c r="D23" s="958"/>
      <c r="E23" s="958">
        <f>main!EC26</f>
        <v>0</v>
      </c>
      <c r="F23" s="958">
        <f>main!DW26</f>
        <v>0</v>
      </c>
      <c r="G23" s="958">
        <f>main!CS26</f>
        <v>0</v>
      </c>
      <c r="H23" s="958">
        <f>main!CX26</f>
        <v>0</v>
      </c>
      <c r="I23" s="958">
        <f>main!DA26</f>
        <v>0</v>
      </c>
      <c r="J23" s="958">
        <f>main!DQ26</f>
        <v>0</v>
      </c>
      <c r="K23" s="958">
        <f>main!DN26</f>
        <v>0</v>
      </c>
      <c r="L23" s="1005"/>
      <c r="M23" s="1006">
        <f>main!DS26</f>
        <v>0</v>
      </c>
    </row>
    <row r="24" spans="1:13" ht="18.75">
      <c r="A24" s="993" t="str">
        <f>IF(main!A27&gt;0,main!A27,"")</f>
        <v/>
      </c>
      <c r="B24" s="958" t="str">
        <f>IF(main!B27&gt;0,main!B27,"")</f>
        <v/>
      </c>
      <c r="C24" s="958"/>
      <c r="D24" s="958"/>
      <c r="E24" s="958">
        <f>main!EC27</f>
        <v>0</v>
      </c>
      <c r="F24" s="958">
        <f>main!DW27</f>
        <v>0</v>
      </c>
      <c r="G24" s="958">
        <f>main!CS27</f>
        <v>0</v>
      </c>
      <c r="H24" s="958">
        <f>main!CX27</f>
        <v>0</v>
      </c>
      <c r="I24" s="958">
        <f>main!DA27</f>
        <v>0</v>
      </c>
      <c r="J24" s="958">
        <f>main!DQ27</f>
        <v>0</v>
      </c>
      <c r="K24" s="958">
        <f>main!DN27</f>
        <v>0</v>
      </c>
      <c r="L24" s="1005"/>
      <c r="M24" s="1006">
        <f>main!DS27</f>
        <v>0</v>
      </c>
    </row>
    <row r="25" spans="1:13" ht="18.75">
      <c r="A25" s="993" t="str">
        <f>IF(main!A28&gt;0,main!A28,"")</f>
        <v/>
      </c>
      <c r="B25" s="958" t="str">
        <f>IF(main!B28&gt;0,main!B28,"")</f>
        <v/>
      </c>
      <c r="C25" s="958"/>
      <c r="D25" s="958"/>
      <c r="E25" s="958">
        <f>main!EC28</f>
        <v>0</v>
      </c>
      <c r="F25" s="958">
        <f>main!DW28</f>
        <v>0</v>
      </c>
      <c r="G25" s="958">
        <f>main!CS28</f>
        <v>0</v>
      </c>
      <c r="H25" s="958">
        <f>main!CX28</f>
        <v>0</v>
      </c>
      <c r="I25" s="958">
        <f>main!DA28</f>
        <v>0</v>
      </c>
      <c r="J25" s="958">
        <f>main!DQ28</f>
        <v>0</v>
      </c>
      <c r="K25" s="958">
        <f>main!DN28</f>
        <v>0</v>
      </c>
      <c r="L25" s="1005"/>
      <c r="M25" s="1006">
        <f>main!DS28</f>
        <v>0</v>
      </c>
    </row>
    <row r="26" spans="1:13" ht="18.75">
      <c r="A26" s="993" t="str">
        <f>IF(main!A29&gt;0,main!A29,"")</f>
        <v/>
      </c>
      <c r="B26" s="958" t="str">
        <f>IF(main!B29&gt;0,main!B29,"")</f>
        <v/>
      </c>
      <c r="C26" s="958"/>
      <c r="D26" s="958"/>
      <c r="E26" s="958">
        <f>main!EC29</f>
        <v>0</v>
      </c>
      <c r="F26" s="958">
        <f>main!DW29</f>
        <v>0</v>
      </c>
      <c r="G26" s="958">
        <f>main!CS29</f>
        <v>0</v>
      </c>
      <c r="H26" s="958">
        <f>main!CX29</f>
        <v>0</v>
      </c>
      <c r="I26" s="958">
        <f>main!DA29</f>
        <v>0</v>
      </c>
      <c r="J26" s="958">
        <f>main!DQ29</f>
        <v>0</v>
      </c>
      <c r="K26" s="958">
        <f>main!DN29</f>
        <v>0</v>
      </c>
      <c r="L26" s="1005"/>
      <c r="M26" s="1006">
        <f>main!DS29</f>
        <v>0</v>
      </c>
    </row>
    <row r="27" spans="1:13" ht="18.75">
      <c r="A27" s="993" t="str">
        <f>IF(main!A30&gt;0,main!A30,"")</f>
        <v/>
      </c>
      <c r="B27" s="958" t="str">
        <f>IF(main!B30&gt;0,main!B30,"")</f>
        <v/>
      </c>
      <c r="C27" s="958"/>
      <c r="D27" s="958"/>
      <c r="E27" s="958">
        <f>main!EC30</f>
        <v>0</v>
      </c>
      <c r="F27" s="958">
        <f>main!DW30</f>
        <v>0</v>
      </c>
      <c r="G27" s="958">
        <f>main!CS30</f>
        <v>0</v>
      </c>
      <c r="H27" s="958">
        <f>main!CX30</f>
        <v>0</v>
      </c>
      <c r="I27" s="958">
        <f>main!DA30</f>
        <v>0</v>
      </c>
      <c r="J27" s="958">
        <f>main!DQ30</f>
        <v>0</v>
      </c>
      <c r="K27" s="958">
        <f>main!DN30</f>
        <v>0</v>
      </c>
      <c r="L27" s="1005"/>
      <c r="M27" s="1006">
        <f>main!DS30</f>
        <v>0</v>
      </c>
    </row>
    <row r="28" spans="1:13" ht="18.75">
      <c r="A28" s="993" t="str">
        <f>IF(main!A31&gt;0,main!A31,"")</f>
        <v/>
      </c>
      <c r="B28" s="958" t="str">
        <f>IF(main!B31&gt;0,main!B31,"")</f>
        <v/>
      </c>
      <c r="C28" s="958"/>
      <c r="D28" s="958"/>
      <c r="E28" s="958">
        <f>main!EC31</f>
        <v>0</v>
      </c>
      <c r="F28" s="958">
        <f>main!DW31</f>
        <v>0</v>
      </c>
      <c r="G28" s="958">
        <f>main!CS31</f>
        <v>0</v>
      </c>
      <c r="H28" s="958">
        <f>main!CX31</f>
        <v>0</v>
      </c>
      <c r="I28" s="958">
        <f>main!DA31</f>
        <v>0</v>
      </c>
      <c r="J28" s="958">
        <f>main!DQ31</f>
        <v>0</v>
      </c>
      <c r="K28" s="958">
        <f>main!DN31</f>
        <v>0</v>
      </c>
      <c r="L28" s="1005"/>
      <c r="M28" s="1006">
        <f>main!DS31</f>
        <v>0</v>
      </c>
    </row>
    <row r="29" spans="1:13" ht="18.75">
      <c r="A29" s="993" t="str">
        <f>IF(main!A32&gt;0,main!A32,"")</f>
        <v/>
      </c>
      <c r="B29" s="958" t="str">
        <f>IF(main!B32&gt;0,main!B32,"")</f>
        <v/>
      </c>
      <c r="C29" s="958"/>
      <c r="D29" s="958"/>
      <c r="E29" s="958">
        <f>main!EC32</f>
        <v>0</v>
      </c>
      <c r="F29" s="958">
        <f>main!DW32</f>
        <v>0</v>
      </c>
      <c r="G29" s="958">
        <f>main!CS32</f>
        <v>0</v>
      </c>
      <c r="H29" s="958">
        <f>main!CX32</f>
        <v>0</v>
      </c>
      <c r="I29" s="958">
        <f>main!DA32</f>
        <v>0</v>
      </c>
      <c r="J29" s="958">
        <f>main!DQ32</f>
        <v>0</v>
      </c>
      <c r="K29" s="958">
        <f>main!DN32</f>
        <v>0</v>
      </c>
      <c r="L29" s="1005"/>
      <c r="M29" s="1006">
        <f>main!DS32</f>
        <v>0</v>
      </c>
    </row>
    <row r="30" spans="1:13" ht="18.75">
      <c r="A30" s="993" t="str">
        <f>IF(main!A33&gt;0,main!A33,"")</f>
        <v/>
      </c>
      <c r="B30" s="958" t="str">
        <f>IF(main!B33&gt;0,main!B33,"")</f>
        <v/>
      </c>
      <c r="C30" s="958"/>
      <c r="D30" s="958"/>
      <c r="E30" s="958">
        <f>main!EC33</f>
        <v>0</v>
      </c>
      <c r="F30" s="958">
        <f>main!DW33</f>
        <v>0</v>
      </c>
      <c r="G30" s="958">
        <f>main!CS33</f>
        <v>0</v>
      </c>
      <c r="H30" s="958">
        <f>main!CX33</f>
        <v>0</v>
      </c>
      <c r="I30" s="958">
        <f>main!DA33</f>
        <v>0</v>
      </c>
      <c r="J30" s="958">
        <f>main!DQ33</f>
        <v>0</v>
      </c>
      <c r="K30" s="958">
        <f>main!DN33</f>
        <v>0</v>
      </c>
      <c r="L30" s="1005"/>
      <c r="M30" s="1006">
        <f>main!DS33</f>
        <v>0</v>
      </c>
    </row>
    <row r="31" spans="1:13" ht="18.75">
      <c r="A31" s="993" t="str">
        <f>IF(main!A34&gt;0,main!A34,"")</f>
        <v/>
      </c>
      <c r="B31" s="958" t="str">
        <f>IF(main!B34&gt;0,main!B34,"")</f>
        <v/>
      </c>
      <c r="C31" s="958"/>
      <c r="D31" s="958"/>
      <c r="E31" s="958">
        <f>main!EC34</f>
        <v>0</v>
      </c>
      <c r="F31" s="958">
        <f>main!DW34</f>
        <v>0</v>
      </c>
      <c r="G31" s="958">
        <f>main!CS34</f>
        <v>0</v>
      </c>
      <c r="H31" s="958">
        <f>main!CX34</f>
        <v>0</v>
      </c>
      <c r="I31" s="958">
        <f>main!DA34</f>
        <v>0</v>
      </c>
      <c r="J31" s="958">
        <f>main!DQ34</f>
        <v>0</v>
      </c>
      <c r="K31" s="958">
        <f>main!DN34</f>
        <v>0</v>
      </c>
      <c r="L31" s="1005"/>
      <c r="M31" s="1006">
        <f>main!DS34</f>
        <v>0</v>
      </c>
    </row>
    <row r="32" spans="1:13" ht="18.75">
      <c r="A32" s="993" t="str">
        <f>IF(main!A35&gt;0,main!A35,"")</f>
        <v/>
      </c>
      <c r="B32" s="958" t="str">
        <f>IF(main!B35&gt;0,main!B35,"")</f>
        <v/>
      </c>
      <c r="C32" s="958"/>
      <c r="D32" s="958"/>
      <c r="E32" s="958">
        <f>main!EC35</f>
        <v>0</v>
      </c>
      <c r="F32" s="958">
        <f>main!DW35</f>
        <v>0</v>
      </c>
      <c r="G32" s="958">
        <f>main!CS35</f>
        <v>0</v>
      </c>
      <c r="H32" s="958">
        <f>main!CX35</f>
        <v>0</v>
      </c>
      <c r="I32" s="958">
        <f>main!DA35</f>
        <v>0</v>
      </c>
      <c r="J32" s="958">
        <f>main!DQ35</f>
        <v>0</v>
      </c>
      <c r="K32" s="958">
        <f>main!DN35</f>
        <v>0</v>
      </c>
      <c r="L32" s="1005"/>
      <c r="M32" s="1006">
        <f>main!DS35</f>
        <v>0</v>
      </c>
    </row>
    <row r="33" spans="1:13" ht="18.75">
      <c r="A33" s="993" t="str">
        <f>IF(main!A36&gt;0,main!A36,"")</f>
        <v/>
      </c>
      <c r="B33" s="958" t="str">
        <f>IF(main!B36&gt;0,main!B36,"")</f>
        <v/>
      </c>
      <c r="C33" s="958"/>
      <c r="D33" s="958"/>
      <c r="E33" s="958">
        <f>main!EC36</f>
        <v>0</v>
      </c>
      <c r="F33" s="958">
        <f>main!DW36</f>
        <v>0</v>
      </c>
      <c r="G33" s="958">
        <f>main!CS36</f>
        <v>0</v>
      </c>
      <c r="H33" s="958">
        <f>main!CX36</f>
        <v>0</v>
      </c>
      <c r="I33" s="958">
        <f>main!DA36</f>
        <v>0</v>
      </c>
      <c r="J33" s="958">
        <f>main!DQ36</f>
        <v>0</v>
      </c>
      <c r="K33" s="958">
        <f>main!DN36</f>
        <v>0</v>
      </c>
      <c r="L33" s="1005"/>
      <c r="M33" s="1006">
        <f>main!DS36</f>
        <v>0</v>
      </c>
    </row>
    <row r="34" spans="1:13" ht="18.75">
      <c r="A34" s="993" t="str">
        <f>IF(main!A37&gt;0,main!A37,"")</f>
        <v/>
      </c>
      <c r="B34" s="958" t="str">
        <f>IF(main!B37&gt;0,main!B37,"")</f>
        <v/>
      </c>
      <c r="C34" s="958"/>
      <c r="D34" s="958"/>
      <c r="E34" s="958">
        <f>main!EC37</f>
        <v>0</v>
      </c>
      <c r="F34" s="958">
        <f>main!DW37</f>
        <v>0</v>
      </c>
      <c r="G34" s="958">
        <f>main!CS37</f>
        <v>0</v>
      </c>
      <c r="H34" s="958">
        <f>main!CX37</f>
        <v>0</v>
      </c>
      <c r="I34" s="958">
        <f>main!DA37</f>
        <v>0</v>
      </c>
      <c r="J34" s="958">
        <f>main!DQ37</f>
        <v>0</v>
      </c>
      <c r="K34" s="958">
        <f>main!DN37</f>
        <v>0</v>
      </c>
      <c r="L34" s="1005"/>
      <c r="M34" s="1006">
        <f>main!DS37</f>
        <v>0</v>
      </c>
    </row>
    <row r="35" spans="1:13" ht="18.75">
      <c r="A35" s="993" t="str">
        <f>IF(main!A38&gt;0,main!A38,"")</f>
        <v/>
      </c>
      <c r="B35" s="958" t="str">
        <f>IF(main!B38&gt;0,main!B38,"")</f>
        <v/>
      </c>
      <c r="C35" s="958"/>
      <c r="D35" s="958"/>
      <c r="E35" s="958">
        <f>main!EC38</f>
        <v>0</v>
      </c>
      <c r="F35" s="958">
        <f>main!DW38</f>
        <v>0</v>
      </c>
      <c r="G35" s="958">
        <f>main!CS38</f>
        <v>0</v>
      </c>
      <c r="H35" s="958">
        <f>main!CX38</f>
        <v>0</v>
      </c>
      <c r="I35" s="958">
        <f>main!DA38</f>
        <v>0</v>
      </c>
      <c r="J35" s="958">
        <f>main!DQ38</f>
        <v>0</v>
      </c>
      <c r="K35" s="958">
        <f>main!DN38</f>
        <v>0</v>
      </c>
      <c r="L35" s="1005"/>
      <c r="M35" s="1006">
        <f>main!DS38</f>
        <v>0</v>
      </c>
    </row>
    <row r="36" spans="1:13" ht="18.75">
      <c r="A36" s="993" t="str">
        <f>IF(main!A39&gt;0,main!A39,"")</f>
        <v/>
      </c>
      <c r="B36" s="958" t="str">
        <f>IF(main!B39&gt;0,main!B39,"")</f>
        <v/>
      </c>
      <c r="C36" s="958"/>
      <c r="D36" s="958"/>
      <c r="E36" s="958">
        <f>main!EC39</f>
        <v>0</v>
      </c>
      <c r="F36" s="958">
        <f>main!DW39</f>
        <v>0</v>
      </c>
      <c r="G36" s="958">
        <f>main!CS39</f>
        <v>0</v>
      </c>
      <c r="H36" s="958">
        <f>main!CX39</f>
        <v>0</v>
      </c>
      <c r="I36" s="958">
        <f>main!DA39</f>
        <v>0</v>
      </c>
      <c r="J36" s="958">
        <f>main!DQ39</f>
        <v>0</v>
      </c>
      <c r="K36" s="958">
        <f>main!DN39</f>
        <v>0</v>
      </c>
      <c r="L36" s="1005"/>
      <c r="M36" s="1006">
        <f>main!DS39</f>
        <v>0</v>
      </c>
    </row>
    <row r="37" spans="1:13" ht="18.75">
      <c r="A37" s="993" t="str">
        <f>IF(main!A40&gt;0,main!A40,"")</f>
        <v/>
      </c>
      <c r="B37" s="958" t="str">
        <f>IF(main!B40&gt;0,main!B40,"")</f>
        <v/>
      </c>
      <c r="C37" s="958"/>
      <c r="D37" s="958"/>
      <c r="E37" s="958">
        <f>main!EC40</f>
        <v>0</v>
      </c>
      <c r="F37" s="958">
        <f>main!DW40</f>
        <v>0</v>
      </c>
      <c r="G37" s="958">
        <f>main!CS40</f>
        <v>0</v>
      </c>
      <c r="H37" s="958">
        <f>main!CX40</f>
        <v>0</v>
      </c>
      <c r="I37" s="958">
        <f>main!DA40</f>
        <v>0</v>
      </c>
      <c r="J37" s="958">
        <f>main!DQ40</f>
        <v>0</v>
      </c>
      <c r="K37" s="958">
        <f>main!DN40</f>
        <v>0</v>
      </c>
      <c r="L37" s="1005"/>
      <c r="M37" s="1006">
        <f>main!DS40</f>
        <v>0</v>
      </c>
    </row>
    <row r="38" spans="1:13" ht="18.75">
      <c r="A38" s="993" t="str">
        <f>IF(main!A41&gt;0,main!A41,"")</f>
        <v/>
      </c>
      <c r="B38" s="958" t="str">
        <f>IF(main!B41&gt;0,main!B41,"")</f>
        <v/>
      </c>
      <c r="C38" s="958"/>
      <c r="D38" s="958"/>
      <c r="E38" s="958">
        <f>main!EC41</f>
        <v>0</v>
      </c>
      <c r="F38" s="958">
        <f>main!DW41</f>
        <v>0</v>
      </c>
      <c r="G38" s="958">
        <f>main!CS41</f>
        <v>0</v>
      </c>
      <c r="H38" s="958">
        <f>main!CX41</f>
        <v>0</v>
      </c>
      <c r="I38" s="958">
        <f>main!DA41</f>
        <v>0</v>
      </c>
      <c r="J38" s="958">
        <f>main!DQ41</f>
        <v>0</v>
      </c>
      <c r="K38" s="958">
        <f>main!DN41</f>
        <v>0</v>
      </c>
      <c r="L38" s="1005"/>
      <c r="M38" s="1006">
        <f>main!DS41</f>
        <v>0</v>
      </c>
    </row>
    <row r="39" spans="1:13" ht="18.75">
      <c r="A39" s="993" t="str">
        <f>IF(main!A42&gt;0,main!A42,"")</f>
        <v/>
      </c>
      <c r="B39" s="958" t="str">
        <f>IF(main!B42&gt;0,main!B42,"")</f>
        <v/>
      </c>
      <c r="C39" s="958"/>
      <c r="D39" s="958"/>
      <c r="E39" s="958">
        <f>main!EC42</f>
        <v>0</v>
      </c>
      <c r="F39" s="958">
        <f>main!DW42</f>
        <v>0</v>
      </c>
      <c r="G39" s="958">
        <f>main!CS42</f>
        <v>0</v>
      </c>
      <c r="H39" s="958">
        <f>main!CX42</f>
        <v>0</v>
      </c>
      <c r="I39" s="958">
        <f>main!DA42</f>
        <v>0</v>
      </c>
      <c r="J39" s="958">
        <f>main!DQ42</f>
        <v>0</v>
      </c>
      <c r="K39" s="958">
        <f>main!DN42</f>
        <v>0</v>
      </c>
      <c r="L39" s="1005"/>
      <c r="M39" s="1006">
        <f>main!DS42</f>
        <v>0</v>
      </c>
    </row>
    <row r="40" spans="1:13" ht="18.75">
      <c r="A40" s="993" t="str">
        <f>IF(main!A43&gt;0,main!A43,"")</f>
        <v/>
      </c>
      <c r="B40" s="958" t="str">
        <f>IF(main!B43&gt;0,main!B43,"")</f>
        <v/>
      </c>
      <c r="C40" s="958"/>
      <c r="D40" s="958"/>
      <c r="E40" s="958">
        <f>main!EC43</f>
        <v>0</v>
      </c>
      <c r="F40" s="958">
        <f>main!DW43</f>
        <v>0</v>
      </c>
      <c r="G40" s="958">
        <f>main!CS43</f>
        <v>0</v>
      </c>
      <c r="H40" s="958">
        <f>main!CX43</f>
        <v>0</v>
      </c>
      <c r="I40" s="958">
        <f>main!DA43</f>
        <v>0</v>
      </c>
      <c r="J40" s="958">
        <f>main!DQ43</f>
        <v>0</v>
      </c>
      <c r="K40" s="958">
        <f>main!DN43</f>
        <v>0</v>
      </c>
      <c r="L40" s="1005"/>
      <c r="M40" s="1006">
        <f>main!DS43</f>
        <v>0</v>
      </c>
    </row>
    <row r="41" spans="1:13" ht="18.75">
      <c r="A41" s="993" t="str">
        <f>IF(main!A44&gt;0,main!A44,"")</f>
        <v/>
      </c>
      <c r="B41" s="958" t="str">
        <f>IF(main!B44&gt;0,main!B44,"")</f>
        <v/>
      </c>
      <c r="C41" s="958"/>
      <c r="D41" s="958"/>
      <c r="E41" s="958">
        <f>main!EC44</f>
        <v>0</v>
      </c>
      <c r="F41" s="958">
        <f>main!DW44</f>
        <v>0</v>
      </c>
      <c r="G41" s="958">
        <f>main!CS44</f>
        <v>0</v>
      </c>
      <c r="H41" s="958">
        <f>main!CX44</f>
        <v>0</v>
      </c>
      <c r="I41" s="958">
        <f>main!DA44</f>
        <v>0</v>
      </c>
      <c r="J41" s="958">
        <f>main!DQ44</f>
        <v>0</v>
      </c>
      <c r="K41" s="958">
        <f>main!DN44</f>
        <v>0</v>
      </c>
      <c r="L41" s="1005"/>
      <c r="M41" s="1006">
        <f>main!DS44</f>
        <v>0</v>
      </c>
    </row>
    <row r="42" spans="1:13" ht="18.75">
      <c r="A42" s="993" t="str">
        <f>IF(main!A45&gt;0,main!A45,"")</f>
        <v/>
      </c>
      <c r="B42" s="958" t="str">
        <f>IF(main!B45&gt;0,main!B45,"")</f>
        <v/>
      </c>
      <c r="C42" s="958"/>
      <c r="D42" s="958"/>
      <c r="E42" s="958">
        <f>main!EC45</f>
        <v>0</v>
      </c>
      <c r="F42" s="958">
        <f>main!DW45</f>
        <v>0</v>
      </c>
      <c r="G42" s="958">
        <f>main!CS45</f>
        <v>0</v>
      </c>
      <c r="H42" s="958">
        <f>main!CX45</f>
        <v>0</v>
      </c>
      <c r="I42" s="958">
        <f>main!DA45</f>
        <v>0</v>
      </c>
      <c r="J42" s="958">
        <f>main!DQ45</f>
        <v>0</v>
      </c>
      <c r="K42" s="958">
        <f>main!DN45</f>
        <v>0</v>
      </c>
      <c r="L42" s="1005"/>
      <c r="M42" s="1006">
        <f>main!DS45</f>
        <v>0</v>
      </c>
    </row>
    <row r="43" spans="1:13" ht="18.75">
      <c r="A43" s="993" t="str">
        <f>IF(main!A46&gt;0,main!A46,"")</f>
        <v/>
      </c>
      <c r="B43" s="958" t="str">
        <f>IF(main!B46&gt;0,main!B46,"")</f>
        <v/>
      </c>
      <c r="C43" s="958"/>
      <c r="D43" s="958"/>
      <c r="E43" s="958">
        <f>main!EC46</f>
        <v>0</v>
      </c>
      <c r="F43" s="958">
        <f>main!DW46</f>
        <v>0</v>
      </c>
      <c r="G43" s="958">
        <f>main!CS46</f>
        <v>0</v>
      </c>
      <c r="H43" s="958">
        <f>main!CX46</f>
        <v>0</v>
      </c>
      <c r="I43" s="958">
        <f>main!DA46</f>
        <v>0</v>
      </c>
      <c r="J43" s="958">
        <f>main!DQ46</f>
        <v>0</v>
      </c>
      <c r="K43" s="958">
        <f>main!DN46</f>
        <v>0</v>
      </c>
      <c r="L43" s="1005"/>
      <c r="M43" s="1006">
        <f>main!DS46</f>
        <v>0</v>
      </c>
    </row>
    <row r="44" spans="1:13" ht="18.75">
      <c r="A44" s="993" t="str">
        <f>IF(main!A47&gt;0,main!A47,"")</f>
        <v/>
      </c>
      <c r="B44" s="958" t="str">
        <f>IF(main!B47&gt;0,main!B47,"")</f>
        <v/>
      </c>
      <c r="C44" s="958"/>
      <c r="D44" s="958"/>
      <c r="E44" s="958">
        <f>main!EC47</f>
        <v>0</v>
      </c>
      <c r="F44" s="958">
        <f>main!DW47</f>
        <v>0</v>
      </c>
      <c r="G44" s="958">
        <f>main!CS47</f>
        <v>0</v>
      </c>
      <c r="H44" s="958">
        <f>main!CX47</f>
        <v>0</v>
      </c>
      <c r="I44" s="958">
        <f>main!DA47</f>
        <v>0</v>
      </c>
      <c r="J44" s="958">
        <f>main!DQ47</f>
        <v>0</v>
      </c>
      <c r="K44" s="958">
        <f>main!DN47</f>
        <v>0</v>
      </c>
      <c r="L44" s="1005"/>
      <c r="M44" s="1006">
        <f>main!DS47</f>
        <v>0</v>
      </c>
    </row>
    <row r="45" spans="1:13" ht="18.75">
      <c r="A45" s="993" t="str">
        <f>IF(main!A48&gt;0,main!A48,"")</f>
        <v/>
      </c>
      <c r="B45" s="958" t="str">
        <f>IF(main!B48&gt;0,main!B48,"")</f>
        <v/>
      </c>
      <c r="C45" s="958"/>
      <c r="D45" s="958"/>
      <c r="E45" s="958">
        <f>main!EC48</f>
        <v>0</v>
      </c>
      <c r="F45" s="958">
        <f>main!DW48</f>
        <v>0</v>
      </c>
      <c r="G45" s="958">
        <f>main!CS48</f>
        <v>0</v>
      </c>
      <c r="H45" s="958">
        <f>main!CX48</f>
        <v>0</v>
      </c>
      <c r="I45" s="958">
        <f>main!DA48</f>
        <v>0</v>
      </c>
      <c r="J45" s="958">
        <f>main!DQ48</f>
        <v>0</v>
      </c>
      <c r="K45" s="958">
        <f>main!DN48</f>
        <v>0</v>
      </c>
      <c r="L45" s="1005"/>
      <c r="M45" s="1006">
        <f>main!DS48</f>
        <v>0</v>
      </c>
    </row>
    <row r="46" spans="1:13" ht="18.75">
      <c r="A46" s="993" t="str">
        <f>IF(main!A49&gt;0,main!A49,"")</f>
        <v/>
      </c>
      <c r="B46" s="958" t="str">
        <f>IF(main!B49&gt;0,main!B49,"")</f>
        <v/>
      </c>
      <c r="C46" s="958"/>
      <c r="D46" s="958"/>
      <c r="E46" s="958">
        <f>main!EC49</f>
        <v>0</v>
      </c>
      <c r="F46" s="958">
        <f>main!DW49</f>
        <v>0</v>
      </c>
      <c r="G46" s="958">
        <f>main!CS49</f>
        <v>0</v>
      </c>
      <c r="H46" s="958">
        <f>main!CX49</f>
        <v>0</v>
      </c>
      <c r="I46" s="958">
        <f>main!DA49</f>
        <v>0</v>
      </c>
      <c r="J46" s="958">
        <f>main!DQ49</f>
        <v>0</v>
      </c>
      <c r="K46" s="958">
        <f>main!DN49</f>
        <v>0</v>
      </c>
      <c r="L46" s="1005"/>
      <c r="M46" s="1006">
        <f>main!DS49</f>
        <v>0</v>
      </c>
    </row>
    <row r="47" spans="1:13" ht="18.75">
      <c r="A47" s="993" t="str">
        <f>IF(main!A50&gt;0,main!A50,"")</f>
        <v/>
      </c>
      <c r="B47" s="958" t="str">
        <f>IF(main!B50&gt;0,main!B50,"")</f>
        <v/>
      </c>
      <c r="C47" s="958"/>
      <c r="D47" s="958"/>
      <c r="E47" s="958">
        <f>main!EC50</f>
        <v>0</v>
      </c>
      <c r="F47" s="958">
        <f>main!DW50</f>
        <v>0</v>
      </c>
      <c r="G47" s="958">
        <f>main!CS50</f>
        <v>0</v>
      </c>
      <c r="H47" s="958">
        <f>main!CX50</f>
        <v>0</v>
      </c>
      <c r="I47" s="958">
        <f>main!DA50</f>
        <v>0</v>
      </c>
      <c r="J47" s="958">
        <f>main!DQ50</f>
        <v>0</v>
      </c>
      <c r="K47" s="958">
        <f>main!DN50</f>
        <v>0</v>
      </c>
      <c r="L47" s="1005"/>
      <c r="M47" s="1006">
        <f>main!DS50</f>
        <v>0</v>
      </c>
    </row>
    <row r="48" spans="1:13" ht="18.75">
      <c r="A48" s="993" t="str">
        <f>IF(main!A51&gt;0,main!A51,"")</f>
        <v/>
      </c>
      <c r="B48" s="958" t="str">
        <f>IF(main!B51&gt;0,main!B51,"")</f>
        <v/>
      </c>
      <c r="C48" s="958"/>
      <c r="D48" s="958"/>
      <c r="E48" s="958">
        <f>main!EC51</f>
        <v>0</v>
      </c>
      <c r="F48" s="958">
        <f>main!DW51</f>
        <v>0</v>
      </c>
      <c r="G48" s="958">
        <f>main!CS51</f>
        <v>0</v>
      </c>
      <c r="H48" s="958">
        <f>main!CX51</f>
        <v>0</v>
      </c>
      <c r="I48" s="958">
        <f>main!DA51</f>
        <v>0</v>
      </c>
      <c r="J48" s="958">
        <f>main!DQ51</f>
        <v>0</v>
      </c>
      <c r="K48" s="958">
        <f>main!DN51</f>
        <v>0</v>
      </c>
      <c r="L48" s="1005"/>
      <c r="M48" s="1006">
        <f>main!DS51</f>
        <v>0</v>
      </c>
    </row>
    <row r="49" spans="1:13" ht="19.5" thickBot="1">
      <c r="A49" s="993" t="str">
        <f>IF(main!A52&gt;0,main!A52,"")</f>
        <v/>
      </c>
      <c r="B49" s="958" t="str">
        <f>IF(main!B52&gt;0,main!B52,"")</f>
        <v/>
      </c>
      <c r="C49" s="958"/>
      <c r="D49" s="958"/>
      <c r="E49" s="958">
        <f>main!EC52</f>
        <v>0</v>
      </c>
      <c r="F49" s="958">
        <f>main!DW52</f>
        <v>0</v>
      </c>
      <c r="G49" s="958">
        <f>main!CS52</f>
        <v>0</v>
      </c>
      <c r="H49" s="958">
        <f>main!CX52</f>
        <v>0</v>
      </c>
      <c r="I49" s="958">
        <f>main!DA52</f>
        <v>0</v>
      </c>
      <c r="J49" s="958">
        <f>main!DQ52</f>
        <v>0</v>
      </c>
      <c r="K49" s="958">
        <f>main!DN52</f>
        <v>0</v>
      </c>
      <c r="L49" s="1005"/>
      <c r="M49" s="1006">
        <f>main!DS52</f>
        <v>0</v>
      </c>
    </row>
    <row r="50" spans="1:13" ht="20.25" thickTop="1" thickBot="1">
      <c r="B50" s="960"/>
      <c r="C50" s="960"/>
      <c r="D50" s="960"/>
      <c r="E50" s="966">
        <f>SUM(E6:E49)</f>
        <v>0</v>
      </c>
      <c r="F50" s="966"/>
      <c r="G50" s="966">
        <f>SUM(G6:G49)</f>
        <v>0</v>
      </c>
      <c r="H50" s="966">
        <f t="shared" ref="H50:I50" si="0">SUM(H6:H49)</f>
        <v>0</v>
      </c>
      <c r="I50" s="966">
        <f t="shared" si="0"/>
        <v>0</v>
      </c>
      <c r="J50" s="966">
        <f>SUM(J6:J49)</f>
        <v>0</v>
      </c>
      <c r="K50" s="966">
        <f>SUM(K6:K49)</f>
        <v>0</v>
      </c>
      <c r="L50" s="1005"/>
      <c r="M50" s="1007"/>
    </row>
    <row r="51" spans="1:13" ht="19.5" thickTop="1">
      <c r="B51" s="967"/>
      <c r="C51" s="967"/>
      <c r="D51" s="967"/>
      <c r="E51" s="968"/>
      <c r="F51" s="968"/>
      <c r="G51" s="968"/>
      <c r="H51" s="970"/>
      <c r="I51" s="970"/>
      <c r="J51" s="971">
        <v>0</v>
      </c>
      <c r="K51" s="968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>
  <sheetPr codeName="Worksheet______12"/>
  <dimension ref="C2:U5"/>
  <sheetViews>
    <sheetView rightToLeft="1" workbookViewId="0">
      <selection activeCell="J18" sqref="J18"/>
    </sheetView>
  </sheetViews>
  <sheetFormatPr defaultRowHeight="12.75"/>
  <cols>
    <col min="4" max="4" width="12.5703125" customWidth="1"/>
    <col min="5" max="5" width="11" customWidth="1"/>
    <col min="7" max="7" width="22" customWidth="1"/>
    <col min="9" max="9" width="20.42578125" customWidth="1"/>
    <col min="11" max="11" width="11.42578125" customWidth="1"/>
    <col min="13" max="13" width="11.140625" customWidth="1"/>
    <col min="19" max="19" width="10.42578125" customWidth="1"/>
  </cols>
  <sheetData>
    <row r="2" spans="3:21" ht="18">
      <c r="J2" s="22" t="s">
        <v>296</v>
      </c>
    </row>
    <row r="4" spans="3:21" ht="13.5" thickBot="1"/>
    <row r="5" spans="3:21" ht="48" thickBot="1">
      <c r="C5" s="8" t="s">
        <v>0</v>
      </c>
      <c r="D5" s="8" t="s">
        <v>162</v>
      </c>
      <c r="E5" s="8" t="s">
        <v>37</v>
      </c>
      <c r="F5" s="8" t="s">
        <v>83</v>
      </c>
      <c r="G5" s="8" t="s">
        <v>139</v>
      </c>
      <c r="H5" s="8" t="s">
        <v>290</v>
      </c>
      <c r="I5" s="8" t="s">
        <v>291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83</v>
      </c>
      <c r="O5" s="8" t="s">
        <v>83</v>
      </c>
      <c r="P5" s="8" t="s">
        <v>83</v>
      </c>
      <c r="Q5" s="8" t="s">
        <v>83</v>
      </c>
      <c r="R5" s="8" t="s">
        <v>1</v>
      </c>
      <c r="S5" s="8" t="s">
        <v>15</v>
      </c>
      <c r="T5" s="8" t="s">
        <v>83</v>
      </c>
      <c r="U5" s="8" t="s"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1.xml><?xml version="1.0" encoding="utf-8"?>
<worksheet xmlns="http://schemas.openxmlformats.org/spreadsheetml/2006/main" xmlns:r="http://schemas.openxmlformats.org/officeDocument/2006/relationships">
  <sheetPr codeName="Worksheet______44"/>
  <dimension ref="B4:AE22"/>
  <sheetViews>
    <sheetView rightToLeft="1" topLeftCell="D1" workbookViewId="0">
      <selection activeCell="J5" sqref="J5"/>
    </sheetView>
  </sheetViews>
  <sheetFormatPr defaultRowHeight="12.75"/>
  <sheetData>
    <row r="4" spans="2:31" ht="13.5" thickBot="1"/>
    <row r="5" spans="2:31" ht="150.75" thickBot="1">
      <c r="C5" s="8" t="s">
        <v>0</v>
      </c>
      <c r="D5" s="8" t="s">
        <v>162</v>
      </c>
      <c r="E5" s="8" t="s">
        <v>37</v>
      </c>
      <c r="F5" s="8" t="s">
        <v>83</v>
      </c>
      <c r="G5" s="982" t="s">
        <v>1032</v>
      </c>
      <c r="H5" s="983" t="s">
        <v>1033</v>
      </c>
      <c r="I5" s="974" t="s">
        <v>1034</v>
      </c>
      <c r="J5" s="983" t="s">
        <v>1035</v>
      </c>
      <c r="K5" s="974" t="s">
        <v>1036</v>
      </c>
      <c r="L5" s="983" t="s">
        <v>1038</v>
      </c>
      <c r="M5" s="974" t="s">
        <v>1039</v>
      </c>
      <c r="N5" s="974" t="s">
        <v>1040</v>
      </c>
      <c r="O5" s="983" t="s">
        <v>1041</v>
      </c>
      <c r="P5" s="983" t="s">
        <v>1042</v>
      </c>
      <c r="Q5" s="974" t="s">
        <v>1043</v>
      </c>
      <c r="R5" s="974" t="s">
        <v>1046</v>
      </c>
      <c r="S5" s="974" t="s">
        <v>1047</v>
      </c>
      <c r="T5" s="983" t="s">
        <v>1048</v>
      </c>
      <c r="U5" s="974" t="s">
        <v>1049</v>
      </c>
      <c r="V5" s="974" t="s">
        <v>1050</v>
      </c>
      <c r="W5" s="974" t="s">
        <v>1052</v>
      </c>
      <c r="X5" s="974" t="s">
        <v>1053</v>
      </c>
      <c r="Y5" s="974" t="s">
        <v>1054</v>
      </c>
      <c r="Z5" s="983" t="s">
        <v>1055</v>
      </c>
      <c r="AA5" s="976" t="s">
        <v>1056</v>
      </c>
      <c r="AB5" s="975" t="s">
        <v>1037</v>
      </c>
      <c r="AC5" s="975" t="s">
        <v>1044</v>
      </c>
      <c r="AD5" s="975" t="s">
        <v>1045</v>
      </c>
      <c r="AE5" s="975" t="s">
        <v>1051</v>
      </c>
    </row>
    <row r="7" spans="2:31" ht="12" customHeight="1">
      <c r="B7" s="185"/>
      <c r="C7" s="977"/>
    </row>
    <row r="8" spans="2:31" ht="12" customHeight="1">
      <c r="B8" s="185"/>
      <c r="C8" s="977"/>
    </row>
    <row r="9" spans="2:31" ht="12" customHeight="1">
      <c r="B9" s="185"/>
      <c r="C9" s="977"/>
    </row>
    <row r="10" spans="2:31" ht="12" customHeight="1">
      <c r="B10" s="185"/>
      <c r="C10" s="978"/>
    </row>
    <row r="11" spans="2:31" ht="12" customHeight="1">
      <c r="B11" s="185"/>
      <c r="C11" s="978"/>
    </row>
    <row r="12" spans="2:31" ht="12" customHeight="1">
      <c r="B12" s="185"/>
      <c r="C12" s="977"/>
    </row>
    <row r="13" spans="2:31" ht="12" customHeight="1">
      <c r="B13" s="185"/>
      <c r="C13" s="977"/>
    </row>
    <row r="14" spans="2:31" ht="12" customHeight="1">
      <c r="B14" s="185"/>
      <c r="C14" s="977"/>
    </row>
    <row r="15" spans="2:31" ht="12" customHeight="1">
      <c r="B15" s="185"/>
      <c r="C15" s="977"/>
    </row>
    <row r="16" spans="2:31" ht="12" customHeight="1">
      <c r="B16" s="185"/>
      <c r="C16" s="977"/>
    </row>
    <row r="17" spans="2:3" ht="12" customHeight="1">
      <c r="B17" s="185"/>
      <c r="C17" s="978"/>
    </row>
    <row r="18" spans="2:3" ht="12" customHeight="1">
      <c r="B18" s="185"/>
      <c r="C18" s="977"/>
    </row>
    <row r="19" spans="2:3" ht="12" customHeight="1">
      <c r="B19" s="185"/>
      <c r="C19" s="977"/>
    </row>
    <row r="20" spans="2:3" ht="15">
      <c r="B20" s="185"/>
      <c r="C20" s="977"/>
    </row>
    <row r="21" spans="2:3" ht="15">
      <c r="B21" s="185"/>
      <c r="C21" s="977"/>
    </row>
    <row r="22" spans="2:3" ht="15">
      <c r="B22" s="185"/>
      <c r="C22" s="97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sheetPr codeName="Worksheet______37"/>
  <dimension ref="C2:T5"/>
  <sheetViews>
    <sheetView rightToLeft="1" workbookViewId="0">
      <selection activeCell="E9" sqref="E9"/>
    </sheetView>
  </sheetViews>
  <sheetFormatPr defaultRowHeight="12.75"/>
  <sheetData>
    <row r="2" spans="3:20" ht="18">
      <c r="I2" s="22" t="s">
        <v>1101</v>
      </c>
    </row>
    <row r="4" spans="3:20" ht="16.5" thickBot="1">
      <c r="G4" s="1164" t="s">
        <v>1090</v>
      </c>
      <c r="H4" s="1164"/>
      <c r="I4" s="1165" t="s">
        <v>1084</v>
      </c>
      <c r="J4" s="1165"/>
    </row>
    <row r="5" spans="3:20" ht="48" thickBot="1">
      <c r="C5" s="8" t="s">
        <v>0</v>
      </c>
      <c r="D5" s="8" t="s">
        <v>162</v>
      </c>
      <c r="E5" s="8" t="s">
        <v>37</v>
      </c>
      <c r="F5" s="8" t="s">
        <v>83</v>
      </c>
      <c r="G5" s="8" t="s">
        <v>1091</v>
      </c>
      <c r="H5" s="8" t="s">
        <v>1092</v>
      </c>
      <c r="I5" s="8" t="s">
        <v>1091</v>
      </c>
      <c r="J5" s="8" t="s">
        <v>1092</v>
      </c>
      <c r="K5" s="8" t="s">
        <v>1093</v>
      </c>
      <c r="L5" s="8" t="s">
        <v>1094</v>
      </c>
      <c r="M5" s="8" t="s">
        <v>1095</v>
      </c>
      <c r="N5" s="8" t="s">
        <v>1096</v>
      </c>
      <c r="O5" s="8" t="s">
        <v>1097</v>
      </c>
      <c r="P5" s="8" t="s">
        <v>1098</v>
      </c>
      <c r="Q5" s="8" t="s">
        <v>1099</v>
      </c>
      <c r="R5" s="8" t="s">
        <v>1100</v>
      </c>
      <c r="S5" s="8" t="s">
        <v>1099</v>
      </c>
      <c r="T5" s="8" t="s">
        <v>15</v>
      </c>
    </row>
  </sheetData>
  <mergeCells count="2">
    <mergeCell ref="G4:H4"/>
    <mergeCell ref="I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Worksheet______24"/>
  <dimension ref="A1:BC79"/>
  <sheetViews>
    <sheetView rightToLeft="1" zoomScaleNormal="100" workbookViewId="0">
      <pane ySplit="2" topLeftCell="A3" activePane="bottomLeft" state="frozen"/>
      <selection activeCell="B1" sqref="B1"/>
      <selection pane="bottomLeft" activeCell="K3" sqref="K3:K39"/>
    </sheetView>
  </sheetViews>
  <sheetFormatPr defaultRowHeight="12.75"/>
  <cols>
    <col min="1" max="1" width="7" customWidth="1"/>
    <col min="2" max="6" width="15.7109375" customWidth="1"/>
    <col min="7" max="8" width="15.7109375" hidden="1" customWidth="1"/>
    <col min="9" max="10" width="15.7109375" style="216" hidden="1" customWidth="1"/>
    <col min="11" max="11" width="15.7109375" style="220" customWidth="1"/>
    <col min="12" max="12" width="7.7109375" customWidth="1"/>
    <col min="15" max="15" width="105.42578125" customWidth="1"/>
    <col min="16" max="16" width="0.28515625" customWidth="1"/>
    <col min="17" max="18" width="9.140625" hidden="1" customWidth="1"/>
  </cols>
  <sheetData>
    <row r="1" spans="1:15" s="6" customFormat="1" ht="57" customHeight="1" thickBot="1">
      <c r="A1" s="180"/>
      <c r="C1" s="181" t="s">
        <v>518</v>
      </c>
      <c r="D1" s="182"/>
      <c r="E1" s="182"/>
      <c r="F1" s="182"/>
      <c r="G1" s="182"/>
      <c r="H1" s="182"/>
      <c r="I1" s="214"/>
      <c r="J1" s="214"/>
      <c r="K1" s="214"/>
      <c r="L1" s="182"/>
      <c r="M1" s="183"/>
    </row>
    <row r="2" spans="1:15" ht="57" customHeight="1" thickBot="1">
      <c r="A2" s="184" t="s">
        <v>496</v>
      </c>
      <c r="B2" s="184" t="s">
        <v>519</v>
      </c>
      <c r="C2" s="184" t="s">
        <v>520</v>
      </c>
      <c r="D2" s="184" t="s">
        <v>498</v>
      </c>
      <c r="E2" s="184" t="s">
        <v>521</v>
      </c>
      <c r="F2" s="184" t="s">
        <v>522</v>
      </c>
      <c r="G2" s="3" t="s">
        <v>543</v>
      </c>
      <c r="H2" s="3" t="s">
        <v>544</v>
      </c>
      <c r="I2" s="3" t="s">
        <v>545</v>
      </c>
      <c r="J2" s="3" t="s">
        <v>546</v>
      </c>
      <c r="K2" s="998" t="s">
        <v>523</v>
      </c>
      <c r="L2" s="158" t="s">
        <v>524</v>
      </c>
      <c r="M2" s="185"/>
      <c r="N2" s="186" t="s">
        <v>525</v>
      </c>
      <c r="O2" s="187" t="s">
        <v>505</v>
      </c>
    </row>
    <row r="3" spans="1:15" ht="40.15" customHeight="1">
      <c r="A3" s="189" t="str">
        <f>IF(RicusKrenHishtalmut!B6&gt;0,RicusKrenHishtalmut!B6," ")</f>
        <v xml:space="preserve"> </v>
      </c>
      <c r="B3" s="189" t="str">
        <f>IF(A3&lt;&gt;" ",RicusKrenHishtalmut!E6," ")</f>
        <v xml:space="preserve"> </v>
      </c>
      <c r="C3" s="188" t="str">
        <f>IF(A3&lt;&gt;" ",RicusKrenHishtalmut!F6," ")</f>
        <v xml:space="preserve"> </v>
      </c>
      <c r="D3" s="188" t="str">
        <f>IF(A3&lt;&gt;" ",RicusKrenHishtalmut!R6," ")</f>
        <v xml:space="preserve"> </v>
      </c>
      <c r="E3" s="190" t="str">
        <f>IF(A3&lt;&gt;" ",RicusKrenHishtalmut!P6," ")</f>
        <v xml:space="preserve"> </v>
      </c>
      <c r="F3" s="190" t="str">
        <f>IF(E3=" "," ",IF(YEAR(E3)&gt;1900,DATE(YEAR(E3)+6,MONTH(E3),DAY(E3))," "))</f>
        <v xml:space="preserve"> </v>
      </c>
      <c r="G3" s="188">
        <f>IFERROR(VLOOKUP(B3,PerutYitraLeTkufa_till2000!$D$6:$AB$100,12,FALSE),0)</f>
        <v>0</v>
      </c>
      <c r="H3" s="188">
        <f>IFERROR(VLOOKUP(B3,PerutYitraLeTkufa_till2000!$D$6:$AB$100,13,FALSE),0)</f>
        <v>0</v>
      </c>
      <c r="I3" s="215">
        <f>IFERROR(VLOOKUP(B3,PerutYitraLeTkufa_after2000!$D$6:$AB$100,12,FALSE),0)</f>
        <v>0</v>
      </c>
      <c r="J3" s="215">
        <f>IFERROR(VLOOKUP(B3,PerutYitraLeTkufa_after2000!$D$6:$AB$100,13,FALSE),0)</f>
        <v>0</v>
      </c>
      <c r="K3" s="1009">
        <f>SUM(G3:J3)</f>
        <v>0</v>
      </c>
      <c r="L3" s="188"/>
      <c r="N3" s="191"/>
      <c r="O3" s="192"/>
    </row>
    <row r="4" spans="1:15" ht="40.15" customHeight="1">
      <c r="A4" s="189" t="str">
        <f>IF(RicusKrenHishtalmut!B7&gt;0,RicusKrenHishtalmut!B7," ")</f>
        <v xml:space="preserve"> </v>
      </c>
      <c r="B4" s="189" t="str">
        <f>IF(A4&lt;&gt;" ",RicusKrenHishtalmut!E7," ")</f>
        <v xml:space="preserve"> </v>
      </c>
      <c r="C4" s="188" t="str">
        <f>IF(A4&lt;&gt;" ",RicusKrenHishtalmut!F7," ")</f>
        <v xml:space="preserve"> </v>
      </c>
      <c r="D4" s="188" t="str">
        <f>IF(A4&lt;&gt;" ",RicusKrenHishtalmut!R7," ")</f>
        <v xml:space="preserve"> </v>
      </c>
      <c r="E4" s="190" t="str">
        <f>IF(A4&lt;&gt;" ",RicusKrenHishtalmut!P7," ")</f>
        <v xml:space="preserve"> </v>
      </c>
      <c r="F4" s="190" t="str">
        <f>IF(E4=" "," ",IF(YEAR(E4)&gt;1900,DATE(YEAR(E4)+6,MONTH(E4),DAY(E4))," "))</f>
        <v xml:space="preserve"> </v>
      </c>
      <c r="G4" s="188">
        <f>IFERROR(VLOOKUP(B4,PerutYitraLeTkufa_till2000!$D$6:$AB$100,12,FALSE),0)</f>
        <v>0</v>
      </c>
      <c r="H4" s="188">
        <f>IFERROR(VLOOKUP(B4,PerutYitraLeTkufa_till2000!$D$6:$AB$100,13,FALSE),0)</f>
        <v>0</v>
      </c>
      <c r="I4" s="215">
        <f>IFERROR(VLOOKUP(B4,PerutYitraLeTkufa_after2000!$D$6:$AB$100,12,FALSE),0)</f>
        <v>0</v>
      </c>
      <c r="J4" s="215">
        <f>IFERROR(VLOOKUP(B4,PerutYitraLeTkufa_after2000!$D$6:$AB$100,13,FALSE),0)</f>
        <v>0</v>
      </c>
      <c r="K4" s="1009">
        <f t="shared" ref="K4:K39" si="0">SUM(G4:J4)</f>
        <v>0</v>
      </c>
      <c r="L4" s="188"/>
      <c r="N4" s="191"/>
      <c r="O4" s="192"/>
    </row>
    <row r="5" spans="1:15" ht="40.15" customHeight="1">
      <c r="A5" s="189" t="str">
        <f>IF(RicusKrenHishtalmut!B8&gt;0,RicusKrenHishtalmut!B8," ")</f>
        <v xml:space="preserve"> </v>
      </c>
      <c r="B5" s="189" t="str">
        <f>IF(A5&lt;&gt;" ",RicusKrenHishtalmut!E8," ")</f>
        <v xml:space="preserve"> </v>
      </c>
      <c r="C5" s="188" t="str">
        <f>IF(A5&lt;&gt;" ",RicusKrenHishtalmut!F8," ")</f>
        <v xml:space="preserve"> </v>
      </c>
      <c r="D5" s="188" t="str">
        <f>IF(A5&lt;&gt;" ",RicusKrenHishtalmut!R8," ")</f>
        <v xml:space="preserve"> </v>
      </c>
      <c r="E5" s="190" t="str">
        <f>IF(A5&lt;&gt;" ",RicusKrenHishtalmut!P8," ")</f>
        <v xml:space="preserve"> </v>
      </c>
      <c r="F5" s="190" t="str">
        <f t="shared" ref="F5:F38" si="1">IF(E5=" "," ",IF(YEAR(E5)&gt;1900,DATE(YEAR(E5)+6,MONTH(E5),DAY(E5))," "))</f>
        <v xml:space="preserve"> </v>
      </c>
      <c r="G5" s="188">
        <f>IFERROR(VLOOKUP(B5,PerutYitraLeTkufa_till2000!$D$6:$AB$100,12,FALSE),0)</f>
        <v>0</v>
      </c>
      <c r="H5" s="188">
        <f>IFERROR(VLOOKUP(B5,PerutYitraLeTkufa_till2000!$D$6:$AB$100,13,FALSE),0)</f>
        <v>0</v>
      </c>
      <c r="I5" s="215">
        <f>IFERROR(VLOOKUP(B5,PerutYitraLeTkufa_after2000!$D$6:$AB$100,12,FALSE),0)</f>
        <v>0</v>
      </c>
      <c r="J5" s="215">
        <f>IFERROR(VLOOKUP(B5,PerutYitraLeTkufa_after2000!$D$6:$AB$100,13,FALSE),0)</f>
        <v>0</v>
      </c>
      <c r="K5" s="1009">
        <f t="shared" si="0"/>
        <v>0</v>
      </c>
      <c r="L5" s="188"/>
      <c r="N5" s="191"/>
      <c r="O5" s="192"/>
    </row>
    <row r="6" spans="1:15" ht="40.15" customHeight="1">
      <c r="A6" s="189" t="str">
        <f>IF(RicusKrenHishtalmut!B9&gt;0,RicusKrenHishtalmut!B9," ")</f>
        <v xml:space="preserve"> </v>
      </c>
      <c r="B6" s="189" t="str">
        <f>IF(A6&lt;&gt;" ",RicusKrenHishtalmut!E9," ")</f>
        <v xml:space="preserve"> </v>
      </c>
      <c r="C6" s="188" t="str">
        <f>IF(A6&lt;&gt;" ",RicusKrenHishtalmut!F9," ")</f>
        <v xml:space="preserve"> </v>
      </c>
      <c r="D6" s="188" t="str">
        <f>IF(A6&lt;&gt;" ",RicusKrenHishtalmut!R9," ")</f>
        <v xml:space="preserve"> </v>
      </c>
      <c r="E6" s="190" t="str">
        <f>IF(A6&lt;&gt;" ",RicusKrenHishtalmut!P9," ")</f>
        <v xml:space="preserve"> </v>
      </c>
      <c r="F6" s="190" t="str">
        <f t="shared" si="1"/>
        <v xml:space="preserve"> </v>
      </c>
      <c r="G6" s="188">
        <f>IFERROR(VLOOKUP(B6,PerutYitraLeTkufa_till2000!$D$6:$AB$100,12,FALSE),0)</f>
        <v>0</v>
      </c>
      <c r="H6" s="188">
        <f>IFERROR(VLOOKUP(B6,PerutYitraLeTkufa_till2000!$D$6:$AB$100,13,FALSE),0)</f>
        <v>0</v>
      </c>
      <c r="I6" s="215">
        <f>IFERROR(VLOOKUP(B6,PerutYitraLeTkufa_after2000!$D$6:$AB$100,12,FALSE),0)</f>
        <v>0</v>
      </c>
      <c r="J6" s="215">
        <f>IFERROR(VLOOKUP(B6,PerutYitraLeTkufa_after2000!$D$6:$AB$100,13,FALSE),0)</f>
        <v>0</v>
      </c>
      <c r="K6" s="1009">
        <f t="shared" si="0"/>
        <v>0</v>
      </c>
      <c r="L6" s="188"/>
      <c r="N6" s="191"/>
      <c r="O6" s="192"/>
    </row>
    <row r="7" spans="1:15" ht="40.15" customHeight="1">
      <c r="A7" s="189" t="str">
        <f>IF(RicusKrenHishtalmut!B10&gt;0,RicusKrenHishtalmut!B10," ")</f>
        <v xml:space="preserve"> </v>
      </c>
      <c r="B7" s="189" t="str">
        <f>IF(A7&lt;&gt;" ",RicusKrenHishtalmut!E10," ")</f>
        <v xml:space="preserve"> </v>
      </c>
      <c r="C7" s="188" t="str">
        <f>IF(A7&lt;&gt;" ",RicusKrenHishtalmut!F10," ")</f>
        <v xml:space="preserve"> </v>
      </c>
      <c r="D7" s="188" t="str">
        <f>IF(A7&lt;&gt;" ",RicusKrenHishtalmut!R10," ")</f>
        <v xml:space="preserve"> </v>
      </c>
      <c r="E7" s="190" t="str">
        <f>IF(A7&lt;&gt;" ",RicusKrenHishtalmut!P10," ")</f>
        <v xml:space="preserve"> </v>
      </c>
      <c r="F7" s="190" t="str">
        <f t="shared" si="1"/>
        <v xml:space="preserve"> </v>
      </c>
      <c r="G7" s="188">
        <f>IFERROR(VLOOKUP(B7,PerutYitraLeTkufa_till2000!$D$6:$AB$100,12,FALSE),0)</f>
        <v>0</v>
      </c>
      <c r="H7" s="188">
        <f>IFERROR(VLOOKUP(B7,PerutYitraLeTkufa_till2000!$D$6:$AB$100,13,FALSE),0)</f>
        <v>0</v>
      </c>
      <c r="I7" s="215">
        <f>IFERROR(VLOOKUP(B7,PerutYitraLeTkufa_after2000!$D$6:$AB$100,12,FALSE),0)</f>
        <v>0</v>
      </c>
      <c r="J7" s="215">
        <f>IFERROR(VLOOKUP(B7,PerutYitraLeTkufa_after2000!$D$6:$AB$100,13,FALSE),0)</f>
        <v>0</v>
      </c>
      <c r="K7" s="1009">
        <f t="shared" si="0"/>
        <v>0</v>
      </c>
      <c r="L7" s="188"/>
      <c r="N7" s="191"/>
      <c r="O7" s="192"/>
    </row>
    <row r="8" spans="1:15" ht="40.15" customHeight="1">
      <c r="A8" s="189" t="str">
        <f>IF(RicusKrenHishtalmut!B11&gt;0,RicusKrenHishtalmut!B11," ")</f>
        <v xml:space="preserve"> </v>
      </c>
      <c r="B8" s="189" t="str">
        <f>IF(A8&lt;&gt;" ",RicusKrenHishtalmut!E11," ")</f>
        <v xml:space="preserve"> </v>
      </c>
      <c r="C8" s="188" t="str">
        <f>IF(A8&lt;&gt;" ",RicusKrenHishtalmut!F11," ")</f>
        <v xml:space="preserve"> </v>
      </c>
      <c r="D8" s="188" t="str">
        <f>IF(A8&lt;&gt;" ",RicusKrenHishtalmut!R11," ")</f>
        <v xml:space="preserve"> </v>
      </c>
      <c r="E8" s="190" t="str">
        <f>IF(A8&lt;&gt;" ",RicusKrenHishtalmut!P11," ")</f>
        <v xml:space="preserve"> </v>
      </c>
      <c r="F8" s="190" t="str">
        <f t="shared" si="1"/>
        <v xml:space="preserve"> </v>
      </c>
      <c r="G8" s="188">
        <f>IFERROR(VLOOKUP(B8,PerutYitraLeTkufa_till2000!$D$6:$AB$100,12,FALSE),0)</f>
        <v>0</v>
      </c>
      <c r="H8" s="188">
        <f>IFERROR(VLOOKUP(B8,PerutYitraLeTkufa_till2000!$D$6:$AB$100,13,FALSE),0)</f>
        <v>0</v>
      </c>
      <c r="I8" s="215">
        <f>IFERROR(VLOOKUP(B8,PerutYitraLeTkufa_after2000!$D$6:$AB$100,12,FALSE),0)</f>
        <v>0</v>
      </c>
      <c r="J8" s="215">
        <f>IFERROR(VLOOKUP(B8,PerutYitraLeTkufa_after2000!$D$6:$AB$100,13,FALSE),0)</f>
        <v>0</v>
      </c>
      <c r="K8" s="1009">
        <f t="shared" si="0"/>
        <v>0</v>
      </c>
      <c r="L8" s="188"/>
      <c r="N8" s="191"/>
      <c r="O8" s="192"/>
    </row>
    <row r="9" spans="1:15" ht="40.15" customHeight="1">
      <c r="A9" s="189" t="str">
        <f>IF(RicusKrenHishtalmut!B12&gt;0,RicusKrenHishtalmut!B12," ")</f>
        <v xml:space="preserve"> </v>
      </c>
      <c r="B9" s="189" t="str">
        <f>IF(A9&lt;&gt;" ",RicusKrenHishtalmut!E12," ")</f>
        <v xml:space="preserve"> </v>
      </c>
      <c r="C9" s="188" t="str">
        <f>IF(A9&lt;&gt;" ",RicusKrenHishtalmut!F12," ")</f>
        <v xml:space="preserve"> </v>
      </c>
      <c r="D9" s="188" t="str">
        <f>IF(A9&lt;&gt;" ",RicusKrenHishtalmut!R12," ")</f>
        <v xml:space="preserve"> </v>
      </c>
      <c r="E9" s="190" t="str">
        <f>IF(A9&lt;&gt;" ",RicusKrenHishtalmut!P12," ")</f>
        <v xml:space="preserve"> </v>
      </c>
      <c r="F9" s="190" t="str">
        <f t="shared" si="1"/>
        <v xml:space="preserve"> </v>
      </c>
      <c r="G9" s="188">
        <f>IFERROR(VLOOKUP(B9,PerutYitraLeTkufa_till2000!$D$6:$AB$100,12,FALSE),0)</f>
        <v>0</v>
      </c>
      <c r="H9" s="188">
        <f>IFERROR(VLOOKUP(B9,PerutYitraLeTkufa_till2000!$D$6:$AB$100,13,FALSE),0)</f>
        <v>0</v>
      </c>
      <c r="I9" s="215">
        <f>IFERROR(VLOOKUP(B9,PerutYitraLeTkufa_after2000!$D$6:$AB$100,12,FALSE),0)</f>
        <v>0</v>
      </c>
      <c r="J9" s="215">
        <f>IFERROR(VLOOKUP(B9,PerutYitraLeTkufa_after2000!$D$6:$AB$100,13,FALSE),0)</f>
        <v>0</v>
      </c>
      <c r="K9" s="1009">
        <f t="shared" si="0"/>
        <v>0</v>
      </c>
      <c r="L9" s="188"/>
      <c r="N9" s="191"/>
      <c r="O9" s="192"/>
    </row>
    <row r="10" spans="1:15" ht="40.15" customHeight="1">
      <c r="A10" s="189" t="str">
        <f>IF(RicusKrenHishtalmut!B13&gt;0,RicusKrenHishtalmut!B13," ")</f>
        <v xml:space="preserve"> </v>
      </c>
      <c r="B10" s="189" t="str">
        <f>IF(A10&lt;&gt;" ",RicusKrenHishtalmut!E13," ")</f>
        <v xml:space="preserve"> </v>
      </c>
      <c r="C10" s="188" t="str">
        <f>IF(A10&lt;&gt;" ",RicusKrenHishtalmut!F13," ")</f>
        <v xml:space="preserve"> </v>
      </c>
      <c r="D10" s="188" t="str">
        <f>IF(A10&lt;&gt;" ",RicusKrenHishtalmut!R13," ")</f>
        <v xml:space="preserve"> </v>
      </c>
      <c r="E10" s="190" t="str">
        <f>IF(A10&lt;&gt;" ",RicusKrenHishtalmut!P13," ")</f>
        <v xml:space="preserve"> </v>
      </c>
      <c r="F10" s="190" t="str">
        <f t="shared" si="1"/>
        <v xml:space="preserve"> </v>
      </c>
      <c r="G10" s="188">
        <f>IFERROR(VLOOKUP(B10,PerutYitraLeTkufa_till2000!$D$6:$AB$100,12,FALSE),0)</f>
        <v>0</v>
      </c>
      <c r="H10" s="188">
        <f>IFERROR(VLOOKUP(B10,PerutYitraLeTkufa_till2000!$D$6:$AB$100,13,FALSE),0)</f>
        <v>0</v>
      </c>
      <c r="I10" s="215">
        <f>IFERROR(VLOOKUP(B10,PerutYitraLeTkufa_after2000!$D$6:$AB$100,12,FALSE),0)</f>
        <v>0</v>
      </c>
      <c r="J10" s="215">
        <f>IFERROR(VLOOKUP(B10,PerutYitraLeTkufa_after2000!$D$6:$AB$100,13,FALSE),0)</f>
        <v>0</v>
      </c>
      <c r="K10" s="1009">
        <f t="shared" si="0"/>
        <v>0</v>
      </c>
      <c r="L10" s="188"/>
      <c r="N10" s="191"/>
      <c r="O10" s="192"/>
    </row>
    <row r="11" spans="1:15" ht="40.15" customHeight="1">
      <c r="A11" s="189" t="str">
        <f>IF(RicusKrenHishtalmut!B14&gt;0,RicusKrenHishtalmut!B14," ")</f>
        <v xml:space="preserve"> </v>
      </c>
      <c r="B11" s="189" t="str">
        <f>IF(A11&lt;&gt;" ",RicusKrenHishtalmut!E14," ")</f>
        <v xml:space="preserve"> </v>
      </c>
      <c r="C11" s="188" t="str">
        <f>IF(A11&lt;&gt;" ",RicusKrenHishtalmut!F14," ")</f>
        <v xml:space="preserve"> </v>
      </c>
      <c r="D11" s="188" t="str">
        <f>IF(A11&lt;&gt;" ",RicusKrenHishtalmut!R14," ")</f>
        <v xml:space="preserve"> </v>
      </c>
      <c r="E11" s="190" t="str">
        <f>IF(A11&lt;&gt;" ",RicusKrenHishtalmut!P14," ")</f>
        <v xml:space="preserve"> </v>
      </c>
      <c r="F11" s="190" t="str">
        <f t="shared" si="1"/>
        <v xml:space="preserve"> </v>
      </c>
      <c r="G11" s="188">
        <f>IFERROR(VLOOKUP(B11,PerutYitraLeTkufa_till2000!$D$6:$AB$100,12,FALSE),0)</f>
        <v>0</v>
      </c>
      <c r="H11" s="188">
        <f>IFERROR(VLOOKUP(B11,PerutYitraLeTkufa_till2000!$D$6:$AB$100,13,FALSE),0)</f>
        <v>0</v>
      </c>
      <c r="I11" s="215">
        <f>IFERROR(VLOOKUP(B11,PerutYitraLeTkufa_after2000!$D$6:$AB$100,12,FALSE),0)</f>
        <v>0</v>
      </c>
      <c r="J11" s="215">
        <f>IFERROR(VLOOKUP(B11,PerutYitraLeTkufa_after2000!$D$6:$AB$100,13,FALSE),0)</f>
        <v>0</v>
      </c>
      <c r="K11" s="1009">
        <f t="shared" si="0"/>
        <v>0</v>
      </c>
      <c r="L11" s="188"/>
      <c r="N11" s="191"/>
      <c r="O11" s="192"/>
    </row>
    <row r="12" spans="1:15" ht="40.15" customHeight="1">
      <c r="A12" s="189" t="str">
        <f>IF(RicusKrenHishtalmut!B15&gt;0,RicusKrenHishtalmut!B15," ")</f>
        <v xml:space="preserve"> </v>
      </c>
      <c r="B12" s="189" t="str">
        <f>IF(A12&lt;&gt;" ",RicusKrenHishtalmut!E15," ")</f>
        <v xml:space="preserve"> </v>
      </c>
      <c r="C12" s="188" t="str">
        <f>IF(A12&lt;&gt;" ",RicusKrenHishtalmut!F15," ")</f>
        <v xml:space="preserve"> </v>
      </c>
      <c r="D12" s="188" t="str">
        <f>IF(A12&lt;&gt;" ",RicusKrenHishtalmut!R15," ")</f>
        <v xml:space="preserve"> </v>
      </c>
      <c r="E12" s="190" t="str">
        <f>IF(A12&lt;&gt;" ",RicusKrenHishtalmut!P15," ")</f>
        <v xml:space="preserve"> </v>
      </c>
      <c r="F12" s="190" t="str">
        <f t="shared" si="1"/>
        <v xml:space="preserve"> </v>
      </c>
      <c r="G12" s="188">
        <f>IFERROR(VLOOKUP(B12,PerutYitraLeTkufa_till2000!$D$6:$AB$100,12,FALSE),0)</f>
        <v>0</v>
      </c>
      <c r="H12" s="188">
        <f>IFERROR(VLOOKUP(B12,PerutYitraLeTkufa_till2000!$D$6:$AB$100,13,FALSE),0)</f>
        <v>0</v>
      </c>
      <c r="I12" s="215">
        <f>IFERROR(VLOOKUP(B12,PerutYitraLeTkufa_after2000!$D$6:$AB$100,12,FALSE),0)</f>
        <v>0</v>
      </c>
      <c r="J12" s="215">
        <f>IFERROR(VLOOKUP(B12,PerutYitraLeTkufa_after2000!$D$6:$AB$100,13,FALSE),0)</f>
        <v>0</v>
      </c>
      <c r="K12" s="1009">
        <f t="shared" si="0"/>
        <v>0</v>
      </c>
      <c r="L12" s="188"/>
      <c r="N12" s="191"/>
      <c r="O12" s="192"/>
    </row>
    <row r="13" spans="1:15" ht="40.15" customHeight="1">
      <c r="A13" s="189" t="str">
        <f>IF(RicusKrenHishtalmut!B16&gt;0,RicusKrenHishtalmut!B16," ")</f>
        <v xml:space="preserve"> </v>
      </c>
      <c r="B13" s="189" t="str">
        <f>IF(A13&lt;&gt;" ",RicusKrenHishtalmut!E16," ")</f>
        <v xml:space="preserve"> </v>
      </c>
      <c r="C13" s="188" t="str">
        <f>IF(A13&lt;&gt;" ",RicusKrenHishtalmut!F16," ")</f>
        <v xml:space="preserve"> </v>
      </c>
      <c r="D13" s="188" t="str">
        <f>IF(A13&lt;&gt;" ",RicusKrenHishtalmut!R16," ")</f>
        <v xml:space="preserve"> </v>
      </c>
      <c r="E13" s="190" t="str">
        <f>IF(A13&lt;&gt;" ",RicusKrenHishtalmut!P16," ")</f>
        <v xml:space="preserve"> </v>
      </c>
      <c r="F13" s="190" t="str">
        <f t="shared" si="1"/>
        <v xml:space="preserve"> </v>
      </c>
      <c r="G13" s="188">
        <f>IFERROR(VLOOKUP(B13,PerutYitraLeTkufa_till2000!$D$6:$AB$100,12,FALSE),0)</f>
        <v>0</v>
      </c>
      <c r="H13" s="188">
        <f>IFERROR(VLOOKUP(B13,PerutYitraLeTkufa_till2000!$D$6:$AB$100,13,FALSE),0)</f>
        <v>0</v>
      </c>
      <c r="I13" s="215">
        <f>IFERROR(VLOOKUP(B13,PerutYitraLeTkufa_after2000!$D$6:$AB$100,12,FALSE),0)</f>
        <v>0</v>
      </c>
      <c r="J13" s="215">
        <f>IFERROR(VLOOKUP(B13,PerutYitraLeTkufa_after2000!$D$6:$AB$100,13,FALSE),0)</f>
        <v>0</v>
      </c>
      <c r="K13" s="1009">
        <f t="shared" si="0"/>
        <v>0</v>
      </c>
      <c r="L13" s="188"/>
      <c r="N13" s="191"/>
      <c r="O13" s="192"/>
    </row>
    <row r="14" spans="1:15" ht="40.15" customHeight="1">
      <c r="A14" s="189" t="str">
        <f>IF(RicusKrenHishtalmut!B17&gt;0,RicusKrenHishtalmut!B17," ")</f>
        <v xml:space="preserve"> </v>
      </c>
      <c r="B14" s="189" t="str">
        <f>IF(A14&lt;&gt;" ",RicusKrenHishtalmut!E17," ")</f>
        <v xml:space="preserve"> </v>
      </c>
      <c r="C14" s="188" t="str">
        <f>IF(A14&lt;&gt;" ",RicusKrenHishtalmut!F17," ")</f>
        <v xml:space="preserve"> </v>
      </c>
      <c r="D14" s="188" t="str">
        <f>IF(A14&lt;&gt;" ",RicusKrenHishtalmut!R17," ")</f>
        <v xml:space="preserve"> </v>
      </c>
      <c r="E14" s="190" t="str">
        <f>IF(A14&lt;&gt;" ",RicusKrenHishtalmut!P17," ")</f>
        <v xml:space="preserve"> </v>
      </c>
      <c r="F14" s="190" t="str">
        <f t="shared" si="1"/>
        <v xml:space="preserve"> </v>
      </c>
      <c r="G14" s="188">
        <f>IFERROR(VLOOKUP(B14,PerutYitraLeTkufa_till2000!$D$6:$AB$100,12,FALSE),0)</f>
        <v>0</v>
      </c>
      <c r="H14" s="188">
        <f>IFERROR(VLOOKUP(B14,PerutYitraLeTkufa_till2000!$D$6:$AB$100,13,FALSE),0)</f>
        <v>0</v>
      </c>
      <c r="I14" s="215">
        <f>IFERROR(VLOOKUP(B14,PerutYitraLeTkufa_after2000!$D$6:$AB$100,12,FALSE),0)</f>
        <v>0</v>
      </c>
      <c r="J14" s="215">
        <f>IFERROR(VLOOKUP(B14,PerutYitraLeTkufa_after2000!$D$6:$AB$100,13,FALSE),0)</f>
        <v>0</v>
      </c>
      <c r="K14" s="1009">
        <f t="shared" si="0"/>
        <v>0</v>
      </c>
      <c r="L14" s="188"/>
      <c r="N14" s="191"/>
      <c r="O14" s="192"/>
    </row>
    <row r="15" spans="1:15" ht="40.15" customHeight="1">
      <c r="A15" s="189" t="str">
        <f>IF(RicusKrenHishtalmut!B18&gt;0,RicusKrenHishtalmut!B18," ")</f>
        <v xml:space="preserve"> </v>
      </c>
      <c r="B15" s="189" t="str">
        <f>IF(A15&lt;&gt;" ",RicusKrenHishtalmut!E18," ")</f>
        <v xml:space="preserve"> </v>
      </c>
      <c r="C15" s="188" t="str">
        <f>IF(A15&lt;&gt;" ",RicusKrenHishtalmut!F18," ")</f>
        <v xml:space="preserve"> </v>
      </c>
      <c r="D15" s="188" t="str">
        <f>IF(A15&lt;&gt;" ",RicusKrenHishtalmut!R18," ")</f>
        <v xml:space="preserve"> </v>
      </c>
      <c r="E15" s="190" t="str">
        <f>IF(A15&lt;&gt;" ",RicusKrenHishtalmut!P18," ")</f>
        <v xml:space="preserve"> </v>
      </c>
      <c r="F15" s="190" t="str">
        <f t="shared" si="1"/>
        <v xml:space="preserve"> </v>
      </c>
      <c r="G15" s="188">
        <f>IFERROR(VLOOKUP(B15,PerutYitraLeTkufa_till2000!$D$6:$AB$100,12,FALSE),0)</f>
        <v>0</v>
      </c>
      <c r="H15" s="188">
        <f>IFERROR(VLOOKUP(B15,PerutYitraLeTkufa_till2000!$D$6:$AB$100,13,FALSE),0)</f>
        <v>0</v>
      </c>
      <c r="I15" s="215">
        <f>IFERROR(VLOOKUP(B15,PerutYitraLeTkufa_after2000!$D$6:$AB$100,12,FALSE),0)</f>
        <v>0</v>
      </c>
      <c r="J15" s="215">
        <f>IFERROR(VLOOKUP(B15,PerutYitraLeTkufa_after2000!$D$6:$AB$100,13,FALSE),0)</f>
        <v>0</v>
      </c>
      <c r="K15" s="1009">
        <f t="shared" si="0"/>
        <v>0</v>
      </c>
      <c r="L15" s="188"/>
      <c r="N15" s="191"/>
      <c r="O15" s="192"/>
    </row>
    <row r="16" spans="1:15" ht="40.15" customHeight="1">
      <c r="A16" s="189" t="str">
        <f>IF(RicusKrenHishtalmut!B19&gt;0,RicusKrenHishtalmut!B19," ")</f>
        <v xml:space="preserve"> </v>
      </c>
      <c r="B16" s="189" t="str">
        <f>IF(A16&lt;&gt;" ",RicusKrenHishtalmut!E19," ")</f>
        <v xml:space="preserve"> </v>
      </c>
      <c r="C16" s="188" t="str">
        <f>IF(A16&lt;&gt;" ",RicusKrenHishtalmut!F19," ")</f>
        <v xml:space="preserve"> </v>
      </c>
      <c r="D16" s="188" t="str">
        <f>IF(A16&lt;&gt;" ",RicusKrenHishtalmut!R19," ")</f>
        <v xml:space="preserve"> </v>
      </c>
      <c r="E16" s="190" t="str">
        <f>IF(A16&lt;&gt;" ",RicusKrenHishtalmut!P19," ")</f>
        <v xml:space="preserve"> </v>
      </c>
      <c r="F16" s="190" t="str">
        <f t="shared" si="1"/>
        <v xml:space="preserve"> </v>
      </c>
      <c r="G16" s="188">
        <f>IFERROR(VLOOKUP(B16,PerutYitraLeTkufa_till2000!$D$6:$AB$100,12,FALSE),0)</f>
        <v>0</v>
      </c>
      <c r="H16" s="188">
        <f>IFERROR(VLOOKUP(B16,PerutYitraLeTkufa_till2000!$D$6:$AB$100,13,FALSE),0)</f>
        <v>0</v>
      </c>
      <c r="I16" s="215">
        <f>IFERROR(VLOOKUP(B16,PerutYitraLeTkufa_after2000!$D$6:$AB$100,12,FALSE),0)</f>
        <v>0</v>
      </c>
      <c r="J16" s="215">
        <f>IFERROR(VLOOKUP(B16,PerutYitraLeTkufa_after2000!$D$6:$AB$100,13,FALSE),0)</f>
        <v>0</v>
      </c>
      <c r="K16" s="1009">
        <f t="shared" si="0"/>
        <v>0</v>
      </c>
      <c r="L16" s="188"/>
      <c r="N16" s="191"/>
      <c r="O16" s="192"/>
    </row>
    <row r="17" spans="1:15" ht="40.15" customHeight="1">
      <c r="A17" s="189" t="str">
        <f>IF(RicusKrenHishtalmut!B20&gt;0,RicusKrenHishtalmut!B20," ")</f>
        <v xml:space="preserve"> </v>
      </c>
      <c r="B17" s="189" t="str">
        <f>IF(A17&lt;&gt;" ",RicusKrenHishtalmut!E20," ")</f>
        <v xml:space="preserve"> </v>
      </c>
      <c r="C17" s="188" t="str">
        <f>IF(A17&lt;&gt;" ",RicusKrenHishtalmut!F20," ")</f>
        <v xml:space="preserve"> </v>
      </c>
      <c r="D17" s="188" t="str">
        <f>IF(A17&lt;&gt;" ",RicusKrenHishtalmut!R20," ")</f>
        <v xml:space="preserve"> </v>
      </c>
      <c r="E17" s="190" t="str">
        <f>IF(A17&lt;&gt;" ",RicusKrenHishtalmut!P20," ")</f>
        <v xml:space="preserve"> </v>
      </c>
      <c r="F17" s="190" t="str">
        <f t="shared" si="1"/>
        <v xml:space="preserve"> </v>
      </c>
      <c r="G17" s="188">
        <f>IFERROR(VLOOKUP(B17,PerutYitraLeTkufa_till2000!$D$6:$AB$100,12,FALSE),0)</f>
        <v>0</v>
      </c>
      <c r="H17" s="188">
        <f>IFERROR(VLOOKUP(B17,PerutYitraLeTkufa_till2000!$D$6:$AB$100,13,FALSE),0)</f>
        <v>0</v>
      </c>
      <c r="I17" s="215">
        <f>IFERROR(VLOOKUP(B17,PerutYitraLeTkufa_after2000!$D$6:$AB$100,12,FALSE),0)</f>
        <v>0</v>
      </c>
      <c r="J17" s="215">
        <f>IFERROR(VLOOKUP(B17,PerutYitraLeTkufa_after2000!$D$6:$AB$100,13,FALSE),0)</f>
        <v>0</v>
      </c>
      <c r="K17" s="1009">
        <f t="shared" si="0"/>
        <v>0</v>
      </c>
      <c r="L17" s="188"/>
      <c r="N17" s="191"/>
      <c r="O17" s="192"/>
    </row>
    <row r="18" spans="1:15" ht="40.15" customHeight="1">
      <c r="A18" s="189" t="str">
        <f>IF(RicusKrenHishtalmut!B21&gt;0,RicusKrenHishtalmut!B21," ")</f>
        <v xml:space="preserve"> </v>
      </c>
      <c r="B18" s="189" t="str">
        <f>IF(A18&lt;&gt;" ",RicusKrenHishtalmut!E21," ")</f>
        <v xml:space="preserve"> </v>
      </c>
      <c r="C18" s="188" t="str">
        <f>IF(A18&lt;&gt;" ",RicusKrenHishtalmut!F21," ")</f>
        <v xml:space="preserve"> </v>
      </c>
      <c r="D18" s="188" t="str">
        <f>IF(A18&lt;&gt;" ",RicusKrenHishtalmut!R21," ")</f>
        <v xml:space="preserve"> </v>
      </c>
      <c r="E18" s="190" t="str">
        <f>IF(A18&lt;&gt;" ",RicusKrenHishtalmut!P21," ")</f>
        <v xml:space="preserve"> </v>
      </c>
      <c r="F18" s="190" t="str">
        <f t="shared" si="1"/>
        <v xml:space="preserve"> </v>
      </c>
      <c r="G18" s="188">
        <f>IFERROR(VLOOKUP(B18,PerutYitraLeTkufa_till2000!$D$6:$AB$100,12,FALSE),0)</f>
        <v>0</v>
      </c>
      <c r="H18" s="188">
        <f>IFERROR(VLOOKUP(B18,PerutYitraLeTkufa_till2000!$D$6:$AB$100,13,FALSE),0)</f>
        <v>0</v>
      </c>
      <c r="I18" s="215">
        <f>IFERROR(VLOOKUP(B18,PerutYitraLeTkufa_after2000!$D$6:$AB$100,12,FALSE),0)</f>
        <v>0</v>
      </c>
      <c r="J18" s="215">
        <f>IFERROR(VLOOKUP(B18,PerutYitraLeTkufa_after2000!$D$6:$AB$100,13,FALSE),0)</f>
        <v>0</v>
      </c>
      <c r="K18" s="1009">
        <f t="shared" si="0"/>
        <v>0</v>
      </c>
      <c r="L18" s="188"/>
      <c r="N18" s="191" t="s">
        <v>540</v>
      </c>
      <c r="O18" s="192" t="s">
        <v>540</v>
      </c>
    </row>
    <row r="19" spans="1:15" ht="40.15" customHeight="1">
      <c r="A19" s="189" t="str">
        <f>IF(RicusKrenHishtalmut!B22&gt;0,RicusKrenHishtalmut!B22," ")</f>
        <v xml:space="preserve"> </v>
      </c>
      <c r="B19" s="189" t="str">
        <f>IF(A19&lt;&gt;" ",RicusKrenHishtalmut!E22," ")</f>
        <v xml:space="preserve"> </v>
      </c>
      <c r="C19" s="188" t="str">
        <f>IF(A19&lt;&gt;" ",RicusKrenHishtalmut!F22," ")</f>
        <v xml:space="preserve"> </v>
      </c>
      <c r="D19" s="188" t="str">
        <f>IF(A19&lt;&gt;" ",RicusKrenHishtalmut!R22," ")</f>
        <v xml:space="preserve"> </v>
      </c>
      <c r="E19" s="190" t="str">
        <f>IF(A19&lt;&gt;" ",RicusKrenHishtalmut!P22," ")</f>
        <v xml:space="preserve"> </v>
      </c>
      <c r="F19" s="190" t="str">
        <f t="shared" si="1"/>
        <v xml:space="preserve"> </v>
      </c>
      <c r="G19" s="188">
        <f>IFERROR(VLOOKUP(B19,PerutYitraLeTkufa_till2000!$D$6:$AB$100,12,FALSE),0)</f>
        <v>0</v>
      </c>
      <c r="H19" s="188">
        <f>IFERROR(VLOOKUP(B19,PerutYitraLeTkufa_till2000!$D$6:$AB$100,13,FALSE),0)</f>
        <v>0</v>
      </c>
      <c r="I19" s="215">
        <f>IFERROR(VLOOKUP(B19,PerutYitraLeTkufa_after2000!$D$6:$AB$100,12,FALSE),0)</f>
        <v>0</v>
      </c>
      <c r="J19" s="215">
        <f>IFERROR(VLOOKUP(B19,PerutYitraLeTkufa_after2000!$D$6:$AB$100,13,FALSE),0)</f>
        <v>0</v>
      </c>
      <c r="K19" s="1009">
        <f t="shared" si="0"/>
        <v>0</v>
      </c>
      <c r="L19" s="188"/>
      <c r="N19" s="191" t="s">
        <v>540</v>
      </c>
      <c r="O19" s="192" t="s">
        <v>540</v>
      </c>
    </row>
    <row r="20" spans="1:15" ht="40.15" customHeight="1">
      <c r="A20" s="189" t="str">
        <f>IF(RicusKrenHishtalmut!B23&gt;0,RicusKrenHishtalmut!B23," ")</f>
        <v xml:space="preserve"> </v>
      </c>
      <c r="B20" s="189" t="str">
        <f>IF(A20&lt;&gt;" ",RicusKrenHishtalmut!E23," ")</f>
        <v xml:space="preserve"> </v>
      </c>
      <c r="C20" s="188" t="str">
        <f>IF(A20&lt;&gt;" ",RicusKrenHishtalmut!F23," ")</f>
        <v xml:space="preserve"> </v>
      </c>
      <c r="D20" s="188" t="str">
        <f>IF(A20&lt;&gt;" ",RicusKrenHishtalmut!R23," ")</f>
        <v xml:space="preserve"> </v>
      </c>
      <c r="E20" s="190" t="str">
        <f>IF(A20&lt;&gt;" ",RicusKrenHishtalmut!P23," ")</f>
        <v xml:space="preserve"> </v>
      </c>
      <c r="F20" s="190" t="str">
        <f t="shared" si="1"/>
        <v xml:space="preserve"> </v>
      </c>
      <c r="G20" s="188">
        <f>IFERROR(VLOOKUP(B20,PerutYitraLeTkufa_till2000!$D$6:$AB$100,12,FALSE),0)</f>
        <v>0</v>
      </c>
      <c r="H20" s="188">
        <f>IFERROR(VLOOKUP(B20,PerutYitraLeTkufa_till2000!$D$6:$AB$100,13,FALSE),0)</f>
        <v>0</v>
      </c>
      <c r="I20" s="215">
        <f>IFERROR(VLOOKUP(B20,PerutYitraLeTkufa_after2000!$D$6:$AB$100,12,FALSE),0)</f>
        <v>0</v>
      </c>
      <c r="J20" s="215">
        <f>IFERROR(VLOOKUP(B20,PerutYitraLeTkufa_after2000!$D$6:$AB$100,13,FALSE),0)</f>
        <v>0</v>
      </c>
      <c r="K20" s="1009">
        <f t="shared" si="0"/>
        <v>0</v>
      </c>
      <c r="L20" s="188"/>
      <c r="N20" s="191" t="s">
        <v>540</v>
      </c>
      <c r="O20" s="192" t="s">
        <v>540</v>
      </c>
    </row>
    <row r="21" spans="1:15" ht="40.15" customHeight="1">
      <c r="A21" s="189" t="str">
        <f>IF(RicusKrenHishtalmut!B24&gt;0,RicusKrenHishtalmut!B24," ")</f>
        <v xml:space="preserve"> </v>
      </c>
      <c r="B21" s="189" t="str">
        <f>IF(A21&lt;&gt;" ",RicusKrenHishtalmut!E24," ")</f>
        <v xml:space="preserve"> </v>
      </c>
      <c r="C21" s="188" t="str">
        <f>IF(A21&lt;&gt;" ",RicusKrenHishtalmut!F24," ")</f>
        <v xml:space="preserve"> </v>
      </c>
      <c r="D21" s="188" t="str">
        <f>IF(A21&lt;&gt;" ",RicusKrenHishtalmut!R24," ")</f>
        <v xml:space="preserve"> </v>
      </c>
      <c r="E21" s="190" t="str">
        <f>IF(A21&lt;&gt;" ",RicusKrenHishtalmut!P24," ")</f>
        <v xml:space="preserve"> </v>
      </c>
      <c r="F21" s="190" t="str">
        <f t="shared" si="1"/>
        <v xml:space="preserve"> </v>
      </c>
      <c r="G21" s="188">
        <f>IFERROR(VLOOKUP(B21,PerutYitraLeTkufa_till2000!$D$6:$AB$100,12,FALSE),0)</f>
        <v>0</v>
      </c>
      <c r="H21" s="188">
        <f>IFERROR(VLOOKUP(B21,PerutYitraLeTkufa_till2000!$D$6:$AB$100,13,FALSE),0)</f>
        <v>0</v>
      </c>
      <c r="I21" s="215">
        <f>IFERROR(VLOOKUP(B21,PerutYitraLeTkufa_after2000!$D$6:$AB$100,12,FALSE),0)</f>
        <v>0</v>
      </c>
      <c r="J21" s="215">
        <f>IFERROR(VLOOKUP(B21,PerutYitraLeTkufa_after2000!$D$6:$AB$100,13,FALSE),0)</f>
        <v>0</v>
      </c>
      <c r="K21" s="1009">
        <f t="shared" si="0"/>
        <v>0</v>
      </c>
      <c r="L21" s="188"/>
      <c r="N21" s="191" t="s">
        <v>540</v>
      </c>
      <c r="O21" s="192" t="s">
        <v>540</v>
      </c>
    </row>
    <row r="22" spans="1:15" ht="40.15" customHeight="1">
      <c r="A22" s="189" t="str">
        <f>IF(RicusKrenHishtalmut!B25&gt;0,RicusKrenHishtalmut!B25," ")</f>
        <v xml:space="preserve"> </v>
      </c>
      <c r="B22" s="189" t="str">
        <f>IF(A22&lt;&gt;" ",RicusKrenHishtalmut!E25," ")</f>
        <v xml:space="preserve"> </v>
      </c>
      <c r="C22" s="188" t="str">
        <f>IF(A22&lt;&gt;" ",RicusKrenHishtalmut!F25," ")</f>
        <v xml:space="preserve"> </v>
      </c>
      <c r="D22" s="188" t="str">
        <f>IF(A22&lt;&gt;" ",RicusKrenHishtalmut!R25," ")</f>
        <v xml:space="preserve"> </v>
      </c>
      <c r="E22" s="190" t="str">
        <f>IF(A22&lt;&gt;" ",RicusKrenHishtalmut!P25," ")</f>
        <v xml:space="preserve"> </v>
      </c>
      <c r="F22" s="190" t="str">
        <f t="shared" si="1"/>
        <v xml:space="preserve"> </v>
      </c>
      <c r="G22" s="188">
        <f>IFERROR(VLOOKUP(B22,PerutYitraLeTkufa_till2000!$D$6:$AB$100,12,FALSE),0)</f>
        <v>0</v>
      </c>
      <c r="H22" s="188">
        <f>IFERROR(VLOOKUP(B22,PerutYitraLeTkufa_till2000!$D$6:$AB$100,13,FALSE),0)</f>
        <v>0</v>
      </c>
      <c r="I22" s="215">
        <f>IFERROR(VLOOKUP(B22,PerutYitraLeTkufa_after2000!$D$6:$AB$100,12,FALSE),0)</f>
        <v>0</v>
      </c>
      <c r="J22" s="215">
        <f>IFERROR(VLOOKUP(B22,PerutYitraLeTkufa_after2000!$D$6:$AB$100,13,FALSE),0)</f>
        <v>0</v>
      </c>
      <c r="K22" s="1009">
        <f t="shared" si="0"/>
        <v>0</v>
      </c>
      <c r="L22" s="178"/>
      <c r="N22" s="191" t="s">
        <v>540</v>
      </c>
      <c r="O22" s="192" t="s">
        <v>540</v>
      </c>
    </row>
    <row r="23" spans="1:15" ht="40.15" customHeight="1">
      <c r="A23" s="189" t="str">
        <f>IF(RicusKrenHishtalmut!B26&gt;0,RicusKrenHishtalmut!B26," ")</f>
        <v xml:space="preserve"> </v>
      </c>
      <c r="B23" s="189" t="str">
        <f>IF(A23&lt;&gt;" ",RicusKrenHishtalmut!E26," ")</f>
        <v xml:space="preserve"> </v>
      </c>
      <c r="C23" s="188" t="str">
        <f>IF(A23&lt;&gt;" ",RicusKrenHishtalmut!F26," ")</f>
        <v xml:space="preserve"> </v>
      </c>
      <c r="D23" s="188" t="str">
        <f>IF(A23&lt;&gt;" ",RicusKrenHishtalmut!R26," ")</f>
        <v xml:space="preserve"> </v>
      </c>
      <c r="E23" s="190" t="str">
        <f>IF(A23&lt;&gt;" ",RicusKrenHishtalmut!P26," ")</f>
        <v xml:space="preserve"> </v>
      </c>
      <c r="F23" s="190" t="str">
        <f t="shared" si="1"/>
        <v xml:space="preserve"> </v>
      </c>
      <c r="G23" s="188">
        <f>IFERROR(VLOOKUP(B23,PerutYitraLeTkufa_till2000!$D$6:$AB$100,12,FALSE),0)</f>
        <v>0</v>
      </c>
      <c r="H23" s="188">
        <f>IFERROR(VLOOKUP(B23,PerutYitraLeTkufa_till2000!$D$6:$AB$100,13,FALSE),0)</f>
        <v>0</v>
      </c>
      <c r="I23" s="215">
        <f>IFERROR(VLOOKUP(B23,PerutYitraLeTkufa_after2000!$D$6:$AB$100,12,FALSE),0)</f>
        <v>0</v>
      </c>
      <c r="J23" s="215">
        <f>IFERROR(VLOOKUP(B23,PerutYitraLeTkufa_after2000!$D$6:$AB$100,13,FALSE),0)</f>
        <v>0</v>
      </c>
      <c r="K23" s="1009">
        <f t="shared" si="0"/>
        <v>0</v>
      </c>
      <c r="L23" s="178"/>
      <c r="N23" s="191" t="s">
        <v>540</v>
      </c>
      <c r="O23" s="192" t="s">
        <v>540</v>
      </c>
    </row>
    <row r="24" spans="1:15" ht="40.15" customHeight="1">
      <c r="A24" s="189" t="str">
        <f>IF(RicusKrenHishtalmut!B27&gt;0,RicusKrenHishtalmut!B27," ")</f>
        <v xml:space="preserve"> </v>
      </c>
      <c r="B24" s="189" t="str">
        <f>IF(A24&lt;&gt;" ",RicusKrenHishtalmut!E27," ")</f>
        <v xml:space="preserve"> </v>
      </c>
      <c r="C24" s="188" t="str">
        <f>IF(A24&lt;&gt;" ",RicusKrenHishtalmut!F27," ")</f>
        <v xml:space="preserve"> </v>
      </c>
      <c r="D24" s="188" t="str">
        <f>IF(A24&lt;&gt;" ",RicusKrenHishtalmut!R27," ")</f>
        <v xml:space="preserve"> </v>
      </c>
      <c r="E24" s="190" t="str">
        <f>IF(A24&lt;&gt;" ",RicusKrenHishtalmut!P27," ")</f>
        <v xml:space="preserve"> </v>
      </c>
      <c r="F24" s="190" t="str">
        <f t="shared" si="1"/>
        <v xml:space="preserve"> </v>
      </c>
      <c r="G24" s="188">
        <f>IFERROR(VLOOKUP(B24,PerutYitraLeTkufa_till2000!$D$6:$AB$100,12,FALSE),0)</f>
        <v>0</v>
      </c>
      <c r="H24" s="188">
        <f>IFERROR(VLOOKUP(B24,PerutYitraLeTkufa_till2000!$D$6:$AB$100,13,FALSE),0)</f>
        <v>0</v>
      </c>
      <c r="I24" s="215">
        <f>IFERROR(VLOOKUP(B24,PerutYitraLeTkufa_after2000!$D$6:$AB$100,12,FALSE),0)</f>
        <v>0</v>
      </c>
      <c r="J24" s="215">
        <f>IFERROR(VLOOKUP(B24,PerutYitraLeTkufa_after2000!$D$6:$AB$100,13,FALSE),0)</f>
        <v>0</v>
      </c>
      <c r="K24" s="1009">
        <f t="shared" si="0"/>
        <v>0</v>
      </c>
      <c r="L24" s="178"/>
      <c r="N24" s="191" t="s">
        <v>540</v>
      </c>
      <c r="O24" s="192" t="s">
        <v>540</v>
      </c>
    </row>
    <row r="25" spans="1:15" ht="40.15" customHeight="1">
      <c r="A25" s="189" t="str">
        <f>IF(RicusKrenHishtalmut!B28&gt;0,RicusKrenHishtalmut!B28," ")</f>
        <v xml:space="preserve"> </v>
      </c>
      <c r="B25" s="189" t="str">
        <f>IF(A25&lt;&gt;" ",RicusKrenHishtalmut!E28," ")</f>
        <v xml:space="preserve"> </v>
      </c>
      <c r="C25" s="188" t="str">
        <f>IF(A25&lt;&gt;" ",RicusKrenHishtalmut!F28," ")</f>
        <v xml:space="preserve"> </v>
      </c>
      <c r="D25" s="188" t="str">
        <f>IF(A25&lt;&gt;" ",RicusKrenHishtalmut!R28," ")</f>
        <v xml:space="preserve"> </v>
      </c>
      <c r="E25" s="190" t="str">
        <f>IF(A25&lt;&gt;" ",RicusKrenHishtalmut!P28," ")</f>
        <v xml:space="preserve"> </v>
      </c>
      <c r="F25" s="190" t="str">
        <f t="shared" si="1"/>
        <v xml:space="preserve"> </v>
      </c>
      <c r="G25" s="188">
        <f>IFERROR(VLOOKUP(B25,PerutYitraLeTkufa_till2000!$D$6:$AB$100,12,FALSE),0)</f>
        <v>0</v>
      </c>
      <c r="H25" s="188">
        <f>IFERROR(VLOOKUP(B25,PerutYitraLeTkufa_till2000!$D$6:$AB$100,13,FALSE),0)</f>
        <v>0</v>
      </c>
      <c r="I25" s="215">
        <f>IFERROR(VLOOKUP(B25,PerutYitraLeTkufa_after2000!$D$6:$AB$100,12,FALSE),0)</f>
        <v>0</v>
      </c>
      <c r="J25" s="215">
        <f>IFERROR(VLOOKUP(B25,PerutYitraLeTkufa_after2000!$D$6:$AB$100,13,FALSE),0)</f>
        <v>0</v>
      </c>
      <c r="K25" s="1009">
        <f t="shared" si="0"/>
        <v>0</v>
      </c>
      <c r="L25" s="178"/>
      <c r="N25" s="191" t="s">
        <v>540</v>
      </c>
      <c r="O25" s="192" t="s">
        <v>540</v>
      </c>
    </row>
    <row r="26" spans="1:15" ht="40.15" customHeight="1">
      <c r="A26" s="189" t="str">
        <f>IF(RicusKrenHishtalmut!B29&gt;0,RicusKrenHishtalmut!B29," ")</f>
        <v xml:space="preserve"> </v>
      </c>
      <c r="B26" s="189" t="str">
        <f>IF(A26&lt;&gt;" ",RicusKrenHishtalmut!E29," ")</f>
        <v xml:space="preserve"> </v>
      </c>
      <c r="C26" s="188" t="str">
        <f>IF(A26&lt;&gt;" ",RicusKrenHishtalmut!F29," ")</f>
        <v xml:space="preserve"> </v>
      </c>
      <c r="D26" s="188" t="str">
        <f>IF(A26&lt;&gt;" ",RicusKrenHishtalmut!R29," ")</f>
        <v xml:space="preserve"> </v>
      </c>
      <c r="E26" s="190" t="str">
        <f>IF(A26&lt;&gt;" ",RicusKrenHishtalmut!P29," ")</f>
        <v xml:space="preserve"> </v>
      </c>
      <c r="F26" s="190" t="str">
        <f t="shared" si="1"/>
        <v xml:space="preserve"> </v>
      </c>
      <c r="G26" s="188">
        <f>IFERROR(VLOOKUP(B26,PerutYitraLeTkufa_till2000!$D$6:$AB$100,12,FALSE),0)</f>
        <v>0</v>
      </c>
      <c r="H26" s="188">
        <f>IFERROR(VLOOKUP(B26,PerutYitraLeTkufa_till2000!$D$6:$AB$100,13,FALSE),0)</f>
        <v>0</v>
      </c>
      <c r="I26" s="215">
        <f>IFERROR(VLOOKUP(B26,PerutYitraLeTkufa_after2000!$D$6:$AB$100,12,FALSE),0)</f>
        <v>0</v>
      </c>
      <c r="J26" s="215">
        <f>IFERROR(VLOOKUP(B26,PerutYitraLeTkufa_after2000!$D$6:$AB$100,13,FALSE),0)</f>
        <v>0</v>
      </c>
      <c r="K26" s="1009">
        <f t="shared" si="0"/>
        <v>0</v>
      </c>
      <c r="L26" s="178"/>
    </row>
    <row r="27" spans="1:15" ht="40.15" customHeight="1">
      <c r="A27" s="189" t="str">
        <f>IF(RicusKrenHishtalmut!B30&gt;0,RicusKrenHishtalmut!B30," ")</f>
        <v xml:space="preserve"> </v>
      </c>
      <c r="B27" s="189" t="str">
        <f>IF(A27&lt;&gt;" ",RicusKrenHishtalmut!E30," ")</f>
        <v xml:space="preserve"> </v>
      </c>
      <c r="C27" s="188" t="str">
        <f>IF(A27&lt;&gt;" ",RicusKrenHishtalmut!F30," ")</f>
        <v xml:space="preserve"> </v>
      </c>
      <c r="D27" s="188" t="str">
        <f>IF(A27&lt;&gt;" ",RicusKrenHishtalmut!R30," ")</f>
        <v xml:space="preserve"> </v>
      </c>
      <c r="E27" s="190" t="str">
        <f>IF(A27&lt;&gt;" ",RicusKrenHishtalmut!P30," ")</f>
        <v xml:space="preserve"> </v>
      </c>
      <c r="F27" s="190" t="str">
        <f t="shared" si="1"/>
        <v xml:space="preserve"> </v>
      </c>
      <c r="G27" s="188">
        <f>IFERROR(VLOOKUP(B27,PerutYitraLeTkufa_till2000!$D$6:$AB$100,12,FALSE),0)</f>
        <v>0</v>
      </c>
      <c r="H27" s="188">
        <f>IFERROR(VLOOKUP(B27,PerutYitraLeTkufa_till2000!$D$6:$AB$100,13,FALSE),0)</f>
        <v>0</v>
      </c>
      <c r="I27" s="215">
        <f>IFERROR(VLOOKUP(B27,PerutYitraLeTkufa_after2000!$D$6:$AB$100,12,FALSE),0)</f>
        <v>0</v>
      </c>
      <c r="J27" s="215">
        <f>IFERROR(VLOOKUP(B27,PerutYitraLeTkufa_after2000!$D$6:$AB$100,13,FALSE),0)</f>
        <v>0</v>
      </c>
      <c r="K27" s="1009">
        <f t="shared" si="0"/>
        <v>0</v>
      </c>
      <c r="L27" s="178"/>
    </row>
    <row r="28" spans="1:15" ht="40.15" customHeight="1">
      <c r="A28" s="189" t="str">
        <f>IF(RicusKrenHishtalmut!B31&gt;0,RicusKrenHishtalmut!B31," ")</f>
        <v xml:space="preserve"> </v>
      </c>
      <c r="B28" s="189" t="str">
        <f>IF(A28&lt;&gt;" ",RicusKrenHishtalmut!E31," ")</f>
        <v xml:space="preserve"> </v>
      </c>
      <c r="C28" s="188" t="str">
        <f>IF(A28&lt;&gt;" ",RicusKrenHishtalmut!F31," ")</f>
        <v xml:space="preserve"> </v>
      </c>
      <c r="D28" s="188" t="str">
        <f>IF(A28&lt;&gt;" ",RicusKrenHishtalmut!R31," ")</f>
        <v xml:space="preserve"> </v>
      </c>
      <c r="E28" s="190" t="str">
        <f>IF(A28&lt;&gt;" ",RicusKrenHishtalmut!P31," ")</f>
        <v xml:space="preserve"> </v>
      </c>
      <c r="F28" s="190" t="str">
        <f t="shared" si="1"/>
        <v xml:space="preserve"> </v>
      </c>
      <c r="G28" s="188">
        <f>IFERROR(VLOOKUP(B28,PerutYitraLeTkufa_till2000!$D$6:$AB$100,12,FALSE),0)</f>
        <v>0</v>
      </c>
      <c r="H28" s="188">
        <f>IFERROR(VLOOKUP(B28,PerutYitraLeTkufa_till2000!$D$6:$AB$100,13,FALSE),0)</f>
        <v>0</v>
      </c>
      <c r="I28" s="215">
        <f>IFERROR(VLOOKUP(B28,PerutYitraLeTkufa_after2000!$D$6:$AB$100,12,FALSE),0)</f>
        <v>0</v>
      </c>
      <c r="J28" s="215">
        <f>IFERROR(VLOOKUP(B28,PerutYitraLeTkufa_after2000!$D$6:$AB$100,13,FALSE),0)</f>
        <v>0</v>
      </c>
      <c r="K28" s="1009">
        <f t="shared" si="0"/>
        <v>0</v>
      </c>
      <c r="L28" s="178"/>
    </row>
    <row r="29" spans="1:15" ht="40.15" customHeight="1">
      <c r="A29" s="189" t="str">
        <f>IF(RicusKrenHishtalmut!B32&gt;0,RicusKrenHishtalmut!B32," ")</f>
        <v xml:space="preserve"> </v>
      </c>
      <c r="B29" s="189" t="str">
        <f>IF(A29&lt;&gt;" ",RicusKrenHishtalmut!E32," ")</f>
        <v xml:space="preserve"> </v>
      </c>
      <c r="C29" s="188" t="str">
        <f>IF(A29&lt;&gt;" ",RicusKrenHishtalmut!F32," ")</f>
        <v xml:space="preserve"> </v>
      </c>
      <c r="D29" s="188" t="str">
        <f>IF(A29&lt;&gt;" ",RicusKrenHishtalmut!R32," ")</f>
        <v xml:space="preserve"> </v>
      </c>
      <c r="E29" s="190" t="str">
        <f>IF(A29&lt;&gt;" ",RicusKrenHishtalmut!P32," ")</f>
        <v xml:space="preserve"> </v>
      </c>
      <c r="F29" s="190" t="str">
        <f t="shared" si="1"/>
        <v xml:space="preserve"> </v>
      </c>
      <c r="G29" s="188">
        <f>IFERROR(VLOOKUP(B29,PerutYitraLeTkufa_till2000!$D$6:$AB$100,12,FALSE),0)</f>
        <v>0</v>
      </c>
      <c r="H29" s="188">
        <f>IFERROR(VLOOKUP(B29,PerutYitraLeTkufa_till2000!$D$6:$AB$100,13,FALSE),0)</f>
        <v>0</v>
      </c>
      <c r="I29" s="215">
        <f>IFERROR(VLOOKUP(B29,PerutYitraLeTkufa_after2000!$D$6:$AB$100,12,FALSE),0)</f>
        <v>0</v>
      </c>
      <c r="J29" s="215">
        <f>IFERROR(VLOOKUP(B29,PerutYitraLeTkufa_after2000!$D$6:$AB$100,13,FALSE),0)</f>
        <v>0</v>
      </c>
      <c r="K29" s="1009">
        <f t="shared" si="0"/>
        <v>0</v>
      </c>
      <c r="L29" s="178"/>
    </row>
    <row r="30" spans="1:15" ht="40.15" customHeight="1">
      <c r="A30" s="189" t="str">
        <f>IF(RicusKrenHishtalmut!B33&gt;0,RicusKrenHishtalmut!B33," ")</f>
        <v xml:space="preserve"> </v>
      </c>
      <c r="B30" s="189" t="str">
        <f>IF(A30&lt;&gt;" ",RicusKrenHishtalmut!E33," ")</f>
        <v xml:space="preserve"> </v>
      </c>
      <c r="C30" s="188" t="str">
        <f>IF(A30&lt;&gt;" ",RicusKrenHishtalmut!F33," ")</f>
        <v xml:space="preserve"> </v>
      </c>
      <c r="D30" s="188" t="str">
        <f>IF(A30&lt;&gt;" ",RicusKrenHishtalmut!R33," ")</f>
        <v xml:space="preserve"> </v>
      </c>
      <c r="E30" s="190" t="str">
        <f>IF(A30&lt;&gt;" ",RicusKrenHishtalmut!P33," ")</f>
        <v xml:space="preserve"> </v>
      </c>
      <c r="F30" s="190" t="str">
        <f t="shared" si="1"/>
        <v xml:space="preserve"> </v>
      </c>
      <c r="G30" s="188">
        <f>IFERROR(VLOOKUP(B30,PerutYitraLeTkufa_till2000!$D$6:$AB$100,12,FALSE),0)</f>
        <v>0</v>
      </c>
      <c r="H30" s="188">
        <f>IFERROR(VLOOKUP(B30,PerutYitraLeTkufa_till2000!$D$6:$AB$100,13,FALSE),0)</f>
        <v>0</v>
      </c>
      <c r="I30" s="215">
        <f>IFERROR(VLOOKUP(B30,PerutYitraLeTkufa_after2000!$D$6:$AB$100,12,FALSE),0)</f>
        <v>0</v>
      </c>
      <c r="J30" s="215">
        <f>IFERROR(VLOOKUP(B30,PerutYitraLeTkufa_after2000!$D$6:$AB$100,13,FALSE),0)</f>
        <v>0</v>
      </c>
      <c r="K30" s="1009">
        <f t="shared" si="0"/>
        <v>0</v>
      </c>
      <c r="L30" s="178"/>
    </row>
    <row r="31" spans="1:15" ht="40.15" customHeight="1">
      <c r="A31" s="189" t="str">
        <f>IF(RicusKrenHishtalmut!B34&gt;0,RicusKrenHishtalmut!B34," ")</f>
        <v xml:space="preserve"> </v>
      </c>
      <c r="B31" s="189" t="str">
        <f>IF(A31&lt;&gt;" ",RicusKrenHishtalmut!E34," ")</f>
        <v xml:space="preserve"> </v>
      </c>
      <c r="C31" s="188" t="str">
        <f>IF(A31&lt;&gt;" ",RicusKrenHishtalmut!F34," ")</f>
        <v xml:space="preserve"> </v>
      </c>
      <c r="D31" s="188" t="str">
        <f>IF(A31&lt;&gt;" ",RicusKrenHishtalmut!R34," ")</f>
        <v xml:space="preserve"> </v>
      </c>
      <c r="E31" s="190" t="str">
        <f>IF(A31&lt;&gt;" ",RicusKrenHishtalmut!P34," ")</f>
        <v xml:space="preserve"> </v>
      </c>
      <c r="F31" s="190" t="str">
        <f t="shared" si="1"/>
        <v xml:space="preserve"> </v>
      </c>
      <c r="G31" s="188">
        <f>IFERROR(VLOOKUP(B31,PerutYitraLeTkufa_till2000!$D$6:$AB$100,12,FALSE),0)</f>
        <v>0</v>
      </c>
      <c r="H31" s="188">
        <f>IFERROR(VLOOKUP(B31,PerutYitraLeTkufa_till2000!$D$6:$AB$100,13,FALSE),0)</f>
        <v>0</v>
      </c>
      <c r="I31" s="215">
        <f>IFERROR(VLOOKUP(B31,PerutYitraLeTkufa_after2000!$D$6:$AB$100,12,FALSE),0)</f>
        <v>0</v>
      </c>
      <c r="J31" s="215">
        <f>IFERROR(VLOOKUP(B31,PerutYitraLeTkufa_after2000!$D$6:$AB$100,13,FALSE),0)</f>
        <v>0</v>
      </c>
      <c r="K31" s="1009">
        <f t="shared" si="0"/>
        <v>0</v>
      </c>
      <c r="L31" s="178"/>
    </row>
    <row r="32" spans="1:15" ht="35.1" customHeight="1">
      <c r="A32" s="189" t="str">
        <f>IF(RicusKrenHishtalmut!B35&gt;0,RicusKrenHishtalmut!B35," ")</f>
        <v xml:space="preserve"> </v>
      </c>
      <c r="B32" s="189" t="str">
        <f>IF(A32&lt;&gt;" ",RicusKrenHishtalmut!E35," ")</f>
        <v xml:space="preserve"> </v>
      </c>
      <c r="C32" s="188" t="str">
        <f>IF(A32&lt;&gt;" ",RicusKrenHishtalmut!F35," ")</f>
        <v xml:space="preserve"> </v>
      </c>
      <c r="D32" s="188" t="str">
        <f>IF(A32&lt;&gt;" ",RicusKrenHishtalmut!R35," ")</f>
        <v xml:space="preserve"> </v>
      </c>
      <c r="E32" s="190" t="str">
        <f>IF(A32&lt;&gt;" ",RicusKrenHishtalmut!P35," ")</f>
        <v xml:space="preserve"> </v>
      </c>
      <c r="F32" s="190" t="str">
        <f t="shared" si="1"/>
        <v xml:space="preserve"> </v>
      </c>
      <c r="G32" s="188">
        <f>IFERROR(VLOOKUP(B32,PerutYitraLeTkufa_till2000!$D$6:$AB$100,12,FALSE),0)</f>
        <v>0</v>
      </c>
      <c r="H32" s="188">
        <f>IFERROR(VLOOKUP(B32,PerutYitraLeTkufa_till2000!$D$6:$AB$100,13,FALSE),0)</f>
        <v>0</v>
      </c>
      <c r="I32" s="215">
        <f>IFERROR(VLOOKUP(B32,PerutYitraLeTkufa_after2000!$D$6:$AB$100,12,FALSE),0)</f>
        <v>0</v>
      </c>
      <c r="J32" s="215">
        <f>IFERROR(VLOOKUP(B32,PerutYitraLeTkufa_after2000!$D$6:$AB$100,13,FALSE),0)</f>
        <v>0</v>
      </c>
      <c r="K32" s="1009">
        <f t="shared" si="0"/>
        <v>0</v>
      </c>
      <c r="L32" s="178"/>
    </row>
    <row r="33" spans="1:55" ht="35.1" customHeight="1">
      <c r="A33" s="189" t="str">
        <f>IF(RicusKrenHishtalmut!B36&gt;0,RicusKrenHishtalmut!B36," ")</f>
        <v xml:space="preserve"> </v>
      </c>
      <c r="B33" s="189" t="str">
        <f>IF(A33&lt;&gt;" ",RicusKrenHishtalmut!E36," ")</f>
        <v xml:space="preserve"> </v>
      </c>
      <c r="C33" s="188" t="str">
        <f>IF(A33&lt;&gt;" ",RicusKrenHishtalmut!F36," ")</f>
        <v xml:space="preserve"> </v>
      </c>
      <c r="D33" s="188" t="str">
        <f>IF(A33&lt;&gt;" ",RicusKrenHishtalmut!R36," ")</f>
        <v xml:space="preserve"> </v>
      </c>
      <c r="E33" s="190" t="str">
        <f>IF(A33&lt;&gt;" ",RicusKrenHishtalmut!P36," ")</f>
        <v xml:space="preserve"> </v>
      </c>
      <c r="F33" s="190" t="str">
        <f t="shared" si="1"/>
        <v xml:space="preserve"> </v>
      </c>
      <c r="G33" s="188">
        <f>IFERROR(VLOOKUP(B33,PerutYitraLeTkufa_till2000!$D$6:$AB$100,12,FALSE),0)</f>
        <v>0</v>
      </c>
      <c r="H33" s="188">
        <f>IFERROR(VLOOKUP(B33,PerutYitraLeTkufa_till2000!$D$6:$AB$100,13,FALSE),0)</f>
        <v>0</v>
      </c>
      <c r="I33" s="215">
        <f>IFERROR(VLOOKUP(B33,PerutYitraLeTkufa_after2000!$D$6:$AB$100,12,FALSE),0)</f>
        <v>0</v>
      </c>
      <c r="J33" s="215">
        <f>IFERROR(VLOOKUP(B33,PerutYitraLeTkufa_after2000!$D$6:$AB$100,13,FALSE),0)</f>
        <v>0</v>
      </c>
      <c r="K33" s="1009">
        <f t="shared" si="0"/>
        <v>0</v>
      </c>
      <c r="L33" s="178"/>
    </row>
    <row r="34" spans="1:55" ht="35.1" customHeight="1">
      <c r="A34" s="189" t="str">
        <f>IF(RicusKrenHishtalmut!B37&gt;0,RicusKrenHishtalmut!B37," ")</f>
        <v xml:space="preserve"> </v>
      </c>
      <c r="B34" s="189" t="str">
        <f>IF(A34&lt;&gt;" ",RicusKrenHishtalmut!E37," ")</f>
        <v xml:space="preserve"> </v>
      </c>
      <c r="C34" s="188" t="str">
        <f>IF(A34&lt;&gt;" ",RicusKrenHishtalmut!F37," ")</f>
        <v xml:space="preserve"> </v>
      </c>
      <c r="D34" s="188" t="str">
        <f>IF(A34&lt;&gt;" ",RicusKrenHishtalmut!R37," ")</f>
        <v xml:space="preserve"> </v>
      </c>
      <c r="E34" s="190" t="str">
        <f>IF(A34&lt;&gt;" ",RicusKrenHishtalmut!P37," ")</f>
        <v xml:space="preserve"> </v>
      </c>
      <c r="F34" s="190" t="str">
        <f t="shared" si="1"/>
        <v xml:space="preserve"> </v>
      </c>
      <c r="G34" s="188">
        <f>IFERROR(VLOOKUP(B34,PerutYitraLeTkufa_till2000!$D$6:$AB$100,12,FALSE),0)</f>
        <v>0</v>
      </c>
      <c r="H34" s="188">
        <f>IFERROR(VLOOKUP(B34,PerutYitraLeTkufa_till2000!$D$6:$AB$100,13,FALSE),0)</f>
        <v>0</v>
      </c>
      <c r="I34" s="215">
        <f>IFERROR(VLOOKUP(B34,PerutYitraLeTkufa_after2000!$D$6:$AB$100,12,FALSE),0)</f>
        <v>0</v>
      </c>
      <c r="J34" s="215">
        <f>IFERROR(VLOOKUP(B34,PerutYitraLeTkufa_after2000!$D$6:$AB$100,13,FALSE),0)</f>
        <v>0</v>
      </c>
      <c r="K34" s="1009">
        <f t="shared" si="0"/>
        <v>0</v>
      </c>
      <c r="L34" s="178"/>
    </row>
    <row r="35" spans="1:55" ht="35.1" customHeight="1">
      <c r="A35" s="189" t="str">
        <f>IF(RicusKrenHishtalmut!B38&gt;0,RicusKrenHishtalmut!B38," ")</f>
        <v xml:space="preserve"> </v>
      </c>
      <c r="B35" s="189" t="str">
        <f>IF(A35&lt;&gt;" ",RicusKrenHishtalmut!E38," ")</f>
        <v xml:space="preserve"> </v>
      </c>
      <c r="C35" s="188" t="str">
        <f>IF(A35&lt;&gt;" ",RicusKrenHishtalmut!F38," ")</f>
        <v xml:space="preserve"> </v>
      </c>
      <c r="D35" s="188" t="str">
        <f>IF(A35&lt;&gt;" ",RicusKrenHishtalmut!R38," ")</f>
        <v xml:space="preserve"> </v>
      </c>
      <c r="E35" s="190" t="str">
        <f>IF(A35&lt;&gt;" ",RicusKrenHishtalmut!P38," ")</f>
        <v xml:space="preserve"> </v>
      </c>
      <c r="F35" s="190" t="str">
        <f t="shared" si="1"/>
        <v xml:space="preserve"> </v>
      </c>
      <c r="G35" s="188">
        <f>IFERROR(VLOOKUP(B35,PerutYitraLeTkufa_till2000!$D$6:$AB$100,12,FALSE),0)</f>
        <v>0</v>
      </c>
      <c r="H35" s="188">
        <f>IFERROR(VLOOKUP(B35,PerutYitraLeTkufa_till2000!$D$6:$AB$100,13,FALSE),0)</f>
        <v>0</v>
      </c>
      <c r="I35" s="215">
        <f>IFERROR(VLOOKUP(B35,PerutYitraLeTkufa_after2000!$D$6:$AB$100,12,FALSE),0)</f>
        <v>0</v>
      </c>
      <c r="J35" s="215">
        <f>IFERROR(VLOOKUP(B35,PerutYitraLeTkufa_after2000!$D$6:$AB$100,13,FALSE),0)</f>
        <v>0</v>
      </c>
      <c r="K35" s="1009">
        <f t="shared" si="0"/>
        <v>0</v>
      </c>
      <c r="L35" s="178"/>
    </row>
    <row r="36" spans="1:55" ht="35.1" customHeight="1">
      <c r="A36" s="189" t="str">
        <f>IF(RicusKrenHishtalmut!B39&gt;0,RicusKrenHishtalmut!B39," ")</f>
        <v xml:space="preserve"> </v>
      </c>
      <c r="B36" s="189" t="str">
        <f>IF(A36&lt;&gt;" ",RicusKrenHishtalmut!E39," ")</f>
        <v xml:space="preserve"> </v>
      </c>
      <c r="C36" s="188" t="str">
        <f>IF(A36&lt;&gt;" ",RicusKrenHishtalmut!F39," ")</f>
        <v xml:space="preserve"> </v>
      </c>
      <c r="D36" s="188" t="str">
        <f>IF(A36&lt;&gt;" ",RicusKrenHishtalmut!R39," ")</f>
        <v xml:space="preserve"> </v>
      </c>
      <c r="E36" s="190" t="str">
        <f>IF(A36&lt;&gt;" ",RicusKrenHishtalmut!P39," ")</f>
        <v xml:space="preserve"> </v>
      </c>
      <c r="F36" s="190" t="str">
        <f t="shared" si="1"/>
        <v xml:space="preserve"> </v>
      </c>
      <c r="G36" s="188">
        <f>IFERROR(VLOOKUP(B36,PerutYitraLeTkufa_till2000!$D$6:$AB$100,12,FALSE),0)</f>
        <v>0</v>
      </c>
      <c r="H36" s="188">
        <f>IFERROR(VLOOKUP(B36,PerutYitraLeTkufa_till2000!$D$6:$AB$100,13,FALSE),0)</f>
        <v>0</v>
      </c>
      <c r="I36" s="215">
        <f>IFERROR(VLOOKUP(B36,PerutYitraLeTkufa_after2000!$D$6:$AB$100,12,FALSE),0)</f>
        <v>0</v>
      </c>
      <c r="J36" s="215">
        <f>IFERROR(VLOOKUP(B36,PerutYitraLeTkufa_after2000!$D$6:$AB$100,13,FALSE),0)</f>
        <v>0</v>
      </c>
      <c r="K36" s="1009">
        <f t="shared" si="0"/>
        <v>0</v>
      </c>
      <c r="L36" s="178"/>
    </row>
    <row r="37" spans="1:55" ht="35.1" customHeight="1">
      <c r="A37" s="189" t="str">
        <f>IF(RicusKrenHishtalmut!B40&gt;0,RicusKrenHishtalmut!B40," ")</f>
        <v xml:space="preserve"> </v>
      </c>
      <c r="B37" s="189" t="str">
        <f>IF(A37&lt;&gt;" ",RicusKrenHishtalmut!E40," ")</f>
        <v xml:space="preserve"> </v>
      </c>
      <c r="C37" s="188" t="str">
        <f>IF(A37&lt;&gt;" ",RicusKrenHishtalmut!F40," ")</f>
        <v xml:space="preserve"> </v>
      </c>
      <c r="D37" s="188" t="str">
        <f>IF(A37&lt;&gt;" ",RicusKrenHishtalmut!R40," ")</f>
        <v xml:space="preserve"> </v>
      </c>
      <c r="E37" s="190" t="str">
        <f>IF(A37&lt;&gt;" ",RicusKrenHishtalmut!P40," ")</f>
        <v xml:space="preserve"> </v>
      </c>
      <c r="F37" s="190" t="str">
        <f t="shared" si="1"/>
        <v xml:space="preserve"> </v>
      </c>
      <c r="G37" s="188">
        <f>IFERROR(VLOOKUP(B37,PerutYitraLeTkufa_till2000!$D$6:$AB$100,12,FALSE),0)</f>
        <v>0</v>
      </c>
      <c r="H37" s="188">
        <f>IFERROR(VLOOKUP(B37,PerutYitraLeTkufa_till2000!$D$6:$AB$100,13,FALSE),0)</f>
        <v>0</v>
      </c>
      <c r="I37" s="215">
        <f>IFERROR(VLOOKUP(B37,PerutYitraLeTkufa_after2000!$D$6:$AB$100,12,FALSE),0)</f>
        <v>0</v>
      </c>
      <c r="J37" s="215">
        <f>IFERROR(VLOOKUP(B37,PerutYitraLeTkufa_after2000!$D$6:$AB$100,13,FALSE),0)</f>
        <v>0</v>
      </c>
      <c r="K37" s="1009">
        <f t="shared" si="0"/>
        <v>0</v>
      </c>
      <c r="L37" s="178"/>
    </row>
    <row r="38" spans="1:55" ht="35.1" customHeight="1">
      <c r="A38" s="189" t="str">
        <f>IF(RicusKrenHishtalmut!B41&gt;0,RicusKrenHishtalmut!B41," ")</f>
        <v xml:space="preserve"> </v>
      </c>
      <c r="B38" s="189" t="str">
        <f>IF(A38&lt;&gt;" ",RicusKrenHishtalmut!E41," ")</f>
        <v xml:space="preserve"> </v>
      </c>
      <c r="C38" s="188" t="str">
        <f>IF(A38&lt;&gt;" ",RicusKrenHishtalmut!F41," ")</f>
        <v xml:space="preserve"> </v>
      </c>
      <c r="D38" s="188" t="str">
        <f>IF(A38&lt;&gt;" ",RicusKrenHishtalmut!R41," ")</f>
        <v xml:space="preserve"> </v>
      </c>
      <c r="E38" s="190" t="str">
        <f>IF(A38&lt;&gt;" ",RicusKrenHishtalmut!P41," ")</f>
        <v xml:space="preserve"> </v>
      </c>
      <c r="F38" s="190" t="str">
        <f t="shared" si="1"/>
        <v xml:space="preserve"> </v>
      </c>
      <c r="G38" s="188">
        <f>IFERROR(VLOOKUP(B38,PerutYitraLeTkufa_till2000!$D$6:$AB$100,12,FALSE),0)</f>
        <v>0</v>
      </c>
      <c r="H38" s="188">
        <f>IFERROR(VLOOKUP(B38,PerutYitraLeTkufa_till2000!$D$6:$AB$100,13,FALSE),0)</f>
        <v>0</v>
      </c>
      <c r="I38" s="215">
        <f>IFERROR(VLOOKUP(B38,PerutYitraLeTkufa_after2000!$D$6:$AB$100,12,FALSE),0)</f>
        <v>0</v>
      </c>
      <c r="J38" s="215">
        <f>IFERROR(VLOOKUP(B38,PerutYitraLeTkufa_after2000!$D$6:$AB$100,13,FALSE),0)</f>
        <v>0</v>
      </c>
      <c r="K38" s="1009">
        <f t="shared" si="0"/>
        <v>0</v>
      </c>
      <c r="L38" s="178"/>
    </row>
    <row r="39" spans="1:55" ht="35.1" customHeight="1" thickBot="1">
      <c r="A39" s="189" t="str">
        <f>IF(RicusKrenHishtalmut!B42&gt;0,RicusKrenHishtalmut!B42," ")</f>
        <v xml:space="preserve"> </v>
      </c>
      <c r="B39" s="189"/>
      <c r="C39" s="193"/>
      <c r="D39" s="193"/>
      <c r="E39" s="194"/>
      <c r="F39" s="194"/>
      <c r="G39" s="188">
        <f>IFERROR(VLOOKUP(B39,PerutYitraLeTkufa_till2000!$D$6:$AB$100,12,FALSE),0)</f>
        <v>0</v>
      </c>
      <c r="H39" s="188">
        <f>IFERROR(VLOOKUP(B39,PerutYitraLeTkufa_till2000!$D$6:$AB$100,13,FALSE),0)</f>
        <v>0</v>
      </c>
      <c r="I39" s="215">
        <f>IFERROR(VLOOKUP(B39,PerutYitraLeTkufa_after2000!$D$6:$AB$100,12,FALSE),0)</f>
        <v>0</v>
      </c>
      <c r="J39" s="215">
        <f>IFERROR(VLOOKUP(B39,PerutYitraLeTkufa_after2000!$D$6:$AB$100,13,FALSE),0)</f>
        <v>0</v>
      </c>
      <c r="K39" s="1009">
        <f t="shared" si="0"/>
        <v>0</v>
      </c>
      <c r="L39" s="193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</row>
    <row r="40" spans="1:55" s="198" customFormat="1" ht="35.1" customHeight="1" thickTop="1" thickBot="1">
      <c r="A40" s="195"/>
      <c r="B40" s="1026" t="s">
        <v>252</v>
      </c>
      <c r="C40" s="1026"/>
      <c r="D40" s="1026"/>
      <c r="E40" s="1026"/>
      <c r="F40" s="195"/>
      <c r="G40" s="223"/>
      <c r="H40" s="223"/>
      <c r="I40" s="217"/>
      <c r="J40" s="217"/>
      <c r="K40" s="222">
        <f>SUMIF(M3:M39,"",K3:K39)</f>
        <v>0</v>
      </c>
      <c r="L40" s="195"/>
      <c r="M40" s="196">
        <f>SUM(M3:M39)</f>
        <v>0</v>
      </c>
      <c r="N40" s="196">
        <f>SUM(N3:N39)</f>
        <v>0</v>
      </c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</row>
    <row r="41" spans="1:55" ht="16.5" thickTop="1">
      <c r="C41" s="185"/>
      <c r="D41" s="185"/>
      <c r="E41" s="199"/>
      <c r="F41" s="199"/>
      <c r="G41" s="199"/>
      <c r="H41" s="199"/>
      <c r="I41" s="218"/>
      <c r="J41" s="218"/>
      <c r="K41" s="218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</row>
    <row r="42" spans="1:55" ht="15.75">
      <c r="C42" s="185"/>
      <c r="D42" s="185"/>
      <c r="E42" s="199"/>
      <c r="F42" s="199"/>
      <c r="G42" s="199"/>
      <c r="H42" s="199"/>
      <c r="I42" s="218"/>
      <c r="J42" s="218"/>
      <c r="K42" s="218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</row>
    <row r="43" spans="1:55" ht="15.75">
      <c r="C43" s="185"/>
      <c r="D43" s="185"/>
      <c r="E43" s="199"/>
      <c r="F43" s="199"/>
      <c r="G43" s="199"/>
      <c r="H43" s="199"/>
      <c r="I43" s="218"/>
      <c r="J43" s="218"/>
      <c r="K43" s="218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</row>
    <row r="44" spans="1:55" ht="15.75">
      <c r="C44" s="185"/>
      <c r="D44" s="185"/>
      <c r="E44" s="199"/>
      <c r="F44" s="199"/>
      <c r="G44" s="199"/>
      <c r="H44" s="199"/>
      <c r="I44" s="218"/>
      <c r="J44" s="218"/>
      <c r="K44" s="218"/>
      <c r="L44" s="185"/>
      <c r="M44" s="185"/>
      <c r="N44" s="185"/>
    </row>
    <row r="45" spans="1:55" ht="15.75">
      <c r="C45" s="185"/>
      <c r="D45" s="185"/>
      <c r="E45" s="199"/>
      <c r="F45" s="199"/>
      <c r="G45" s="199"/>
      <c r="H45" s="199"/>
      <c r="I45" s="218"/>
      <c r="J45" s="218"/>
      <c r="K45" s="218"/>
      <c r="L45" s="185"/>
      <c r="M45" s="185"/>
      <c r="N45" s="185"/>
    </row>
    <row r="46" spans="1:55" ht="15.75">
      <c r="C46" s="185"/>
      <c r="D46" s="185"/>
      <c r="E46" s="199"/>
      <c r="F46" s="199"/>
      <c r="G46" s="199"/>
      <c r="H46" s="199"/>
      <c r="I46" s="218"/>
      <c r="J46" s="218"/>
      <c r="K46" s="218"/>
      <c r="L46" s="185"/>
      <c r="M46" s="185"/>
      <c r="N46" s="185"/>
    </row>
    <row r="47" spans="1:55" ht="15.75">
      <c r="C47" s="185"/>
      <c r="D47" s="185"/>
      <c r="E47" s="199"/>
      <c r="F47" s="199"/>
      <c r="G47" s="199"/>
      <c r="H47" s="199"/>
      <c r="I47" s="218"/>
      <c r="J47" s="218"/>
      <c r="K47" s="218"/>
      <c r="L47" s="185"/>
      <c r="M47" s="185"/>
      <c r="N47" s="185"/>
    </row>
    <row r="48" spans="1:55" ht="15.75">
      <c r="C48" s="185"/>
      <c r="D48" s="185"/>
      <c r="E48" s="199"/>
      <c r="F48" s="199"/>
      <c r="G48" s="199"/>
      <c r="H48" s="199"/>
      <c r="I48" s="218"/>
      <c r="J48" s="218"/>
      <c r="K48" s="218"/>
      <c r="L48" s="185"/>
      <c r="M48" s="185"/>
      <c r="N48" s="185"/>
    </row>
    <row r="49" spans="3:14" ht="15.75">
      <c r="C49" s="185"/>
      <c r="D49" s="185"/>
      <c r="E49" s="199"/>
      <c r="F49" s="199"/>
      <c r="G49" s="199"/>
      <c r="H49" s="199"/>
      <c r="I49" s="218"/>
      <c r="J49" s="218"/>
      <c r="K49" s="218"/>
      <c r="L49" s="185"/>
      <c r="M49" s="185"/>
      <c r="N49" s="185"/>
    </row>
    <row r="50" spans="3:14" ht="15.75">
      <c r="C50" s="185"/>
      <c r="D50" s="185"/>
      <c r="E50" s="199"/>
      <c r="F50" s="199"/>
      <c r="G50" s="199"/>
      <c r="H50" s="199"/>
      <c r="I50" s="218"/>
      <c r="J50" s="218"/>
      <c r="K50" s="218"/>
      <c r="L50" s="185"/>
      <c r="M50" s="185"/>
      <c r="N50" s="185"/>
    </row>
    <row r="51" spans="3:14" ht="15.75">
      <c r="C51" s="185"/>
      <c r="D51" s="185"/>
      <c r="E51" s="199"/>
      <c r="F51" s="199"/>
      <c r="G51" s="199"/>
      <c r="H51" s="199"/>
      <c r="I51" s="218"/>
      <c r="J51" s="218"/>
      <c r="K51" s="218"/>
      <c r="L51" s="185"/>
      <c r="M51" s="185"/>
      <c r="N51" s="185"/>
    </row>
    <row r="52" spans="3:14" ht="15.75">
      <c r="C52" s="185"/>
      <c r="D52" s="185"/>
      <c r="E52" s="199"/>
      <c r="F52" s="199"/>
      <c r="G52" s="199"/>
      <c r="H52" s="199"/>
      <c r="I52" s="218"/>
      <c r="J52" s="218"/>
      <c r="K52" s="218"/>
      <c r="L52" s="185"/>
      <c r="M52" s="185"/>
      <c r="N52" s="185"/>
    </row>
    <row r="53" spans="3:14" ht="15.75">
      <c r="C53" s="185"/>
      <c r="D53" s="185"/>
      <c r="E53" s="199"/>
      <c r="F53" s="199"/>
      <c r="G53" s="199"/>
      <c r="H53" s="199"/>
      <c r="I53" s="218"/>
      <c r="J53" s="218"/>
      <c r="K53" s="218"/>
      <c r="L53" s="185"/>
      <c r="M53" s="185"/>
      <c r="N53" s="185"/>
    </row>
    <row r="54" spans="3:14" ht="15.75">
      <c r="C54" s="185"/>
      <c r="D54" s="185"/>
      <c r="E54" s="199"/>
      <c r="F54" s="199"/>
      <c r="G54" s="199"/>
      <c r="H54" s="199"/>
      <c r="I54" s="218"/>
      <c r="J54" s="218"/>
      <c r="K54" s="218"/>
      <c r="L54" s="185"/>
      <c r="M54" s="185"/>
      <c r="N54" s="185"/>
    </row>
    <row r="55" spans="3:14" ht="15.75">
      <c r="C55" s="185"/>
      <c r="D55" s="185"/>
      <c r="E55" s="199"/>
      <c r="F55" s="199"/>
      <c r="G55" s="199"/>
      <c r="H55" s="199"/>
      <c r="I55" s="218"/>
      <c r="J55" s="218"/>
      <c r="K55" s="218"/>
      <c r="L55" s="185"/>
      <c r="M55" s="185"/>
      <c r="N55" s="185"/>
    </row>
    <row r="56" spans="3:14" ht="15.75">
      <c r="C56" s="185"/>
      <c r="D56" s="185"/>
      <c r="E56" s="199"/>
      <c r="F56" s="199"/>
      <c r="G56" s="199"/>
      <c r="H56" s="199"/>
      <c r="I56" s="218"/>
      <c r="J56" s="218"/>
      <c r="K56" s="218"/>
      <c r="L56" s="185"/>
      <c r="M56" s="185"/>
      <c r="N56" s="185"/>
    </row>
    <row r="57" spans="3:14" ht="15.75">
      <c r="C57" s="185"/>
      <c r="D57" s="185"/>
      <c r="E57" s="199"/>
      <c r="F57" s="199"/>
      <c r="G57" s="199"/>
      <c r="H57" s="199"/>
      <c r="I57" s="218"/>
      <c r="J57" s="218"/>
      <c r="K57" s="218"/>
      <c r="L57" s="185"/>
      <c r="M57" s="185"/>
      <c r="N57" s="185"/>
    </row>
    <row r="58" spans="3:14" ht="15.75">
      <c r="C58" s="185"/>
      <c r="D58" s="185"/>
      <c r="E58" s="199"/>
      <c r="F58" s="199"/>
      <c r="G58" s="199"/>
      <c r="H58" s="199"/>
      <c r="I58" s="218"/>
      <c r="J58" s="218"/>
      <c r="K58" s="218"/>
      <c r="L58" s="185"/>
      <c r="M58" s="185"/>
      <c r="N58" s="185"/>
    </row>
    <row r="59" spans="3:14" ht="15.75">
      <c r="C59" s="185"/>
      <c r="D59" s="185"/>
      <c r="E59" s="199"/>
      <c r="F59" s="199"/>
      <c r="G59" s="199"/>
      <c r="H59" s="199"/>
      <c r="I59" s="218"/>
      <c r="J59" s="218"/>
      <c r="K59" s="218"/>
      <c r="L59" s="185"/>
      <c r="M59" s="185"/>
      <c r="N59" s="185"/>
    </row>
    <row r="60" spans="3:14" ht="15.75">
      <c r="C60" s="185"/>
      <c r="D60" s="185"/>
      <c r="E60" s="199"/>
      <c r="F60" s="199"/>
      <c r="G60" s="199"/>
      <c r="H60" s="199"/>
      <c r="I60" s="218"/>
      <c r="J60" s="218"/>
      <c r="K60" s="218"/>
      <c r="L60" s="185"/>
      <c r="M60" s="185"/>
      <c r="N60" s="185"/>
    </row>
    <row r="61" spans="3:14" ht="15.75">
      <c r="C61" s="185"/>
      <c r="D61" s="185"/>
      <c r="E61" s="199"/>
      <c r="F61" s="199"/>
      <c r="G61" s="199"/>
      <c r="H61" s="199"/>
      <c r="I61" s="218"/>
      <c r="J61" s="218"/>
      <c r="K61" s="218"/>
      <c r="L61" s="185"/>
      <c r="M61" s="185"/>
      <c r="N61" s="185"/>
    </row>
    <row r="62" spans="3:14" ht="15.75">
      <c r="C62" s="185"/>
      <c r="D62" s="185"/>
      <c r="E62" s="199"/>
      <c r="F62" s="199"/>
      <c r="G62" s="199"/>
      <c r="H62" s="199"/>
      <c r="I62" s="218"/>
      <c r="J62" s="218"/>
      <c r="K62" s="218"/>
      <c r="L62" s="185"/>
      <c r="M62" s="185"/>
      <c r="N62" s="185"/>
    </row>
    <row r="63" spans="3:14">
      <c r="C63" s="185"/>
      <c r="D63" s="185"/>
      <c r="E63" s="185"/>
      <c r="F63" s="185"/>
      <c r="G63" s="185"/>
      <c r="H63" s="185"/>
      <c r="I63" s="219"/>
      <c r="J63" s="219"/>
      <c r="K63" s="221"/>
      <c r="L63" s="185"/>
      <c r="M63" s="185"/>
      <c r="N63" s="185"/>
    </row>
    <row r="64" spans="3:14">
      <c r="C64" s="185"/>
      <c r="D64" s="185"/>
      <c r="E64" s="185"/>
      <c r="F64" s="185"/>
      <c r="G64" s="185"/>
      <c r="H64" s="185"/>
      <c r="I64" s="219"/>
      <c r="J64" s="219"/>
      <c r="K64" s="221"/>
      <c r="L64" s="185"/>
      <c r="M64" s="185"/>
      <c r="N64" s="185"/>
    </row>
    <row r="65" spans="3:14">
      <c r="C65" s="185"/>
      <c r="D65" s="185"/>
      <c r="E65" s="185"/>
      <c r="F65" s="185"/>
      <c r="G65" s="185"/>
      <c r="H65" s="185"/>
      <c r="I65" s="219"/>
      <c r="J65" s="219"/>
      <c r="K65" s="221"/>
      <c r="L65" s="185"/>
      <c r="M65" s="185"/>
      <c r="N65" s="185"/>
    </row>
    <row r="66" spans="3:14">
      <c r="C66" s="185"/>
      <c r="D66" s="185"/>
      <c r="E66" s="185"/>
      <c r="F66" s="185"/>
      <c r="G66" s="185"/>
      <c r="H66" s="185"/>
      <c r="I66" s="219"/>
      <c r="J66" s="219"/>
      <c r="K66" s="221"/>
      <c r="L66" s="185"/>
      <c r="M66" s="185"/>
      <c r="N66" s="185"/>
    </row>
    <row r="67" spans="3:14">
      <c r="C67" s="185"/>
      <c r="D67" s="185"/>
      <c r="E67" s="185"/>
      <c r="F67" s="185"/>
      <c r="G67" s="185"/>
      <c r="H67" s="185"/>
      <c r="I67" s="219"/>
      <c r="J67" s="219"/>
      <c r="K67" s="221"/>
      <c r="L67" s="185"/>
      <c r="M67" s="185"/>
      <c r="N67" s="185"/>
    </row>
    <row r="68" spans="3:14">
      <c r="C68" s="185"/>
      <c r="D68" s="185"/>
      <c r="E68" s="185"/>
      <c r="F68" s="185"/>
      <c r="G68" s="185"/>
      <c r="H68" s="185"/>
      <c r="I68" s="219"/>
      <c r="J68" s="219"/>
      <c r="K68" s="221"/>
      <c r="L68" s="185"/>
      <c r="M68" s="185"/>
      <c r="N68" s="185"/>
    </row>
    <row r="69" spans="3:14">
      <c r="C69" s="185"/>
      <c r="D69" s="185"/>
      <c r="E69" s="185"/>
      <c r="F69" s="185"/>
      <c r="G69" s="185"/>
      <c r="H69" s="185"/>
      <c r="I69" s="219"/>
      <c r="J69" s="219"/>
      <c r="K69" s="221"/>
      <c r="L69" s="185"/>
      <c r="M69" s="185"/>
      <c r="N69" s="185"/>
    </row>
    <row r="70" spans="3:14">
      <c r="C70" s="185"/>
      <c r="D70" s="185"/>
      <c r="E70" s="185"/>
      <c r="F70" s="185"/>
      <c r="G70" s="185"/>
      <c r="H70" s="185"/>
      <c r="I70" s="219"/>
      <c r="J70" s="219"/>
      <c r="K70" s="221"/>
      <c r="L70" s="185"/>
      <c r="M70" s="185"/>
      <c r="N70" s="185"/>
    </row>
    <row r="71" spans="3:14">
      <c r="C71" s="185"/>
      <c r="D71" s="185"/>
      <c r="E71" s="185"/>
      <c r="F71" s="185"/>
      <c r="G71" s="185"/>
      <c r="H71" s="185"/>
      <c r="I71" s="219"/>
      <c r="J71" s="219"/>
      <c r="K71" s="221"/>
      <c r="L71" s="185"/>
      <c r="M71" s="185"/>
      <c r="N71" s="185"/>
    </row>
    <row r="72" spans="3:14">
      <c r="C72" s="185"/>
      <c r="D72" s="185"/>
      <c r="E72" s="185"/>
      <c r="F72" s="185"/>
      <c r="G72" s="185"/>
      <c r="H72" s="185"/>
      <c r="I72" s="219"/>
      <c r="J72" s="219"/>
      <c r="K72" s="221"/>
      <c r="L72" s="185"/>
      <c r="M72" s="185"/>
      <c r="N72" s="185"/>
    </row>
    <row r="73" spans="3:14">
      <c r="C73" s="185"/>
      <c r="D73" s="185"/>
      <c r="E73" s="185"/>
      <c r="F73" s="185"/>
      <c r="G73" s="185"/>
      <c r="H73" s="185"/>
      <c r="I73" s="219"/>
      <c r="J73" s="219"/>
      <c r="K73" s="221"/>
      <c r="L73" s="185"/>
      <c r="M73" s="185"/>
      <c r="N73" s="185"/>
    </row>
    <row r="74" spans="3:14">
      <c r="C74" s="185"/>
      <c r="D74" s="185"/>
      <c r="E74" s="185"/>
      <c r="F74" s="185"/>
      <c r="G74" s="185"/>
      <c r="H74" s="185"/>
      <c r="I74" s="219"/>
      <c r="J74" s="219"/>
      <c r="K74" s="221"/>
      <c r="L74" s="185"/>
      <c r="M74" s="185"/>
      <c r="N74" s="185"/>
    </row>
    <row r="75" spans="3:14">
      <c r="C75" s="185"/>
      <c r="D75" s="185"/>
      <c r="E75" s="185"/>
      <c r="F75" s="185"/>
      <c r="G75" s="185"/>
      <c r="H75" s="185"/>
      <c r="I75" s="219"/>
      <c r="J75" s="219"/>
      <c r="K75" s="221"/>
      <c r="L75" s="185"/>
      <c r="M75" s="185"/>
      <c r="N75" s="185"/>
    </row>
    <row r="76" spans="3:14">
      <c r="C76" s="185"/>
      <c r="D76" s="185"/>
      <c r="E76" s="185"/>
      <c r="F76" s="185"/>
      <c r="G76" s="185"/>
      <c r="H76" s="185"/>
      <c r="I76" s="219"/>
      <c r="J76" s="219"/>
      <c r="K76" s="221"/>
      <c r="L76" s="185"/>
      <c r="M76" s="185"/>
      <c r="N76" s="185"/>
    </row>
    <row r="77" spans="3:14">
      <c r="C77" s="185"/>
      <c r="D77" s="185"/>
      <c r="E77" s="185"/>
      <c r="F77" s="185"/>
      <c r="G77" s="185"/>
      <c r="H77" s="185"/>
      <c r="I77" s="219"/>
      <c r="J77" s="219"/>
      <c r="K77" s="221"/>
      <c r="L77" s="185"/>
      <c r="M77" s="185"/>
      <c r="N77" s="185"/>
    </row>
    <row r="78" spans="3:14">
      <c r="C78" s="185"/>
      <c r="D78" s="185"/>
      <c r="E78" s="185"/>
      <c r="F78" s="185"/>
      <c r="G78" s="185"/>
      <c r="H78" s="185"/>
      <c r="I78" s="219"/>
      <c r="J78" s="219"/>
      <c r="K78" s="221"/>
      <c r="L78" s="185"/>
      <c r="M78" s="185"/>
      <c r="N78" s="185"/>
    </row>
    <row r="79" spans="3:14">
      <c r="C79" s="185"/>
      <c r="D79" s="185"/>
      <c r="E79" s="185"/>
      <c r="F79" s="185"/>
      <c r="G79" s="185"/>
      <c r="H79" s="185"/>
      <c r="I79" s="219"/>
      <c r="J79" s="219"/>
      <c r="K79" s="221"/>
      <c r="L79" s="185"/>
      <c r="M79" s="185"/>
      <c r="N79" s="185"/>
    </row>
  </sheetData>
  <mergeCells count="1">
    <mergeCell ref="B40:E40"/>
  </mergeCells>
  <pageMargins left="0.7" right="0.7" top="0.75" bottom="0.75" header="0.3" footer="0.3"/>
  <pageSetup paperSize="9" scale="87" orientation="landscape" horizontalDpi="360" verticalDpi="360" r:id="rId1"/>
  <colBreaks count="2" manualBreakCount="2">
    <brk id="12" max="1048575" man="1"/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Worksheet______27"/>
  <dimension ref="A1:P51"/>
  <sheetViews>
    <sheetView rightToLeft="1" workbookViewId="0">
      <selection activeCell="C1" sqref="C1:C1048576"/>
    </sheetView>
  </sheetViews>
  <sheetFormatPr defaultRowHeight="12.75"/>
  <cols>
    <col min="1" max="1" width="9.140625" style="937"/>
    <col min="2" max="3" width="14" style="937" customWidth="1"/>
    <col min="4" max="4" width="16.28515625" style="937" customWidth="1"/>
    <col min="5" max="6" width="9.5703125" style="937" customWidth="1"/>
    <col min="7" max="7" width="9" style="937" customWidth="1"/>
    <col min="8" max="8" width="11.7109375" style="937" customWidth="1"/>
    <col min="9" max="9" width="13.140625" style="937" customWidth="1"/>
    <col min="10" max="10" width="11.28515625" style="937" customWidth="1"/>
    <col min="12" max="16384" width="9.140625" style="937"/>
  </cols>
  <sheetData>
    <row r="1" spans="1:16" ht="35.25">
      <c r="B1" s="934"/>
      <c r="C1" s="934"/>
      <c r="D1" s="979"/>
      <c r="E1" s="935"/>
      <c r="F1" s="935"/>
      <c r="G1" s="935"/>
      <c r="H1" s="935"/>
      <c r="I1" s="935"/>
      <c r="J1" s="935"/>
      <c r="L1" s="935"/>
      <c r="M1" s="936" t="s">
        <v>492</v>
      </c>
      <c r="N1" s="935"/>
      <c r="P1" s="935"/>
    </row>
    <row r="2" spans="1:16" ht="18.75">
      <c r="B2" s="938"/>
      <c r="C2" s="938"/>
      <c r="D2" s="940"/>
      <c r="E2" s="939"/>
      <c r="F2" s="939"/>
      <c r="G2" s="942"/>
      <c r="H2" s="938"/>
      <c r="I2" s="939"/>
      <c r="J2" s="939" t="s">
        <v>494</v>
      </c>
      <c r="L2" s="943"/>
      <c r="M2" s="943"/>
      <c r="N2" s="943"/>
      <c r="O2" s="943"/>
      <c r="P2" s="943"/>
    </row>
    <row r="3" spans="1:16" ht="18.75">
      <c r="B3" s="938"/>
      <c r="C3" s="938"/>
      <c r="D3" s="944"/>
      <c r="E3" s="943"/>
      <c r="F3" s="943"/>
      <c r="G3" s="943"/>
      <c r="H3" s="943"/>
      <c r="I3" s="943"/>
      <c r="J3" s="943"/>
      <c r="L3" s="943"/>
      <c r="M3" s="943"/>
      <c r="N3" s="943"/>
      <c r="O3" s="943"/>
      <c r="P3" s="943"/>
    </row>
    <row r="4" spans="1:16" ht="13.5" thickBot="1">
      <c r="B4" s="946"/>
      <c r="C4" s="946"/>
      <c r="D4" s="948"/>
      <c r="E4" s="947"/>
      <c r="F4" s="947"/>
      <c r="G4" s="947"/>
      <c r="H4" s="947"/>
      <c r="I4" s="947"/>
      <c r="J4" s="947"/>
      <c r="L4" s="947"/>
      <c r="M4" s="947"/>
      <c r="N4" s="947"/>
      <c r="O4" s="947"/>
      <c r="P4" s="947"/>
    </row>
    <row r="5" spans="1:16" ht="75.75" thickBot="1">
      <c r="A5" s="950" t="s">
        <v>0</v>
      </c>
      <c r="B5" s="950" t="s">
        <v>497</v>
      </c>
      <c r="C5" s="950" t="s">
        <v>516</v>
      </c>
      <c r="D5" s="951" t="s">
        <v>1060</v>
      </c>
      <c r="E5" s="954" t="s">
        <v>1064</v>
      </c>
      <c r="F5" s="955" t="s">
        <v>1071</v>
      </c>
      <c r="G5" s="955" t="s">
        <v>1072</v>
      </c>
      <c r="H5" s="955" t="s">
        <v>1029</v>
      </c>
      <c r="I5" s="957" t="s">
        <v>254</v>
      </c>
      <c r="J5" s="956" t="s">
        <v>1075</v>
      </c>
      <c r="K5" s="956" t="s">
        <v>253</v>
      </c>
      <c r="L5" s="957" t="s">
        <v>503</v>
      </c>
      <c r="M5" s="957" t="s">
        <v>314</v>
      </c>
      <c r="N5" s="957" t="s">
        <v>317</v>
      </c>
      <c r="O5" s="957" t="s">
        <v>1030</v>
      </c>
      <c r="P5" s="957" t="s">
        <v>1031</v>
      </c>
    </row>
    <row r="6" spans="1:16" ht="18.75">
      <c r="B6" s="958" t="str">
        <f>IF(main!B9&gt;0,main!B9,"")</f>
        <v/>
      </c>
      <c r="C6" s="959" t="str">
        <f>IF(main!C9&gt;0,main!C9,"")</f>
        <v/>
      </c>
      <c r="D6" s="959" t="str">
        <f>IF(main!E9&gt;0,main!E9,"")</f>
        <v/>
      </c>
      <c r="E6" s="959">
        <f>main!EC9</f>
        <v>0</v>
      </c>
      <c r="F6" s="959">
        <f>main!DW9</f>
        <v>0</v>
      </c>
      <c r="G6" s="959">
        <f>main!DX9</f>
        <v>0</v>
      </c>
      <c r="H6" s="959">
        <f>main!CQ9+main!CR9</f>
        <v>0</v>
      </c>
      <c r="I6" s="958">
        <f>main!CS9</f>
        <v>0</v>
      </c>
      <c r="J6" s="958">
        <f>main!CT9</f>
        <v>0</v>
      </c>
      <c r="K6" s="958">
        <f>main!CU9</f>
        <v>0</v>
      </c>
      <c r="L6" s="958">
        <f>main!CW9</f>
        <v>0</v>
      </c>
      <c r="M6" s="958">
        <f>main!CX9</f>
        <v>0</v>
      </c>
      <c r="N6" s="958">
        <f>main!DA9</f>
        <v>0</v>
      </c>
      <c r="O6" s="958">
        <f>main!DM9</f>
        <v>0</v>
      </c>
      <c r="P6" s="958">
        <f>main!DN9</f>
        <v>0</v>
      </c>
    </row>
    <row r="7" spans="1:16" ht="18.75">
      <c r="B7" s="958" t="str">
        <f>IF(main!B10&gt;0,main!B10,"")</f>
        <v/>
      </c>
      <c r="C7" s="959" t="str">
        <f>IF(main!C10&gt;0,main!C10,"")</f>
        <v/>
      </c>
      <c r="D7" s="959" t="str">
        <f>IF(main!E10&gt;0,main!E10,"")</f>
        <v/>
      </c>
      <c r="E7" s="959">
        <f>main!EC10</f>
        <v>0</v>
      </c>
      <c r="F7" s="959">
        <f>main!DW10</f>
        <v>0</v>
      </c>
      <c r="G7" s="959">
        <f>main!DX10</f>
        <v>0</v>
      </c>
      <c r="H7" s="959">
        <f>main!CQ10+main!CR10</f>
        <v>0</v>
      </c>
      <c r="I7" s="958">
        <f>main!CS10</f>
        <v>0</v>
      </c>
      <c r="J7" s="958">
        <f>main!CT10</f>
        <v>0</v>
      </c>
      <c r="K7" s="958">
        <f>main!CU10</f>
        <v>0</v>
      </c>
      <c r="L7" s="958">
        <f>main!CW10</f>
        <v>0</v>
      </c>
      <c r="M7" s="958">
        <f>main!CX10</f>
        <v>0</v>
      </c>
      <c r="N7" s="958">
        <f>main!DA10</f>
        <v>0</v>
      </c>
      <c r="O7" s="958">
        <f>main!DM10</f>
        <v>0</v>
      </c>
      <c r="P7" s="958">
        <f>main!DN10</f>
        <v>0</v>
      </c>
    </row>
    <row r="8" spans="1:16" ht="18.75">
      <c r="B8" s="958" t="str">
        <f>IF(main!B11&gt;0,main!B11,"")</f>
        <v/>
      </c>
      <c r="C8" s="959" t="str">
        <f>IF(main!C11&gt;0,main!C11,"")</f>
        <v/>
      </c>
      <c r="D8" s="959" t="str">
        <f>IF(main!E11&gt;0,main!E11,"")</f>
        <v/>
      </c>
      <c r="E8" s="959">
        <f>main!EC11</f>
        <v>0</v>
      </c>
      <c r="F8" s="959">
        <f>main!DW11</f>
        <v>0</v>
      </c>
      <c r="G8" s="959">
        <f>main!DX11</f>
        <v>0</v>
      </c>
      <c r="H8" s="959">
        <f>main!CQ11+main!CR11</f>
        <v>0</v>
      </c>
      <c r="I8" s="958">
        <f>main!CS11</f>
        <v>0</v>
      </c>
      <c r="J8" s="958">
        <f>main!CT11</f>
        <v>0</v>
      </c>
      <c r="K8" s="958">
        <f>main!CU11</f>
        <v>0</v>
      </c>
      <c r="L8" s="958">
        <f>main!CW11</f>
        <v>0</v>
      </c>
      <c r="M8" s="958">
        <f>main!CX11</f>
        <v>0</v>
      </c>
      <c r="N8" s="958">
        <f>main!DA11</f>
        <v>0</v>
      </c>
      <c r="O8" s="958">
        <f>main!DM11</f>
        <v>0</v>
      </c>
      <c r="P8" s="958">
        <f>main!DN11</f>
        <v>0</v>
      </c>
    </row>
    <row r="9" spans="1:16" ht="18.75">
      <c r="B9" s="958" t="str">
        <f>IF(main!B12&gt;0,main!B12,"")</f>
        <v/>
      </c>
      <c r="C9" s="959" t="str">
        <f>IF(main!C12&gt;0,main!C12,"")</f>
        <v/>
      </c>
      <c r="D9" s="959" t="str">
        <f>IF(main!E12&gt;0,main!E12,"")</f>
        <v/>
      </c>
      <c r="E9" s="959">
        <f>main!EC12</f>
        <v>0</v>
      </c>
      <c r="F9" s="959">
        <f>main!DW12</f>
        <v>0</v>
      </c>
      <c r="G9" s="959">
        <f>main!DX12</f>
        <v>0</v>
      </c>
      <c r="H9" s="959">
        <f>main!CQ12+main!CR12</f>
        <v>0</v>
      </c>
      <c r="I9" s="958">
        <f>main!CS12</f>
        <v>0</v>
      </c>
      <c r="J9" s="958">
        <f>main!CT12</f>
        <v>0</v>
      </c>
      <c r="K9" s="958">
        <f>main!CU12</f>
        <v>0</v>
      </c>
      <c r="L9" s="958">
        <f>main!CW12</f>
        <v>0</v>
      </c>
      <c r="M9" s="958">
        <f>main!CX12</f>
        <v>0</v>
      </c>
      <c r="N9" s="958">
        <f>main!DA12</f>
        <v>0</v>
      </c>
      <c r="O9" s="958">
        <f>main!DM12</f>
        <v>0</v>
      </c>
      <c r="P9" s="958">
        <f>main!DN12</f>
        <v>0</v>
      </c>
    </row>
    <row r="10" spans="1:16" ht="18.75">
      <c r="B10" s="958" t="str">
        <f>IF(main!B13&gt;0,main!B13,"")</f>
        <v/>
      </c>
      <c r="C10" s="959" t="str">
        <f>IF(main!C13&gt;0,main!C13,"")</f>
        <v/>
      </c>
      <c r="D10" s="959" t="str">
        <f>IF(main!E13&gt;0,main!E13,"")</f>
        <v/>
      </c>
      <c r="E10" s="959">
        <f>main!EC13</f>
        <v>0</v>
      </c>
      <c r="F10" s="959">
        <f>main!DW13</f>
        <v>0</v>
      </c>
      <c r="G10" s="959">
        <f>main!DX13</f>
        <v>0</v>
      </c>
      <c r="H10" s="959">
        <f>main!CQ13+main!CR13</f>
        <v>0</v>
      </c>
      <c r="I10" s="958">
        <f>main!CS13</f>
        <v>0</v>
      </c>
      <c r="J10" s="958">
        <f>main!CT13</f>
        <v>0</v>
      </c>
      <c r="K10" s="958">
        <f>main!CU13</f>
        <v>0</v>
      </c>
      <c r="L10" s="958">
        <f>main!CW13</f>
        <v>0</v>
      </c>
      <c r="M10" s="958">
        <f>main!CX13</f>
        <v>0</v>
      </c>
      <c r="N10" s="958">
        <f>main!DA13</f>
        <v>0</v>
      </c>
      <c r="O10" s="958">
        <f>main!DM13</f>
        <v>0</v>
      </c>
      <c r="P10" s="958">
        <f>main!DN13</f>
        <v>0</v>
      </c>
    </row>
    <row r="11" spans="1:16" ht="18.75">
      <c r="B11" s="958" t="str">
        <f>IF(main!B14&gt;0,main!B14,"")</f>
        <v/>
      </c>
      <c r="C11" s="959" t="str">
        <f>IF(main!C14&gt;0,main!C14,"")</f>
        <v/>
      </c>
      <c r="D11" s="959" t="str">
        <f>IF(main!E14&gt;0,main!E14,"")</f>
        <v/>
      </c>
      <c r="E11" s="959">
        <f>main!EC14</f>
        <v>0</v>
      </c>
      <c r="F11" s="959">
        <f>main!DW14</f>
        <v>0</v>
      </c>
      <c r="G11" s="959">
        <f>main!DX14</f>
        <v>0</v>
      </c>
      <c r="H11" s="959">
        <f>main!CQ14+main!CR14</f>
        <v>0</v>
      </c>
      <c r="I11" s="958">
        <f>main!CS14</f>
        <v>0</v>
      </c>
      <c r="J11" s="958">
        <f>main!CT14</f>
        <v>0</v>
      </c>
      <c r="K11" s="958">
        <f>main!CU14</f>
        <v>0</v>
      </c>
      <c r="L11" s="958">
        <f>main!CW14</f>
        <v>0</v>
      </c>
      <c r="M11" s="958">
        <f>main!CX14</f>
        <v>0</v>
      </c>
      <c r="N11" s="958">
        <f>main!DA14</f>
        <v>0</v>
      </c>
      <c r="O11" s="958">
        <f>main!DM14</f>
        <v>0</v>
      </c>
      <c r="P11" s="958">
        <f>main!DN14</f>
        <v>0</v>
      </c>
    </row>
    <row r="12" spans="1:16" ht="18.75">
      <c r="B12" s="958" t="str">
        <f>IF(main!B15&gt;0,main!B15,"")</f>
        <v/>
      </c>
      <c r="C12" s="959" t="str">
        <f>IF(main!C15&gt;0,main!C15,"")</f>
        <v/>
      </c>
      <c r="D12" s="959" t="str">
        <f>IF(main!E15&gt;0,main!E15,"")</f>
        <v/>
      </c>
      <c r="E12" s="959">
        <f>main!EC15</f>
        <v>0</v>
      </c>
      <c r="F12" s="959">
        <f>main!DW15</f>
        <v>0</v>
      </c>
      <c r="G12" s="959">
        <f>main!DX15</f>
        <v>0</v>
      </c>
      <c r="H12" s="959">
        <f>main!CQ15+main!CR15</f>
        <v>0</v>
      </c>
      <c r="I12" s="958">
        <f>main!CS15</f>
        <v>0</v>
      </c>
      <c r="J12" s="958">
        <f>main!CT15</f>
        <v>0</v>
      </c>
      <c r="K12" s="958">
        <f>main!CU15</f>
        <v>0</v>
      </c>
      <c r="L12" s="958">
        <f>main!CW15</f>
        <v>0</v>
      </c>
      <c r="M12" s="958">
        <f>main!CX15</f>
        <v>0</v>
      </c>
      <c r="N12" s="958">
        <f>main!DA15</f>
        <v>0</v>
      </c>
      <c r="O12" s="958">
        <f>main!DM15</f>
        <v>0</v>
      </c>
      <c r="P12" s="958">
        <f>main!DN15</f>
        <v>0</v>
      </c>
    </row>
    <row r="13" spans="1:16" ht="18.75">
      <c r="B13" s="958" t="str">
        <f>IF(main!B16&gt;0,main!B16,"")</f>
        <v/>
      </c>
      <c r="C13" s="959" t="str">
        <f>IF(main!C16&gt;0,main!C16,"")</f>
        <v/>
      </c>
      <c r="D13" s="959" t="str">
        <f>IF(main!E16&gt;0,main!E16,"")</f>
        <v/>
      </c>
      <c r="E13" s="959">
        <f>main!EC16</f>
        <v>0</v>
      </c>
      <c r="F13" s="959">
        <f>main!DW16</f>
        <v>0</v>
      </c>
      <c r="G13" s="959">
        <f>main!DX16</f>
        <v>0</v>
      </c>
      <c r="H13" s="959">
        <f>main!CQ16+main!CR16</f>
        <v>0</v>
      </c>
      <c r="I13" s="958">
        <f>main!CS16</f>
        <v>0</v>
      </c>
      <c r="J13" s="958">
        <f>main!CT16</f>
        <v>0</v>
      </c>
      <c r="K13" s="958">
        <f>main!CU16</f>
        <v>0</v>
      </c>
      <c r="L13" s="958">
        <f>main!CW16</f>
        <v>0</v>
      </c>
      <c r="M13" s="958">
        <f>main!CX16</f>
        <v>0</v>
      </c>
      <c r="N13" s="958">
        <f>main!DA16</f>
        <v>0</v>
      </c>
      <c r="O13" s="958">
        <f>main!DM16</f>
        <v>0</v>
      </c>
      <c r="P13" s="958">
        <f>main!DN16</f>
        <v>0</v>
      </c>
    </row>
    <row r="14" spans="1:16" ht="18.75">
      <c r="B14" s="958" t="str">
        <f>IF(main!B17&gt;0,main!B17,"")</f>
        <v/>
      </c>
      <c r="C14" s="959" t="str">
        <f>IF(main!C17&gt;0,main!C17,"")</f>
        <v/>
      </c>
      <c r="D14" s="959" t="str">
        <f>IF(main!E17&gt;0,main!E17,"")</f>
        <v/>
      </c>
      <c r="E14" s="959">
        <f>main!EC17</f>
        <v>0</v>
      </c>
      <c r="F14" s="959">
        <f>main!DW17</f>
        <v>0</v>
      </c>
      <c r="G14" s="959">
        <f>main!DX17</f>
        <v>0</v>
      </c>
      <c r="H14" s="959">
        <f>main!CQ17+main!CR17</f>
        <v>0</v>
      </c>
      <c r="I14" s="958">
        <f>main!CS17</f>
        <v>0</v>
      </c>
      <c r="J14" s="958">
        <f>main!CT17</f>
        <v>0</v>
      </c>
      <c r="K14" s="958">
        <f>main!CU17</f>
        <v>0</v>
      </c>
      <c r="L14" s="958">
        <f>main!CW17</f>
        <v>0</v>
      </c>
      <c r="M14" s="958">
        <f>main!CX17</f>
        <v>0</v>
      </c>
      <c r="N14" s="958">
        <f>main!DA17</f>
        <v>0</v>
      </c>
      <c r="O14" s="958">
        <f>main!DM17</f>
        <v>0</v>
      </c>
      <c r="P14" s="958">
        <f>main!DN17</f>
        <v>0</v>
      </c>
    </row>
    <row r="15" spans="1:16" ht="18.75">
      <c r="B15" s="958" t="str">
        <f>IF(main!B18&gt;0,main!B18,"")</f>
        <v/>
      </c>
      <c r="C15" s="959" t="str">
        <f>IF(main!C18&gt;0,main!C18,"")</f>
        <v/>
      </c>
      <c r="D15" s="959" t="str">
        <f>IF(main!E18&gt;0,main!E18,"")</f>
        <v/>
      </c>
      <c r="E15" s="959">
        <f>main!EC18</f>
        <v>0</v>
      </c>
      <c r="F15" s="959">
        <f>main!DW18</f>
        <v>0</v>
      </c>
      <c r="G15" s="959">
        <f>main!DX18</f>
        <v>0</v>
      </c>
      <c r="H15" s="959">
        <f>main!CQ18+main!CR18</f>
        <v>0</v>
      </c>
      <c r="I15" s="958">
        <f>main!CS18</f>
        <v>0</v>
      </c>
      <c r="J15" s="958">
        <f>main!CT18</f>
        <v>0</v>
      </c>
      <c r="K15" s="958">
        <f>main!CU18</f>
        <v>0</v>
      </c>
      <c r="L15" s="958">
        <f>main!CW18</f>
        <v>0</v>
      </c>
      <c r="M15" s="958">
        <f>main!CX18</f>
        <v>0</v>
      </c>
      <c r="N15" s="958">
        <f>main!DA18</f>
        <v>0</v>
      </c>
      <c r="O15" s="958">
        <f>main!DM18</f>
        <v>0</v>
      </c>
      <c r="P15" s="958">
        <f>main!DN18</f>
        <v>0</v>
      </c>
    </row>
    <row r="16" spans="1:16" ht="18.75">
      <c r="B16" s="958" t="str">
        <f>IF(main!B19&gt;0,main!B19,"")</f>
        <v/>
      </c>
      <c r="C16" s="959" t="str">
        <f>IF(main!C19&gt;0,main!C19,"")</f>
        <v/>
      </c>
      <c r="D16" s="959" t="str">
        <f>IF(main!E19&gt;0,main!E19,"")</f>
        <v/>
      </c>
      <c r="E16" s="959">
        <f>main!EC19</f>
        <v>0</v>
      </c>
      <c r="F16" s="959">
        <f>main!DW19</f>
        <v>0</v>
      </c>
      <c r="G16" s="959">
        <f>main!DX19</f>
        <v>0</v>
      </c>
      <c r="H16" s="959">
        <f>main!CQ19+main!CR19</f>
        <v>0</v>
      </c>
      <c r="I16" s="958">
        <f>main!CS19</f>
        <v>0</v>
      </c>
      <c r="J16" s="958">
        <f>main!CT19</f>
        <v>0</v>
      </c>
      <c r="K16" s="958">
        <f>main!CU19</f>
        <v>0</v>
      </c>
      <c r="L16" s="958">
        <f>main!CW19</f>
        <v>0</v>
      </c>
      <c r="M16" s="958">
        <f>main!CX19</f>
        <v>0</v>
      </c>
      <c r="N16" s="958">
        <f>main!DA19</f>
        <v>0</v>
      </c>
      <c r="O16" s="958">
        <f>main!DM19</f>
        <v>0</v>
      </c>
      <c r="P16" s="958">
        <f>main!DN19</f>
        <v>0</v>
      </c>
    </row>
    <row r="17" spans="2:16" ht="18.75">
      <c r="B17" s="958" t="str">
        <f>IF(main!B20&gt;0,main!B20,"")</f>
        <v/>
      </c>
      <c r="C17" s="959" t="str">
        <f>IF(main!C20&gt;0,main!C20,"")</f>
        <v/>
      </c>
      <c r="D17" s="959" t="str">
        <f>IF(main!E20&gt;0,main!E20,"")</f>
        <v/>
      </c>
      <c r="E17" s="959">
        <f>main!EC20</f>
        <v>0</v>
      </c>
      <c r="F17" s="959">
        <f>main!DW20</f>
        <v>0</v>
      </c>
      <c r="G17" s="959">
        <f>main!DX20</f>
        <v>0</v>
      </c>
      <c r="H17" s="959">
        <f>main!CQ20+main!CR20</f>
        <v>0</v>
      </c>
      <c r="I17" s="958">
        <f>main!CS20</f>
        <v>0</v>
      </c>
      <c r="J17" s="958">
        <f>main!CT20</f>
        <v>0</v>
      </c>
      <c r="K17" s="958">
        <f>main!CU20</f>
        <v>0</v>
      </c>
      <c r="L17" s="958">
        <f>main!CW20</f>
        <v>0</v>
      </c>
      <c r="M17" s="958">
        <f>main!CX20</f>
        <v>0</v>
      </c>
      <c r="N17" s="958">
        <f>main!DA20</f>
        <v>0</v>
      </c>
      <c r="O17" s="958">
        <f>main!DM20</f>
        <v>0</v>
      </c>
      <c r="P17" s="958">
        <f>main!DN20</f>
        <v>0</v>
      </c>
    </row>
    <row r="18" spans="2:16" ht="18.75">
      <c r="B18" s="958" t="str">
        <f>IF(main!B21&gt;0,main!B21,"")</f>
        <v/>
      </c>
      <c r="C18" s="959" t="str">
        <f>IF(main!C21&gt;0,main!C21,"")</f>
        <v/>
      </c>
      <c r="D18" s="959" t="str">
        <f>IF(main!E21&gt;0,main!E21,"")</f>
        <v/>
      </c>
      <c r="E18" s="959">
        <f>main!EC21</f>
        <v>0</v>
      </c>
      <c r="F18" s="959">
        <f>main!DW21</f>
        <v>0</v>
      </c>
      <c r="G18" s="959">
        <f>main!DX21</f>
        <v>0</v>
      </c>
      <c r="H18" s="959">
        <f>main!CQ21+main!CR21</f>
        <v>0</v>
      </c>
      <c r="I18" s="958">
        <f>main!CS21</f>
        <v>0</v>
      </c>
      <c r="J18" s="958">
        <f>main!CT21</f>
        <v>0</v>
      </c>
      <c r="K18" s="958">
        <f>main!CU21</f>
        <v>0</v>
      </c>
      <c r="L18" s="958">
        <f>main!CW21</f>
        <v>0</v>
      </c>
      <c r="M18" s="958">
        <f>main!CX21</f>
        <v>0</v>
      </c>
      <c r="N18" s="958">
        <f>main!DA21</f>
        <v>0</v>
      </c>
      <c r="O18" s="958">
        <f>main!DM21</f>
        <v>0</v>
      </c>
      <c r="P18" s="958">
        <f>main!DN21</f>
        <v>0</v>
      </c>
    </row>
    <row r="19" spans="2:16" ht="18.75">
      <c r="B19" s="958" t="str">
        <f>IF(main!B22&gt;0,main!B22,"")</f>
        <v/>
      </c>
      <c r="C19" s="959" t="str">
        <f>IF(main!C22&gt;0,main!C22,"")</f>
        <v/>
      </c>
      <c r="D19" s="959" t="str">
        <f>IF(main!E22&gt;0,main!E22,"")</f>
        <v/>
      </c>
      <c r="E19" s="959">
        <f>main!EC22</f>
        <v>0</v>
      </c>
      <c r="F19" s="959">
        <f>main!DW22</f>
        <v>0</v>
      </c>
      <c r="G19" s="959">
        <f>main!DX22</f>
        <v>0</v>
      </c>
      <c r="H19" s="959">
        <f>main!CQ22+main!CR22</f>
        <v>0</v>
      </c>
      <c r="I19" s="958">
        <f>main!CS22</f>
        <v>0</v>
      </c>
      <c r="J19" s="958">
        <f>main!CT22</f>
        <v>0</v>
      </c>
      <c r="K19" s="958">
        <f>main!CU22</f>
        <v>0</v>
      </c>
      <c r="L19" s="958">
        <f>main!CW22</f>
        <v>0</v>
      </c>
      <c r="M19" s="958">
        <f>main!CX22</f>
        <v>0</v>
      </c>
      <c r="N19" s="958">
        <f>main!DA22</f>
        <v>0</v>
      </c>
      <c r="O19" s="958">
        <f>main!DM22</f>
        <v>0</v>
      </c>
      <c r="P19" s="958">
        <f>main!DN22</f>
        <v>0</v>
      </c>
    </row>
    <row r="20" spans="2:16" ht="18.75">
      <c r="B20" s="958" t="str">
        <f>IF(main!B23&gt;0,main!B23,"")</f>
        <v/>
      </c>
      <c r="C20" s="959" t="str">
        <f>IF(main!C23&gt;0,main!C23,"")</f>
        <v/>
      </c>
      <c r="D20" s="959" t="str">
        <f>IF(main!E23&gt;0,main!E23,"")</f>
        <v/>
      </c>
      <c r="E20" s="959">
        <f>main!EC23</f>
        <v>0</v>
      </c>
      <c r="F20" s="959">
        <f>main!DW23</f>
        <v>0</v>
      </c>
      <c r="G20" s="959">
        <f>main!DX23</f>
        <v>0</v>
      </c>
      <c r="H20" s="959">
        <f>main!CQ23+main!CR23</f>
        <v>0</v>
      </c>
      <c r="I20" s="958">
        <f>main!CS23</f>
        <v>0</v>
      </c>
      <c r="J20" s="958">
        <f>main!CT23</f>
        <v>0</v>
      </c>
      <c r="K20" s="958">
        <f>main!CU23</f>
        <v>0</v>
      </c>
      <c r="L20" s="958">
        <f>main!CW23</f>
        <v>0</v>
      </c>
      <c r="M20" s="958">
        <f>main!CX23</f>
        <v>0</v>
      </c>
      <c r="N20" s="958">
        <f>main!DA23</f>
        <v>0</v>
      </c>
      <c r="O20" s="958">
        <f>main!DM23</f>
        <v>0</v>
      </c>
      <c r="P20" s="958">
        <f>main!DN23</f>
        <v>0</v>
      </c>
    </row>
    <row r="21" spans="2:16" ht="18.75">
      <c r="B21" s="958" t="str">
        <f>IF(main!B24&gt;0,main!B24,"")</f>
        <v/>
      </c>
      <c r="C21" s="959" t="str">
        <f>IF(main!C24&gt;0,main!C24,"")</f>
        <v/>
      </c>
      <c r="D21" s="959" t="str">
        <f>IF(main!E24&gt;0,main!E24,"")</f>
        <v/>
      </c>
      <c r="E21" s="959">
        <f>main!EC24</f>
        <v>0</v>
      </c>
      <c r="F21" s="959">
        <f>main!DW24</f>
        <v>0</v>
      </c>
      <c r="G21" s="959">
        <f>main!DX24</f>
        <v>0</v>
      </c>
      <c r="H21" s="959">
        <f>main!CQ24+main!CR24</f>
        <v>0</v>
      </c>
      <c r="I21" s="958">
        <f>main!CS24</f>
        <v>0</v>
      </c>
      <c r="J21" s="958">
        <f>main!CT24</f>
        <v>0</v>
      </c>
      <c r="K21" s="958">
        <f>main!CU24</f>
        <v>0</v>
      </c>
      <c r="L21" s="958">
        <f>main!CW24</f>
        <v>0</v>
      </c>
      <c r="M21" s="958">
        <f>main!CX24</f>
        <v>0</v>
      </c>
      <c r="N21" s="958">
        <f>main!DA24</f>
        <v>0</v>
      </c>
      <c r="O21" s="958">
        <f>main!DM24</f>
        <v>0</v>
      </c>
      <c r="P21" s="958">
        <f>main!DN24</f>
        <v>0</v>
      </c>
    </row>
    <row r="22" spans="2:16" ht="18.75">
      <c r="B22" s="958" t="str">
        <f>IF(main!B25&gt;0,main!B25,"")</f>
        <v/>
      </c>
      <c r="C22" s="959" t="str">
        <f>IF(main!C25&gt;0,main!C25,"")</f>
        <v/>
      </c>
      <c r="D22" s="959" t="str">
        <f>IF(main!E25&gt;0,main!E25,"")</f>
        <v/>
      </c>
      <c r="E22" s="959">
        <f>main!EC25</f>
        <v>0</v>
      </c>
      <c r="F22" s="959">
        <f>main!DW25</f>
        <v>0</v>
      </c>
      <c r="G22" s="959">
        <f>main!DX25</f>
        <v>0</v>
      </c>
      <c r="H22" s="959">
        <f>main!CQ25+main!CR25</f>
        <v>0</v>
      </c>
      <c r="I22" s="958">
        <f>main!CS25</f>
        <v>0</v>
      </c>
      <c r="J22" s="958">
        <f>main!CT25</f>
        <v>0</v>
      </c>
      <c r="K22" s="958">
        <f>main!CU25</f>
        <v>0</v>
      </c>
      <c r="L22" s="958">
        <f>main!CW25</f>
        <v>0</v>
      </c>
      <c r="M22" s="958">
        <f>main!CX25</f>
        <v>0</v>
      </c>
      <c r="N22" s="958">
        <f>main!DA25</f>
        <v>0</v>
      </c>
      <c r="O22" s="958">
        <f>main!DM25</f>
        <v>0</v>
      </c>
      <c r="P22" s="958">
        <f>main!DN25</f>
        <v>0</v>
      </c>
    </row>
    <row r="23" spans="2:16" ht="18.75">
      <c r="B23" s="958" t="str">
        <f>IF(main!B26&gt;0,main!B26,"")</f>
        <v/>
      </c>
      <c r="C23" s="959" t="str">
        <f>IF(main!C26&gt;0,main!C26,"")</f>
        <v/>
      </c>
      <c r="D23" s="959" t="str">
        <f>IF(main!E26&gt;0,main!E26,"")</f>
        <v/>
      </c>
      <c r="E23" s="959">
        <f>main!EC26</f>
        <v>0</v>
      </c>
      <c r="F23" s="959">
        <f>main!DW26</f>
        <v>0</v>
      </c>
      <c r="G23" s="959">
        <f>main!DX26</f>
        <v>0</v>
      </c>
      <c r="H23" s="959">
        <f>main!CQ26+main!CR26</f>
        <v>0</v>
      </c>
      <c r="I23" s="958">
        <f>main!CS26</f>
        <v>0</v>
      </c>
      <c r="J23" s="958">
        <f>main!CT26</f>
        <v>0</v>
      </c>
      <c r="K23" s="958">
        <f>main!CU26</f>
        <v>0</v>
      </c>
      <c r="L23" s="958">
        <f>main!CW26</f>
        <v>0</v>
      </c>
      <c r="M23" s="958">
        <f>main!CX26</f>
        <v>0</v>
      </c>
      <c r="N23" s="958">
        <f>main!DA26</f>
        <v>0</v>
      </c>
      <c r="O23" s="958">
        <f>main!DM26</f>
        <v>0</v>
      </c>
      <c r="P23" s="958">
        <f>main!DN26</f>
        <v>0</v>
      </c>
    </row>
    <row r="24" spans="2:16" ht="18.75">
      <c r="B24" s="958" t="str">
        <f>IF(main!B27&gt;0,main!B27,"")</f>
        <v/>
      </c>
      <c r="C24" s="959" t="str">
        <f>IF(main!C27&gt;0,main!C27,"")</f>
        <v/>
      </c>
      <c r="D24" s="959" t="str">
        <f>IF(main!E27&gt;0,main!E27,"")</f>
        <v/>
      </c>
      <c r="E24" s="959">
        <f>main!EC27</f>
        <v>0</v>
      </c>
      <c r="F24" s="959">
        <f>main!DW27</f>
        <v>0</v>
      </c>
      <c r="G24" s="959">
        <f>main!DX27</f>
        <v>0</v>
      </c>
      <c r="H24" s="959">
        <f>main!CQ27+main!CR27</f>
        <v>0</v>
      </c>
      <c r="I24" s="958">
        <f>main!CS27</f>
        <v>0</v>
      </c>
      <c r="J24" s="958">
        <f>main!CT27</f>
        <v>0</v>
      </c>
      <c r="K24" s="958">
        <f>main!CU27</f>
        <v>0</v>
      </c>
      <c r="L24" s="958">
        <f>main!CW27</f>
        <v>0</v>
      </c>
      <c r="M24" s="958">
        <f>main!CX27</f>
        <v>0</v>
      </c>
      <c r="N24" s="958">
        <f>main!DA27</f>
        <v>0</v>
      </c>
      <c r="O24" s="958">
        <f>main!DM27</f>
        <v>0</v>
      </c>
      <c r="P24" s="958">
        <f>main!DN27</f>
        <v>0</v>
      </c>
    </row>
    <row r="25" spans="2:16" ht="18.75">
      <c r="B25" s="958" t="str">
        <f>IF(main!B28&gt;0,main!B28,"")</f>
        <v/>
      </c>
      <c r="C25" s="959" t="str">
        <f>IF(main!C28&gt;0,main!C28,"")</f>
        <v/>
      </c>
      <c r="D25" s="959" t="str">
        <f>IF(main!E28&gt;0,main!E28,"")</f>
        <v/>
      </c>
      <c r="E25" s="959">
        <f>main!EC28</f>
        <v>0</v>
      </c>
      <c r="F25" s="959">
        <f>main!DW28</f>
        <v>0</v>
      </c>
      <c r="G25" s="959">
        <f>main!DX28</f>
        <v>0</v>
      </c>
      <c r="H25" s="959">
        <f>main!CQ28+main!CR28</f>
        <v>0</v>
      </c>
      <c r="I25" s="958">
        <f>main!CS28</f>
        <v>0</v>
      </c>
      <c r="J25" s="958">
        <f>main!CT28</f>
        <v>0</v>
      </c>
      <c r="K25" s="958">
        <f>main!CU28</f>
        <v>0</v>
      </c>
      <c r="L25" s="958">
        <f>main!CW28</f>
        <v>0</v>
      </c>
      <c r="M25" s="958">
        <f>main!CX28</f>
        <v>0</v>
      </c>
      <c r="N25" s="958">
        <f>main!DA28</f>
        <v>0</v>
      </c>
      <c r="O25" s="958">
        <f>main!DM28</f>
        <v>0</v>
      </c>
      <c r="P25" s="958">
        <f>main!DN28</f>
        <v>0</v>
      </c>
    </row>
    <row r="26" spans="2:16" ht="18.75">
      <c r="B26" s="958" t="str">
        <f>IF(main!B29&gt;0,main!B29,"")</f>
        <v/>
      </c>
      <c r="C26" s="959" t="str">
        <f>IF(main!C29&gt;0,main!C29,"")</f>
        <v/>
      </c>
      <c r="D26" s="959" t="str">
        <f>IF(main!E29&gt;0,main!E29,"")</f>
        <v/>
      </c>
      <c r="E26" s="959">
        <f>main!EC29</f>
        <v>0</v>
      </c>
      <c r="F26" s="959">
        <f>main!DW29</f>
        <v>0</v>
      </c>
      <c r="G26" s="959">
        <f>main!DX29</f>
        <v>0</v>
      </c>
      <c r="H26" s="959">
        <f>main!CQ29+main!CR29</f>
        <v>0</v>
      </c>
      <c r="I26" s="958">
        <f>main!CS29</f>
        <v>0</v>
      </c>
      <c r="J26" s="958">
        <f>main!CT29</f>
        <v>0</v>
      </c>
      <c r="K26" s="958">
        <f>main!CU29</f>
        <v>0</v>
      </c>
      <c r="L26" s="958">
        <f>main!CW29</f>
        <v>0</v>
      </c>
      <c r="M26" s="958">
        <f>main!CX29</f>
        <v>0</v>
      </c>
      <c r="N26" s="958">
        <f>main!DA29</f>
        <v>0</v>
      </c>
      <c r="O26" s="958">
        <f>main!DM29</f>
        <v>0</v>
      </c>
      <c r="P26" s="958">
        <f>main!DN29</f>
        <v>0</v>
      </c>
    </row>
    <row r="27" spans="2:16" ht="18.75">
      <c r="B27" s="958" t="str">
        <f>IF(main!B30&gt;0,main!B30,"")</f>
        <v/>
      </c>
      <c r="C27" s="959" t="str">
        <f>IF(main!C30&gt;0,main!C30,"")</f>
        <v/>
      </c>
      <c r="D27" s="959" t="str">
        <f>IF(main!E30&gt;0,main!E30,"")</f>
        <v/>
      </c>
      <c r="E27" s="959">
        <f>main!EC30</f>
        <v>0</v>
      </c>
      <c r="F27" s="959">
        <f>main!DW30</f>
        <v>0</v>
      </c>
      <c r="G27" s="959">
        <f>main!DX30</f>
        <v>0</v>
      </c>
      <c r="H27" s="959">
        <f>main!CQ30+main!CR30</f>
        <v>0</v>
      </c>
      <c r="I27" s="958">
        <f>main!CS30</f>
        <v>0</v>
      </c>
      <c r="J27" s="958">
        <f>main!CT30</f>
        <v>0</v>
      </c>
      <c r="K27" s="958">
        <f>main!CU30</f>
        <v>0</v>
      </c>
      <c r="L27" s="958">
        <f>main!CW30</f>
        <v>0</v>
      </c>
      <c r="M27" s="958">
        <f>main!CX30</f>
        <v>0</v>
      </c>
      <c r="N27" s="958">
        <f>main!DA30</f>
        <v>0</v>
      </c>
      <c r="O27" s="958">
        <f>main!DM30</f>
        <v>0</v>
      </c>
      <c r="P27" s="958">
        <f>main!DN30</f>
        <v>0</v>
      </c>
    </row>
    <row r="28" spans="2:16" ht="18.75">
      <c r="B28" s="958" t="str">
        <f>IF(main!B31&gt;0,main!B31,"")</f>
        <v/>
      </c>
      <c r="C28" s="959" t="str">
        <f>IF(main!C31&gt;0,main!C31,"")</f>
        <v/>
      </c>
      <c r="D28" s="959" t="str">
        <f>IF(main!E31&gt;0,main!E31,"")</f>
        <v/>
      </c>
      <c r="E28" s="959">
        <f>main!EC31</f>
        <v>0</v>
      </c>
      <c r="F28" s="959">
        <f>main!DW31</f>
        <v>0</v>
      </c>
      <c r="G28" s="959">
        <f>main!DX31</f>
        <v>0</v>
      </c>
      <c r="H28" s="959">
        <f>main!CQ31+main!CR31</f>
        <v>0</v>
      </c>
      <c r="I28" s="958">
        <f>main!CS31</f>
        <v>0</v>
      </c>
      <c r="J28" s="958">
        <f>main!CT31</f>
        <v>0</v>
      </c>
      <c r="K28" s="958">
        <f>main!CU31</f>
        <v>0</v>
      </c>
      <c r="L28" s="958">
        <f>main!CW31</f>
        <v>0</v>
      </c>
      <c r="M28" s="958">
        <f>main!CX31</f>
        <v>0</v>
      </c>
      <c r="N28" s="958">
        <f>main!DA31</f>
        <v>0</v>
      </c>
      <c r="O28" s="958">
        <f>main!DM31</f>
        <v>0</v>
      </c>
      <c r="P28" s="958">
        <f>main!DN31</f>
        <v>0</v>
      </c>
    </row>
    <row r="29" spans="2:16" ht="18.75">
      <c r="B29" s="958" t="str">
        <f>IF(main!B32&gt;0,main!B32,"")</f>
        <v/>
      </c>
      <c r="C29" s="959" t="str">
        <f>IF(main!C32&gt;0,main!C32,"")</f>
        <v/>
      </c>
      <c r="D29" s="959" t="str">
        <f>IF(main!E32&gt;0,main!E32,"")</f>
        <v/>
      </c>
      <c r="E29" s="959">
        <f>main!EC32</f>
        <v>0</v>
      </c>
      <c r="F29" s="959">
        <f>main!DW32</f>
        <v>0</v>
      </c>
      <c r="G29" s="959">
        <f>main!DX32</f>
        <v>0</v>
      </c>
      <c r="H29" s="959">
        <f>main!CQ32+main!CR32</f>
        <v>0</v>
      </c>
      <c r="I29" s="958">
        <f>main!CS32</f>
        <v>0</v>
      </c>
      <c r="J29" s="958">
        <f>main!CT32</f>
        <v>0</v>
      </c>
      <c r="K29" s="958">
        <f>main!CU32</f>
        <v>0</v>
      </c>
      <c r="L29" s="958">
        <f>main!CW32</f>
        <v>0</v>
      </c>
      <c r="M29" s="958">
        <f>main!CX32</f>
        <v>0</v>
      </c>
      <c r="N29" s="958">
        <f>main!DA32</f>
        <v>0</v>
      </c>
      <c r="O29" s="958">
        <f>main!DM32</f>
        <v>0</v>
      </c>
      <c r="P29" s="958">
        <f>main!DN32</f>
        <v>0</v>
      </c>
    </row>
    <row r="30" spans="2:16" ht="18.75">
      <c r="B30" s="958" t="str">
        <f>IF(main!B33&gt;0,main!B33,"")</f>
        <v/>
      </c>
      <c r="C30" s="959" t="str">
        <f>IF(main!C33&gt;0,main!C33,"")</f>
        <v/>
      </c>
      <c r="D30" s="959" t="str">
        <f>IF(main!E33&gt;0,main!E33,"")</f>
        <v/>
      </c>
      <c r="E30" s="959">
        <f>main!EC33</f>
        <v>0</v>
      </c>
      <c r="F30" s="959">
        <f>main!DW33</f>
        <v>0</v>
      </c>
      <c r="G30" s="959">
        <f>main!DX33</f>
        <v>0</v>
      </c>
      <c r="H30" s="959">
        <f>main!CQ33+main!CR33</f>
        <v>0</v>
      </c>
      <c r="I30" s="958">
        <f>main!CS33</f>
        <v>0</v>
      </c>
      <c r="J30" s="958">
        <f>main!CT33</f>
        <v>0</v>
      </c>
      <c r="K30" s="958">
        <f>main!CU33</f>
        <v>0</v>
      </c>
      <c r="L30" s="958">
        <f>main!CW33</f>
        <v>0</v>
      </c>
      <c r="M30" s="958">
        <f>main!CX33</f>
        <v>0</v>
      </c>
      <c r="N30" s="958">
        <f>main!DA33</f>
        <v>0</v>
      </c>
      <c r="O30" s="958">
        <f>main!DM33</f>
        <v>0</v>
      </c>
      <c r="P30" s="958">
        <f>main!DN33</f>
        <v>0</v>
      </c>
    </row>
    <row r="31" spans="2:16" ht="18.75">
      <c r="B31" s="958" t="str">
        <f>IF(main!B34&gt;0,main!B34,"")</f>
        <v/>
      </c>
      <c r="C31" s="959" t="str">
        <f>IF(main!C34&gt;0,main!C34,"")</f>
        <v/>
      </c>
      <c r="D31" s="959" t="str">
        <f>IF(main!E34&gt;0,main!E34,"")</f>
        <v/>
      </c>
      <c r="E31" s="959">
        <f>main!EC34</f>
        <v>0</v>
      </c>
      <c r="F31" s="959">
        <f>main!DW34</f>
        <v>0</v>
      </c>
      <c r="G31" s="959">
        <f>main!DX34</f>
        <v>0</v>
      </c>
      <c r="H31" s="959">
        <f>main!CQ34+main!CR34</f>
        <v>0</v>
      </c>
      <c r="I31" s="958">
        <f>main!CS34</f>
        <v>0</v>
      </c>
      <c r="J31" s="958">
        <f>main!CT34</f>
        <v>0</v>
      </c>
      <c r="K31" s="958">
        <f>main!CU34</f>
        <v>0</v>
      </c>
      <c r="L31" s="958">
        <f>main!CW34</f>
        <v>0</v>
      </c>
      <c r="M31" s="958">
        <f>main!CX34</f>
        <v>0</v>
      </c>
      <c r="N31" s="958">
        <f>main!DA34</f>
        <v>0</v>
      </c>
      <c r="O31" s="958">
        <f>main!DM34</f>
        <v>0</v>
      </c>
      <c r="P31" s="958">
        <f>main!DN34</f>
        <v>0</v>
      </c>
    </row>
    <row r="32" spans="2:16" ht="18.75">
      <c r="B32" s="958" t="str">
        <f>IF(main!B35&gt;0,main!B35,"")</f>
        <v/>
      </c>
      <c r="C32" s="959" t="str">
        <f>IF(main!C35&gt;0,main!C35,"")</f>
        <v/>
      </c>
      <c r="D32" s="959" t="str">
        <f>IF(main!E35&gt;0,main!E35,"")</f>
        <v/>
      </c>
      <c r="E32" s="959">
        <f>main!EC35</f>
        <v>0</v>
      </c>
      <c r="F32" s="959">
        <f>main!DW35</f>
        <v>0</v>
      </c>
      <c r="G32" s="959">
        <f>main!DX35</f>
        <v>0</v>
      </c>
      <c r="H32" s="959">
        <f>main!CQ35+main!CR35</f>
        <v>0</v>
      </c>
      <c r="I32" s="958">
        <f>main!CS35</f>
        <v>0</v>
      </c>
      <c r="J32" s="958">
        <f>main!CT35</f>
        <v>0</v>
      </c>
      <c r="K32" s="958">
        <f>main!CU35</f>
        <v>0</v>
      </c>
      <c r="L32" s="958">
        <f>main!CW35</f>
        <v>0</v>
      </c>
      <c r="M32" s="958">
        <f>main!CX35</f>
        <v>0</v>
      </c>
      <c r="N32" s="958">
        <f>main!DA35</f>
        <v>0</v>
      </c>
      <c r="O32" s="958">
        <f>main!DM35</f>
        <v>0</v>
      </c>
      <c r="P32" s="958">
        <f>main!DN35</f>
        <v>0</v>
      </c>
    </row>
    <row r="33" spans="2:16" ht="18.75">
      <c r="B33" s="958" t="str">
        <f>IF(main!B36&gt;0,main!B36,"")</f>
        <v/>
      </c>
      <c r="C33" s="959" t="str">
        <f>IF(main!C36&gt;0,main!C36,"")</f>
        <v/>
      </c>
      <c r="D33" s="959" t="str">
        <f>IF(main!E36&gt;0,main!E36,"")</f>
        <v/>
      </c>
      <c r="E33" s="959">
        <f>main!EC36</f>
        <v>0</v>
      </c>
      <c r="F33" s="959">
        <f>main!DW36</f>
        <v>0</v>
      </c>
      <c r="G33" s="959">
        <f>main!DX36</f>
        <v>0</v>
      </c>
      <c r="H33" s="959">
        <f>main!CQ36+main!CR36</f>
        <v>0</v>
      </c>
      <c r="I33" s="958">
        <f>main!CS36</f>
        <v>0</v>
      </c>
      <c r="J33" s="958">
        <f>main!CT36</f>
        <v>0</v>
      </c>
      <c r="K33" s="958">
        <f>main!CU36</f>
        <v>0</v>
      </c>
      <c r="L33" s="958">
        <f>main!CW36</f>
        <v>0</v>
      </c>
      <c r="M33" s="958">
        <f>main!CX36</f>
        <v>0</v>
      </c>
      <c r="N33" s="958">
        <f>main!DA36</f>
        <v>0</v>
      </c>
      <c r="O33" s="958">
        <f>main!DM36</f>
        <v>0</v>
      </c>
      <c r="P33" s="958">
        <f>main!DN36</f>
        <v>0</v>
      </c>
    </row>
    <row r="34" spans="2:16" ht="18.75">
      <c r="B34" s="958" t="str">
        <f>IF(main!B37&gt;0,main!B37,"")</f>
        <v/>
      </c>
      <c r="C34" s="959" t="str">
        <f>IF(main!C37&gt;0,main!C37,"")</f>
        <v/>
      </c>
      <c r="D34" s="959" t="str">
        <f>IF(main!E37&gt;0,main!E37,"")</f>
        <v/>
      </c>
      <c r="E34" s="959">
        <f>main!EC37</f>
        <v>0</v>
      </c>
      <c r="F34" s="959">
        <f>main!DW37</f>
        <v>0</v>
      </c>
      <c r="G34" s="959">
        <f>main!DX37</f>
        <v>0</v>
      </c>
      <c r="H34" s="959">
        <f>main!CQ37+main!CR37</f>
        <v>0</v>
      </c>
      <c r="I34" s="958">
        <f>main!CS37</f>
        <v>0</v>
      </c>
      <c r="J34" s="958">
        <f>main!CT37</f>
        <v>0</v>
      </c>
      <c r="K34" s="958">
        <f>main!CU37</f>
        <v>0</v>
      </c>
      <c r="L34" s="958">
        <f>main!CW37</f>
        <v>0</v>
      </c>
      <c r="M34" s="958">
        <f>main!CX37</f>
        <v>0</v>
      </c>
      <c r="N34" s="958">
        <f>main!DA37</f>
        <v>0</v>
      </c>
      <c r="O34" s="958">
        <f>main!DM37</f>
        <v>0</v>
      </c>
      <c r="P34" s="958">
        <f>main!DN37</f>
        <v>0</v>
      </c>
    </row>
    <row r="35" spans="2:16" ht="18.75">
      <c r="B35" s="958" t="str">
        <f>IF(main!B38&gt;0,main!B38,"")</f>
        <v/>
      </c>
      <c r="C35" s="959" t="str">
        <f>IF(main!C38&gt;0,main!C38,"")</f>
        <v/>
      </c>
      <c r="D35" s="959" t="str">
        <f>IF(main!E38&gt;0,main!E38,"")</f>
        <v/>
      </c>
      <c r="E35" s="959">
        <f>main!EC38</f>
        <v>0</v>
      </c>
      <c r="F35" s="959">
        <f>main!DW38</f>
        <v>0</v>
      </c>
      <c r="G35" s="959">
        <f>main!DX38</f>
        <v>0</v>
      </c>
      <c r="H35" s="959">
        <f>main!CQ38+main!CR38</f>
        <v>0</v>
      </c>
      <c r="I35" s="958">
        <f>main!CS38</f>
        <v>0</v>
      </c>
      <c r="J35" s="958">
        <f>main!CT38</f>
        <v>0</v>
      </c>
      <c r="K35" s="958">
        <f>main!CU38</f>
        <v>0</v>
      </c>
      <c r="L35" s="958">
        <f>main!CW38</f>
        <v>0</v>
      </c>
      <c r="M35" s="958">
        <f>main!CX38</f>
        <v>0</v>
      </c>
      <c r="N35" s="958">
        <f>main!DA38</f>
        <v>0</v>
      </c>
      <c r="O35" s="958">
        <f>main!DM38</f>
        <v>0</v>
      </c>
      <c r="P35" s="958">
        <f>main!DN38</f>
        <v>0</v>
      </c>
    </row>
    <row r="36" spans="2:16" ht="18.75">
      <c r="B36" s="958" t="str">
        <f>IF(main!B39&gt;0,main!B39,"")</f>
        <v/>
      </c>
      <c r="C36" s="959" t="str">
        <f>IF(main!C39&gt;0,main!C39,"")</f>
        <v/>
      </c>
      <c r="D36" s="959" t="str">
        <f>IF(main!E39&gt;0,main!E39,"")</f>
        <v/>
      </c>
      <c r="E36" s="959">
        <f>main!EC39</f>
        <v>0</v>
      </c>
      <c r="F36" s="959">
        <f>main!DW39</f>
        <v>0</v>
      </c>
      <c r="G36" s="959">
        <f>main!DX39</f>
        <v>0</v>
      </c>
      <c r="H36" s="959">
        <f>main!CQ39+main!CR39</f>
        <v>0</v>
      </c>
      <c r="I36" s="958">
        <f>main!CS39</f>
        <v>0</v>
      </c>
      <c r="J36" s="958">
        <f>main!CT39</f>
        <v>0</v>
      </c>
      <c r="K36" s="958">
        <f>main!CU39</f>
        <v>0</v>
      </c>
      <c r="L36" s="958">
        <f>main!CW39</f>
        <v>0</v>
      </c>
      <c r="M36" s="958">
        <f>main!CX39</f>
        <v>0</v>
      </c>
      <c r="N36" s="958">
        <f>main!DA39</f>
        <v>0</v>
      </c>
      <c r="O36" s="958">
        <f>main!DM39</f>
        <v>0</v>
      </c>
      <c r="P36" s="958">
        <f>main!DN39</f>
        <v>0</v>
      </c>
    </row>
    <row r="37" spans="2:16" ht="18.75">
      <c r="B37" s="958" t="str">
        <f>IF(main!B40&gt;0,main!B40,"")</f>
        <v/>
      </c>
      <c r="C37" s="959" t="str">
        <f>IF(main!C40&gt;0,main!C40,"")</f>
        <v/>
      </c>
      <c r="D37" s="959" t="str">
        <f>IF(main!E40&gt;0,main!E40,"")</f>
        <v/>
      </c>
      <c r="E37" s="959">
        <f>main!EC40</f>
        <v>0</v>
      </c>
      <c r="F37" s="959">
        <f>main!DW40</f>
        <v>0</v>
      </c>
      <c r="G37" s="959">
        <f>main!DX40</f>
        <v>0</v>
      </c>
      <c r="H37" s="959">
        <f>main!CQ40+main!CR40</f>
        <v>0</v>
      </c>
      <c r="I37" s="958">
        <f>main!CS40</f>
        <v>0</v>
      </c>
      <c r="J37" s="958">
        <f>main!CT40</f>
        <v>0</v>
      </c>
      <c r="K37" s="958">
        <f>main!CU40</f>
        <v>0</v>
      </c>
      <c r="L37" s="958">
        <f>main!CW40</f>
        <v>0</v>
      </c>
      <c r="M37" s="958">
        <f>main!CX40</f>
        <v>0</v>
      </c>
      <c r="N37" s="958">
        <f>main!DA40</f>
        <v>0</v>
      </c>
      <c r="O37" s="958">
        <f>main!DM40</f>
        <v>0</v>
      </c>
      <c r="P37" s="958">
        <f>main!DN40</f>
        <v>0</v>
      </c>
    </row>
    <row r="38" spans="2:16" ht="18.75">
      <c r="B38" s="958" t="str">
        <f>IF(main!B41&gt;0,main!B41,"")</f>
        <v/>
      </c>
      <c r="C38" s="959" t="str">
        <f>IF(main!C41&gt;0,main!C41,"")</f>
        <v/>
      </c>
      <c r="D38" s="959" t="str">
        <f>IF(main!E41&gt;0,main!E41,"")</f>
        <v/>
      </c>
      <c r="E38" s="959">
        <f>main!EC41</f>
        <v>0</v>
      </c>
      <c r="F38" s="959">
        <f>main!DW41</f>
        <v>0</v>
      </c>
      <c r="G38" s="959">
        <f>main!DX41</f>
        <v>0</v>
      </c>
      <c r="H38" s="959">
        <f>main!CQ41+main!CR41</f>
        <v>0</v>
      </c>
      <c r="I38" s="958">
        <f>main!CS41</f>
        <v>0</v>
      </c>
      <c r="J38" s="958">
        <f>main!CT41</f>
        <v>0</v>
      </c>
      <c r="K38" s="958">
        <f>main!CU41</f>
        <v>0</v>
      </c>
      <c r="L38" s="958">
        <f>main!CW41</f>
        <v>0</v>
      </c>
      <c r="M38" s="958">
        <f>main!CX41</f>
        <v>0</v>
      </c>
      <c r="N38" s="958">
        <f>main!DA41</f>
        <v>0</v>
      </c>
      <c r="O38" s="958">
        <f>main!DM41</f>
        <v>0</v>
      </c>
      <c r="P38" s="958">
        <f>main!DN41</f>
        <v>0</v>
      </c>
    </row>
    <row r="39" spans="2:16" ht="18.75">
      <c r="B39" s="958" t="str">
        <f>IF(main!B42&gt;0,main!B42,"")</f>
        <v/>
      </c>
      <c r="C39" s="959" t="str">
        <f>IF(main!C42&gt;0,main!C42,"")</f>
        <v/>
      </c>
      <c r="D39" s="959" t="str">
        <f>IF(main!E42&gt;0,main!E42,"")</f>
        <v/>
      </c>
      <c r="E39" s="959">
        <f>main!EC42</f>
        <v>0</v>
      </c>
      <c r="F39" s="959">
        <f>main!DW42</f>
        <v>0</v>
      </c>
      <c r="G39" s="959">
        <f>main!DX42</f>
        <v>0</v>
      </c>
      <c r="H39" s="959">
        <f>main!CQ42+main!CR42</f>
        <v>0</v>
      </c>
      <c r="I39" s="958">
        <f>main!CS42</f>
        <v>0</v>
      </c>
      <c r="J39" s="958">
        <f>main!CT42</f>
        <v>0</v>
      </c>
      <c r="K39" s="958">
        <f>main!CU42</f>
        <v>0</v>
      </c>
      <c r="L39" s="958">
        <f>main!CW42</f>
        <v>0</v>
      </c>
      <c r="M39" s="958">
        <f>main!CX42</f>
        <v>0</v>
      </c>
      <c r="N39" s="958">
        <f>main!DA42</f>
        <v>0</v>
      </c>
      <c r="O39" s="958">
        <f>main!DM42</f>
        <v>0</v>
      </c>
      <c r="P39" s="958">
        <f>main!DN42</f>
        <v>0</v>
      </c>
    </row>
    <row r="40" spans="2:16" ht="18.75">
      <c r="B40" s="958" t="str">
        <f>IF(main!B43&gt;0,main!B43,"")</f>
        <v/>
      </c>
      <c r="C40" s="959" t="str">
        <f>IF(main!C43&gt;0,main!C43,"")</f>
        <v/>
      </c>
      <c r="D40" s="959" t="str">
        <f>IF(main!E43&gt;0,main!E43,"")</f>
        <v/>
      </c>
      <c r="E40" s="959">
        <f>main!EC43</f>
        <v>0</v>
      </c>
      <c r="F40" s="959">
        <f>main!DW43</f>
        <v>0</v>
      </c>
      <c r="G40" s="959">
        <f>main!DX43</f>
        <v>0</v>
      </c>
      <c r="H40" s="959">
        <f>main!CQ43+main!CR43</f>
        <v>0</v>
      </c>
      <c r="I40" s="958">
        <f>main!CS43</f>
        <v>0</v>
      </c>
      <c r="J40" s="958">
        <f>main!CT43</f>
        <v>0</v>
      </c>
      <c r="K40" s="958">
        <f>main!CU43</f>
        <v>0</v>
      </c>
      <c r="L40" s="958">
        <f>main!CW43</f>
        <v>0</v>
      </c>
      <c r="M40" s="958">
        <f>main!CX43</f>
        <v>0</v>
      </c>
      <c r="N40" s="958">
        <f>main!DA43</f>
        <v>0</v>
      </c>
      <c r="O40" s="958">
        <f>main!DM43</f>
        <v>0</v>
      </c>
      <c r="P40" s="958">
        <f>main!DN43</f>
        <v>0</v>
      </c>
    </row>
    <row r="41" spans="2:16" ht="18.75">
      <c r="B41" s="958" t="str">
        <f>IF(main!B44&gt;0,main!B44,"")</f>
        <v/>
      </c>
      <c r="C41" s="959" t="str">
        <f>IF(main!C44&gt;0,main!C44,"")</f>
        <v/>
      </c>
      <c r="D41" s="959" t="str">
        <f>IF(main!E44&gt;0,main!E44,"")</f>
        <v/>
      </c>
      <c r="E41" s="959">
        <f>main!EC44</f>
        <v>0</v>
      </c>
      <c r="F41" s="959">
        <f>main!DW44</f>
        <v>0</v>
      </c>
      <c r="G41" s="959">
        <f>main!DX44</f>
        <v>0</v>
      </c>
      <c r="H41" s="959">
        <f>main!CQ44+main!CR44</f>
        <v>0</v>
      </c>
      <c r="I41" s="958">
        <f>main!CS44</f>
        <v>0</v>
      </c>
      <c r="J41" s="958">
        <f>main!CT44</f>
        <v>0</v>
      </c>
      <c r="K41" s="958">
        <f>main!CU44</f>
        <v>0</v>
      </c>
      <c r="L41" s="958">
        <f>main!CW44</f>
        <v>0</v>
      </c>
      <c r="M41" s="958">
        <f>main!CX44</f>
        <v>0</v>
      </c>
      <c r="N41" s="958">
        <f>main!DA44</f>
        <v>0</v>
      </c>
      <c r="O41" s="958">
        <f>main!DM44</f>
        <v>0</v>
      </c>
      <c r="P41" s="958">
        <f>main!DN44</f>
        <v>0</v>
      </c>
    </row>
    <row r="42" spans="2:16" ht="18.75">
      <c r="B42" s="958" t="str">
        <f>IF(main!B45&gt;0,main!B45,"")</f>
        <v/>
      </c>
      <c r="C42" s="959" t="str">
        <f>IF(main!C45&gt;0,main!C45,"")</f>
        <v/>
      </c>
      <c r="D42" s="959" t="str">
        <f>IF(main!E45&gt;0,main!E45,"")</f>
        <v/>
      </c>
      <c r="E42" s="959">
        <f>main!EC45</f>
        <v>0</v>
      </c>
      <c r="F42" s="959">
        <f>main!DW45</f>
        <v>0</v>
      </c>
      <c r="G42" s="959">
        <f>main!DX45</f>
        <v>0</v>
      </c>
      <c r="H42" s="959">
        <f>main!CQ45+main!CR45</f>
        <v>0</v>
      </c>
      <c r="I42" s="958">
        <f>main!CS45</f>
        <v>0</v>
      </c>
      <c r="J42" s="958">
        <f>main!CT45</f>
        <v>0</v>
      </c>
      <c r="K42" s="958">
        <f>main!CU45</f>
        <v>0</v>
      </c>
      <c r="L42" s="958">
        <f>main!CW45</f>
        <v>0</v>
      </c>
      <c r="M42" s="958">
        <f>main!CX45</f>
        <v>0</v>
      </c>
      <c r="N42" s="958">
        <f>main!DA45</f>
        <v>0</v>
      </c>
      <c r="O42" s="958">
        <f>main!DM45</f>
        <v>0</v>
      </c>
      <c r="P42" s="958">
        <f>main!DN45</f>
        <v>0</v>
      </c>
    </row>
    <row r="43" spans="2:16" ht="18.75">
      <c r="B43" s="958" t="str">
        <f>IF(main!B46&gt;0,main!B46,"")</f>
        <v/>
      </c>
      <c r="C43" s="959" t="str">
        <f>IF(main!C46&gt;0,main!C46,"")</f>
        <v/>
      </c>
      <c r="D43" s="959" t="str">
        <f>IF(main!E46&gt;0,main!E46,"")</f>
        <v/>
      </c>
      <c r="E43" s="959">
        <f>main!EC46</f>
        <v>0</v>
      </c>
      <c r="F43" s="959">
        <f>main!DW46</f>
        <v>0</v>
      </c>
      <c r="G43" s="959">
        <f>main!DX46</f>
        <v>0</v>
      </c>
      <c r="H43" s="959">
        <f>main!CQ46+main!CR46</f>
        <v>0</v>
      </c>
      <c r="I43" s="958">
        <f>main!CS46</f>
        <v>0</v>
      </c>
      <c r="J43" s="958">
        <f>main!CT46</f>
        <v>0</v>
      </c>
      <c r="K43" s="958">
        <f>main!CU46</f>
        <v>0</v>
      </c>
      <c r="L43" s="958">
        <f>main!CW46</f>
        <v>0</v>
      </c>
      <c r="M43" s="958">
        <f>main!CX46</f>
        <v>0</v>
      </c>
      <c r="N43" s="958">
        <f>main!DA46</f>
        <v>0</v>
      </c>
      <c r="O43" s="958">
        <f>main!DM46</f>
        <v>0</v>
      </c>
      <c r="P43" s="958">
        <f>main!DN46</f>
        <v>0</v>
      </c>
    </row>
    <row r="44" spans="2:16" ht="18.75">
      <c r="B44" s="958" t="str">
        <f>IF(main!B47&gt;0,main!B47,"")</f>
        <v/>
      </c>
      <c r="C44" s="959" t="str">
        <f>IF(main!C47&gt;0,main!C47,"")</f>
        <v/>
      </c>
      <c r="D44" s="959" t="str">
        <f>IF(main!E47&gt;0,main!E47,"")</f>
        <v/>
      </c>
      <c r="E44" s="959">
        <f>main!EC47</f>
        <v>0</v>
      </c>
      <c r="F44" s="959">
        <f>main!DW47</f>
        <v>0</v>
      </c>
      <c r="G44" s="959">
        <f>main!DX47</f>
        <v>0</v>
      </c>
      <c r="H44" s="959">
        <f>main!CQ47+main!CR47</f>
        <v>0</v>
      </c>
      <c r="I44" s="958">
        <f>main!CS47</f>
        <v>0</v>
      </c>
      <c r="J44" s="958">
        <f>main!CT47</f>
        <v>0</v>
      </c>
      <c r="K44" s="958">
        <f>main!CU47</f>
        <v>0</v>
      </c>
      <c r="L44" s="958">
        <f>main!CW47</f>
        <v>0</v>
      </c>
      <c r="M44" s="958">
        <f>main!CX47</f>
        <v>0</v>
      </c>
      <c r="N44" s="958">
        <f>main!DA47</f>
        <v>0</v>
      </c>
      <c r="O44" s="958">
        <f>main!DM47</f>
        <v>0</v>
      </c>
      <c r="P44" s="958">
        <f>main!DN47</f>
        <v>0</v>
      </c>
    </row>
    <row r="45" spans="2:16" ht="18.75">
      <c r="B45" s="958" t="str">
        <f>IF(main!B48&gt;0,main!B48,"")</f>
        <v/>
      </c>
      <c r="C45" s="959" t="str">
        <f>IF(main!C48&gt;0,main!C48,"")</f>
        <v/>
      </c>
      <c r="D45" s="959" t="str">
        <f>IF(main!E48&gt;0,main!E48,"")</f>
        <v/>
      </c>
      <c r="E45" s="959">
        <f>main!EC48</f>
        <v>0</v>
      </c>
      <c r="F45" s="959">
        <f>main!DW48</f>
        <v>0</v>
      </c>
      <c r="G45" s="959">
        <f>main!DX48</f>
        <v>0</v>
      </c>
      <c r="H45" s="959">
        <f>main!CQ48+main!CR48</f>
        <v>0</v>
      </c>
      <c r="I45" s="958">
        <f>main!CS48</f>
        <v>0</v>
      </c>
      <c r="J45" s="958">
        <f>main!CT48</f>
        <v>0</v>
      </c>
      <c r="K45" s="958">
        <f>main!CU48</f>
        <v>0</v>
      </c>
      <c r="L45" s="958">
        <f>main!CW48</f>
        <v>0</v>
      </c>
      <c r="M45" s="958">
        <f>main!CX48</f>
        <v>0</v>
      </c>
      <c r="N45" s="958">
        <f>main!DA48</f>
        <v>0</v>
      </c>
      <c r="O45" s="958">
        <f>main!DM48</f>
        <v>0</v>
      </c>
      <c r="P45" s="958">
        <f>main!DN48</f>
        <v>0</v>
      </c>
    </row>
    <row r="46" spans="2:16" ht="18.75">
      <c r="B46" s="958" t="str">
        <f>IF(main!B49&gt;0,main!B49,"")</f>
        <v/>
      </c>
      <c r="C46" s="959" t="str">
        <f>IF(main!C49&gt;0,main!C49,"")</f>
        <v/>
      </c>
      <c r="D46" s="959" t="str">
        <f>IF(main!E49&gt;0,main!E49,"")</f>
        <v/>
      </c>
      <c r="E46" s="959">
        <f>main!EC49</f>
        <v>0</v>
      </c>
      <c r="F46" s="959">
        <f>main!DW49</f>
        <v>0</v>
      </c>
      <c r="G46" s="959">
        <f>main!DX49</f>
        <v>0</v>
      </c>
      <c r="H46" s="959">
        <f>main!CQ49+main!CR49</f>
        <v>0</v>
      </c>
      <c r="I46" s="958">
        <f>main!CS49</f>
        <v>0</v>
      </c>
      <c r="J46" s="958">
        <f>main!CT49</f>
        <v>0</v>
      </c>
      <c r="K46" s="958">
        <f>main!CU49</f>
        <v>0</v>
      </c>
      <c r="L46" s="958">
        <f>main!CW49</f>
        <v>0</v>
      </c>
      <c r="M46" s="958">
        <f>main!CX49</f>
        <v>0</v>
      </c>
      <c r="N46" s="958">
        <f>main!DA49</f>
        <v>0</v>
      </c>
      <c r="O46" s="958">
        <f>main!DM49</f>
        <v>0</v>
      </c>
      <c r="P46" s="958">
        <f>main!DN49</f>
        <v>0</v>
      </c>
    </row>
    <row r="47" spans="2:16" ht="18.75">
      <c r="B47" s="958" t="str">
        <f>IF(main!B50&gt;0,main!B50,"")</f>
        <v/>
      </c>
      <c r="C47" s="959" t="str">
        <f>IF(main!C50&gt;0,main!C50,"")</f>
        <v/>
      </c>
      <c r="D47" s="959" t="str">
        <f>IF(main!E50&gt;0,main!E50,"")</f>
        <v/>
      </c>
      <c r="E47" s="959">
        <f>main!EC50</f>
        <v>0</v>
      </c>
      <c r="F47" s="959">
        <f>main!DW50</f>
        <v>0</v>
      </c>
      <c r="G47" s="959">
        <f>main!DX50</f>
        <v>0</v>
      </c>
      <c r="H47" s="959">
        <f>main!CQ50+main!CR50</f>
        <v>0</v>
      </c>
      <c r="I47" s="958">
        <f>main!CS50</f>
        <v>0</v>
      </c>
      <c r="J47" s="958">
        <f>main!CT50</f>
        <v>0</v>
      </c>
      <c r="K47" s="958">
        <f>main!CU50</f>
        <v>0</v>
      </c>
      <c r="L47" s="958">
        <f>main!CW50</f>
        <v>0</v>
      </c>
      <c r="M47" s="958">
        <f>main!CX50</f>
        <v>0</v>
      </c>
      <c r="N47" s="958">
        <f>main!DA50</f>
        <v>0</v>
      </c>
      <c r="O47" s="958">
        <f>main!DM50</f>
        <v>0</v>
      </c>
      <c r="P47" s="958">
        <f>main!DN50</f>
        <v>0</v>
      </c>
    </row>
    <row r="48" spans="2:16" ht="18.75">
      <c r="B48" s="958" t="str">
        <f>IF(main!B51&gt;0,main!B51,"")</f>
        <v/>
      </c>
      <c r="C48" s="959" t="str">
        <f>IF(main!C51&gt;0,main!C51,"")</f>
        <v/>
      </c>
      <c r="D48" s="959" t="str">
        <f>IF(main!E51&gt;0,main!E51,"")</f>
        <v/>
      </c>
      <c r="E48" s="959">
        <f>main!EC51</f>
        <v>0</v>
      </c>
      <c r="F48" s="959">
        <f>main!DW51</f>
        <v>0</v>
      </c>
      <c r="G48" s="959">
        <f>main!DX51</f>
        <v>0</v>
      </c>
      <c r="H48" s="959">
        <f>main!CQ51+main!CR51</f>
        <v>0</v>
      </c>
      <c r="I48" s="958">
        <f>main!CS51</f>
        <v>0</v>
      </c>
      <c r="J48" s="958">
        <f>main!CT51</f>
        <v>0</v>
      </c>
      <c r="K48" s="958">
        <f>main!CU51</f>
        <v>0</v>
      </c>
      <c r="L48" s="958">
        <f>main!CW51</f>
        <v>0</v>
      </c>
      <c r="M48" s="958">
        <f>main!CX51</f>
        <v>0</v>
      </c>
      <c r="N48" s="958">
        <f>main!DA51</f>
        <v>0</v>
      </c>
      <c r="O48" s="958">
        <f>main!DM51</f>
        <v>0</v>
      </c>
      <c r="P48" s="958">
        <f>main!DN51</f>
        <v>0</v>
      </c>
    </row>
    <row r="49" spans="2:16" ht="19.5" thickBot="1">
      <c r="B49" s="958" t="str">
        <f>IF(main!B52&gt;0,main!B52,"")</f>
        <v/>
      </c>
      <c r="C49" s="959" t="str">
        <f>IF(main!C52&gt;0,main!C52,"")</f>
        <v/>
      </c>
      <c r="D49" s="959" t="str">
        <f>IF(main!E52&gt;0,main!E52,"")</f>
        <v/>
      </c>
      <c r="E49" s="959">
        <f>main!EC52</f>
        <v>0</v>
      </c>
      <c r="F49" s="959">
        <f>main!DW52</f>
        <v>0</v>
      </c>
      <c r="G49" s="959">
        <f>main!DX52</f>
        <v>0</v>
      </c>
      <c r="H49" s="959">
        <f>main!CQ52+main!CR52</f>
        <v>0</v>
      </c>
      <c r="I49" s="958">
        <f>main!CS52</f>
        <v>0</v>
      </c>
      <c r="J49" s="958">
        <f>main!CT52</f>
        <v>0</v>
      </c>
      <c r="K49" s="958">
        <f>main!CU52</f>
        <v>0</v>
      </c>
      <c r="L49" s="958">
        <f>main!CW52</f>
        <v>0</v>
      </c>
      <c r="M49" s="958">
        <f>main!CX52</f>
        <v>0</v>
      </c>
      <c r="N49" s="958">
        <f>main!DA52</f>
        <v>0</v>
      </c>
      <c r="O49" s="958">
        <f>main!DM52</f>
        <v>0</v>
      </c>
      <c r="P49" s="958">
        <f>main!DN52</f>
        <v>0</v>
      </c>
    </row>
    <row r="50" spans="2:16" ht="29.25" thickTop="1" thickBot="1">
      <c r="B50" s="960"/>
      <c r="C50" s="980"/>
      <c r="D50" s="962"/>
      <c r="E50" s="966">
        <f>SUM(E6:E49)</f>
        <v>0</v>
      </c>
      <c r="F50" s="966"/>
      <c r="G50" s="966">
        <f>SUM(G6:G49)</f>
        <v>0</v>
      </c>
      <c r="H50" s="966">
        <f>SUM(H6:H49)</f>
        <v>0</v>
      </c>
      <c r="I50" s="966">
        <f>SUM(I6:I49)</f>
        <v>0</v>
      </c>
      <c r="J50" s="966">
        <f t="shared" ref="J50:N50" si="0">SUM(J6:J49)</f>
        <v>0</v>
      </c>
      <c r="K50" s="966">
        <f t="shared" si="0"/>
        <v>0</v>
      </c>
      <c r="L50" s="966">
        <f t="shared" si="0"/>
        <v>0</v>
      </c>
      <c r="M50" s="966">
        <f t="shared" si="0"/>
        <v>0</v>
      </c>
      <c r="N50" s="966">
        <f t="shared" si="0"/>
        <v>0</v>
      </c>
      <c r="O50" s="966">
        <f>SUM(O6:O49)</f>
        <v>0</v>
      </c>
      <c r="P50" s="966">
        <f>SUM(P6:P49)</f>
        <v>0</v>
      </c>
    </row>
    <row r="51" spans="2:16" ht="19.5" thickTop="1">
      <c r="B51" s="967"/>
      <c r="C51" s="967"/>
      <c r="D51" s="967"/>
      <c r="E51" s="968"/>
      <c r="F51" s="968"/>
      <c r="G51" s="968"/>
      <c r="H51" s="968"/>
      <c r="I51" s="968"/>
      <c r="J51" s="968"/>
      <c r="L51" s="970"/>
      <c r="M51" s="970"/>
      <c r="N51" s="970"/>
      <c r="O51" s="971">
        <v>0</v>
      </c>
      <c r="P51" s="968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Worksheet______13">
    <tabColor indexed="52"/>
  </sheetPr>
  <dimension ref="A1:I159"/>
  <sheetViews>
    <sheetView rightToLeft="1" zoomScaleNormal="100" workbookViewId="0">
      <pane ySplit="3" topLeftCell="A4" activePane="bottomLeft" state="frozen"/>
      <selection pane="bottomLeft" activeCell="B154" sqref="B154"/>
    </sheetView>
  </sheetViews>
  <sheetFormatPr defaultRowHeight="12.75"/>
  <cols>
    <col min="1" max="1" width="5.5703125" style="213" customWidth="1"/>
    <col min="2" max="2" width="118.7109375" style="178" customWidth="1"/>
    <col min="3" max="3" width="9.140625" style="178"/>
    <col min="4" max="4" width="10.140625" style="178" bestFit="1" customWidth="1"/>
    <col min="5" max="5" width="16.140625" style="178" bestFit="1" customWidth="1"/>
    <col min="6" max="16384" width="9.140625" style="178"/>
  </cols>
  <sheetData>
    <row r="1" spans="1:9" s="185" customFormat="1">
      <c r="A1" s="200"/>
    </row>
    <row r="2" spans="1:9" s="202" customFormat="1">
      <c r="A2" s="201"/>
    </row>
    <row r="3" spans="1:9" ht="30" customHeight="1">
      <c r="A3" s="186" t="s">
        <v>525</v>
      </c>
      <c r="B3" s="187" t="s">
        <v>505</v>
      </c>
      <c r="D3" s="203" t="s">
        <v>526</v>
      </c>
      <c r="E3" s="203" t="s">
        <v>527</v>
      </c>
      <c r="F3" s="204"/>
      <c r="G3" s="204"/>
      <c r="H3" s="204"/>
      <c r="I3" s="204"/>
    </row>
    <row r="4" spans="1:9" s="207" customFormat="1" ht="25.15" customHeight="1">
      <c r="A4" s="205" t="s">
        <v>528</v>
      </c>
      <c r="B4" s="206" t="s">
        <v>529</v>
      </c>
      <c r="D4" s="208">
        <v>0</v>
      </c>
      <c r="E4" s="209">
        <v>0</v>
      </c>
      <c r="F4" s="210"/>
      <c r="G4" s="210"/>
      <c r="H4" s="210"/>
      <c r="I4" s="210"/>
    </row>
    <row r="5" spans="1:9" s="207" customFormat="1" ht="25.15" customHeight="1">
      <c r="A5" s="205" t="s">
        <v>530</v>
      </c>
      <c r="B5" s="206" t="s">
        <v>531</v>
      </c>
      <c r="D5" s="210"/>
      <c r="E5" s="210"/>
      <c r="F5" s="210"/>
      <c r="G5" s="210"/>
      <c r="H5" s="210"/>
      <c r="I5" s="210"/>
    </row>
    <row r="6" spans="1:9" s="207" customFormat="1" ht="25.15" customHeight="1">
      <c r="A6" s="205" t="s">
        <v>532</v>
      </c>
      <c r="B6" s="206" t="s">
        <v>533</v>
      </c>
    </row>
    <row r="7" spans="1:9" s="207" customFormat="1" ht="25.15" customHeight="1">
      <c r="A7" s="205" t="s">
        <v>515</v>
      </c>
      <c r="B7" s="206" t="s">
        <v>534</v>
      </c>
    </row>
    <row r="8" spans="1:9" s="207" customFormat="1" ht="25.15" customHeight="1">
      <c r="A8" s="205" t="s">
        <v>535</v>
      </c>
      <c r="B8" s="206" t="s">
        <v>536</v>
      </c>
    </row>
    <row r="9" spans="1:9" s="207" customFormat="1" ht="25.15" customHeight="1">
      <c r="A9" s="205" t="s">
        <v>514</v>
      </c>
      <c r="B9" s="206" t="s">
        <v>537</v>
      </c>
    </row>
    <row r="10" spans="1:9" s="207" customFormat="1" ht="25.15" customHeight="1">
      <c r="A10" s="205" t="s">
        <v>538</v>
      </c>
      <c r="B10" s="206" t="s">
        <v>539</v>
      </c>
    </row>
    <row r="11" spans="1:9" s="207" customFormat="1" ht="25.15" customHeight="1">
      <c r="A11" s="205" t="e">
        <f>IF('דווח ביטוחים'!#REF!&lt;&gt;"",'דווח ביטוחים'!#REF!,"")</f>
        <v>#REF!</v>
      </c>
      <c r="B11" s="206" t="s">
        <v>540</v>
      </c>
    </row>
    <row r="12" spans="1:9" s="207" customFormat="1" ht="25.15" customHeight="1">
      <c r="A12" s="205" t="e">
        <f>IF('דווח ביטוחים'!#REF!&lt;&gt;"",'דווח ביטוחים'!#REF!,"")</f>
        <v>#REF!</v>
      </c>
      <c r="B12" s="206" t="s">
        <v>540</v>
      </c>
    </row>
    <row r="13" spans="1:9" s="207" customFormat="1" ht="25.15" customHeight="1">
      <c r="A13" s="205" t="e">
        <f>IF('דווח ביטוחים'!#REF!&lt;&gt;"",'דווח ביטוחים'!#REF!,"")</f>
        <v>#REF!</v>
      </c>
      <c r="B13" s="206" t="s">
        <v>540</v>
      </c>
    </row>
    <row r="14" spans="1:9" s="207" customFormat="1" ht="25.15" customHeight="1">
      <c r="A14" s="205" t="e">
        <f>IF('דווח ביטוחים'!#REF!&lt;&gt;"",'דווח ביטוחים'!#REF!,"")</f>
        <v>#REF!</v>
      </c>
      <c r="B14" s="206" t="s">
        <v>540</v>
      </c>
    </row>
    <row r="15" spans="1:9" s="207" customFormat="1" ht="25.15" customHeight="1">
      <c r="A15" s="205" t="e">
        <f>IF('דווח ביטוחים'!#REF!&lt;&gt;"",'דווח ביטוחים'!#REF!,"")</f>
        <v>#REF!</v>
      </c>
      <c r="B15" s="206" t="s">
        <v>540</v>
      </c>
    </row>
    <row r="16" spans="1:9" s="207" customFormat="1" ht="25.15" customHeight="1">
      <c r="A16" s="205" t="e">
        <f>IF('דווח ביטוחים'!#REF!&lt;&gt;"",'דווח ביטוחים'!#REF!,"")</f>
        <v>#REF!</v>
      </c>
      <c r="B16" s="206" t="s">
        <v>540</v>
      </c>
    </row>
    <row r="17" spans="1:2" s="207" customFormat="1" ht="25.15" customHeight="1">
      <c r="A17" s="205" t="e">
        <f>IF('דווח ביטוחים'!#REF!&lt;&gt;"",'דווח ביטוחים'!#REF!,"")</f>
        <v>#REF!</v>
      </c>
      <c r="B17" s="206" t="s">
        <v>540</v>
      </c>
    </row>
    <row r="18" spans="1:2" s="207" customFormat="1" ht="25.15" customHeight="1">
      <c r="A18" s="205" t="e">
        <f>IF('דווח ביטוחים'!#REF!&lt;&gt;"",'דווח ביטוחים'!#REF!,"")</f>
        <v>#REF!</v>
      </c>
      <c r="B18" s="206" t="s">
        <v>540</v>
      </c>
    </row>
    <row r="19" spans="1:2" s="207" customFormat="1" ht="25.15" customHeight="1">
      <c r="A19" s="205" t="e">
        <f>IF('דווח ביטוחים'!#REF!&lt;&gt;"",'דווח ביטוחים'!#REF!,"")</f>
        <v>#REF!</v>
      </c>
      <c r="B19" s="206" t="s">
        <v>540</v>
      </c>
    </row>
    <row r="20" spans="1:2" s="207" customFormat="1" ht="25.15" customHeight="1">
      <c r="A20" s="205" t="e">
        <f>IF('דווח ביטוחים'!#REF!&lt;&gt;"",'דווח ביטוחים'!#REF!,"")</f>
        <v>#REF!</v>
      </c>
      <c r="B20" s="206" t="s">
        <v>540</v>
      </c>
    </row>
    <row r="21" spans="1:2" s="207" customFormat="1" ht="25.15" customHeight="1">
      <c r="A21" s="205" t="e">
        <f>IF('דווח ביטוחים'!#REF!&lt;&gt;"",'דווח ביטוחים'!#REF!,"")</f>
        <v>#REF!</v>
      </c>
      <c r="B21" s="206" t="s">
        <v>540</v>
      </c>
    </row>
    <row r="22" spans="1:2" s="207" customFormat="1" ht="25.15" customHeight="1">
      <c r="A22" s="205" t="e">
        <f>IF('דווח ביטוחים'!#REF!&lt;&gt;"",'דווח ביטוחים'!#REF!,"")</f>
        <v>#REF!</v>
      </c>
      <c r="B22" s="206" t="s">
        <v>540</v>
      </c>
    </row>
    <row r="23" spans="1:2" s="207" customFormat="1" ht="25.15" customHeight="1">
      <c r="A23" s="205" t="e">
        <f>IF('דווח ביטוחים'!#REF!&lt;&gt;"",'דווח ביטוחים'!#REF!,"")</f>
        <v>#REF!</v>
      </c>
      <c r="B23" s="206" t="s">
        <v>540</v>
      </c>
    </row>
    <row r="24" spans="1:2" s="207" customFormat="1" ht="25.15" customHeight="1">
      <c r="A24" s="205" t="e">
        <f>IF('דווח ביטוחים'!#REF!&lt;&gt;"",'דווח ביטוחים'!#REF!,"")</f>
        <v>#REF!</v>
      </c>
      <c r="B24" s="206" t="s">
        <v>540</v>
      </c>
    </row>
    <row r="25" spans="1:2" s="207" customFormat="1" ht="25.15" customHeight="1">
      <c r="A25" s="205" t="e">
        <f>IF('דווח ביטוחים'!#REF!&lt;&gt;"",'דווח ביטוחים'!#REF!,"")</f>
        <v>#REF!</v>
      </c>
      <c r="B25" s="206" t="s">
        <v>540</v>
      </c>
    </row>
    <row r="26" spans="1:2" s="207" customFormat="1" ht="25.15" customHeight="1">
      <c r="A26" s="205" t="e">
        <f>IF('דווח ביטוחים'!#REF!&lt;&gt;"",'דווח ביטוחים'!#REF!,"")</f>
        <v>#REF!</v>
      </c>
      <c r="B26" s="206" t="s">
        <v>540</v>
      </c>
    </row>
    <row r="27" spans="1:2" s="207" customFormat="1" ht="25.15" customHeight="1">
      <c r="A27" s="205" t="e">
        <f>IF('דווח ביטוחים'!#REF!&lt;&gt;"",'דווח ביטוחים'!#REF!,"")</f>
        <v>#REF!</v>
      </c>
      <c r="B27" s="206" t="s">
        <v>540</v>
      </c>
    </row>
    <row r="28" spans="1:2" s="207" customFormat="1" ht="25.15" customHeight="1">
      <c r="A28" s="205" t="e">
        <f>IF('דווח ביטוחים'!#REF!&lt;&gt;"",'דווח ביטוחים'!#REF!,"")</f>
        <v>#REF!</v>
      </c>
      <c r="B28" s="206" t="s">
        <v>540</v>
      </c>
    </row>
    <row r="29" spans="1:2" s="207" customFormat="1" ht="25.15" customHeight="1">
      <c r="A29" s="205" t="e">
        <f>IF('דווח ביטוחים'!#REF!&lt;&gt;"",'דווח ביטוחים'!#REF!,"")</f>
        <v>#REF!</v>
      </c>
      <c r="B29" s="206" t="s">
        <v>540</v>
      </c>
    </row>
    <row r="30" spans="1:2" s="207" customFormat="1" ht="25.15" customHeight="1">
      <c r="A30" s="205" t="e">
        <f>IF('דווח ביטוחים'!#REF!&lt;&gt;"",'דווח ביטוחים'!#REF!,"")</f>
        <v>#REF!</v>
      </c>
      <c r="B30" s="206" t="s">
        <v>540</v>
      </c>
    </row>
    <row r="31" spans="1:2" s="207" customFormat="1" ht="25.15" customHeight="1">
      <c r="A31" s="205" t="e">
        <f>IF('דווח ביטוחים'!#REF!&lt;&gt;"",'דווח ביטוחים'!#REF!,"")</f>
        <v>#REF!</v>
      </c>
      <c r="B31" s="206" t="s">
        <v>540</v>
      </c>
    </row>
    <row r="32" spans="1:2" s="207" customFormat="1" ht="25.15" customHeight="1">
      <c r="A32" s="205" t="e">
        <f>IF('דווח ביטוחים'!#REF!&lt;&gt;"",'דווח ביטוחים'!#REF!,"")</f>
        <v>#REF!</v>
      </c>
      <c r="B32" s="206" t="s">
        <v>540</v>
      </c>
    </row>
    <row r="33" spans="1:2" s="207" customFormat="1" ht="25.15" customHeight="1">
      <c r="A33" s="205" t="e">
        <f>IF('דווח ביטוחים'!#REF!&lt;&gt;"",'דווח ביטוחים'!#REF!,"")</f>
        <v>#REF!</v>
      </c>
      <c r="B33" s="206" t="s">
        <v>540</v>
      </c>
    </row>
    <row r="34" spans="1:2" s="207" customFormat="1" ht="25.15" customHeight="1">
      <c r="A34" s="205" t="e">
        <f>IF('דווח ביטוחים'!#REF!&lt;&gt;"",'דווח ביטוחים'!#REF!,"")</f>
        <v>#REF!</v>
      </c>
      <c r="B34" s="206" t="s">
        <v>540</v>
      </c>
    </row>
    <row r="35" spans="1:2" s="207" customFormat="1" ht="25.15" customHeight="1">
      <c r="A35" s="205" t="e">
        <f>IF('דווח ביטוחים'!#REF!&lt;&gt;"",'דווח ביטוחים'!#REF!,"")</f>
        <v>#REF!</v>
      </c>
      <c r="B35" s="206" t="s">
        <v>540</v>
      </c>
    </row>
    <row r="36" spans="1:2" s="207" customFormat="1" ht="25.15" customHeight="1">
      <c r="A36" s="205" t="e">
        <f>IF('דווח ביטוחים'!#REF!&lt;&gt;"",'דווח ביטוחים'!#REF!,"")</f>
        <v>#REF!</v>
      </c>
      <c r="B36" s="206" t="s">
        <v>540</v>
      </c>
    </row>
    <row r="37" spans="1:2" s="207" customFormat="1" ht="25.15" customHeight="1">
      <c r="A37" s="205" t="e">
        <f>IF('דווח ביטוחים'!#REF!&lt;&gt;"",'דווח ביטוחים'!#REF!,"")</f>
        <v>#REF!</v>
      </c>
      <c r="B37" s="206" t="s">
        <v>540</v>
      </c>
    </row>
    <row r="38" spans="1:2" s="207" customFormat="1" ht="25.15" customHeight="1">
      <c r="A38" s="205" t="e">
        <f>IF('דווח ביטוחים'!#REF!&lt;&gt;"",'דווח ביטוחים'!#REF!,"")</f>
        <v>#REF!</v>
      </c>
      <c r="B38" s="206" t="s">
        <v>540</v>
      </c>
    </row>
    <row r="39" spans="1:2" s="207" customFormat="1" ht="25.15" customHeight="1">
      <c r="A39" s="205" t="e">
        <f>IF('דווח ביטוחים'!#REF!&lt;&gt;"",'דווח ביטוחים'!#REF!,"")</f>
        <v>#REF!</v>
      </c>
      <c r="B39" s="206" t="s">
        <v>540</v>
      </c>
    </row>
    <row r="40" spans="1:2" s="207" customFormat="1" ht="25.15" customHeight="1">
      <c r="A40" s="205" t="e">
        <f>IF('דווח ביטוחים'!#REF!&lt;&gt;"",'דווח ביטוחים'!#REF!,"")</f>
        <v>#REF!</v>
      </c>
      <c r="B40" s="206" t="s">
        <v>540</v>
      </c>
    </row>
    <row r="41" spans="1:2" s="207" customFormat="1" ht="25.15" customHeight="1">
      <c r="A41" s="205" t="e">
        <f>IF('דווח ביטוחים'!#REF!&lt;&gt;"",'דווח ביטוחים'!#REF!,"")</f>
        <v>#REF!</v>
      </c>
      <c r="B41" s="206" t="s">
        <v>540</v>
      </c>
    </row>
    <row r="42" spans="1:2" s="207" customFormat="1" ht="25.15" customHeight="1">
      <c r="A42" s="205" t="e">
        <f>IF('דווח ביטוחים'!#REF!&lt;&gt;"",'דווח ביטוחים'!#REF!,"")</f>
        <v>#REF!</v>
      </c>
      <c r="B42" s="206" t="s">
        <v>540</v>
      </c>
    </row>
    <row r="43" spans="1:2" s="207" customFormat="1" ht="25.15" customHeight="1">
      <c r="A43" s="205" t="e">
        <f>IF('דווח ביטוחים'!#REF!&lt;&gt;"",'דווח ביטוחים'!#REF!,"")</f>
        <v>#REF!</v>
      </c>
      <c r="B43" s="206" t="s">
        <v>540</v>
      </c>
    </row>
    <row r="44" spans="1:2" s="207" customFormat="1" ht="25.15" customHeight="1">
      <c r="A44" s="205" t="e">
        <f>IF('דווח ביטוחים'!#REF!&lt;&gt;"",'דווח ביטוחים'!#REF!,"")</f>
        <v>#REF!</v>
      </c>
      <c r="B44" s="206" t="s">
        <v>540</v>
      </c>
    </row>
    <row r="45" spans="1:2" s="207" customFormat="1" ht="25.15" customHeight="1">
      <c r="A45" s="205" t="e">
        <f>IF('דווח ביטוחים'!#REF!&lt;&gt;"",'דווח ביטוחים'!#REF!,"")</f>
        <v>#REF!</v>
      </c>
      <c r="B45" s="206" t="s">
        <v>540</v>
      </c>
    </row>
    <row r="46" spans="1:2" s="207" customFormat="1" ht="25.15" customHeight="1">
      <c r="A46" s="205" t="e">
        <f>IF('דווח ביטוחים'!#REF!&lt;&gt;"",'דווח ביטוחים'!#REF!,"")</f>
        <v>#REF!</v>
      </c>
      <c r="B46" s="206" t="s">
        <v>540</v>
      </c>
    </row>
    <row r="47" spans="1:2" s="207" customFormat="1" ht="25.15" customHeight="1">
      <c r="A47" s="205" t="e">
        <f>IF('דווח ביטוחים'!#REF!&lt;&gt;"",'דווח ביטוחים'!#REF!,"")</f>
        <v>#REF!</v>
      </c>
      <c r="B47" s="206" t="s">
        <v>540</v>
      </c>
    </row>
    <row r="48" spans="1:2" s="207" customFormat="1" ht="25.15" customHeight="1">
      <c r="A48" s="205" t="e">
        <f>IF('דווח ביטוחים'!#REF!&lt;&gt;"",'דווח ביטוחים'!#REF!,"")</f>
        <v>#REF!</v>
      </c>
      <c r="B48" s="206" t="s">
        <v>540</v>
      </c>
    </row>
    <row r="49" spans="1:2" s="207" customFormat="1" ht="25.15" customHeight="1">
      <c r="A49" s="205" t="e">
        <f>IF('דווח ביטוחים'!#REF!&lt;&gt;"",'דווח ביטוחים'!#REF!,"")</f>
        <v>#REF!</v>
      </c>
      <c r="B49" s="206" t="s">
        <v>540</v>
      </c>
    </row>
    <row r="50" spans="1:2" s="207" customFormat="1" ht="25.15" customHeight="1">
      <c r="A50" s="205" t="e">
        <f>IF('דווח ביטוחים'!#REF!&lt;&gt;"",'דווח ביטוחים'!#REF!,"")</f>
        <v>#REF!</v>
      </c>
      <c r="B50" s="206" t="s">
        <v>540</v>
      </c>
    </row>
    <row r="51" spans="1:2" s="207" customFormat="1" ht="25.15" customHeight="1">
      <c r="A51" s="205" t="e">
        <f>IF('דווח ביטוחים'!#REF!&lt;&gt;"",'דווח ביטוחים'!#REF!,"")</f>
        <v>#REF!</v>
      </c>
      <c r="B51" s="206" t="s">
        <v>540</v>
      </c>
    </row>
    <row r="52" spans="1:2" s="207" customFormat="1" ht="25.15" customHeight="1">
      <c r="A52" s="205" t="e">
        <f>IF('דווח ביטוחים'!#REF!&lt;&gt;"",'דווח ביטוחים'!#REF!,"")</f>
        <v>#REF!</v>
      </c>
      <c r="B52" s="206" t="s">
        <v>540</v>
      </c>
    </row>
    <row r="53" spans="1:2" s="207" customFormat="1" ht="25.15" customHeight="1">
      <c r="A53" s="205" t="e">
        <f>IF('דווח ביטוחים'!#REF!&lt;&gt;"",'דווח ביטוחים'!#REF!,"")</f>
        <v>#REF!</v>
      </c>
      <c r="B53" s="206" t="s">
        <v>540</v>
      </c>
    </row>
    <row r="54" spans="1:2" s="207" customFormat="1" ht="25.15" customHeight="1">
      <c r="A54" s="205" t="e">
        <f>IF('דווח ביטוחים'!#REF!&lt;&gt;"",'דווח ביטוחים'!#REF!,"")</f>
        <v>#REF!</v>
      </c>
      <c r="B54" s="206" t="s">
        <v>540</v>
      </c>
    </row>
    <row r="55" spans="1:2" s="207" customFormat="1" ht="25.15" customHeight="1">
      <c r="A55" s="205" t="e">
        <f>IF('דווח ביטוחים'!#REF!&lt;&gt;"",'דווח ביטוחים'!#REF!,"")</f>
        <v>#REF!</v>
      </c>
      <c r="B55" s="206" t="s">
        <v>540</v>
      </c>
    </row>
    <row r="56" spans="1:2" s="207" customFormat="1" ht="25.15" customHeight="1">
      <c r="A56" s="205" t="e">
        <f>IF('דווח ביטוחים'!#REF!&lt;&gt;"",'דווח ביטוחים'!#REF!,"")</f>
        <v>#REF!</v>
      </c>
      <c r="B56" s="206" t="s">
        <v>540</v>
      </c>
    </row>
    <row r="57" spans="1:2" s="207" customFormat="1" ht="25.15" customHeight="1">
      <c r="A57" s="205" t="e">
        <f>IF('דווח ביטוחים'!#REF!&lt;&gt;"",'דווח ביטוחים'!#REF!,"")</f>
        <v>#REF!</v>
      </c>
      <c r="B57" s="206" t="s">
        <v>540</v>
      </c>
    </row>
    <row r="58" spans="1:2" s="207" customFormat="1" ht="25.15" customHeight="1">
      <c r="A58" s="205" t="e">
        <f>IF('דווח ביטוחים'!#REF!&lt;&gt;"",'דווח ביטוחים'!#REF!,"")</f>
        <v>#REF!</v>
      </c>
      <c r="B58" s="206" t="s">
        <v>540</v>
      </c>
    </row>
    <row r="59" spans="1:2" s="207" customFormat="1" ht="25.15" customHeight="1">
      <c r="A59" s="205" t="e">
        <f>IF('דווח ביטוחים'!#REF!&lt;&gt;"",'דווח ביטוחים'!#REF!,"")</f>
        <v>#REF!</v>
      </c>
      <c r="B59" s="206" t="s">
        <v>540</v>
      </c>
    </row>
    <row r="60" spans="1:2" s="207" customFormat="1" ht="25.15" customHeight="1">
      <c r="A60" s="205" t="e">
        <f>IF('דווח ביטוחים'!#REF!&lt;&gt;"",'דווח ביטוחים'!#REF!,"")</f>
        <v>#REF!</v>
      </c>
      <c r="B60" s="206"/>
    </row>
    <row r="61" spans="1:2" s="207" customFormat="1" ht="25.15" customHeight="1">
      <c r="A61" s="205" t="e">
        <f>IF('דווח ביטוחים'!#REF!&lt;&gt;"",'דווח ביטוחים'!#REF!,"")</f>
        <v>#REF!</v>
      </c>
      <c r="B61" s="206"/>
    </row>
    <row r="62" spans="1:2" s="207" customFormat="1" ht="25.15" customHeight="1">
      <c r="A62" s="205" t="e">
        <f>IF('דווח ביטוחים'!#REF!&lt;&gt;"",'דווח ביטוחים'!#REF!,"")</f>
        <v>#REF!</v>
      </c>
      <c r="B62" s="206"/>
    </row>
    <row r="63" spans="1:2" s="207" customFormat="1" ht="25.15" customHeight="1">
      <c r="A63" s="205" t="e">
        <f>IF('דווח ביטוחים'!#REF!&lt;&gt;"",'דווח ביטוחים'!#REF!,"")</f>
        <v>#REF!</v>
      </c>
      <c r="B63" s="206"/>
    </row>
    <row r="64" spans="1:2" s="207" customFormat="1" ht="25.15" customHeight="1">
      <c r="A64" s="205" t="e">
        <f>IF('דווח ביטוחים'!#REF!&lt;&gt;"",'דווח ביטוחים'!#REF!,"")</f>
        <v>#REF!</v>
      </c>
      <c r="B64" s="206"/>
    </row>
    <row r="65" spans="1:2" s="207" customFormat="1" ht="25.15" customHeight="1">
      <c r="A65" s="205" t="e">
        <f>IF('דווח ביטוחים'!#REF!&lt;&gt;"",'דווח ביטוחים'!#REF!,"")</f>
        <v>#REF!</v>
      </c>
      <c r="B65" s="206"/>
    </row>
    <row r="66" spans="1:2" s="207" customFormat="1" ht="25.15" customHeight="1">
      <c r="A66" s="205" t="e">
        <f>IF('דווח ביטוחים'!#REF!&lt;&gt;"",'דווח ביטוחים'!#REF!,"")</f>
        <v>#REF!</v>
      </c>
      <c r="B66" s="206"/>
    </row>
    <row r="67" spans="1:2" s="207" customFormat="1" ht="25.15" customHeight="1">
      <c r="A67" s="205" t="e">
        <f>IF('דווח ביטוחים'!#REF!&lt;&gt;"",'דווח ביטוחים'!#REF!,"")</f>
        <v>#REF!</v>
      </c>
      <c r="B67" s="206"/>
    </row>
    <row r="68" spans="1:2" s="207" customFormat="1" ht="25.15" customHeight="1">
      <c r="A68" s="205" t="e">
        <f>IF('דווח ביטוחים'!#REF!&lt;&gt;"",'דווח ביטוחים'!#REF!,"")</f>
        <v>#REF!</v>
      </c>
      <c r="B68" s="206"/>
    </row>
    <row r="69" spans="1:2" s="207" customFormat="1" ht="25.15" customHeight="1">
      <c r="A69" s="205" t="e">
        <f>IF('דווח ביטוחים'!#REF!&lt;&gt;"",'דווח ביטוחים'!#REF!,"")</f>
        <v>#REF!</v>
      </c>
    </row>
    <row r="70" spans="1:2" s="207" customFormat="1" ht="25.15" customHeight="1">
      <c r="A70" s="205" t="e">
        <f>IF('דווח ביטוחים'!#REF!&lt;&gt;"",'דווח ביטוחים'!#REF!,"")</f>
        <v>#REF!</v>
      </c>
    </row>
    <row r="71" spans="1:2" s="207" customFormat="1" ht="25.15" customHeight="1">
      <c r="A71" s="205" t="e">
        <f>IF('דווח ביטוחים'!#REF!&lt;&gt;"",'דווח ביטוחים'!#REF!,"")</f>
        <v>#REF!</v>
      </c>
    </row>
    <row r="72" spans="1:2" s="207" customFormat="1" ht="25.15" customHeight="1">
      <c r="A72" s="205" t="e">
        <f>IF('דווח ביטוחים'!#REF!&lt;&gt;"",'דווח ביטוחים'!#REF!,"")</f>
        <v>#REF!</v>
      </c>
    </row>
    <row r="73" spans="1:2" s="207" customFormat="1" ht="25.15" customHeight="1">
      <c r="A73" s="205" t="e">
        <f>IF('דווח ביטוחים'!#REF!&lt;&gt;"",'דווח ביטוחים'!#REF!,"")</f>
        <v>#REF!</v>
      </c>
    </row>
    <row r="74" spans="1:2" s="207" customFormat="1" ht="25.15" customHeight="1">
      <c r="A74" s="205" t="e">
        <f>IF('דווח ביטוחים'!#REF!&lt;&gt;"",'דווח ביטוחים'!#REF!,"")</f>
        <v>#REF!</v>
      </c>
    </row>
    <row r="75" spans="1:2" s="207" customFormat="1" ht="25.15" customHeight="1">
      <c r="A75" s="205" t="e">
        <f>IF('דווח ביטוחים'!#REF!&lt;&gt;"",'דווח ביטוחים'!#REF!,"")</f>
        <v>#REF!</v>
      </c>
    </row>
    <row r="76" spans="1:2" s="207" customFormat="1" ht="25.15" customHeight="1">
      <c r="A76" s="205" t="e">
        <f>IF('דווח ביטוחים'!#REF!&lt;&gt;"",'דווח ביטוחים'!#REF!,"")</f>
        <v>#REF!</v>
      </c>
    </row>
    <row r="77" spans="1:2" s="207" customFormat="1" ht="25.15" customHeight="1">
      <c r="A77" s="205" t="e">
        <f>IF('דווח ביטוחים'!#REF!&lt;&gt;"",'דווח ביטוחים'!#REF!,"")</f>
        <v>#REF!</v>
      </c>
    </row>
    <row r="78" spans="1:2" s="207" customFormat="1" ht="25.15" customHeight="1">
      <c r="A78" s="205" t="e">
        <f>IF('דווח ביטוחים'!#REF!&lt;&gt;"",'דווח ביטוחים'!#REF!,"")</f>
        <v>#REF!</v>
      </c>
    </row>
    <row r="79" spans="1:2" s="207" customFormat="1" ht="25.15" customHeight="1">
      <c r="A79" s="205" t="e">
        <f>IF('דווח ביטוחים'!#REF!&lt;&gt;"",'דווח ביטוחים'!#REF!,"")</f>
        <v>#REF!</v>
      </c>
    </row>
    <row r="80" spans="1:2" s="207" customFormat="1" ht="25.15" customHeight="1">
      <c r="A80" s="205" t="e">
        <f>IF('דווח ביטוחים'!#REF!&lt;&gt;"",'דווח ביטוחים'!#REF!,"")</f>
        <v>#REF!</v>
      </c>
    </row>
    <row r="81" spans="1:1" s="207" customFormat="1" ht="25.15" customHeight="1">
      <c r="A81" s="205" t="e">
        <f>IF('דווח ביטוחים'!#REF!&lt;&gt;"",'דווח ביטוחים'!#REF!,"")</f>
        <v>#REF!</v>
      </c>
    </row>
    <row r="82" spans="1:1" s="207" customFormat="1" ht="25.15" customHeight="1">
      <c r="A82" s="205" t="e">
        <f>IF('דווח ביטוחים'!#REF!&lt;&gt;"",'דווח ביטוחים'!#REF!,"")</f>
        <v>#REF!</v>
      </c>
    </row>
    <row r="83" spans="1:1" s="207" customFormat="1" ht="25.15" customHeight="1">
      <c r="A83" s="205" t="e">
        <f>IF('דווח ביטוחים'!#REF!&lt;&gt;"",'דווח ביטוחים'!#REF!,"")</f>
        <v>#REF!</v>
      </c>
    </row>
    <row r="84" spans="1:1" s="207" customFormat="1" ht="25.15" customHeight="1">
      <c r="A84" s="205" t="e">
        <f>IF('דווח ביטוחים'!#REF!&lt;&gt;"",'דווח ביטוחים'!#REF!,"")</f>
        <v>#REF!</v>
      </c>
    </row>
    <row r="85" spans="1:1" s="207" customFormat="1" ht="25.15" customHeight="1">
      <c r="A85" s="205" t="e">
        <f>IF('דווח ביטוחים'!#REF!&lt;&gt;"",'דווח ביטוחים'!#REF!,"")</f>
        <v>#REF!</v>
      </c>
    </row>
    <row r="86" spans="1:1" s="212" customFormat="1" ht="25.15" customHeight="1">
      <c r="A86" s="205" t="e">
        <f>IF('דווח ביטוחים'!#REF!&lt;&gt;"",'דווח ביטוחים'!#REF!,"")</f>
        <v>#REF!</v>
      </c>
    </row>
    <row r="87" spans="1:1" s="212" customFormat="1" ht="25.15" customHeight="1">
      <c r="A87" s="205" t="e">
        <f>IF('דווח ביטוחים'!#REF!&lt;&gt;"",'דווח ביטוחים'!#REF!,"")</f>
        <v>#REF!</v>
      </c>
    </row>
    <row r="88" spans="1:1" s="212" customFormat="1" ht="25.15" customHeight="1">
      <c r="A88" s="205" t="e">
        <f>IF('דווח ביטוחים'!#REF!&lt;&gt;"",'דווח ביטוחים'!#REF!,"")</f>
        <v>#REF!</v>
      </c>
    </row>
    <row r="89" spans="1:1" s="212" customFormat="1" ht="25.15" customHeight="1">
      <c r="A89" s="205" t="e">
        <f>IF('דווח ביטוחים'!#REF!&lt;&gt;"",'דווח ביטוחים'!#REF!,"")</f>
        <v>#REF!</v>
      </c>
    </row>
    <row r="90" spans="1:1" s="212" customFormat="1" ht="25.15" customHeight="1">
      <c r="A90" s="205" t="e">
        <f>IF('דווח ביטוחים'!#REF!&lt;&gt;"",'דווח ביטוחים'!#REF!,"")</f>
        <v>#REF!</v>
      </c>
    </row>
    <row r="91" spans="1:1" s="212" customFormat="1" ht="25.15" customHeight="1">
      <c r="A91" s="205" t="e">
        <f>IF('דווח ביטוחים'!#REF!&lt;&gt;"",'דווח ביטוחים'!#REF!,"")</f>
        <v>#REF!</v>
      </c>
    </row>
    <row r="92" spans="1:1" s="212" customFormat="1" ht="25.15" customHeight="1">
      <c r="A92" s="205" t="e">
        <f>IF('דווח ביטוחים'!#REF!&lt;&gt;"",'דווח ביטוחים'!#REF!,"")</f>
        <v>#REF!</v>
      </c>
    </row>
    <row r="93" spans="1:1" s="212" customFormat="1" ht="25.15" customHeight="1">
      <c r="A93" s="205" t="e">
        <f>IF('דווח ביטוחים'!#REF!&lt;&gt;"",'דווח ביטוחים'!#REF!,"")</f>
        <v>#REF!</v>
      </c>
    </row>
    <row r="94" spans="1:1" s="212" customFormat="1" ht="25.15" customHeight="1">
      <c r="A94" s="205" t="e">
        <f>IF('דווח ביטוחים'!#REF!&lt;&gt;"",'דווח ביטוחים'!#REF!,"")</f>
        <v>#REF!</v>
      </c>
    </row>
    <row r="95" spans="1:1" s="212" customFormat="1" ht="25.15" customHeight="1">
      <c r="A95" s="205" t="e">
        <f>IF('דווח ביטוחים'!#REF!&lt;&gt;"",'דווח ביטוחים'!#REF!,"")</f>
        <v>#REF!</v>
      </c>
    </row>
    <row r="96" spans="1:1" s="212" customFormat="1" ht="25.15" customHeight="1">
      <c r="A96" s="205" t="e">
        <f>IF('דווח ביטוחים'!#REF!&lt;&gt;"",'דווח ביטוחים'!#REF!,"")</f>
        <v>#REF!</v>
      </c>
    </row>
    <row r="97" spans="1:1" s="212" customFormat="1" ht="25.15" customHeight="1">
      <c r="A97" s="205" t="e">
        <f>IF('דווח ביטוחים'!#REF!&lt;&gt;"",'דווח ביטוחים'!#REF!,"")</f>
        <v>#REF!</v>
      </c>
    </row>
    <row r="98" spans="1:1" s="212" customFormat="1" ht="25.15" customHeight="1">
      <c r="A98" s="205" t="e">
        <f>IF('דווח ביטוחים'!#REF!&lt;&gt;"",'דווח ביטוחים'!#REF!,"")</f>
        <v>#REF!</v>
      </c>
    </row>
    <row r="99" spans="1:1" s="212" customFormat="1" ht="25.15" customHeight="1">
      <c r="A99" s="205" t="e">
        <f>IF('דווח ביטוחים'!#REF!&lt;&gt;"",'דווח ביטוחים'!#REF!,"")</f>
        <v>#REF!</v>
      </c>
    </row>
    <row r="100" spans="1:1" s="212" customFormat="1" ht="25.15" customHeight="1">
      <c r="A100" s="205" t="e">
        <f>IF('דווח ביטוחים'!#REF!&lt;&gt;"",'דווח ביטוחים'!#REF!,"")</f>
        <v>#REF!</v>
      </c>
    </row>
    <row r="101" spans="1:1" s="212" customFormat="1" ht="25.15" customHeight="1">
      <c r="A101" s="205" t="e">
        <f>IF('דווח ביטוחים'!#REF!&lt;&gt;"",'דווח ביטוחים'!#REF!,"")</f>
        <v>#REF!</v>
      </c>
    </row>
    <row r="102" spans="1:1" s="212" customFormat="1" ht="25.15" customHeight="1">
      <c r="A102" s="205" t="e">
        <f>IF('דווח ביטוחים'!#REF!&lt;&gt;"",'דווח ביטוחים'!#REF!,"")</f>
        <v>#REF!</v>
      </c>
    </row>
    <row r="103" spans="1:1" s="212" customFormat="1" ht="25.15" customHeight="1">
      <c r="A103" s="205" t="e">
        <f>IF('דווח ביטוחים'!#REF!&lt;&gt;"",'דווח ביטוחים'!#REF!,"")</f>
        <v>#REF!</v>
      </c>
    </row>
    <row r="104" spans="1:1" s="212" customFormat="1" ht="25.15" customHeight="1">
      <c r="A104" s="205" t="e">
        <f>IF('דווח ביטוחים'!#REF!&lt;&gt;"",'דווח ביטוחים'!#REF!,"")</f>
        <v>#REF!</v>
      </c>
    </row>
    <row r="105" spans="1:1" s="212" customFormat="1" ht="25.15" customHeight="1">
      <c r="A105" s="205" t="e">
        <f>IF('דווח ביטוחים'!#REF!&lt;&gt;"",'דווח ביטוחים'!#REF!,"")</f>
        <v>#REF!</v>
      </c>
    </row>
    <row r="106" spans="1:1" s="212" customFormat="1" ht="25.15" customHeight="1">
      <c r="A106" s="205" t="e">
        <f>IF('דווח ביטוחים'!#REF!&lt;&gt;"",'דווח ביטוחים'!#REF!,"")</f>
        <v>#REF!</v>
      </c>
    </row>
    <row r="107" spans="1:1" s="212" customFormat="1" ht="25.15" customHeight="1">
      <c r="A107" s="205" t="e">
        <f>IF('דווח ביטוחים'!#REF!&lt;&gt;"",'דווח ביטוחים'!#REF!,"")</f>
        <v>#REF!</v>
      </c>
    </row>
    <row r="108" spans="1:1" s="212" customFormat="1" ht="25.15" customHeight="1">
      <c r="A108" s="205" t="e">
        <f>IF('דווח ביטוחים'!#REF!&lt;&gt;"",'דווח ביטוחים'!#REF!,"")</f>
        <v>#REF!</v>
      </c>
    </row>
    <row r="109" spans="1:1" s="212" customFormat="1" ht="25.15" customHeight="1">
      <c r="A109" s="205" t="e">
        <f>IF('דווח ביטוחים'!#REF!&lt;&gt;"",'דווח ביטוחים'!#REF!,"")</f>
        <v>#REF!</v>
      </c>
    </row>
    <row r="110" spans="1:1" s="212" customFormat="1" ht="25.15" customHeight="1">
      <c r="A110" s="205" t="e">
        <f>IF('דווח ביטוחים'!#REF!&lt;&gt;"",'דווח ביטוחים'!#REF!,"")</f>
        <v>#REF!</v>
      </c>
    </row>
    <row r="111" spans="1:1" s="212" customFormat="1" ht="25.15" customHeight="1">
      <c r="A111" s="205" t="e">
        <f>IF('דווח ביטוחים'!#REF!&lt;&gt;"",'דווח ביטוחים'!#REF!,"")</f>
        <v>#REF!</v>
      </c>
    </row>
    <row r="112" spans="1:1" s="212" customFormat="1" ht="25.15" customHeight="1">
      <c r="A112" s="205" t="e">
        <f>IF('דווח ביטוחים'!#REF!&lt;&gt;"",'דווח ביטוחים'!#REF!,"")</f>
        <v>#REF!</v>
      </c>
    </row>
    <row r="113" spans="1:1" s="212" customFormat="1" ht="25.15" customHeight="1">
      <c r="A113" s="205" t="e">
        <f>IF('דווח ביטוחים'!#REF!&lt;&gt;"",'דווח ביטוחים'!#REF!,"")</f>
        <v>#REF!</v>
      </c>
    </row>
    <row r="114" spans="1:1" s="212" customFormat="1" ht="25.15" customHeight="1">
      <c r="A114" s="205" t="e">
        <f>IF('דווח ביטוחים'!#REF!&lt;&gt;"",'דווח ביטוחים'!#REF!,"")</f>
        <v>#REF!</v>
      </c>
    </row>
    <row r="115" spans="1:1" s="212" customFormat="1" ht="25.15" customHeight="1">
      <c r="A115" s="205" t="e">
        <f>IF('דווח ביטוחים'!#REF!&lt;&gt;"",'דווח ביטוחים'!#REF!,"")</f>
        <v>#REF!</v>
      </c>
    </row>
    <row r="116" spans="1:1" s="212" customFormat="1" ht="25.15" customHeight="1">
      <c r="A116" s="205" t="e">
        <f>IF('דווח ביטוחים'!#REF!&lt;&gt;"",'דווח ביטוחים'!#REF!,"")</f>
        <v>#REF!</v>
      </c>
    </row>
    <row r="117" spans="1:1" s="212" customFormat="1" ht="25.15" customHeight="1">
      <c r="A117" s="205" t="e">
        <f>IF('דווח ביטוחים'!#REF!&lt;&gt;"",'דווח ביטוחים'!#REF!,"")</f>
        <v>#REF!</v>
      </c>
    </row>
    <row r="118" spans="1:1" s="212" customFormat="1" ht="25.15" customHeight="1">
      <c r="A118" s="205" t="e">
        <f>IF('דווח ביטוחים'!#REF!&lt;&gt;"",'דווח ביטוחים'!#REF!,"")</f>
        <v>#REF!</v>
      </c>
    </row>
    <row r="119" spans="1:1" s="212" customFormat="1" ht="25.15" customHeight="1">
      <c r="A119" s="205" t="e">
        <f>IF('דווח ביטוחים'!#REF!&lt;&gt;"",'דווח ביטוחים'!#REF!,"")</f>
        <v>#REF!</v>
      </c>
    </row>
    <row r="120" spans="1:1" s="212" customFormat="1" ht="25.15" customHeight="1">
      <c r="A120" s="205" t="e">
        <f>IF('דווח ביטוחים'!#REF!&lt;&gt;"",'דווח ביטוחים'!#REF!,"")</f>
        <v>#REF!</v>
      </c>
    </row>
    <row r="121" spans="1:1" s="212" customFormat="1" ht="25.15" customHeight="1">
      <c r="A121" s="205" t="e">
        <f>IF('דווח ביטוחים'!#REF!&lt;&gt;"",'דווח ביטוחים'!#REF!,"")</f>
        <v>#REF!</v>
      </c>
    </row>
    <row r="122" spans="1:1" s="212" customFormat="1" ht="25.15" customHeight="1">
      <c r="A122" s="205" t="e">
        <f>IF('דווח ביטוחים'!#REF!&lt;&gt;"",'דווח ביטוחים'!#REF!,"")</f>
        <v>#REF!</v>
      </c>
    </row>
    <row r="123" spans="1:1" s="212" customFormat="1" ht="25.15" customHeight="1">
      <c r="A123" s="205" t="e">
        <f>IF('דווח ביטוחים'!#REF!&lt;&gt;"",'דווח ביטוחים'!#REF!,"")</f>
        <v>#REF!</v>
      </c>
    </row>
    <row r="124" spans="1:1" s="212" customFormat="1" ht="25.15" customHeight="1">
      <c r="A124" s="205" t="e">
        <f>IF('דווח ביטוחים'!#REF!&lt;&gt;"",'דווח ביטוחים'!#REF!,"")</f>
        <v>#REF!</v>
      </c>
    </row>
    <row r="125" spans="1:1" s="212" customFormat="1" ht="25.15" customHeight="1">
      <c r="A125" s="205" t="e">
        <f>IF('דווח ביטוחים'!#REF!&lt;&gt;"",'דווח ביטוחים'!#REF!,"")</f>
        <v>#REF!</v>
      </c>
    </row>
    <row r="126" spans="1:1" s="212" customFormat="1" ht="25.15" customHeight="1">
      <c r="A126" s="205" t="e">
        <f>IF('דווח ביטוחים'!#REF!&lt;&gt;"",'דווח ביטוחים'!#REF!,"")</f>
        <v>#REF!</v>
      </c>
    </row>
    <row r="127" spans="1:1" s="212" customFormat="1" ht="25.15" customHeight="1">
      <c r="A127" s="205" t="e">
        <f>IF('דווח ביטוחים'!#REF!&lt;&gt;"",'דווח ביטוחים'!#REF!,"")</f>
        <v>#REF!</v>
      </c>
    </row>
    <row r="128" spans="1:1" s="212" customFormat="1" ht="25.15" customHeight="1">
      <c r="A128" s="205" t="e">
        <f>IF('דווח ביטוחים'!#REF!&lt;&gt;"",'דווח ביטוחים'!#REF!,"")</f>
        <v>#REF!</v>
      </c>
    </row>
    <row r="129" spans="1:1" s="212" customFormat="1" ht="25.15" customHeight="1">
      <c r="A129" s="205" t="e">
        <f>IF('דווח ביטוחים'!#REF!&lt;&gt;"",'דווח ביטוחים'!#REF!,"")</f>
        <v>#REF!</v>
      </c>
    </row>
    <row r="130" spans="1:1" s="212" customFormat="1" ht="25.15" customHeight="1">
      <c r="A130" s="205" t="e">
        <f>IF('דווח ביטוחים'!#REF!&lt;&gt;"",'דווח ביטוחים'!#REF!,"")</f>
        <v>#REF!</v>
      </c>
    </row>
    <row r="131" spans="1:1" s="212" customFormat="1" ht="25.15" customHeight="1">
      <c r="A131" s="205" t="e">
        <f>IF('דווח ביטוחים'!#REF!&lt;&gt;"",'דווח ביטוחים'!#REF!,"")</f>
        <v>#REF!</v>
      </c>
    </row>
    <row r="132" spans="1:1" s="212" customFormat="1" ht="25.15" customHeight="1">
      <c r="A132" s="205" t="e">
        <f>IF('דווח ביטוחים'!#REF!&lt;&gt;"",'דווח ביטוחים'!#REF!,"")</f>
        <v>#REF!</v>
      </c>
    </row>
    <row r="133" spans="1:1" s="212" customFormat="1" ht="25.15" customHeight="1">
      <c r="A133" s="205" t="e">
        <f>IF('דווח ביטוחים'!#REF!&lt;&gt;"",'דווח ביטוחים'!#REF!,"")</f>
        <v>#REF!</v>
      </c>
    </row>
    <row r="134" spans="1:1" s="212" customFormat="1" ht="25.15" customHeight="1">
      <c r="A134" s="205" t="e">
        <f>IF('דווח ביטוחים'!#REF!&lt;&gt;"",'דווח ביטוחים'!#REF!,"")</f>
        <v>#REF!</v>
      </c>
    </row>
    <row r="135" spans="1:1" s="212" customFormat="1" ht="25.15" customHeight="1">
      <c r="A135" s="205" t="e">
        <f>IF('דווח ביטוחים'!#REF!&lt;&gt;"",'דווח ביטוחים'!#REF!,"")</f>
        <v>#REF!</v>
      </c>
    </row>
    <row r="136" spans="1:1" s="212" customFormat="1" ht="25.15" customHeight="1">
      <c r="A136" s="205" t="e">
        <f>IF('דווח ביטוחים'!#REF!&lt;&gt;"",'דווח ביטוחים'!#REF!,"")</f>
        <v>#REF!</v>
      </c>
    </row>
    <row r="137" spans="1:1" s="212" customFormat="1" ht="25.15" customHeight="1">
      <c r="A137" s="205" t="e">
        <f>IF('דווח ביטוחים'!#REF!&lt;&gt;"",'דווח ביטוחים'!#REF!,"")</f>
        <v>#REF!</v>
      </c>
    </row>
    <row r="138" spans="1:1" s="212" customFormat="1" ht="25.15" customHeight="1">
      <c r="A138" s="205" t="e">
        <f>IF('דווח ביטוחים'!#REF!&lt;&gt;"",'דווח ביטוחים'!#REF!,"")</f>
        <v>#REF!</v>
      </c>
    </row>
    <row r="139" spans="1:1" s="212" customFormat="1" ht="25.15" customHeight="1">
      <c r="A139" s="205" t="e">
        <f>IF('דווח ביטוחים'!#REF!&lt;&gt;"",'דווח ביטוחים'!#REF!,"")</f>
        <v>#REF!</v>
      </c>
    </row>
    <row r="140" spans="1:1" s="212" customFormat="1" ht="25.15" customHeight="1">
      <c r="A140" s="205" t="e">
        <f>IF('דווח ביטוחים'!#REF!&lt;&gt;"",'דווח ביטוחים'!#REF!,"")</f>
        <v>#REF!</v>
      </c>
    </row>
    <row r="141" spans="1:1" s="212" customFormat="1" ht="25.15" customHeight="1">
      <c r="A141" s="205" t="e">
        <f>IF('דווח ביטוחים'!#REF!&lt;&gt;"",'דווח ביטוחים'!#REF!,"")</f>
        <v>#REF!</v>
      </c>
    </row>
    <row r="142" spans="1:1" s="212" customFormat="1" ht="25.15" customHeight="1">
      <c r="A142" s="205" t="e">
        <f>IF('דווח ביטוחים'!#REF!&lt;&gt;"",'דווח ביטוחים'!#REF!,"")</f>
        <v>#REF!</v>
      </c>
    </row>
    <row r="143" spans="1:1" s="212" customFormat="1" ht="25.15" customHeight="1">
      <c r="A143" s="205" t="e">
        <f>IF('דווח ביטוחים'!#REF!&lt;&gt;"",'דווח ביטוחים'!#REF!,"")</f>
        <v>#REF!</v>
      </c>
    </row>
    <row r="144" spans="1:1" s="212" customFormat="1" ht="25.15" customHeight="1">
      <c r="A144" s="205" t="e">
        <f>IF('דווח ביטוחים'!#REF!&lt;&gt;"",'דווח ביטוחים'!#REF!,"")</f>
        <v>#REF!</v>
      </c>
    </row>
    <row r="145" spans="1:1" s="212" customFormat="1" ht="25.15" customHeight="1">
      <c r="A145" s="205" t="e">
        <f>IF('דווח ביטוחים'!#REF!&lt;&gt;"",'דווח ביטוחים'!#REF!,"")</f>
        <v>#REF!</v>
      </c>
    </row>
    <row r="146" spans="1:1" s="212" customFormat="1" ht="25.15" customHeight="1">
      <c r="A146" s="205" t="e">
        <f>IF('דווח ביטוחים'!#REF!&lt;&gt;"",'דווח ביטוחים'!#REF!,"")</f>
        <v>#REF!</v>
      </c>
    </row>
    <row r="147" spans="1:1" s="212" customFormat="1" ht="25.15" customHeight="1">
      <c r="A147" s="205" t="e">
        <f>IF('דווח ביטוחים'!#REF!&lt;&gt;"",'דווח ביטוחים'!#REF!,"")</f>
        <v>#REF!</v>
      </c>
    </row>
    <row r="148" spans="1:1" s="212" customFormat="1" ht="25.15" customHeight="1">
      <c r="A148" s="205" t="e">
        <f>IF('דווח ביטוחים'!#REF!&lt;&gt;"",'דווח ביטוחים'!#REF!,"")</f>
        <v>#REF!</v>
      </c>
    </row>
    <row r="149" spans="1:1" s="212" customFormat="1" ht="25.15" customHeight="1">
      <c r="A149" s="205" t="e">
        <f>IF('דווח ביטוחים'!#REF!&lt;&gt;"",'דווח ביטוחים'!#REF!,"")</f>
        <v>#REF!</v>
      </c>
    </row>
    <row r="150" spans="1:1" s="212" customFormat="1">
      <c r="A150" s="211"/>
    </row>
    <row r="151" spans="1:1" s="212" customFormat="1">
      <c r="A151" s="211"/>
    </row>
    <row r="152" spans="1:1" s="212" customFormat="1">
      <c r="A152" s="211"/>
    </row>
    <row r="153" spans="1:1" s="212" customFormat="1">
      <c r="A153" s="211"/>
    </row>
    <row r="154" spans="1:1" s="212" customFormat="1">
      <c r="A154" s="211"/>
    </row>
    <row r="155" spans="1:1" s="212" customFormat="1">
      <c r="A155" s="211"/>
    </row>
    <row r="156" spans="1:1" s="212" customFormat="1">
      <c r="A156" s="211"/>
    </row>
    <row r="157" spans="1:1" s="212" customFormat="1">
      <c r="A157" s="211"/>
    </row>
    <row r="158" spans="1:1" s="177" customFormat="1">
      <c r="A158" s="213"/>
    </row>
    <row r="159" spans="1:1" s="177" customFormat="1">
      <c r="A159" s="213"/>
    </row>
  </sheetData>
  <pageMargins left="0.74803149606299213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2" max="1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62</vt:i4>
      </vt:variant>
      <vt:variant>
        <vt:lpstr>טווחים בעלי שם</vt:lpstr>
      </vt:variant>
      <vt:variant>
        <vt:i4>8</vt:i4>
      </vt:variant>
    </vt:vector>
  </HeadingPairs>
  <TitlesOfParts>
    <vt:vector size="70" baseType="lpstr">
      <vt:lpstr>MyData</vt:lpstr>
      <vt:lpstr>נתונים ידניים</vt:lpstr>
      <vt:lpstr>נתוני יסוד</vt:lpstr>
      <vt:lpstr>main</vt:lpstr>
      <vt:lpstr>דווח ביטוחים</vt:lpstr>
      <vt:lpstr>סכומי ביטוח </vt:lpstr>
      <vt:lpstr>קה"ש</vt:lpstr>
      <vt:lpstr>ריכוז סכומי ביטוח</vt:lpstr>
      <vt:lpstr>הערות</vt:lpstr>
      <vt:lpstr>פרוט כיסויים בפוליסות </vt:lpstr>
      <vt:lpstr>תחזית</vt:lpstr>
      <vt:lpstr>תחזית ה</vt:lpstr>
      <vt:lpstr>ראשי</vt:lpstr>
      <vt:lpstr>קצבה מזכה 2016</vt:lpstr>
      <vt:lpstr>סיכומי מקורות</vt:lpstr>
      <vt:lpstr>השוואה בחירתית</vt:lpstr>
      <vt:lpstr>השוואות מזעור</vt:lpstr>
      <vt:lpstr>כולל מקס אחרת</vt:lpstr>
      <vt:lpstr>זקיפות מס</vt:lpstr>
      <vt:lpstr>חישוב פתוח</vt:lpstr>
      <vt:lpstr>קצבה מוכרת וקצבה</vt:lpstr>
      <vt:lpstr>מקסימום פנסיה עם קצבה פטורה</vt:lpstr>
      <vt:lpstr>מקסימום הון</vt:lpstr>
      <vt:lpstr>פיצויים פטורים והוני</vt:lpstr>
      <vt:lpstr>פיצויים פטורים וקצבה</vt:lpstr>
      <vt:lpstr>פיצויים פטורים והוני מיכאל</vt:lpstr>
      <vt:lpstr>קצבה פטורה והוני</vt:lpstr>
      <vt:lpstr>מקס פטור וקצבה</vt:lpstr>
      <vt:lpstr>חישוביי ביניים</vt:lpstr>
      <vt:lpstr>מיסוי פנסיה</vt:lpstr>
      <vt:lpstr>פנסיות מול ח"פ</vt:lpstr>
      <vt:lpstr>הדדית</vt:lpstr>
      <vt:lpstr>תוס' פיצויים</vt:lpstr>
      <vt:lpstr>RicusKrenHishtalmut</vt:lpstr>
      <vt:lpstr>RicusPolice</vt:lpstr>
      <vt:lpstr>PerutMasluleiHashkaa</vt:lpstr>
      <vt:lpstr>PirteiKisuiBeMutzar</vt:lpstr>
      <vt:lpstr>PerutYitrot</vt:lpstr>
      <vt:lpstr>PerutYitraLeTkufa_till2000</vt:lpstr>
      <vt:lpstr>PerutYitraLeTkufa_after2000</vt:lpstr>
      <vt:lpstr>CrossTabYitraLeTkufa_till_2000</vt:lpstr>
      <vt:lpstr>CrossTabYitraLeTkufa_after_2000</vt:lpstr>
      <vt:lpstr>PerutYitraLeTkufa</vt:lpstr>
      <vt:lpstr>PerutYitraLeTkufa_crosTab</vt:lpstr>
      <vt:lpstr>PerutYitraLeTkufa_groupby</vt:lpstr>
      <vt:lpstr>Kupa</vt:lpstr>
      <vt:lpstr>YitraLefiGilPrisha</vt:lpstr>
      <vt:lpstr>PerutHafrashotLePolisa</vt:lpstr>
      <vt:lpstr>PerutHafkadotMetchilatShanaAvgM</vt:lpstr>
      <vt:lpstr>PerutHafkadotMetchilatShana</vt:lpstr>
      <vt:lpstr>PerutMivneDmeiNihul</vt:lpstr>
      <vt:lpstr>PerutPirteiHafkadaAchrona</vt:lpstr>
      <vt:lpstr>PerutHafkadaAchrona</vt:lpstr>
      <vt:lpstr>HafkadotMetchilatShanaAverages</vt:lpstr>
      <vt:lpstr>PirteiOved</vt:lpstr>
      <vt:lpstr>ClientList</vt:lpstr>
      <vt:lpstr>PirteiKisuiBeMutzar_procerur</vt:lpstr>
      <vt:lpstr>PirteiKisuiBeMutzarPrmia</vt:lpstr>
      <vt:lpstr>SchumeiBituahYesodi</vt:lpstr>
      <vt:lpstr>PirteiHaasaka</vt:lpstr>
      <vt:lpstr>KisuiBKerenPensiaDBWithParams</vt:lpstr>
      <vt:lpstr>HotzaotBafoalLehodeshDivoach</vt:lpstr>
      <vt:lpstr>perutYitraLeTkufa_till2000</vt:lpstr>
      <vt:lpstr>'השוואה בחירתית'!Print_Area</vt:lpstr>
      <vt:lpstr>הערות!Print_Titles</vt:lpstr>
      <vt:lpstr>'קה"ש'!Print_Titles</vt:lpstr>
      <vt:lpstr>תחזית!Print_Titles</vt:lpstr>
      <vt:lpstr>'תחזית ה'!Print_Titles</vt:lpstr>
      <vt:lpstr>גילבןהזוג</vt:lpstr>
      <vt:lpstr>גילהמבוטח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2017-04-07T10:07:01Z</cp:lastPrinted>
  <dcterms:created xsi:type="dcterms:W3CDTF">2016-02-19T07:36:06Z</dcterms:created>
  <dcterms:modified xsi:type="dcterms:W3CDTF">2017-07-04T17:50:02Z</dcterms:modified>
</cp:coreProperties>
</file>