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stimativa de Custos" sheetId="1" r:id="rId1"/>
    <sheet name="Custo de Pessoal" sheetId="2" r:id="rId2"/>
    <sheet name="Custo Tot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8" i="2" l="1"/>
  <c r="K39" i="2"/>
  <c r="K30" i="2"/>
  <c r="K17" i="2"/>
  <c r="K8" i="2"/>
  <c r="H9" i="3"/>
  <c r="G9" i="3"/>
  <c r="H62" i="2"/>
  <c r="F61" i="2"/>
  <c r="I60" i="2"/>
  <c r="G60" i="2" s="1"/>
  <c r="F60" i="2"/>
  <c r="F59" i="2"/>
  <c r="F58" i="2"/>
  <c r="F57" i="2"/>
  <c r="I56" i="2"/>
  <c r="G56" i="2" s="1"/>
  <c r="F56" i="2"/>
  <c r="F55" i="2"/>
  <c r="F54" i="2"/>
  <c r="F62" i="2" s="1"/>
  <c r="F53" i="2"/>
  <c r="H48" i="2"/>
  <c r="G48" i="2"/>
  <c r="F48" i="2"/>
  <c r="I47" i="2"/>
  <c r="I59" i="2" s="1"/>
  <c r="G59" i="2" s="1"/>
  <c r="I46" i="2"/>
  <c r="I45" i="2"/>
  <c r="I44" i="2"/>
  <c r="H39" i="2"/>
  <c r="G39" i="2"/>
  <c r="F39" i="2"/>
  <c r="I38" i="2"/>
  <c r="I37" i="2"/>
  <c r="I36" i="2"/>
  <c r="I35" i="2"/>
  <c r="I34" i="2"/>
  <c r="H30" i="2"/>
  <c r="G30" i="2"/>
  <c r="F30" i="2"/>
  <c r="I29" i="2"/>
  <c r="I28" i="2"/>
  <c r="I61" i="2" s="1"/>
  <c r="G61" i="2" s="1"/>
  <c r="I27" i="2"/>
  <c r="I26" i="2"/>
  <c r="I54" i="2" s="1"/>
  <c r="G54" i="2" s="1"/>
  <c r="I25" i="2"/>
  <c r="I53" i="2" s="1"/>
  <c r="G53" i="2" s="1"/>
  <c r="I24" i="2"/>
  <c r="I23" i="2"/>
  <c r="I22" i="2"/>
  <c r="I30" i="2" s="1"/>
  <c r="H17" i="2"/>
  <c r="G17" i="2"/>
  <c r="F17" i="2"/>
  <c r="I16" i="2"/>
  <c r="I15" i="2"/>
  <c r="I14" i="2"/>
  <c r="I13" i="2"/>
  <c r="I12" i="2"/>
  <c r="I17" i="2" s="1"/>
  <c r="H8" i="2"/>
  <c r="G8" i="2"/>
  <c r="F8" i="2"/>
  <c r="I7" i="2"/>
  <c r="I6" i="2"/>
  <c r="I5" i="2"/>
  <c r="I58" i="2" s="1"/>
  <c r="G58" i="2" s="1"/>
  <c r="I55" i="2" l="1"/>
  <c r="G55" i="2" s="1"/>
  <c r="I57" i="2"/>
  <c r="G57" i="2" s="1"/>
  <c r="I8" i="2"/>
  <c r="I39" i="2"/>
  <c r="I48" i="2"/>
  <c r="G62" i="2" l="1"/>
  <c r="I62" i="2"/>
  <c r="H7" i="3" s="1"/>
  <c r="I11" i="1" l="1"/>
  <c r="I18" i="1"/>
  <c r="I17" i="1"/>
  <c r="I14" i="1"/>
  <c r="I6" i="1"/>
  <c r="I12" i="1"/>
  <c r="I10" i="1"/>
  <c r="I19" i="1"/>
  <c r="H23" i="1"/>
  <c r="G23" i="1"/>
  <c r="F23" i="1"/>
  <c r="D23" i="1"/>
  <c r="I7" i="1"/>
  <c r="I21" i="1"/>
  <c r="I16" i="1"/>
  <c r="I13" i="1"/>
  <c r="I15" i="1"/>
  <c r="I3" i="1"/>
  <c r="I4" i="1"/>
  <c r="I20" i="1"/>
  <c r="I22" i="1"/>
  <c r="I5" i="1"/>
  <c r="I8" i="1"/>
  <c r="I9" i="1"/>
  <c r="I23" i="1" l="1"/>
  <c r="G7" i="3" s="1"/>
  <c r="I7" i="3" s="1"/>
</calcChain>
</file>

<file path=xl/sharedStrings.xml><?xml version="1.0" encoding="utf-8"?>
<sst xmlns="http://schemas.openxmlformats.org/spreadsheetml/2006/main" count="134" uniqueCount="72">
  <si>
    <t>Entrega/Pacote de Trabalho</t>
  </si>
  <si>
    <t>Recurso</t>
  </si>
  <si>
    <t>Custos Diretos</t>
  </si>
  <si>
    <t>Custos Indiretos</t>
  </si>
  <si>
    <t>Reserva de contingência</t>
  </si>
  <si>
    <t>Estimativa Total</t>
  </si>
  <si>
    <t>Realizar a reunião de abertura</t>
  </si>
  <si>
    <t>Realizar a analise geral do projeto</t>
  </si>
  <si>
    <t>Cod. EAP</t>
  </si>
  <si>
    <t>Homologar e apresentar o Termo de abertura do Projecto</t>
  </si>
  <si>
    <t>Realizar pré-convocação de colaboradores</t>
  </si>
  <si>
    <t>Realizar contratações de recursos humanos não disponíveis</t>
  </si>
  <si>
    <t>Realizar contratação de consultorias</t>
  </si>
  <si>
    <t>Organização do evento de abertura</t>
  </si>
  <si>
    <t>Evento de abertura</t>
  </si>
  <si>
    <t>Comprar registro de domínio web</t>
  </si>
  <si>
    <t>Contratar serviço de hospedagem web</t>
  </si>
  <si>
    <t>Contratar serviço de repositório web de arquivos digitais</t>
  </si>
  <si>
    <t>Total</t>
  </si>
  <si>
    <t>Contratar provedor de internet</t>
  </si>
  <si>
    <t>EAP 01</t>
  </si>
  <si>
    <t>EAP 02</t>
  </si>
  <si>
    <t>EAP 03</t>
  </si>
  <si>
    <t>EAP 04</t>
  </si>
  <si>
    <t>EAP 05</t>
  </si>
  <si>
    <t>EAP 06</t>
  </si>
  <si>
    <t>EAP 07</t>
  </si>
  <si>
    <t>EAP 08</t>
  </si>
  <si>
    <t>EAP 09</t>
  </si>
  <si>
    <t>EAP 10</t>
  </si>
  <si>
    <t>EAP 11</t>
  </si>
  <si>
    <t>EAP 12</t>
  </si>
  <si>
    <t>Treinamento de Utilizadores</t>
  </si>
  <si>
    <t>EAP 13</t>
  </si>
  <si>
    <t>EAP 14</t>
  </si>
  <si>
    <t>EAP 15</t>
  </si>
  <si>
    <t>EAP 16</t>
  </si>
  <si>
    <t>EAP 17</t>
  </si>
  <si>
    <t>EAP 18</t>
  </si>
  <si>
    <t>EAP 19</t>
  </si>
  <si>
    <t>EAP 20</t>
  </si>
  <si>
    <t>Acompanhar Andamento do Projecto</t>
  </si>
  <si>
    <t>Acompanhar os Riscos do Projecto</t>
  </si>
  <si>
    <t>Contratar a empresa terceirizada para realização do coffbrake</t>
  </si>
  <si>
    <t>Evento de demonstração de funcionamento do Sige</t>
  </si>
  <si>
    <t>Contratar servicos de Transporte dos colaboradores  do projecto</t>
  </si>
  <si>
    <t>Realizar o processo de alocação de espaço para o evento de demonstração de funcionamento</t>
  </si>
  <si>
    <t>Grupo de processo de Inicialização</t>
  </si>
  <si>
    <t>Codigo</t>
  </si>
  <si>
    <t>Designacao do Especialista</t>
  </si>
  <si>
    <t>Tempo em Hora</t>
  </si>
  <si>
    <t>Custo Por Hora</t>
  </si>
  <si>
    <t>Quantidade</t>
  </si>
  <si>
    <t>Custo Total</t>
  </si>
  <si>
    <t>Especialista do Negocio</t>
  </si>
  <si>
    <t>Analista do Sistema</t>
  </si>
  <si>
    <t>Gestor de Projecto</t>
  </si>
  <si>
    <t>Grupo de processo de Planejamento</t>
  </si>
  <si>
    <t>Eng Software Senior</t>
  </si>
  <si>
    <t>Eng Software Junior</t>
  </si>
  <si>
    <t>Grupo de processo de Execução</t>
  </si>
  <si>
    <t>Administrador de Base de Dados Junior</t>
  </si>
  <si>
    <t>Administrador de Base de Dados Senior</t>
  </si>
  <si>
    <t>Programador Senior</t>
  </si>
  <si>
    <t>Programador Junior</t>
  </si>
  <si>
    <t>Grupo de processo de Monitoria e Controlo</t>
  </si>
  <si>
    <t>Grupo de processo de Encerramento</t>
  </si>
  <si>
    <t>Resumo de Dados</t>
  </si>
  <si>
    <t>Total De Horas de Trabalho</t>
  </si>
  <si>
    <t>Custo de Estimativa</t>
  </si>
  <si>
    <t>Custo de Pessoal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</si>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</sst>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MZN]\ #,##0.00"/>
    <numFmt numFmtId="165" formatCode="#,##0.00\ [$MZM]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9" fontId="2" fillId="0" borderId="0" applyFont="0" applyFill="0" applyBorder="0" applyAlignment="0" applyProtection="0"/>
    <xf numFmtId="0" fontId="3" fillId="3" borderId="0" applyNumberFormat="0" applyBorder="0" applyAlignment="0" applyProtection="0"/>
  </cellStyleXfs>
  <cellXfs count="20">
    <xf numFmtId="0" fontId="0" fillId="0" borderId="0" xfId="0"/>
    <xf numFmtId="0" fontId="1" fillId="2" borderId="1" xfId="1" applyBorder="1" applyAlignment="1">
      <alignment horizontal="center" vertical="center"/>
    </xf>
    <xf numFmtId="0" fontId="1" fillId="2" borderId="1" xfId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3" fillId="3" borderId="0" xfId="3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0" xfId="0" applyNumberFormat="1" applyFont="1" applyFill="1" applyAlignment="1">
      <alignment horizontal="right"/>
    </xf>
    <xf numFmtId="165" fontId="5" fillId="4" borderId="0" xfId="0" applyNumberFormat="1" applyFont="1" applyFill="1" applyAlignment="1">
      <alignment horizontal="right"/>
    </xf>
    <xf numFmtId="0" fontId="5" fillId="4" borderId="0" xfId="0" applyFont="1" applyFill="1" applyAlignment="1">
      <alignment horizontal="right"/>
    </xf>
    <xf numFmtId="165" fontId="0" fillId="0" borderId="0" xfId="0" applyNumberFormat="1"/>
    <xf numFmtId="9" fontId="0" fillId="0" borderId="0" xfId="2" applyFont="1"/>
  </cellXfs>
  <cellStyles count="4">
    <cellStyle name="Cor1" xfId="1" builtinId="29"/>
    <cellStyle name="Correto" xfId="3" builtinId="26"/>
    <cellStyle name="Normal" xfId="0" builtinId="0"/>
    <cellStyle name="Percentagem" xfId="2" builtinId="5"/>
  </cellStyles>
  <dxfs count="41">
    <dxf>
      <numFmt numFmtId="164" formatCode="[$MZN]\ #,##0.00"/>
    </dxf>
    <dxf>
      <numFmt numFmtId="164" formatCode="[$MZN]\ #,##0.00"/>
    </dxf>
    <dxf>
      <numFmt numFmtId="164" formatCode="[$MZN]\ #,##0.00"/>
    </dxf>
    <dxf>
      <numFmt numFmtId="164" formatCode="[$MZN]\ #,##0.00"/>
    </dxf>
    <dxf>
      <alignment horizontal="general" vertical="bottom" textRotation="0" wrapText="1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164" formatCode="[$MZN]\ #,##0.00"/>
    </dxf>
    <dxf>
      <numFmt numFmtId="164" formatCode="[$MZN]\ #,##0.00"/>
    </dxf>
    <dxf>
      <numFmt numFmtId="164" formatCode="[$MZN]\ #,##0.0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165" formatCode="#,##0.00\ [$MZM]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165" formatCode="#,##0.00\ [$MZM]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165" formatCode="#,##0.00\ [$MZM]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165" formatCode="#,##0.00\ [$MZM]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165" formatCode="#,##0.00\ [$MZM]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165" formatCode="#,##0.00\ [$MZM]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165" formatCode="#,##0.00\ [$MZM]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165" formatCode="#,##0.00\ [$MZM]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165" formatCode="#,##0.00\ [$MZM]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165" formatCode="#,##0.00\ [$MZM]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numFmt numFmtId="164" formatCode="[$MZN]\ #,##0.00"/>
      <alignment horizontal="left" vertical="center" textRotation="0" indent="0" justifyLastLine="0" shrinkToFit="0" readingOrder="0"/>
    </dxf>
    <dxf>
      <numFmt numFmtId="164" formatCode="[$MZN]\ #,##0.00"/>
      <alignment horizontal="left" vertical="center" textRotation="0" indent="0" justifyLastLine="0" shrinkToFit="0" readingOrder="0"/>
    </dxf>
    <dxf>
      <numFmt numFmtId="164" formatCode="[$MZN]\ #,##0.00"/>
      <alignment horizontal="left" vertical="center" textRotation="0" indent="0" justifyLastLine="0" shrinkToFit="0" readingOrder="0"/>
    </dxf>
    <dxf>
      <numFmt numFmtId="164" formatCode="[$MZN]\ #,##0.00"/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C2:I23" totalsRowCount="1" headerRowDxfId="40" dataDxfId="32" headerRowCellStyle="Cor1">
  <autoFilter ref="C2:I22"/>
  <sortState ref="C3:I22">
    <sortCondition ref="D2:D22"/>
  </sortState>
  <tableColumns count="7">
    <tableColumn id="1" name="Cod. EAP" totalsRowLabel="Total" dataDxfId="39"/>
    <tableColumn id="2" name="Entrega/Pacote de Trabalho" totalsRowFunction="count" dataDxfId="38" totalsRowDxfId="4"/>
    <tableColumn id="3" name="Recurso" dataDxfId="37"/>
    <tableColumn id="4" name="Custos Diretos" totalsRowFunction="sum" dataDxfId="36" totalsRowDxfId="3"/>
    <tableColumn id="5" name="Custos Indiretos" totalsRowFunction="sum" dataDxfId="35" totalsRowDxfId="2"/>
    <tableColumn id="6" name="Reserva de contingência" totalsRowFunction="sum" dataDxfId="34" totalsRowDxfId="1"/>
    <tableColumn id="7" name="Estimativa Total" totalsRowFunction="sum" dataDxfId="33" totalsRowDxfId="0">
      <calculatedColumnFormula>SUM(Tabela1[[#This Row],[Custos Diretos]:[Reserva de contingência]])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" ref="D4:I7" totalsRowShown="0">
  <autoFilter ref="D4:I7"/>
  <sortState ref="D5:M18">
    <sortCondition ref="D4:D19"/>
  </sortState>
  <tableColumns count="6">
    <tableColumn id="1" name="Codigo"/>
    <tableColumn id="2" name="Designacao do Especialista"/>
    <tableColumn id="3" name="Tempo em Hora" dataDxfId="31"/>
    <tableColumn id="4" name="Custo Por Hora" dataDxfId="30"/>
    <tableColumn id="9" name="Quantidade" dataDxfId="29">
      <calculatedColumnFormula>SUM(#REF!)</calculatedColumnFormula>
    </tableColumn>
    <tableColumn id="10" name="Custo Total" dataDxfId="28">
      <calculatedColumnFormula>Table1[[#This Row],[Tempo em Hora]]*Table1[[#This Row],[Custo Por Hora]]*Table1[[#This Row],[Quantidade]]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D11:I16" totalsRowShown="0">
  <autoFilter ref="D11:I16"/>
  <sortState ref="D12:M25">
    <sortCondition ref="D4:D19"/>
  </sortState>
  <tableColumns count="6">
    <tableColumn id="1" name="Codigo"/>
    <tableColumn id="2" name="Designacao do Especialista"/>
    <tableColumn id="3" name="Tempo em Hora" dataDxfId="27"/>
    <tableColumn id="4" name="Custo Por Hora" dataDxfId="26"/>
    <tableColumn id="9" name="Quantidade" dataDxfId="25">
      <calculatedColumnFormula>SUM(#REF!)</calculatedColumnFormula>
    </tableColumn>
    <tableColumn id="10" name="Custo Total" dataDxfId="24">
      <calculatedColumnFormula>Table14[[#This Row],[Tempo em Hora]]*Table14[[#This Row],[Custo Por Hora]]*Table14[[#This Row],[Quantidade]]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45" displayName="Table145" ref="D21:I29" totalsRowShown="0">
  <autoFilter ref="D21:I29"/>
  <sortState ref="D22:I28">
    <sortCondition ref="E22:E29"/>
  </sortState>
  <tableColumns count="6">
    <tableColumn id="1" name="Codigo"/>
    <tableColumn id="2" name="Designacao do Especialista"/>
    <tableColumn id="3" name="Tempo em Hora" dataDxfId="23"/>
    <tableColumn id="4" name="Custo Por Hora" dataDxfId="22"/>
    <tableColumn id="9" name="Quantidade" dataDxfId="21">
      <calculatedColumnFormula>SUM(#REF!)</calculatedColumnFormula>
    </tableColumn>
    <tableColumn id="10" name="Custo Total" dataDxfId="20">
      <calculatedColumnFormula>Table145[[#This Row],[Tempo em Hora]]*Table145[[#This Row],[Custo Por Hora]]*Table145[[#This Row],[Quantidade]]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1453" displayName="Table1453" ref="D33:I38" totalsRowShown="0">
  <autoFilter ref="D33:I38"/>
  <sortState ref="D34:I40">
    <sortCondition ref="E22:E29"/>
  </sortState>
  <tableColumns count="6">
    <tableColumn id="1" name="Codigo"/>
    <tableColumn id="2" name="Designacao do Especialista"/>
    <tableColumn id="3" name="Tempo em Hora" dataDxfId="19"/>
    <tableColumn id="4" name="Custo Por Hora" dataDxfId="18"/>
    <tableColumn id="9" name="Quantidade" dataDxfId="17">
      <calculatedColumnFormula>SUM(#REF!)</calculatedColumnFormula>
    </tableColumn>
    <tableColumn id="10" name="Custo Total" dataDxfId="16">
      <calculatedColumnFormula>Table1453[[#This Row],[Tempo em Hora]]*Table1453[[#This Row],[Custo Por Hora]]*Table1453[[#This Row],[Quantidade]]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14536" displayName="Table14536" ref="D43:I47" totalsRowShown="0">
  <autoFilter ref="D43:I47"/>
  <sortState ref="D44:I50">
    <sortCondition ref="E22:E29"/>
  </sortState>
  <tableColumns count="6">
    <tableColumn id="1" name="Codigo"/>
    <tableColumn id="2" name="Designacao do Especialista"/>
    <tableColumn id="3" name="Tempo em Hora" dataDxfId="15"/>
    <tableColumn id="4" name="Custo Por Hora" dataDxfId="14"/>
    <tableColumn id="9" name="Quantidade" dataDxfId="13">
      <calculatedColumnFormula>SUM(#REF!)</calculatedColumnFormula>
    </tableColumn>
    <tableColumn id="10" name="Custo Total" dataDxfId="12">
      <calculatedColumnFormula>Table14536[[#This Row],[Tempo em Hora]]*Table14536[[#This Row],[Custo Por Hora]]*Table14536[[#This Row],[Quantidade]]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145368" displayName="Table145368" ref="D52:I61" totalsRowShown="0">
  <autoFilter ref="D52:I61"/>
  <sortState ref="D53:I61">
    <sortCondition ref="E52:E61"/>
  </sortState>
  <tableColumns count="6">
    <tableColumn id="1" name="Codigo"/>
    <tableColumn id="2" name="Designacao do Especialista"/>
    <tableColumn id="3" name="Total De Horas de Trabalho" dataDxfId="11">
      <calculatedColumnFormula>SUM(SUMIF(Table14536[Designacao do Especialista],E53,Table14536[Tempo em Hora]),SUMIF(Table1453[Designacao do Especialista],E53,Table1453[Tempo em Hora]),SUMIF(Table145[Designacao do Especialista],E53,Table145[Tempo em Hora]),SUMIF(Table14[Designacao do Especialista],E53,Table14[Tempo em Hora]),SUMIF(Table1[Designacao do Especialista],E53,Table1[Tempo em Hora]))</calculatedColumnFormula>
    </tableColumn>
    <tableColumn id="5" name="Custo Por Hora" dataDxfId="5">
      <calculatedColumnFormula>ROUND(Table145368[[#This Row],[Custo Total]]/Table145368[[#This Row],[Total De Horas de Trabalho]],0)</calculatedColumnFormula>
    </tableColumn>
    <tableColumn id="9" name="Quantidade" dataDxfId="10">
      <calculatedColumnFormula>SUM(#REF!)</calculatedColumnFormula>
    </tableColumn>
    <tableColumn id="10" name="Custo Total" dataDxfId="9">
      <calculatedColumnFormula>SUM(SUMIF(Table14536[Designacao do Especialista],E53,Table14536[Custo Total]),SUMIF(Table1453[Designacao do Especialista],E53,Table1453[Custo Total]),SUMIF(Table145[Designacao do Especialista],E53,Table145[Custo Total]),SUMIF(Table14[Designacao do Especialista],E53,Table14[Custo Total]),SUMIF(Table1[Designacao do Especialista],E53,Table1[Custo Total]))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ela8" displayName="Tabela8" ref="F6:I7" totalsRowShown="0">
  <autoFilter ref="F6:I7"/>
  <tableColumns count="4">
    <tableColumn id="1" name="Coluna1"/>
    <tableColumn id="2" name="Custo de Estimativa" dataDxfId="8">
      <calculatedColumnFormula>Tabela1[[#Totals],[Estimativa Total]]</calculatedColumnFormula>
    </tableColumn>
    <tableColumn id="3" name="Custo de Pessoal" dataDxfId="7">
      <calculatedColumnFormula>'Custo de Pessoal'!I62</calculatedColumnFormula>
    </tableColumn>
    <tableColumn id="4" name="Custo Total" dataDxfId="6">
      <calculatedColumnFormula>SUM(G7:H7)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23"/>
  <sheetViews>
    <sheetView tabSelected="1" topLeftCell="A3" workbookViewId="0">
      <selection activeCell="H5" sqref="H5"/>
    </sheetView>
  </sheetViews>
  <sheetFormatPr defaultRowHeight="15" x14ac:dyDescent="0.25"/>
  <cols>
    <col min="3" max="3" width="11" customWidth="1"/>
    <col min="4" max="4" width="31.42578125" style="3" bestFit="1" customWidth="1"/>
    <col min="5" max="5" width="10.140625" customWidth="1"/>
    <col min="6" max="6" width="15.85546875" customWidth="1"/>
    <col min="7" max="7" width="17.42578125" customWidth="1"/>
    <col min="8" max="8" width="24.5703125" customWidth="1"/>
    <col min="9" max="9" width="17.140625" customWidth="1"/>
    <col min="10" max="10" width="17.28515625" bestFit="1" customWidth="1"/>
    <col min="11" max="11" width="17.7109375" bestFit="1" customWidth="1"/>
    <col min="12" max="12" width="35.5703125" bestFit="1" customWidth="1"/>
    <col min="13" max="13" width="12.28515625" bestFit="1" customWidth="1"/>
  </cols>
  <sheetData>
    <row r="1" spans="3:9" ht="13.5" customHeight="1" x14ac:dyDescent="0.25"/>
    <row r="2" spans="3:9" x14ac:dyDescent="0.25">
      <c r="C2" t="s">
        <v>8</v>
      </c>
      <c r="D2" s="2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</row>
    <row r="3" spans="3:9" ht="30" x14ac:dyDescent="0.25">
      <c r="C3" s="6" t="s">
        <v>20</v>
      </c>
      <c r="D3" s="7" t="s">
        <v>41</v>
      </c>
      <c r="E3" s="6"/>
      <c r="F3" s="8">
        <v>10000</v>
      </c>
      <c r="G3" s="8">
        <v>5000</v>
      </c>
      <c r="H3" s="8">
        <v>2000</v>
      </c>
      <c r="I3" s="8">
        <f>SUM(Tabela1[[#This Row],[Custos Diretos]:[Reserva de contingência]])</f>
        <v>17000</v>
      </c>
    </row>
    <row r="4" spans="3:9" ht="30" x14ac:dyDescent="0.25">
      <c r="C4" s="6" t="s">
        <v>21</v>
      </c>
      <c r="D4" s="7" t="s">
        <v>42</v>
      </c>
      <c r="E4" s="6"/>
      <c r="F4" s="8">
        <v>10000</v>
      </c>
      <c r="G4" s="8">
        <v>1000</v>
      </c>
      <c r="H4" s="8">
        <v>5000</v>
      </c>
      <c r="I4" s="8">
        <f>SUM(Tabela1[[#This Row],[Custos Diretos]:[Reserva de contingência]])</f>
        <v>16000</v>
      </c>
    </row>
    <row r="5" spans="3:9" x14ac:dyDescent="0.25">
      <c r="C5" s="6" t="s">
        <v>22</v>
      </c>
      <c r="D5" s="7" t="s">
        <v>15</v>
      </c>
      <c r="E5" s="6"/>
      <c r="F5" s="8">
        <v>15000</v>
      </c>
      <c r="G5" s="8">
        <v>0</v>
      </c>
      <c r="H5" s="8">
        <v>5000</v>
      </c>
      <c r="I5" s="8">
        <f>SUM(Tabela1[[#This Row],[Custos Diretos]:[Reserva de contingência]])</f>
        <v>20000</v>
      </c>
    </row>
    <row r="6" spans="3:9" ht="30" x14ac:dyDescent="0.25">
      <c r="C6" s="6" t="s">
        <v>23</v>
      </c>
      <c r="D6" s="7" t="s">
        <v>43</v>
      </c>
      <c r="E6" s="6"/>
      <c r="F6" s="8">
        <v>40000</v>
      </c>
      <c r="G6" s="8">
        <v>1000</v>
      </c>
      <c r="H6" s="8">
        <v>5000</v>
      </c>
      <c r="I6" s="8">
        <f>SUM(Tabela1[[#This Row],[Custos Diretos]:[Reserva de contingência]])</f>
        <v>46000</v>
      </c>
    </row>
    <row r="7" spans="3:9" x14ac:dyDescent="0.25">
      <c r="C7" s="6" t="s">
        <v>24</v>
      </c>
      <c r="D7" s="7" t="s">
        <v>19</v>
      </c>
      <c r="E7" s="6"/>
      <c r="F7" s="8">
        <v>25000</v>
      </c>
      <c r="G7" s="8">
        <v>0</v>
      </c>
      <c r="H7" s="8">
        <v>5000</v>
      </c>
      <c r="I7" s="8">
        <f>SUM(Tabela1[[#This Row],[Custos Diretos]:[Reserva de contingência]])</f>
        <v>30000</v>
      </c>
    </row>
    <row r="8" spans="3:9" ht="30" x14ac:dyDescent="0.25">
      <c r="C8" s="6" t="s">
        <v>25</v>
      </c>
      <c r="D8" s="7" t="s">
        <v>16</v>
      </c>
      <c r="E8" s="6"/>
      <c r="F8" s="8">
        <v>10000</v>
      </c>
      <c r="G8" s="8">
        <v>0</v>
      </c>
      <c r="H8" s="8">
        <v>5000</v>
      </c>
      <c r="I8" s="8">
        <f>SUM(Tabela1[[#This Row],[Custos Diretos]:[Reserva de contingência]])</f>
        <v>15000</v>
      </c>
    </row>
    <row r="9" spans="3:9" ht="30" x14ac:dyDescent="0.25">
      <c r="C9" s="6" t="s">
        <v>26</v>
      </c>
      <c r="D9" s="7" t="s">
        <v>17</v>
      </c>
      <c r="E9" s="6"/>
      <c r="F9" s="8">
        <v>3000</v>
      </c>
      <c r="G9" s="8">
        <v>0</v>
      </c>
      <c r="H9" s="8">
        <v>2000</v>
      </c>
      <c r="I9" s="8">
        <f>SUM(Tabela1[[#This Row],[Custos Diretos]:[Reserva de contingência]])</f>
        <v>5000</v>
      </c>
    </row>
    <row r="10" spans="3:9" x14ac:dyDescent="0.25">
      <c r="C10" s="6" t="s">
        <v>27</v>
      </c>
      <c r="D10" s="7" t="s">
        <v>45</v>
      </c>
      <c r="E10" s="6"/>
      <c r="F10" s="8">
        <v>50000</v>
      </c>
      <c r="G10" s="8">
        <v>10000</v>
      </c>
      <c r="H10" s="8">
        <v>10000</v>
      </c>
      <c r="I10" s="8">
        <f>SUM(Tabela1[[#This Row],[Custos Diretos]:[Reserva de contingência]])</f>
        <v>70000</v>
      </c>
    </row>
    <row r="11" spans="3:9" ht="30" x14ac:dyDescent="0.25">
      <c r="C11" s="6" t="s">
        <v>28</v>
      </c>
      <c r="D11" s="7" t="s">
        <v>14</v>
      </c>
      <c r="E11" s="6"/>
      <c r="F11" s="8">
        <v>30000</v>
      </c>
      <c r="G11" s="8">
        <v>0</v>
      </c>
      <c r="H11" s="8">
        <v>20000</v>
      </c>
      <c r="I11" s="8">
        <f>SUM(Tabela1[[#This Row],[Custos Diretos]:[Reserva de contingência]])</f>
        <v>50000</v>
      </c>
    </row>
    <row r="12" spans="3:9" ht="30" x14ac:dyDescent="0.25">
      <c r="C12" s="6" t="s">
        <v>29</v>
      </c>
      <c r="D12" s="7" t="s">
        <v>44</v>
      </c>
      <c r="E12" s="6"/>
      <c r="F12" s="8">
        <v>20000</v>
      </c>
      <c r="G12" s="8">
        <v>15000</v>
      </c>
      <c r="H12" s="8">
        <v>15000</v>
      </c>
      <c r="I12" s="8">
        <f>SUM(Tabela1[[#This Row],[Custos Diretos]:[Reserva de contingência]])</f>
        <v>50000</v>
      </c>
    </row>
    <row r="13" spans="3:9" x14ac:dyDescent="0.25">
      <c r="C13" s="6" t="s">
        <v>30</v>
      </c>
      <c r="D13" s="7" t="s">
        <v>9</v>
      </c>
      <c r="E13" s="6"/>
      <c r="F13" s="8">
        <v>2500</v>
      </c>
      <c r="G13" s="8">
        <v>1500</v>
      </c>
      <c r="H13" s="8">
        <v>1000</v>
      </c>
      <c r="I13" s="8">
        <f>SUM(Tabela1[[#This Row],[Custos Diretos]:[Reserva de contingência]])</f>
        <v>5000</v>
      </c>
    </row>
    <row r="14" spans="3:9" x14ac:dyDescent="0.25">
      <c r="C14" s="6" t="s">
        <v>31</v>
      </c>
      <c r="D14" s="7" t="s">
        <v>13</v>
      </c>
      <c r="E14" s="6"/>
      <c r="F14" s="8">
        <v>40000</v>
      </c>
      <c r="G14" s="9">
        <v>10000</v>
      </c>
      <c r="H14" s="8">
        <v>20000</v>
      </c>
      <c r="I14" s="8">
        <f>SUM(Tabela1[[#This Row],[Custos Diretos]:[Reserva de contingência]])</f>
        <v>70000</v>
      </c>
    </row>
    <row r="15" spans="3:9" ht="30" x14ac:dyDescent="0.25">
      <c r="C15" s="6" t="s">
        <v>33</v>
      </c>
      <c r="D15" s="7" t="s">
        <v>7</v>
      </c>
      <c r="E15" s="6"/>
      <c r="F15" s="8">
        <v>2500</v>
      </c>
      <c r="G15" s="8">
        <v>1500</v>
      </c>
      <c r="H15" s="8">
        <v>1000</v>
      </c>
      <c r="I15" s="8">
        <f>SUM(Tabela1[[#This Row],[Custos Diretos]:[Reserva de contingência]])</f>
        <v>5000</v>
      </c>
    </row>
    <row r="16" spans="3:9" ht="30" x14ac:dyDescent="0.25">
      <c r="C16" s="6" t="s">
        <v>34</v>
      </c>
      <c r="D16" s="7" t="s">
        <v>6</v>
      </c>
      <c r="E16" s="6"/>
      <c r="F16" s="8">
        <v>5000</v>
      </c>
      <c r="G16" s="8">
        <v>1500</v>
      </c>
      <c r="H16" s="8">
        <v>1000</v>
      </c>
      <c r="I16" s="8">
        <f>SUM(Tabela1[[#This Row],[Custos Diretos]:[Reserva de contingência]])</f>
        <v>7500</v>
      </c>
    </row>
    <row r="17" spans="3:9" ht="30" x14ac:dyDescent="0.25">
      <c r="C17" s="6" t="s">
        <v>35</v>
      </c>
      <c r="D17" s="7" t="s">
        <v>12</v>
      </c>
      <c r="E17" s="6"/>
      <c r="F17" s="8">
        <v>10000</v>
      </c>
      <c r="G17" s="8">
        <v>4000</v>
      </c>
      <c r="H17" s="8">
        <v>3000</v>
      </c>
      <c r="I17" s="8">
        <f>SUM(Tabela1[[#This Row],[Custos Diretos]:[Reserva de contingência]])</f>
        <v>17000</v>
      </c>
    </row>
    <row r="18" spans="3:9" x14ac:dyDescent="0.25">
      <c r="C18" s="6" t="s">
        <v>36</v>
      </c>
      <c r="D18" s="7" t="s">
        <v>11</v>
      </c>
      <c r="E18" s="6"/>
      <c r="F18" s="8">
        <v>25000</v>
      </c>
      <c r="G18" s="8">
        <v>5000</v>
      </c>
      <c r="H18" s="8">
        <v>2000</v>
      </c>
      <c r="I18" s="8">
        <f>SUM(Tabela1[[#This Row],[Custos Diretos]:[Reserva de contingência]])</f>
        <v>32000</v>
      </c>
    </row>
    <row r="19" spans="3:9" ht="45" x14ac:dyDescent="0.25">
      <c r="C19" s="6" t="s">
        <v>37</v>
      </c>
      <c r="D19" s="7" t="s">
        <v>46</v>
      </c>
      <c r="E19" s="6"/>
      <c r="F19" s="8">
        <v>25000</v>
      </c>
      <c r="G19" s="8">
        <v>10000</v>
      </c>
      <c r="H19" s="8">
        <v>15000</v>
      </c>
      <c r="I19" s="8">
        <f>SUM(Tabela1[[#This Row],[Custos Diretos]:[Reserva de contingência]])</f>
        <v>50000</v>
      </c>
    </row>
    <row r="20" spans="3:9" ht="30" x14ac:dyDescent="0.25">
      <c r="C20" s="6" t="s">
        <v>38</v>
      </c>
      <c r="D20" s="7" t="s">
        <v>10</v>
      </c>
      <c r="E20" s="6"/>
      <c r="F20" s="8">
        <v>5000</v>
      </c>
      <c r="G20" s="8">
        <v>2000</v>
      </c>
      <c r="H20" s="8">
        <v>1000</v>
      </c>
      <c r="I20" s="8">
        <f>SUM(Tabela1[[#This Row],[Custos Diretos]:[Reserva de contingência]])</f>
        <v>8000</v>
      </c>
    </row>
    <row r="21" spans="3:9" x14ac:dyDescent="0.25">
      <c r="C21" s="6" t="s">
        <v>39</v>
      </c>
      <c r="D21" s="7" t="s">
        <v>32</v>
      </c>
      <c r="E21" s="6"/>
      <c r="F21" s="8">
        <v>10000</v>
      </c>
      <c r="G21" s="8">
        <v>0</v>
      </c>
      <c r="H21" s="8">
        <v>5000</v>
      </c>
      <c r="I21" s="8">
        <f>SUM(Tabela1[[#This Row],[Custos Diretos]:[Reserva de contingência]])</f>
        <v>15000</v>
      </c>
    </row>
    <row r="22" spans="3:9" x14ac:dyDescent="0.25">
      <c r="C22" s="6" t="s">
        <v>40</v>
      </c>
      <c r="D22" s="7"/>
      <c r="E22" s="6"/>
      <c r="F22" s="8"/>
      <c r="G22" s="8"/>
      <c r="H22" s="8"/>
      <c r="I22" s="8">
        <f>SUM(Tabela1[[#This Row],[Custos Diretos]:[Reserva de contingência]])</f>
        <v>0</v>
      </c>
    </row>
    <row r="23" spans="3:9" x14ac:dyDescent="0.25">
      <c r="C23" t="s">
        <v>18</v>
      </c>
      <c r="D23" s="3">
        <f>SUBTOTAL(103,Tabela1[Entrega/Pacote de Trabalho])</f>
        <v>19</v>
      </c>
      <c r="F23" s="4">
        <f>SUBTOTAL(109,Tabela1[Custos Diretos])</f>
        <v>338000</v>
      </c>
      <c r="G23" s="4">
        <f>SUBTOTAL(109,Tabela1[Custos Indiretos])</f>
        <v>67500</v>
      </c>
      <c r="H23" s="4">
        <f>SUBTOTAL(109,Tabela1[Reserva de contingência])</f>
        <v>123000</v>
      </c>
      <c r="I23" s="4">
        <f>SUBTOTAL(109,Tabela1[Estimativa Total])</f>
        <v>528500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K185"/>
  <sheetViews>
    <sheetView showGridLines="0" topLeftCell="A50" workbookViewId="0">
      <selection activeCell="K71" sqref="K71"/>
    </sheetView>
  </sheetViews>
  <sheetFormatPr defaultRowHeight="15" x14ac:dyDescent="0.25"/>
  <cols>
    <col min="4" max="4" width="9.42578125" bestFit="1" customWidth="1"/>
    <col min="5" max="5" width="36.5703125" bestFit="1" customWidth="1"/>
    <col min="6" max="6" width="25" bestFit="1" customWidth="1"/>
    <col min="7" max="7" width="17.85546875" bestFit="1" customWidth="1"/>
    <col min="8" max="8" width="11.42578125" bestFit="1" customWidth="1"/>
    <col min="9" max="9" width="23" bestFit="1" customWidth="1"/>
    <col min="11" max="11" width="15.140625" bestFit="1" customWidth="1"/>
  </cols>
  <sheetData>
    <row r="2" spans="4:11" x14ac:dyDescent="0.25">
      <c r="F2" s="10"/>
      <c r="G2" s="11"/>
      <c r="H2" s="12"/>
      <c r="I2" s="11"/>
    </row>
    <row r="3" spans="4:11" x14ac:dyDescent="0.25">
      <c r="D3" s="13" t="s">
        <v>47</v>
      </c>
      <c r="E3" s="5"/>
      <c r="F3" s="5"/>
      <c r="G3" s="5"/>
      <c r="H3" s="5"/>
      <c r="I3" s="5"/>
    </row>
    <row r="4" spans="4:11" x14ac:dyDescent="0.25">
      <c r="D4" t="s">
        <v>48</v>
      </c>
      <c r="E4" t="s">
        <v>49</v>
      </c>
      <c r="F4" s="10" t="s">
        <v>50</v>
      </c>
      <c r="G4" s="11" t="s">
        <v>51</v>
      </c>
      <c r="H4" s="12" t="s">
        <v>52</v>
      </c>
      <c r="I4" s="11" t="s">
        <v>53</v>
      </c>
    </row>
    <row r="5" spans="4:11" x14ac:dyDescent="0.25">
      <c r="D5">
        <v>1</v>
      </c>
      <c r="E5" t="s">
        <v>54</v>
      </c>
      <c r="F5" s="10">
        <v>30</v>
      </c>
      <c r="G5" s="11">
        <v>0</v>
      </c>
      <c r="H5" s="10">
        <v>1</v>
      </c>
      <c r="I5" s="11">
        <f>Table1[[#This Row],[Tempo em Hora]]*Table1[[#This Row],[Custo Por Hora]]*Table1[[#This Row],[Quantidade]]</f>
        <v>0</v>
      </c>
    </row>
    <row r="6" spans="4:11" x14ac:dyDescent="0.25">
      <c r="D6">
        <v>2</v>
      </c>
      <c r="E6" t="s">
        <v>55</v>
      </c>
      <c r="F6" s="10">
        <v>30</v>
      </c>
      <c r="G6" s="11">
        <v>250</v>
      </c>
      <c r="H6" s="10">
        <v>1</v>
      </c>
      <c r="I6" s="11">
        <f>Table1[[#This Row],[Tempo em Hora]]*Table1[[#This Row],[Custo Por Hora]]*Table1[[#This Row],[Quantidade]]</f>
        <v>7500</v>
      </c>
    </row>
    <row r="7" spans="4:11" x14ac:dyDescent="0.25">
      <c r="D7">
        <v>3</v>
      </c>
      <c r="E7" t="s">
        <v>56</v>
      </c>
      <c r="F7" s="10">
        <v>30</v>
      </c>
      <c r="G7" s="11">
        <v>500</v>
      </c>
      <c r="H7" s="10">
        <v>1</v>
      </c>
      <c r="I7" s="11">
        <f>Table1[[#This Row],[Tempo em Hora]]*Table1[[#This Row],[Custo Por Hora]]*Table1[[#This Row],[Quantidade]]</f>
        <v>15000</v>
      </c>
    </row>
    <row r="8" spans="4:11" ht="18.75" x14ac:dyDescent="0.4">
      <c r="D8" s="14" t="s">
        <v>18</v>
      </c>
      <c r="E8" s="14"/>
      <c r="F8" s="15">
        <f>SUM(Table1[Tempo em Hora])</f>
        <v>90</v>
      </c>
      <c r="G8" s="16">
        <f>SUM(Table1[Custo Por Hora])</f>
        <v>750</v>
      </c>
      <c r="H8" s="17">
        <f>SUM(Table1[Quantidade])</f>
        <v>3</v>
      </c>
      <c r="I8" s="16">
        <f>SUM(Table1[Custo Total])</f>
        <v>22500</v>
      </c>
      <c r="K8" s="18">
        <f>I8</f>
        <v>22500</v>
      </c>
    </row>
    <row r="9" spans="4:11" x14ac:dyDescent="0.25">
      <c r="F9" s="10"/>
      <c r="G9" s="11"/>
      <c r="H9" s="10"/>
      <c r="I9" s="11"/>
    </row>
    <row r="10" spans="4:11" x14ac:dyDescent="0.25">
      <c r="D10" s="13" t="s">
        <v>57</v>
      </c>
      <c r="E10" s="5"/>
      <c r="F10" s="5"/>
      <c r="G10" s="5"/>
      <c r="H10" s="5"/>
      <c r="I10" s="5"/>
    </row>
    <row r="11" spans="4:11" x14ac:dyDescent="0.25">
      <c r="D11" t="s">
        <v>48</v>
      </c>
      <c r="E11" t="s">
        <v>49</v>
      </c>
      <c r="F11" s="10" t="s">
        <v>50</v>
      </c>
      <c r="G11" s="11" t="s">
        <v>51</v>
      </c>
      <c r="H11" s="12" t="s">
        <v>52</v>
      </c>
      <c r="I11" s="11" t="s">
        <v>53</v>
      </c>
    </row>
    <row r="12" spans="4:11" x14ac:dyDescent="0.25">
      <c r="D12">
        <v>1</v>
      </c>
      <c r="E12" t="s">
        <v>54</v>
      </c>
      <c r="F12" s="10">
        <v>30</v>
      </c>
      <c r="G12" s="11">
        <v>0</v>
      </c>
      <c r="H12" s="10">
        <v>1</v>
      </c>
      <c r="I12" s="11">
        <f>Table14[[#This Row],[Tempo em Hora]]*Table14[[#This Row],[Custo Por Hora]]*Table14[[#This Row],[Quantidade]]</f>
        <v>0</v>
      </c>
    </row>
    <row r="13" spans="4:11" x14ac:dyDescent="0.25">
      <c r="D13">
        <v>2</v>
      </c>
      <c r="E13" t="s">
        <v>55</v>
      </c>
      <c r="F13" s="10">
        <v>240</v>
      </c>
      <c r="G13" s="11">
        <v>250</v>
      </c>
      <c r="H13" s="10">
        <v>1</v>
      </c>
      <c r="I13" s="11">
        <f>Table14[[#This Row],[Tempo em Hora]]*Table14[[#This Row],[Custo Por Hora]]*Table14[[#This Row],[Quantidade]]</f>
        <v>60000</v>
      </c>
    </row>
    <row r="14" spans="4:11" x14ac:dyDescent="0.25">
      <c r="D14">
        <v>3</v>
      </c>
      <c r="E14" t="s">
        <v>56</v>
      </c>
      <c r="F14" s="10">
        <v>240</v>
      </c>
      <c r="G14" s="11">
        <v>500</v>
      </c>
      <c r="H14" s="10">
        <v>1</v>
      </c>
      <c r="I14" s="11">
        <f>Table14[[#This Row],[Tempo em Hora]]*Table14[[#This Row],[Custo Por Hora]]*Table14[[#This Row],[Quantidade]]</f>
        <v>120000</v>
      </c>
    </row>
    <row r="15" spans="4:11" x14ac:dyDescent="0.25">
      <c r="D15">
        <v>4</v>
      </c>
      <c r="E15" t="s">
        <v>58</v>
      </c>
      <c r="F15" s="10">
        <v>240</v>
      </c>
      <c r="G15" s="11">
        <v>400</v>
      </c>
      <c r="H15" s="10">
        <v>1</v>
      </c>
      <c r="I15" s="11">
        <f>Table14[[#This Row],[Tempo em Hora]]*Table14[[#This Row],[Custo Por Hora]]*Table14[[#This Row],[Quantidade]]</f>
        <v>96000</v>
      </c>
    </row>
    <row r="16" spans="4:11" x14ac:dyDescent="0.25">
      <c r="D16">
        <v>5</v>
      </c>
      <c r="E16" t="s">
        <v>59</v>
      </c>
      <c r="F16" s="10">
        <v>240</v>
      </c>
      <c r="G16" s="11">
        <v>200</v>
      </c>
      <c r="H16" s="10">
        <v>2</v>
      </c>
      <c r="I16" s="11">
        <f>Table14[[#This Row],[Tempo em Hora]]*Table14[[#This Row],[Custo Por Hora]]*Table14[[#This Row],[Quantidade]]</f>
        <v>96000</v>
      </c>
    </row>
    <row r="17" spans="4:11" ht="18.75" x14ac:dyDescent="0.4">
      <c r="D17" s="14" t="s">
        <v>18</v>
      </c>
      <c r="E17" s="14"/>
      <c r="F17" s="15">
        <f>SUM(Table14[Tempo em Hora])</f>
        <v>990</v>
      </c>
      <c r="G17" s="16">
        <f>SUM(Table14[Custo Por Hora])</f>
        <v>1350</v>
      </c>
      <c r="H17" s="17">
        <f>SUM(Table14[Quantidade])</f>
        <v>6</v>
      </c>
      <c r="I17" s="16">
        <f>SUM(Table14[Custo Total])</f>
        <v>372000</v>
      </c>
      <c r="K17" s="18">
        <f>I17</f>
        <v>372000</v>
      </c>
    </row>
    <row r="18" spans="4:11" x14ac:dyDescent="0.25">
      <c r="F18" s="10"/>
      <c r="G18" s="11"/>
      <c r="H18" s="12"/>
      <c r="I18" s="11"/>
    </row>
    <row r="19" spans="4:11" x14ac:dyDescent="0.25">
      <c r="F19" s="10"/>
      <c r="G19" s="11"/>
      <c r="H19" s="10"/>
      <c r="I19" s="11"/>
    </row>
    <row r="20" spans="4:11" x14ac:dyDescent="0.25">
      <c r="D20" s="13" t="s">
        <v>60</v>
      </c>
      <c r="E20" s="5"/>
      <c r="F20" s="5"/>
      <c r="G20" s="5"/>
      <c r="H20" s="5"/>
      <c r="I20" s="5"/>
    </row>
    <row r="21" spans="4:11" x14ac:dyDescent="0.25">
      <c r="D21" t="s">
        <v>48</v>
      </c>
      <c r="E21" t="s">
        <v>49</v>
      </c>
      <c r="F21" s="10" t="s">
        <v>50</v>
      </c>
      <c r="G21" s="11" t="s">
        <v>51</v>
      </c>
      <c r="H21" s="12" t="s">
        <v>52</v>
      </c>
      <c r="I21" s="11" t="s">
        <v>53</v>
      </c>
    </row>
    <row r="22" spans="4:11" x14ac:dyDescent="0.25">
      <c r="D22">
        <v>1</v>
      </c>
      <c r="E22" t="s">
        <v>55</v>
      </c>
      <c r="F22" s="10">
        <v>88</v>
      </c>
      <c r="G22" s="11">
        <v>250</v>
      </c>
      <c r="H22" s="10">
        <v>1</v>
      </c>
      <c r="I22" s="11">
        <f>Table145[[#This Row],[Tempo em Hora]]*Table145[[#This Row],[Custo Por Hora]]*Table145[[#This Row],[Quantidade]]</f>
        <v>22000</v>
      </c>
    </row>
    <row r="23" spans="4:11" x14ac:dyDescent="0.25">
      <c r="D23">
        <v>2</v>
      </c>
      <c r="E23" t="s">
        <v>59</v>
      </c>
      <c r="F23" s="10">
        <v>200</v>
      </c>
      <c r="G23" s="11">
        <v>200</v>
      </c>
      <c r="H23" s="10">
        <v>2</v>
      </c>
      <c r="I23" s="11">
        <f>Table145[[#This Row],[Tempo em Hora]]*Table145[[#This Row],[Custo Por Hora]]*Table145[[#This Row],[Quantidade]]</f>
        <v>80000</v>
      </c>
    </row>
    <row r="24" spans="4:11" x14ac:dyDescent="0.25">
      <c r="D24">
        <v>3</v>
      </c>
      <c r="E24" t="s">
        <v>58</v>
      </c>
      <c r="F24" s="10">
        <v>150</v>
      </c>
      <c r="G24" s="11">
        <v>400</v>
      </c>
      <c r="H24" s="10">
        <v>1</v>
      </c>
      <c r="I24" s="11">
        <f>Table145[[#This Row],[Tempo em Hora]]*Table145[[#This Row],[Custo Por Hora]]*Table145[[#This Row],[Quantidade]]</f>
        <v>60000</v>
      </c>
    </row>
    <row r="25" spans="4:11" x14ac:dyDescent="0.25">
      <c r="D25">
        <v>4</v>
      </c>
      <c r="E25" t="s">
        <v>61</v>
      </c>
      <c r="F25" s="10">
        <v>200</v>
      </c>
      <c r="G25" s="11">
        <v>150</v>
      </c>
      <c r="H25" s="10">
        <v>1</v>
      </c>
      <c r="I25" s="11">
        <f>Table145[[#This Row],[Tempo em Hora]]*Table145[[#This Row],[Custo Por Hora]]*Table145[[#This Row],[Quantidade]]</f>
        <v>30000</v>
      </c>
    </row>
    <row r="26" spans="4:11" x14ac:dyDescent="0.25">
      <c r="D26">
        <v>5</v>
      </c>
      <c r="E26" t="s">
        <v>62</v>
      </c>
      <c r="F26" s="10">
        <v>100</v>
      </c>
      <c r="G26" s="11">
        <v>200</v>
      </c>
      <c r="H26" s="10">
        <v>1</v>
      </c>
      <c r="I26" s="11">
        <f>Table145[[#This Row],[Tempo em Hora]]*Table145[[#This Row],[Custo Por Hora]]*Table145[[#This Row],[Quantidade]]</f>
        <v>20000</v>
      </c>
    </row>
    <row r="27" spans="4:11" x14ac:dyDescent="0.25">
      <c r="D27">
        <v>6</v>
      </c>
      <c r="E27" t="s">
        <v>56</v>
      </c>
      <c r="F27" s="10">
        <v>440</v>
      </c>
      <c r="G27" s="11">
        <v>500</v>
      </c>
      <c r="H27" s="10">
        <v>1</v>
      </c>
      <c r="I27" s="11">
        <f>Table145[[#This Row],[Tempo em Hora]]*Table145[[#This Row],[Custo Por Hora]]*Table145[[#This Row],[Quantidade]]</f>
        <v>220000</v>
      </c>
    </row>
    <row r="28" spans="4:11" x14ac:dyDescent="0.25">
      <c r="D28">
        <v>7</v>
      </c>
      <c r="E28" t="s">
        <v>63</v>
      </c>
      <c r="F28" s="10">
        <v>440</v>
      </c>
      <c r="G28" s="11">
        <v>200</v>
      </c>
      <c r="H28" s="10">
        <v>1</v>
      </c>
      <c r="I28" s="11">
        <f>Table145[[#This Row],[Tempo em Hora]]*Table145[[#This Row],[Custo Por Hora]]*Table145[[#This Row],[Quantidade]]</f>
        <v>88000</v>
      </c>
    </row>
    <row r="29" spans="4:11" x14ac:dyDescent="0.25">
      <c r="D29">
        <v>8</v>
      </c>
      <c r="E29" t="s">
        <v>64</v>
      </c>
      <c r="F29" s="10">
        <v>440</v>
      </c>
      <c r="G29" s="11">
        <v>100</v>
      </c>
      <c r="H29" s="10">
        <v>5</v>
      </c>
      <c r="I29" s="11">
        <f>Table145[[#This Row],[Tempo em Hora]]*Table145[[#This Row],[Custo Por Hora]]*Table145[[#This Row],[Quantidade]]</f>
        <v>220000</v>
      </c>
    </row>
    <row r="30" spans="4:11" ht="18.75" x14ac:dyDescent="0.4">
      <c r="D30" s="14" t="s">
        <v>18</v>
      </c>
      <c r="E30" s="14"/>
      <c r="F30" s="15">
        <f>SUM(Table145[Tempo em Hora])</f>
        <v>2058</v>
      </c>
      <c r="G30" s="16">
        <f>SUM(Table145[Custo Por Hora])</f>
        <v>2000</v>
      </c>
      <c r="H30" s="17">
        <f>SUM(Table145[Quantidade])</f>
        <v>13</v>
      </c>
      <c r="I30" s="16">
        <f>SUM(Table145[Custo Total])</f>
        <v>740000</v>
      </c>
      <c r="K30" s="18">
        <f>I30</f>
        <v>740000</v>
      </c>
    </row>
    <row r="31" spans="4:11" x14ac:dyDescent="0.25">
      <c r="F31" s="10"/>
      <c r="G31" s="11"/>
      <c r="H31" s="12"/>
      <c r="I31" s="11"/>
    </row>
    <row r="32" spans="4:11" x14ac:dyDescent="0.25">
      <c r="D32" s="13" t="s">
        <v>65</v>
      </c>
      <c r="E32" s="5"/>
      <c r="F32" s="5"/>
      <c r="G32" s="5"/>
      <c r="H32" s="5"/>
      <c r="I32" s="5"/>
    </row>
    <row r="33" spans="4:11" x14ac:dyDescent="0.25">
      <c r="D33" t="s">
        <v>48</v>
      </c>
      <c r="E33" t="s">
        <v>49</v>
      </c>
      <c r="F33" s="10" t="s">
        <v>50</v>
      </c>
      <c r="G33" s="11" t="s">
        <v>51</v>
      </c>
      <c r="H33" s="12" t="s">
        <v>52</v>
      </c>
      <c r="I33" s="11" t="s">
        <v>53</v>
      </c>
    </row>
    <row r="34" spans="4:11" x14ac:dyDescent="0.25">
      <c r="D34">
        <v>1</v>
      </c>
      <c r="E34" t="s">
        <v>55</v>
      </c>
      <c r="F34" s="10">
        <v>50</v>
      </c>
      <c r="G34" s="11">
        <v>250</v>
      </c>
      <c r="H34" s="10">
        <v>1</v>
      </c>
      <c r="I34" s="11">
        <f>Table1453[[#This Row],[Tempo em Hora]]*Table1453[[#This Row],[Custo Por Hora]]*Table1453[[#This Row],[Quantidade]]</f>
        <v>12500</v>
      </c>
    </row>
    <row r="35" spans="4:11" x14ac:dyDescent="0.25">
      <c r="D35">
        <v>2</v>
      </c>
      <c r="E35" t="s">
        <v>59</v>
      </c>
      <c r="F35" s="10">
        <v>50</v>
      </c>
      <c r="G35" s="11">
        <v>200</v>
      </c>
      <c r="H35" s="10">
        <v>1</v>
      </c>
      <c r="I35" s="11">
        <f>Table1453[[#This Row],[Tempo em Hora]]*Table1453[[#This Row],[Custo Por Hora]]*Table1453[[#This Row],[Quantidade]]</f>
        <v>10000</v>
      </c>
    </row>
    <row r="36" spans="4:11" x14ac:dyDescent="0.25">
      <c r="D36">
        <v>3</v>
      </c>
      <c r="E36" t="s">
        <v>58</v>
      </c>
      <c r="F36" s="10">
        <v>50</v>
      </c>
      <c r="G36" s="11">
        <v>400</v>
      </c>
      <c r="H36" s="10">
        <v>1</v>
      </c>
      <c r="I36" s="11">
        <f>Table1453[[#This Row],[Tempo em Hora]]*Table1453[[#This Row],[Custo Por Hora]]*Table1453[[#This Row],[Quantidade]]</f>
        <v>20000</v>
      </c>
    </row>
    <row r="37" spans="4:11" x14ac:dyDescent="0.25">
      <c r="D37">
        <v>4</v>
      </c>
      <c r="E37" t="s">
        <v>54</v>
      </c>
      <c r="F37" s="10">
        <v>50</v>
      </c>
      <c r="G37" s="11">
        <v>0</v>
      </c>
      <c r="H37" s="10">
        <v>1</v>
      </c>
      <c r="I37" s="11">
        <f>Table1453[[#This Row],[Tempo em Hora]]*Table1453[[#This Row],[Custo Por Hora]]*Table1453[[#This Row],[Quantidade]]</f>
        <v>0</v>
      </c>
    </row>
    <row r="38" spans="4:11" x14ac:dyDescent="0.25">
      <c r="D38">
        <v>5</v>
      </c>
      <c r="E38" t="s">
        <v>56</v>
      </c>
      <c r="F38" s="10">
        <v>50</v>
      </c>
      <c r="G38" s="11">
        <v>500</v>
      </c>
      <c r="H38" s="10">
        <v>1</v>
      </c>
      <c r="I38" s="11">
        <f>Table1453[[#This Row],[Tempo em Hora]]*Table1453[[#This Row],[Custo Por Hora]]*Table1453[[#This Row],[Quantidade]]</f>
        <v>25000</v>
      </c>
    </row>
    <row r="39" spans="4:11" ht="18.75" x14ac:dyDescent="0.4">
      <c r="D39" s="14" t="s">
        <v>18</v>
      </c>
      <c r="E39" s="14"/>
      <c r="F39" s="15">
        <f>SUM(Table1453[Tempo em Hora])</f>
        <v>250</v>
      </c>
      <c r="G39" s="16">
        <f>SUM(Table1453[Custo Por Hora])</f>
        <v>1350</v>
      </c>
      <c r="H39" s="17">
        <f>SUM(Table1453[Quantidade])</f>
        <v>5</v>
      </c>
      <c r="I39" s="16">
        <f>SUM(Table1453[Custo Total])</f>
        <v>67500</v>
      </c>
      <c r="K39" s="18">
        <f>I39</f>
        <v>67500</v>
      </c>
    </row>
    <row r="40" spans="4:11" x14ac:dyDescent="0.25">
      <c r="F40" s="10"/>
      <c r="G40" s="11"/>
      <c r="H40" s="12"/>
      <c r="I40" s="11"/>
    </row>
    <row r="41" spans="4:11" x14ac:dyDescent="0.25">
      <c r="F41" s="10"/>
      <c r="G41" s="11"/>
      <c r="H41" s="12"/>
      <c r="I41" s="11"/>
    </row>
    <row r="42" spans="4:11" x14ac:dyDescent="0.25">
      <c r="D42" s="13" t="s">
        <v>66</v>
      </c>
      <c r="E42" s="5"/>
      <c r="F42" s="5"/>
      <c r="G42" s="5"/>
      <c r="H42" s="5"/>
      <c r="I42" s="5"/>
    </row>
    <row r="43" spans="4:11" x14ac:dyDescent="0.25">
      <c r="D43" t="s">
        <v>48</v>
      </c>
      <c r="E43" t="s">
        <v>49</v>
      </c>
      <c r="F43" s="10" t="s">
        <v>50</v>
      </c>
      <c r="G43" s="11" t="s">
        <v>51</v>
      </c>
      <c r="H43" s="12" t="s">
        <v>52</v>
      </c>
      <c r="I43" s="11" t="s">
        <v>53</v>
      </c>
    </row>
    <row r="44" spans="4:11" x14ac:dyDescent="0.25">
      <c r="D44">
        <v>1</v>
      </c>
      <c r="E44" t="s">
        <v>59</v>
      </c>
      <c r="F44" s="10">
        <v>40</v>
      </c>
      <c r="G44" s="11">
        <v>200</v>
      </c>
      <c r="H44" s="10">
        <v>1</v>
      </c>
      <c r="I44" s="11">
        <f>Table14536[[#This Row],[Tempo em Hora]]*Table14536[[#This Row],[Custo Por Hora]]*Table14536[[#This Row],[Quantidade]]</f>
        <v>8000</v>
      </c>
    </row>
    <row r="45" spans="4:11" x14ac:dyDescent="0.25">
      <c r="D45">
        <v>2</v>
      </c>
      <c r="E45" t="s">
        <v>58</v>
      </c>
      <c r="F45" s="10">
        <v>40</v>
      </c>
      <c r="G45" s="11">
        <v>400</v>
      </c>
      <c r="H45" s="10">
        <v>1</v>
      </c>
      <c r="I45" s="11">
        <f>Table14536[[#This Row],[Tempo em Hora]]*Table14536[[#This Row],[Custo Por Hora]]*Table14536[[#This Row],[Quantidade]]</f>
        <v>16000</v>
      </c>
    </row>
    <row r="46" spans="4:11" x14ac:dyDescent="0.25">
      <c r="D46">
        <v>3</v>
      </c>
      <c r="E46" t="s">
        <v>54</v>
      </c>
      <c r="F46" s="10">
        <v>40</v>
      </c>
      <c r="G46" s="11">
        <v>0</v>
      </c>
      <c r="H46" s="10">
        <v>1</v>
      </c>
      <c r="I46" s="11">
        <f>Table14536[[#This Row],[Tempo em Hora]]*Table14536[[#This Row],[Custo Por Hora]]*Table14536[[#This Row],[Quantidade]]</f>
        <v>0</v>
      </c>
    </row>
    <row r="47" spans="4:11" x14ac:dyDescent="0.25">
      <c r="D47">
        <v>4</v>
      </c>
      <c r="E47" t="s">
        <v>56</v>
      </c>
      <c r="F47" s="10">
        <v>40</v>
      </c>
      <c r="G47" s="11">
        <v>500</v>
      </c>
      <c r="H47" s="10">
        <v>1</v>
      </c>
      <c r="I47" s="11">
        <f>Table14536[[#This Row],[Tempo em Hora]]*Table14536[[#This Row],[Custo Por Hora]]*Table14536[[#This Row],[Quantidade]]</f>
        <v>20000</v>
      </c>
    </row>
    <row r="48" spans="4:11" ht="18.75" x14ac:dyDescent="0.4">
      <c r="D48" s="14" t="s">
        <v>18</v>
      </c>
      <c r="E48" s="14"/>
      <c r="F48" s="15">
        <f>SUM(Table14536[Tempo em Hora])</f>
        <v>160</v>
      </c>
      <c r="G48" s="16">
        <f>SUM(Table14536[Custo Por Hora])</f>
        <v>1100</v>
      </c>
      <c r="H48" s="17">
        <f>SUM(Table14536[Quantidade])</f>
        <v>4</v>
      </c>
      <c r="I48" s="16">
        <f>SUM(Table14536[Custo Total])</f>
        <v>44000</v>
      </c>
      <c r="K48" s="18">
        <f>I48</f>
        <v>44000</v>
      </c>
    </row>
    <row r="49" spans="4:10" x14ac:dyDescent="0.25">
      <c r="F49" s="10"/>
      <c r="G49" s="11"/>
      <c r="H49" s="12"/>
      <c r="I49" s="11"/>
    </row>
    <row r="50" spans="4:10" x14ac:dyDescent="0.25">
      <c r="F50" s="10"/>
      <c r="G50" s="11"/>
      <c r="H50" s="12"/>
      <c r="I50" s="11"/>
    </row>
    <row r="51" spans="4:10" x14ac:dyDescent="0.25">
      <c r="D51" s="13" t="s">
        <v>67</v>
      </c>
      <c r="E51" s="5"/>
      <c r="F51" s="5"/>
      <c r="G51" s="5"/>
      <c r="H51" s="5"/>
      <c r="I51" s="5"/>
    </row>
    <row r="52" spans="4:10" x14ac:dyDescent="0.25">
      <c r="D52" t="s">
        <v>48</v>
      </c>
      <c r="E52" t="s">
        <v>49</v>
      </c>
      <c r="F52" s="10" t="s">
        <v>68</v>
      </c>
      <c r="G52" s="10" t="s">
        <v>51</v>
      </c>
      <c r="H52" s="12" t="s">
        <v>52</v>
      </c>
      <c r="I52" s="11" t="s">
        <v>53</v>
      </c>
    </row>
    <row r="53" spans="4:10" x14ac:dyDescent="0.25">
      <c r="D53">
        <v>1</v>
      </c>
      <c r="E53" t="s">
        <v>61</v>
      </c>
      <c r="F53" s="10">
        <f>SUM(SUMIF(Table14536[Designacao do Especialista],E53,Table14536[Tempo em Hora]),SUMIF(Table1453[Designacao do Especialista],E53,Table1453[Tempo em Hora]),SUMIF(Table145[Designacao do Especialista],E53,Table145[Tempo em Hora]),SUMIF(Table14[Designacao do Especialista],E53,Table14[Tempo em Hora]),SUMIF(Table1[Designacao do Especialista],E53,Table1[Tempo em Hora]))</f>
        <v>200</v>
      </c>
      <c r="G53" s="10">
        <f>ROUND(Table145368[[#This Row],[Custo Total]]/Table145368[[#This Row],[Total De Horas de Trabalho]],0)</f>
        <v>150</v>
      </c>
      <c r="H53" s="10">
        <v>1</v>
      </c>
      <c r="I53" s="11">
        <f>SUM(SUMIF(Table14536[Designacao do Especialista],E53,Table14536[Custo Total]),SUMIF(Table1453[Designacao do Especialista],E53,Table1453[Custo Total]),SUMIF(Table145[Designacao do Especialista],E53,Table145[Custo Total]),SUMIF(Table14[Designacao do Especialista],E53,Table14[Custo Total]),SUMIF(Table1[Designacao do Especialista],E53,Table1[Custo Total]))</f>
        <v>30000</v>
      </c>
    </row>
    <row r="54" spans="4:10" x14ac:dyDescent="0.25">
      <c r="D54">
        <v>2</v>
      </c>
      <c r="E54" t="s">
        <v>62</v>
      </c>
      <c r="F54" s="10">
        <f>SUM(SUMIF(Table14536[Designacao do Especialista],E54,Table14536[Tempo em Hora]),SUMIF(Table1453[Designacao do Especialista],E54,Table1453[Tempo em Hora]),SUMIF(Table145[Designacao do Especialista],E54,Table145[Tempo em Hora]),SUMIF(Table14[Designacao do Especialista],E54,Table14[Tempo em Hora]),SUMIF(Table1[Designacao do Especialista],E54,Table1[Tempo em Hora]))</f>
        <v>100</v>
      </c>
      <c r="G54" s="10">
        <f>ROUND(Table145368[[#This Row],[Custo Total]]/Table145368[[#This Row],[Total De Horas de Trabalho]],0)</f>
        <v>200</v>
      </c>
      <c r="H54" s="10">
        <v>1</v>
      </c>
      <c r="I54" s="11">
        <f>SUM(SUMIF(Table14536[Designacao do Especialista],E54,Table14536[Custo Total]),SUMIF(Table1453[Designacao do Especialista],E54,Table1453[Custo Total]),SUMIF(Table145[Designacao do Especialista],E54,Table145[Custo Total]),SUMIF(Table14[Designacao do Especialista],E54,Table14[Custo Total]),SUMIF(Table1[Designacao do Especialista],E54,Table1[Custo Total]))</f>
        <v>20000</v>
      </c>
    </row>
    <row r="55" spans="4:10" x14ac:dyDescent="0.25">
      <c r="D55">
        <v>3</v>
      </c>
      <c r="E55" t="s">
        <v>55</v>
      </c>
      <c r="F55" s="10">
        <f>SUM(SUMIF(Table14536[Designacao do Especialista],E55,Table14536[Tempo em Hora]),SUMIF(Table1453[Designacao do Especialista],E55,Table1453[Tempo em Hora]),SUMIF(Table145[Designacao do Especialista],E55,Table145[Tempo em Hora]),SUMIF(Table14[Designacao do Especialista],E55,Table14[Tempo em Hora]),SUMIF(Table1[Designacao do Especialista],E55,Table1[Tempo em Hora]))</f>
        <v>408</v>
      </c>
      <c r="G55" s="10">
        <f>ROUND(Table145368[[#This Row],[Custo Total]]/Table145368[[#This Row],[Total De Horas de Trabalho]],0)</f>
        <v>250</v>
      </c>
      <c r="H55" s="10">
        <v>1</v>
      </c>
      <c r="I55" s="11">
        <f>SUM(SUMIF(Table14536[Designacao do Especialista],E55,Table14536[Custo Total]),SUMIF(Table1453[Designacao do Especialista],E55,Table1453[Custo Total]),SUMIF(Table145[Designacao do Especialista],E55,Table145[Custo Total]),SUMIF(Table14[Designacao do Especialista],E55,Table14[Custo Total]),SUMIF(Table1[Designacao do Especialista],E55,Table1[Custo Total]))</f>
        <v>102000</v>
      </c>
    </row>
    <row r="56" spans="4:10" x14ac:dyDescent="0.25">
      <c r="D56">
        <v>4</v>
      </c>
      <c r="E56" t="s">
        <v>59</v>
      </c>
      <c r="F56" s="10">
        <f>SUM(SUMIF(Table14536[Designacao do Especialista],E56,Table14536[Tempo em Hora]),SUMIF(Table1453[Designacao do Especialista],E56,Table1453[Tempo em Hora]),SUMIF(Table145[Designacao do Especialista],E56,Table145[Tempo em Hora]),SUMIF(Table14[Designacao do Especialista],E56,Table14[Tempo em Hora]),SUMIF(Table1[Designacao do Especialista],E56,Table1[Tempo em Hora]))</f>
        <v>530</v>
      </c>
      <c r="G56" s="10">
        <f>ROUND(Table145368[[#This Row],[Custo Total]]/Table145368[[#This Row],[Total De Horas de Trabalho]],0)</f>
        <v>366</v>
      </c>
      <c r="H56" s="10">
        <v>2</v>
      </c>
      <c r="I56" s="11">
        <f>SUM(SUMIF(Table14536[Designacao do Especialista],E56,Table14536[Custo Total]),SUMIF(Table1453[Designacao do Especialista],E56,Table1453[Custo Total]),SUMIF(Table145[Designacao do Especialista],E56,Table145[Custo Total]),SUMIF(Table14[Designacao do Especialista],E56,Table14[Custo Total]),SUMIF(Table1[Designacao do Especialista],E56,Table1[Custo Total]))</f>
        <v>194000</v>
      </c>
    </row>
    <row r="57" spans="4:10" x14ac:dyDescent="0.25">
      <c r="D57">
        <v>5</v>
      </c>
      <c r="E57" t="s">
        <v>58</v>
      </c>
      <c r="F57" s="10">
        <f>SUM(SUMIF(Table14536[Designacao do Especialista],E57,Table14536[Tempo em Hora]),SUMIF(Table1453[Designacao do Especialista],E57,Table1453[Tempo em Hora]),SUMIF(Table145[Designacao do Especialista],E57,Table145[Tempo em Hora]),SUMIF(Table14[Designacao do Especialista],E57,Table14[Tempo em Hora]),SUMIF(Table1[Designacao do Especialista],E57,Table1[Tempo em Hora]))</f>
        <v>480</v>
      </c>
      <c r="G57" s="10">
        <f>ROUND(Table145368[[#This Row],[Custo Total]]/Table145368[[#This Row],[Total De Horas de Trabalho]],0)</f>
        <v>400</v>
      </c>
      <c r="H57" s="10">
        <v>1</v>
      </c>
      <c r="I57" s="11">
        <f>SUM(SUMIF(Table14536[Designacao do Especialista],E57,Table14536[Custo Total]),SUMIF(Table1453[Designacao do Especialista],E57,Table1453[Custo Total]),SUMIF(Table145[Designacao do Especialista],E57,Table145[Custo Total]),SUMIF(Table14[Designacao do Especialista],E57,Table14[Custo Total]),SUMIF(Table1[Designacao do Especialista],E57,Table1[Custo Total]))</f>
        <v>192000</v>
      </c>
    </row>
    <row r="58" spans="4:10" x14ac:dyDescent="0.25">
      <c r="D58">
        <v>6</v>
      </c>
      <c r="E58" t="s">
        <v>54</v>
      </c>
      <c r="F58" s="10">
        <f>SUM(SUMIF(Table14536[Designacao do Especialista],E58,Table14536[Tempo em Hora]),SUMIF(Table1453[Designacao do Especialista],E58,Table1453[Tempo em Hora]),SUMIF(Table145[Designacao do Especialista],E58,Table145[Tempo em Hora]),SUMIF(Table14[Designacao do Especialista],E58,Table14[Tempo em Hora]),SUMIF(Table1[Designacao do Especialista],E58,Table1[Tempo em Hora]))</f>
        <v>150</v>
      </c>
      <c r="G58" s="10">
        <f>ROUND(Table145368[[#This Row],[Custo Total]]/Table145368[[#This Row],[Total De Horas de Trabalho]],0)</f>
        <v>0</v>
      </c>
      <c r="H58" s="10">
        <v>1</v>
      </c>
      <c r="I58" s="11">
        <f>SUM(SUMIF(Table14536[Designacao do Especialista],E58,Table14536[Custo Total]),SUMIF(Table1453[Designacao do Especialista],E58,Table1453[Custo Total]),SUMIF(Table145[Designacao do Especialista],E58,Table145[Custo Total]),SUMIF(Table14[Designacao do Especialista],E58,Table14[Custo Total]),SUMIF(Table1[Designacao do Especialista],E58,Table1[Custo Total]))</f>
        <v>0</v>
      </c>
    </row>
    <row r="59" spans="4:10" x14ac:dyDescent="0.25">
      <c r="D59">
        <v>7</v>
      </c>
      <c r="E59" t="s">
        <v>56</v>
      </c>
      <c r="F59" s="10">
        <f>SUM(SUMIF(Table14536[Designacao do Especialista],E59,Table14536[Tempo em Hora]),SUMIF(Table1453[Designacao do Especialista],E59,Table1453[Tempo em Hora]),SUMIF(Table145[Designacao do Especialista],E59,Table145[Tempo em Hora]),SUMIF(Table14[Designacao do Especialista],E59,Table14[Tempo em Hora]),SUMIF(Table1[Designacao do Especialista],E59,Table1[Tempo em Hora]))</f>
        <v>800</v>
      </c>
      <c r="G59" s="10">
        <f>ROUND(Table145368[[#This Row],[Custo Total]]/Table145368[[#This Row],[Total De Horas de Trabalho]],0)</f>
        <v>500</v>
      </c>
      <c r="H59" s="10">
        <v>1</v>
      </c>
      <c r="I59" s="11">
        <f>SUM(SUMIF(Table14536[Designacao do Especialista],E59,Table14536[Custo Total]),SUMIF(Table1453[Designacao do Especialista],E59,Table1453[Custo Total]),SUMIF(Table145[Designacao do Especialista],E59,Table145[Custo Total]),SUMIF(Table14[Designacao do Especialista],E59,Table14[Custo Total]),SUMIF(Table1[Designacao do Especialista],E59,Table1[Custo Total]))</f>
        <v>400000</v>
      </c>
    </row>
    <row r="60" spans="4:10" x14ac:dyDescent="0.25">
      <c r="D60">
        <v>8</v>
      </c>
      <c r="E60" t="s">
        <v>64</v>
      </c>
      <c r="F60" s="10">
        <f>SUM(SUMIF(Table14536[Designacao do Especialista],E60,Table14536[Tempo em Hora]),SUMIF(Table1453[Designacao do Especialista],E60,Table1453[Tempo em Hora]),SUMIF(Table145[Designacao do Especialista],E60,Table145[Tempo em Hora]),SUMIF(Table14[Designacao do Especialista],E60,Table14[Tempo em Hora]),SUMIF(Table1[Designacao do Especialista],E60,Table1[Tempo em Hora]))</f>
        <v>440</v>
      </c>
      <c r="G60" s="10">
        <f>ROUND(Table145368[[#This Row],[Custo Total]]/Table145368[[#This Row],[Total De Horas de Trabalho]],0)</f>
        <v>500</v>
      </c>
      <c r="H60" s="10">
        <v>5</v>
      </c>
      <c r="I60" s="11">
        <f>SUM(SUMIF(Table14536[Designacao do Especialista],E60,Table14536[Custo Total]),SUMIF(Table1453[Designacao do Especialista],E60,Table1453[Custo Total]),SUMIF(Table145[Designacao do Especialista],E60,Table145[Custo Total]),SUMIF(Table14[Designacao do Especialista],E60,Table14[Custo Total]),SUMIF(Table1[Designacao do Especialista],E60,Table1[Custo Total]))</f>
        <v>220000</v>
      </c>
    </row>
    <row r="61" spans="4:10" x14ac:dyDescent="0.25">
      <c r="D61">
        <v>9</v>
      </c>
      <c r="E61" t="s">
        <v>63</v>
      </c>
      <c r="F61" s="10">
        <f>SUM(SUMIF(Table14536[Designacao do Especialista],E61,Table14536[Tempo em Hora]),SUMIF(Table1453[Designacao do Especialista],E61,Table1453[Tempo em Hora]),SUMIF(Table145[Designacao do Especialista],E61,Table145[Tempo em Hora]),SUMIF(Table14[Designacao do Especialista],E61,Table14[Tempo em Hora]),SUMIF(Table1[Designacao do Especialista],E61,Table1[Tempo em Hora]))</f>
        <v>440</v>
      </c>
      <c r="G61" s="10">
        <f>ROUND(Table145368[[#This Row],[Custo Total]]/Table145368[[#This Row],[Total De Horas de Trabalho]],0)</f>
        <v>200</v>
      </c>
      <c r="H61" s="10">
        <v>1</v>
      </c>
      <c r="I61" s="11">
        <f>SUM(SUMIF(Table14536[Designacao do Especialista],E61,Table14536[Custo Total]),SUMIF(Table1453[Designacao do Especialista],E61,Table1453[Custo Total]),SUMIF(Table145[Designacao do Especialista],E61,Table145[Custo Total]),SUMIF(Table14[Designacao do Especialista],E61,Table14[Custo Total]),SUMIF(Table1[Designacao do Especialista],E61,Table1[Custo Total]))</f>
        <v>88000</v>
      </c>
    </row>
    <row r="62" spans="4:10" ht="18.75" x14ac:dyDescent="0.4">
      <c r="D62" s="14" t="s">
        <v>18</v>
      </c>
      <c r="E62" s="14"/>
      <c r="F62" s="15">
        <f>SUM(Table145368[Total De Horas de Trabalho])</f>
        <v>3548</v>
      </c>
      <c r="G62" s="15">
        <f>ROUND(SUM(Table145368[Custo Por Hora]),0)</f>
        <v>2566</v>
      </c>
      <c r="H62" s="17">
        <f>SUM(Table145368[Quantidade])</f>
        <v>14</v>
      </c>
      <c r="I62" s="16">
        <f>SUM(Table145368[Custo Total])</f>
        <v>1246000</v>
      </c>
      <c r="J62" s="18"/>
    </row>
    <row r="63" spans="4:10" x14ac:dyDescent="0.25">
      <c r="F63" s="10"/>
      <c r="G63" s="11"/>
      <c r="H63" s="12"/>
      <c r="I63" s="11"/>
    </row>
    <row r="64" spans="4:10" x14ac:dyDescent="0.25">
      <c r="F64" s="10"/>
      <c r="G64" s="11"/>
      <c r="H64" s="12"/>
      <c r="I64" s="11"/>
    </row>
    <row r="65" spans="6:9" x14ac:dyDescent="0.25">
      <c r="F65" s="10"/>
      <c r="G65" s="11"/>
      <c r="H65" s="12"/>
      <c r="I65" s="11"/>
    </row>
    <row r="66" spans="6:9" x14ac:dyDescent="0.25">
      <c r="F66" s="10"/>
      <c r="G66" s="11"/>
      <c r="H66" s="12"/>
      <c r="I66" s="11"/>
    </row>
    <row r="67" spans="6:9" x14ac:dyDescent="0.25">
      <c r="F67" s="10"/>
      <c r="G67" s="11"/>
      <c r="H67" s="12"/>
      <c r="I67" s="11"/>
    </row>
    <row r="68" spans="6:9" x14ac:dyDescent="0.25">
      <c r="F68" s="10"/>
      <c r="G68" s="11"/>
      <c r="H68" s="12"/>
      <c r="I68" s="11"/>
    </row>
    <row r="69" spans="6:9" x14ac:dyDescent="0.25">
      <c r="F69" s="10"/>
      <c r="G69" s="11"/>
      <c r="H69" s="12"/>
      <c r="I69" s="11"/>
    </row>
    <row r="70" spans="6:9" x14ac:dyDescent="0.25">
      <c r="F70" s="10"/>
      <c r="G70" s="11"/>
      <c r="H70" s="12"/>
      <c r="I70" s="11"/>
    </row>
    <row r="71" spans="6:9" x14ac:dyDescent="0.25">
      <c r="F71" s="10"/>
      <c r="G71" s="11"/>
      <c r="H71" s="12"/>
      <c r="I71" s="11"/>
    </row>
    <row r="72" spans="6:9" x14ac:dyDescent="0.25">
      <c r="F72" s="10"/>
      <c r="G72" s="11"/>
      <c r="H72" s="12"/>
      <c r="I72" s="11"/>
    </row>
    <row r="73" spans="6:9" x14ac:dyDescent="0.25">
      <c r="F73" s="10"/>
      <c r="G73" s="11"/>
      <c r="H73" s="12"/>
      <c r="I73" s="11"/>
    </row>
    <row r="74" spans="6:9" x14ac:dyDescent="0.25">
      <c r="F74" s="10"/>
      <c r="G74" s="11"/>
      <c r="H74" s="12"/>
      <c r="I74" s="11"/>
    </row>
    <row r="75" spans="6:9" x14ac:dyDescent="0.25">
      <c r="F75" s="10"/>
      <c r="G75" s="11"/>
      <c r="H75" s="12"/>
      <c r="I75" s="11"/>
    </row>
    <row r="76" spans="6:9" x14ac:dyDescent="0.25">
      <c r="F76" s="10"/>
      <c r="G76" s="11"/>
      <c r="H76" s="12"/>
      <c r="I76" s="11"/>
    </row>
    <row r="77" spans="6:9" x14ac:dyDescent="0.25">
      <c r="F77" s="10"/>
      <c r="G77" s="11"/>
      <c r="H77" s="12"/>
      <c r="I77" s="11"/>
    </row>
    <row r="78" spans="6:9" x14ac:dyDescent="0.25">
      <c r="F78" s="10"/>
      <c r="G78" s="11"/>
      <c r="H78" s="12"/>
      <c r="I78" s="11"/>
    </row>
    <row r="79" spans="6:9" x14ac:dyDescent="0.25">
      <c r="F79" s="10"/>
      <c r="G79" s="11"/>
      <c r="H79" s="12"/>
      <c r="I79" s="11"/>
    </row>
    <row r="80" spans="6:9" x14ac:dyDescent="0.25">
      <c r="F80" s="10"/>
      <c r="G80" s="11"/>
      <c r="H80" s="12"/>
      <c r="I80" s="11"/>
    </row>
    <row r="81" spans="6:9" x14ac:dyDescent="0.25">
      <c r="F81" s="10"/>
      <c r="G81" s="11"/>
      <c r="H81" s="12"/>
      <c r="I81" s="11"/>
    </row>
    <row r="82" spans="6:9" x14ac:dyDescent="0.25">
      <c r="F82" s="10"/>
      <c r="G82" s="11"/>
      <c r="H82" s="12"/>
      <c r="I82" s="11"/>
    </row>
    <row r="83" spans="6:9" x14ac:dyDescent="0.25">
      <c r="F83" s="10"/>
      <c r="G83" s="11"/>
      <c r="H83" s="12"/>
      <c r="I83" s="11"/>
    </row>
    <row r="84" spans="6:9" x14ac:dyDescent="0.25">
      <c r="F84" s="10"/>
      <c r="G84" s="11"/>
      <c r="H84" s="12"/>
      <c r="I84" s="11"/>
    </row>
    <row r="85" spans="6:9" x14ac:dyDescent="0.25">
      <c r="F85" s="10"/>
      <c r="G85" s="11"/>
      <c r="H85" s="12"/>
      <c r="I85" s="11"/>
    </row>
    <row r="86" spans="6:9" x14ac:dyDescent="0.25">
      <c r="F86" s="10"/>
      <c r="G86" s="11"/>
      <c r="H86" s="12"/>
      <c r="I86" s="11"/>
    </row>
    <row r="87" spans="6:9" x14ac:dyDescent="0.25">
      <c r="F87" s="10"/>
      <c r="G87" s="11"/>
      <c r="H87" s="12"/>
      <c r="I87" s="11"/>
    </row>
    <row r="88" spans="6:9" x14ac:dyDescent="0.25">
      <c r="F88" s="10"/>
      <c r="G88" s="11"/>
      <c r="H88" s="12"/>
      <c r="I88" s="11"/>
    </row>
    <row r="89" spans="6:9" x14ac:dyDescent="0.25">
      <c r="F89" s="10"/>
      <c r="G89" s="11"/>
      <c r="H89" s="12"/>
      <c r="I89" s="11"/>
    </row>
    <row r="90" spans="6:9" x14ac:dyDescent="0.25">
      <c r="F90" s="10"/>
      <c r="G90" s="11"/>
      <c r="H90" s="12"/>
      <c r="I90" s="11"/>
    </row>
    <row r="91" spans="6:9" x14ac:dyDescent="0.25">
      <c r="F91" s="10"/>
      <c r="G91" s="11"/>
      <c r="H91" s="12"/>
      <c r="I91" s="11"/>
    </row>
    <row r="92" spans="6:9" x14ac:dyDescent="0.25">
      <c r="F92" s="10"/>
      <c r="G92" s="11"/>
      <c r="H92" s="12"/>
      <c r="I92" s="11"/>
    </row>
    <row r="93" spans="6:9" x14ac:dyDescent="0.25">
      <c r="F93" s="10"/>
      <c r="G93" s="11"/>
      <c r="H93" s="12"/>
      <c r="I93" s="11"/>
    </row>
    <row r="94" spans="6:9" x14ac:dyDescent="0.25">
      <c r="F94" s="10"/>
      <c r="G94" s="11"/>
      <c r="H94" s="12"/>
      <c r="I94" s="11"/>
    </row>
    <row r="95" spans="6:9" x14ac:dyDescent="0.25">
      <c r="F95" s="10"/>
      <c r="G95" s="11"/>
      <c r="H95" s="12"/>
      <c r="I95" s="11"/>
    </row>
    <row r="96" spans="6:9" x14ac:dyDescent="0.25">
      <c r="F96" s="10"/>
      <c r="G96" s="11"/>
      <c r="H96" s="12"/>
      <c r="I96" s="11"/>
    </row>
    <row r="97" spans="6:9" x14ac:dyDescent="0.25">
      <c r="F97" s="10"/>
      <c r="G97" s="11"/>
      <c r="H97" s="12"/>
      <c r="I97" s="11"/>
    </row>
    <row r="98" spans="6:9" x14ac:dyDescent="0.25">
      <c r="F98" s="10"/>
      <c r="G98" s="11"/>
      <c r="H98" s="12"/>
      <c r="I98" s="11"/>
    </row>
    <row r="99" spans="6:9" x14ac:dyDescent="0.25">
      <c r="F99" s="10"/>
      <c r="G99" s="11"/>
      <c r="H99" s="12"/>
      <c r="I99" s="11"/>
    </row>
    <row r="100" spans="6:9" x14ac:dyDescent="0.25">
      <c r="F100" s="10"/>
      <c r="G100" s="11"/>
      <c r="H100" s="12"/>
      <c r="I100" s="11"/>
    </row>
    <row r="101" spans="6:9" x14ac:dyDescent="0.25">
      <c r="F101" s="10"/>
      <c r="G101" s="11"/>
      <c r="H101" s="12"/>
      <c r="I101" s="11"/>
    </row>
    <row r="102" spans="6:9" x14ac:dyDescent="0.25">
      <c r="F102" s="10"/>
      <c r="G102" s="11"/>
      <c r="H102" s="12"/>
      <c r="I102" s="11"/>
    </row>
    <row r="103" spans="6:9" x14ac:dyDescent="0.25">
      <c r="F103" s="10"/>
      <c r="G103" s="11"/>
      <c r="H103" s="12"/>
      <c r="I103" s="11"/>
    </row>
    <row r="104" spans="6:9" x14ac:dyDescent="0.25">
      <c r="F104" s="10"/>
      <c r="G104" s="11"/>
      <c r="H104" s="12"/>
      <c r="I104" s="11"/>
    </row>
    <row r="105" spans="6:9" x14ac:dyDescent="0.25">
      <c r="F105" s="10"/>
      <c r="G105" s="11"/>
      <c r="H105" s="12"/>
      <c r="I105" s="11"/>
    </row>
    <row r="106" spans="6:9" x14ac:dyDescent="0.25">
      <c r="F106" s="10"/>
      <c r="G106" s="11"/>
      <c r="H106" s="12"/>
      <c r="I106" s="11"/>
    </row>
    <row r="107" spans="6:9" x14ac:dyDescent="0.25">
      <c r="F107" s="10"/>
      <c r="G107" s="11"/>
      <c r="H107" s="12"/>
      <c r="I107" s="11"/>
    </row>
    <row r="108" spans="6:9" x14ac:dyDescent="0.25">
      <c r="F108" s="10"/>
      <c r="G108" s="11"/>
      <c r="H108" s="12"/>
      <c r="I108" s="11"/>
    </row>
    <row r="109" spans="6:9" x14ac:dyDescent="0.25">
      <c r="F109" s="10"/>
      <c r="G109" s="11"/>
      <c r="H109" s="12"/>
      <c r="I109" s="11"/>
    </row>
    <row r="110" spans="6:9" x14ac:dyDescent="0.25">
      <c r="F110" s="10"/>
      <c r="G110" s="11"/>
      <c r="H110" s="12"/>
      <c r="I110" s="11"/>
    </row>
    <row r="111" spans="6:9" x14ac:dyDescent="0.25">
      <c r="F111" s="10"/>
      <c r="G111" s="11"/>
      <c r="H111" s="12"/>
      <c r="I111" s="11"/>
    </row>
    <row r="112" spans="6:9" x14ac:dyDescent="0.25">
      <c r="F112" s="10"/>
      <c r="G112" s="11"/>
      <c r="H112" s="12"/>
      <c r="I112" s="11"/>
    </row>
    <row r="113" spans="6:9" x14ac:dyDescent="0.25">
      <c r="F113" s="10"/>
      <c r="G113" s="11"/>
      <c r="H113" s="12"/>
      <c r="I113" s="11"/>
    </row>
    <row r="114" spans="6:9" x14ac:dyDescent="0.25">
      <c r="F114" s="10"/>
      <c r="G114" s="11"/>
      <c r="H114" s="12"/>
      <c r="I114" s="11"/>
    </row>
    <row r="115" spans="6:9" x14ac:dyDescent="0.25">
      <c r="F115" s="10"/>
      <c r="G115" s="11"/>
      <c r="H115" s="12"/>
      <c r="I115" s="11"/>
    </row>
    <row r="116" spans="6:9" x14ac:dyDescent="0.25">
      <c r="F116" s="10"/>
      <c r="G116" s="11"/>
      <c r="H116" s="12"/>
      <c r="I116" s="11"/>
    </row>
    <row r="117" spans="6:9" x14ac:dyDescent="0.25">
      <c r="F117" s="10"/>
      <c r="G117" s="11"/>
      <c r="H117" s="12"/>
      <c r="I117" s="11"/>
    </row>
    <row r="118" spans="6:9" x14ac:dyDescent="0.25">
      <c r="F118" s="10"/>
      <c r="G118" s="11"/>
      <c r="H118" s="12"/>
      <c r="I118" s="11"/>
    </row>
    <row r="119" spans="6:9" x14ac:dyDescent="0.25">
      <c r="F119" s="10"/>
      <c r="G119" s="11"/>
      <c r="H119" s="12"/>
      <c r="I119" s="11"/>
    </row>
    <row r="120" spans="6:9" x14ac:dyDescent="0.25">
      <c r="F120" s="10"/>
      <c r="G120" s="11"/>
      <c r="H120" s="12"/>
      <c r="I120" s="11"/>
    </row>
    <row r="121" spans="6:9" x14ac:dyDescent="0.25">
      <c r="F121" s="10"/>
      <c r="G121" s="11"/>
      <c r="H121" s="12"/>
      <c r="I121" s="11"/>
    </row>
    <row r="122" spans="6:9" x14ac:dyDescent="0.25">
      <c r="F122" s="10"/>
      <c r="G122" s="11"/>
      <c r="H122" s="12"/>
      <c r="I122" s="11"/>
    </row>
    <row r="123" spans="6:9" x14ac:dyDescent="0.25">
      <c r="F123" s="10"/>
      <c r="G123" s="11"/>
      <c r="H123" s="12"/>
      <c r="I123" s="11"/>
    </row>
    <row r="124" spans="6:9" x14ac:dyDescent="0.25">
      <c r="F124" s="10"/>
      <c r="G124" s="11"/>
      <c r="H124" s="12"/>
      <c r="I124" s="11"/>
    </row>
    <row r="125" spans="6:9" x14ac:dyDescent="0.25">
      <c r="F125" s="10"/>
      <c r="G125" s="11"/>
      <c r="H125" s="12"/>
      <c r="I125" s="11"/>
    </row>
    <row r="126" spans="6:9" x14ac:dyDescent="0.25">
      <c r="F126" s="10"/>
      <c r="G126" s="11"/>
      <c r="H126" s="12"/>
      <c r="I126" s="11"/>
    </row>
    <row r="127" spans="6:9" x14ac:dyDescent="0.25">
      <c r="F127" s="10"/>
      <c r="G127" s="11"/>
      <c r="H127" s="12"/>
      <c r="I127" s="11"/>
    </row>
    <row r="128" spans="6:9" x14ac:dyDescent="0.25">
      <c r="F128" s="10"/>
      <c r="G128" s="11"/>
      <c r="H128" s="12"/>
      <c r="I128" s="11"/>
    </row>
    <row r="129" spans="6:9" x14ac:dyDescent="0.25">
      <c r="F129" s="10"/>
      <c r="G129" s="11"/>
      <c r="H129" s="12"/>
      <c r="I129" s="11"/>
    </row>
    <row r="130" spans="6:9" x14ac:dyDescent="0.25">
      <c r="F130" s="10"/>
      <c r="G130" s="11"/>
      <c r="H130" s="12"/>
      <c r="I130" s="11"/>
    </row>
    <row r="131" spans="6:9" x14ac:dyDescent="0.25">
      <c r="F131" s="10"/>
      <c r="G131" s="11"/>
      <c r="H131" s="12"/>
      <c r="I131" s="11"/>
    </row>
    <row r="132" spans="6:9" x14ac:dyDescent="0.25">
      <c r="F132" s="10"/>
      <c r="G132" s="11"/>
      <c r="H132" s="12"/>
      <c r="I132" s="11"/>
    </row>
    <row r="133" spans="6:9" x14ac:dyDescent="0.25">
      <c r="F133" s="10"/>
      <c r="G133" s="11"/>
      <c r="H133" s="12"/>
      <c r="I133" s="11"/>
    </row>
    <row r="134" spans="6:9" x14ac:dyDescent="0.25">
      <c r="F134" s="10"/>
      <c r="G134" s="11"/>
      <c r="H134" s="12"/>
      <c r="I134" s="11"/>
    </row>
    <row r="135" spans="6:9" x14ac:dyDescent="0.25">
      <c r="F135" s="10"/>
      <c r="G135" s="11"/>
      <c r="H135" s="12"/>
      <c r="I135" s="11"/>
    </row>
    <row r="136" spans="6:9" x14ac:dyDescent="0.25">
      <c r="F136" s="10"/>
      <c r="G136" s="11"/>
      <c r="H136" s="12"/>
      <c r="I136" s="11"/>
    </row>
    <row r="137" spans="6:9" x14ac:dyDescent="0.25">
      <c r="F137" s="10"/>
      <c r="G137" s="11"/>
      <c r="H137" s="12"/>
      <c r="I137" s="11"/>
    </row>
    <row r="138" spans="6:9" x14ac:dyDescent="0.25">
      <c r="F138" s="10"/>
      <c r="G138" s="11"/>
      <c r="H138" s="12"/>
      <c r="I138" s="11"/>
    </row>
    <row r="139" spans="6:9" x14ac:dyDescent="0.25">
      <c r="F139" s="10"/>
      <c r="G139" s="11"/>
      <c r="H139" s="12"/>
      <c r="I139" s="11"/>
    </row>
    <row r="140" spans="6:9" x14ac:dyDescent="0.25">
      <c r="F140" s="10"/>
      <c r="G140" s="11"/>
      <c r="H140" s="12"/>
      <c r="I140" s="11"/>
    </row>
    <row r="141" spans="6:9" x14ac:dyDescent="0.25">
      <c r="F141" s="10"/>
      <c r="G141" s="11"/>
      <c r="H141" s="12"/>
      <c r="I141" s="11"/>
    </row>
    <row r="142" spans="6:9" x14ac:dyDescent="0.25">
      <c r="F142" s="10"/>
      <c r="G142" s="11"/>
      <c r="H142" s="12"/>
      <c r="I142" s="11"/>
    </row>
    <row r="143" spans="6:9" x14ac:dyDescent="0.25">
      <c r="F143" s="10"/>
      <c r="G143" s="11"/>
      <c r="H143" s="12"/>
      <c r="I143" s="11"/>
    </row>
    <row r="144" spans="6:9" x14ac:dyDescent="0.25">
      <c r="F144" s="10"/>
      <c r="G144" s="11"/>
      <c r="H144" s="12"/>
      <c r="I144" s="11"/>
    </row>
    <row r="145" spans="6:9" x14ac:dyDescent="0.25">
      <c r="F145" s="10"/>
      <c r="G145" s="11"/>
      <c r="H145" s="12"/>
      <c r="I145" s="11"/>
    </row>
    <row r="146" spans="6:9" x14ac:dyDescent="0.25">
      <c r="F146" s="10"/>
      <c r="G146" s="11"/>
      <c r="H146" s="12"/>
      <c r="I146" s="11"/>
    </row>
    <row r="147" spans="6:9" x14ac:dyDescent="0.25">
      <c r="F147" s="10"/>
      <c r="G147" s="11"/>
      <c r="H147" s="12"/>
      <c r="I147" s="11"/>
    </row>
    <row r="148" spans="6:9" x14ac:dyDescent="0.25">
      <c r="F148" s="10"/>
      <c r="G148" s="11"/>
      <c r="H148" s="12"/>
      <c r="I148" s="11"/>
    </row>
    <row r="149" spans="6:9" x14ac:dyDescent="0.25">
      <c r="F149" s="10"/>
      <c r="G149" s="11"/>
      <c r="H149" s="12"/>
      <c r="I149" s="11"/>
    </row>
    <row r="150" spans="6:9" x14ac:dyDescent="0.25">
      <c r="F150" s="10"/>
      <c r="G150" s="11"/>
      <c r="H150" s="12"/>
      <c r="I150" s="11"/>
    </row>
    <row r="151" spans="6:9" x14ac:dyDescent="0.25">
      <c r="F151" s="10"/>
      <c r="G151" s="11"/>
      <c r="H151" s="12"/>
      <c r="I151" s="11"/>
    </row>
    <row r="152" spans="6:9" x14ac:dyDescent="0.25">
      <c r="F152" s="10"/>
      <c r="G152" s="11"/>
      <c r="H152" s="12"/>
      <c r="I152" s="11"/>
    </row>
    <row r="153" spans="6:9" x14ac:dyDescent="0.25">
      <c r="F153" s="10"/>
      <c r="G153" s="11"/>
      <c r="H153" s="12"/>
      <c r="I153" s="11"/>
    </row>
    <row r="154" spans="6:9" x14ac:dyDescent="0.25">
      <c r="F154" s="10"/>
      <c r="G154" s="11"/>
      <c r="H154" s="12"/>
      <c r="I154" s="11"/>
    </row>
    <row r="155" spans="6:9" x14ac:dyDescent="0.25">
      <c r="F155" s="10"/>
      <c r="G155" s="11"/>
      <c r="H155" s="12"/>
      <c r="I155" s="11"/>
    </row>
    <row r="156" spans="6:9" x14ac:dyDescent="0.25">
      <c r="F156" s="10"/>
      <c r="G156" s="11"/>
      <c r="H156" s="12"/>
      <c r="I156" s="11"/>
    </row>
    <row r="157" spans="6:9" x14ac:dyDescent="0.25">
      <c r="F157" s="10"/>
      <c r="G157" s="11"/>
      <c r="H157" s="12"/>
      <c r="I157" s="11"/>
    </row>
    <row r="158" spans="6:9" x14ac:dyDescent="0.25">
      <c r="F158" s="10"/>
      <c r="G158" s="11"/>
      <c r="H158" s="12"/>
      <c r="I158" s="11"/>
    </row>
    <row r="159" spans="6:9" x14ac:dyDescent="0.25">
      <c r="F159" s="10"/>
      <c r="G159" s="11"/>
      <c r="H159" s="12"/>
      <c r="I159" s="11"/>
    </row>
    <row r="160" spans="6:9" x14ac:dyDescent="0.25">
      <c r="F160" s="10"/>
      <c r="G160" s="11"/>
      <c r="H160" s="12"/>
      <c r="I160" s="11"/>
    </row>
    <row r="161" spans="6:9" x14ac:dyDescent="0.25">
      <c r="F161" s="10"/>
      <c r="G161" s="11"/>
      <c r="H161" s="12"/>
      <c r="I161" s="11"/>
    </row>
    <row r="162" spans="6:9" x14ac:dyDescent="0.25">
      <c r="F162" s="10"/>
      <c r="G162" s="11"/>
      <c r="H162" s="12"/>
      <c r="I162" s="11"/>
    </row>
    <row r="163" spans="6:9" x14ac:dyDescent="0.25">
      <c r="F163" s="10"/>
      <c r="G163" s="11"/>
      <c r="H163" s="12"/>
      <c r="I163" s="11"/>
    </row>
    <row r="164" spans="6:9" x14ac:dyDescent="0.25">
      <c r="F164" s="10"/>
      <c r="G164" s="11"/>
      <c r="H164" s="12"/>
      <c r="I164" s="11"/>
    </row>
    <row r="165" spans="6:9" x14ac:dyDescent="0.25">
      <c r="F165" s="10"/>
      <c r="G165" s="11"/>
      <c r="H165" s="12"/>
      <c r="I165" s="11"/>
    </row>
    <row r="166" spans="6:9" x14ac:dyDescent="0.25">
      <c r="F166" s="10"/>
      <c r="G166" s="11"/>
      <c r="H166" s="12"/>
      <c r="I166" s="11"/>
    </row>
    <row r="167" spans="6:9" x14ac:dyDescent="0.25">
      <c r="F167" s="10"/>
      <c r="G167" s="11"/>
      <c r="H167" s="12"/>
      <c r="I167" s="11"/>
    </row>
    <row r="168" spans="6:9" x14ac:dyDescent="0.25">
      <c r="F168" s="10"/>
      <c r="G168" s="11"/>
      <c r="H168" s="12"/>
      <c r="I168" s="11"/>
    </row>
    <row r="169" spans="6:9" x14ac:dyDescent="0.25">
      <c r="F169" s="10"/>
      <c r="G169" s="11"/>
      <c r="H169" s="12"/>
      <c r="I169" s="11"/>
    </row>
    <row r="170" spans="6:9" x14ac:dyDescent="0.25">
      <c r="F170" s="10"/>
      <c r="G170" s="11"/>
      <c r="H170" s="12"/>
      <c r="I170" s="11"/>
    </row>
    <row r="171" spans="6:9" x14ac:dyDescent="0.25">
      <c r="F171" s="10"/>
      <c r="G171" s="11"/>
      <c r="H171" s="12"/>
      <c r="I171" s="11"/>
    </row>
    <row r="172" spans="6:9" x14ac:dyDescent="0.25">
      <c r="F172" s="10"/>
      <c r="G172" s="11"/>
      <c r="H172" s="12"/>
      <c r="I172" s="11"/>
    </row>
    <row r="173" spans="6:9" x14ac:dyDescent="0.25">
      <c r="F173" s="10"/>
      <c r="G173" s="11"/>
      <c r="H173" s="12"/>
      <c r="I173" s="11"/>
    </row>
    <row r="174" spans="6:9" x14ac:dyDescent="0.25">
      <c r="F174" s="10"/>
      <c r="G174" s="11"/>
      <c r="H174" s="12"/>
      <c r="I174" s="11"/>
    </row>
    <row r="175" spans="6:9" x14ac:dyDescent="0.25">
      <c r="F175" s="10"/>
      <c r="G175" s="11"/>
      <c r="H175" s="12"/>
      <c r="I175" s="11"/>
    </row>
    <row r="176" spans="6:9" x14ac:dyDescent="0.25">
      <c r="F176" s="10"/>
      <c r="G176" s="11"/>
      <c r="H176" s="12"/>
      <c r="I176" s="11"/>
    </row>
    <row r="177" spans="6:9" x14ac:dyDescent="0.25">
      <c r="F177" s="10"/>
      <c r="G177" s="11"/>
      <c r="H177" s="12"/>
      <c r="I177" s="11"/>
    </row>
    <row r="178" spans="6:9" x14ac:dyDescent="0.25">
      <c r="F178" s="10"/>
      <c r="G178" s="11"/>
      <c r="H178" s="12"/>
      <c r="I178" s="11"/>
    </row>
    <row r="179" spans="6:9" x14ac:dyDescent="0.25">
      <c r="F179" s="10"/>
      <c r="G179" s="11"/>
      <c r="H179" s="12"/>
      <c r="I179" s="11"/>
    </row>
    <row r="180" spans="6:9" x14ac:dyDescent="0.25">
      <c r="F180" s="10"/>
      <c r="G180" s="11"/>
      <c r="H180" s="12"/>
      <c r="I180" s="11"/>
    </row>
    <row r="181" spans="6:9" x14ac:dyDescent="0.25">
      <c r="F181" s="10"/>
      <c r="G181" s="11"/>
      <c r="H181" s="12"/>
      <c r="I181" s="11"/>
    </row>
    <row r="182" spans="6:9" x14ac:dyDescent="0.25">
      <c r="F182" s="10"/>
      <c r="G182" s="11"/>
      <c r="H182" s="12"/>
      <c r="I182" s="11"/>
    </row>
    <row r="183" spans="6:9" x14ac:dyDescent="0.25">
      <c r="F183" s="10"/>
      <c r="G183" s="11"/>
      <c r="H183" s="12"/>
      <c r="I183" s="11"/>
    </row>
    <row r="184" spans="6:9" x14ac:dyDescent="0.25">
      <c r="F184" s="10"/>
      <c r="G184" s="11"/>
      <c r="H184" s="12"/>
      <c r="I184" s="11"/>
    </row>
    <row r="185" spans="6:9" x14ac:dyDescent="0.25">
      <c r="F185" s="10"/>
      <c r="G185" s="11"/>
      <c r="H185" s="12"/>
      <c r="I185" s="11"/>
    </row>
  </sheetData>
  <mergeCells count="12">
    <mergeCell ref="D32:I32"/>
    <mergeCell ref="D39:E39"/>
    <mergeCell ref="D42:I42"/>
    <mergeCell ref="D48:E48"/>
    <mergeCell ref="D51:I51"/>
    <mergeCell ref="D62:E62"/>
    <mergeCell ref="D3:I3"/>
    <mergeCell ref="D8:E8"/>
    <mergeCell ref="D10:I10"/>
    <mergeCell ref="D17:E17"/>
    <mergeCell ref="D20:I20"/>
    <mergeCell ref="D30:E30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I9"/>
  <sheetViews>
    <sheetView workbookViewId="0">
      <selection activeCell="G12" sqref="G12"/>
    </sheetView>
  </sheetViews>
  <sheetFormatPr defaultRowHeight="15" x14ac:dyDescent="0.25"/>
  <cols>
    <col min="6" max="6" width="10.28515625" customWidth="1"/>
    <col min="7" max="7" width="20.42578125" customWidth="1"/>
    <col min="8" max="8" width="18" customWidth="1"/>
    <col min="9" max="9" width="16.42578125" bestFit="1" customWidth="1"/>
  </cols>
  <sheetData>
    <row r="6" spans="6:9" x14ac:dyDescent="0.25">
      <c r="F6" t="s">
        <v>71</v>
      </c>
      <c r="G6" t="s">
        <v>69</v>
      </c>
      <c r="H6" t="s">
        <v>70</v>
      </c>
      <c r="I6" t="s">
        <v>53</v>
      </c>
    </row>
    <row r="7" spans="6:9" x14ac:dyDescent="0.25">
      <c r="F7" t="s">
        <v>18</v>
      </c>
      <c r="G7" s="4">
        <f>Tabela1[[#Totals],[Estimativa Total]]</f>
        <v>528500</v>
      </c>
      <c r="H7" s="4">
        <f>'Custo de Pessoal'!I62</f>
        <v>1246000</v>
      </c>
      <c r="I7" s="4">
        <f>SUM(G7:H7)</f>
        <v>1774500</v>
      </c>
    </row>
    <row r="9" spans="6:9" x14ac:dyDescent="0.25">
      <c r="G9" s="19">
        <f>Tabela8[Custo de Estimativa]/Tabela8[Custo Total]</f>
        <v>0.2978303747534517</v>
      </c>
      <c r="H9" s="19">
        <f>Tabela8[Custo de Pessoal]/Tabela8[Custo Total]</f>
        <v>0.70216962524654836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Estimativa de Custos</vt:lpstr>
      <vt:lpstr>Custo de Pessoal</vt:lpstr>
      <vt:lpstr>Custo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2019-11-26T23:13:30Z</dcterms:modified>
</cp:coreProperties>
</file>