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B21DFEAD-83A4-5746-A226-5249848E362E}" xr6:coauthVersionLast="47" xr6:coauthVersionMax="47" xr10:uidLastSave="{00000000-0000-0000-0000-000000000000}"/>
  <bookViews>
    <workbookView xWindow="35840" yWindow="0" windowWidth="38400" windowHeight="21600" activeTab="5" xr2:uid="{E3999CCB-9ED0-3445-84E9-42CD1661CA3C}"/>
  </bookViews>
  <sheets>
    <sheet name="data" sheetId="1" r:id="rId1"/>
    <sheet name="Feuil37" sheetId="64" state="hidden" r:id="rId2"/>
    <sheet name="me" sheetId="2" state="hidden" r:id="rId3"/>
    <sheet name="siegmund2012" sheetId="27" r:id="rId4"/>
    <sheet name="peitek2021" sheetId="71" r:id="rId5"/>
    <sheet name="Synthesis" sheetId="82" r:id="rId6"/>
    <sheet name="ArrAvg" sheetId="65" state="hidden" r:id="rId7"/>
    <sheet name="CountSubstr" sheetId="66" state="hidden" r:id="rId8"/>
    <sheet name="CountVwls" sheetId="67" state="hidden" r:id="rId9"/>
    <sheet name="DumbSort" sheetId="68" state="hidden" r:id="rId10"/>
    <sheet name="GrCoDiv" sheetId="69" state="hidden" r:id="rId11"/>
    <sheet name="hIndex" sheetId="70" state="hidden" r:id="rId12"/>
    <sheet name="isHur" sheetId="72" state="hidden" r:id="rId13"/>
    <sheet name="isPalind" sheetId="73" state="hidden" r:id="rId14"/>
    <sheet name="lgthLastWd" sheetId="74" state="hidden" r:id="rId15"/>
    <sheet name="binToDec" sheetId="75" state="hidden" r:id="rId16"/>
    <sheet name="crosSum" sheetId="76" state="hidden" r:id="rId17"/>
    <sheet name="n!" sheetId="77" state="hidden" r:id="rId18"/>
    <sheet name="fibonacci" sheetId="78" state="hidden" r:id="rId19"/>
    <sheet name="power" sheetId="79" state="hidden" r:id="rId20"/>
    <sheet name="sqrt" sheetId="80" state="hidden" r:id="rId21"/>
    <sheet name="yesNo" sheetId="81" state="hidden" r:id="rId22"/>
    <sheet name="1" sheetId="3" r:id="rId23"/>
    <sheet name="2" sheetId="4" r:id="rId24"/>
    <sheet name="3" sheetId="23" r:id="rId25"/>
    <sheet name="4" sheetId="24" r:id="rId26"/>
    <sheet name="5" sheetId="5" r:id="rId27"/>
    <sheet name="6" sheetId="6" r:id="rId28"/>
    <sheet name="7" sheetId="7" r:id="rId29"/>
    <sheet name="8" sheetId="8" r:id="rId30"/>
    <sheet name="9" sheetId="9" r:id="rId31"/>
    <sheet name="10" sheetId="10" state="hidden" r:id="rId32"/>
    <sheet name="11" sheetId="11" state="hidden" r:id="rId33"/>
    <sheet name="12" sheetId="12" state="hidden" r:id="rId34"/>
    <sheet name="13" sheetId="13" state="hidden" r:id="rId35"/>
    <sheet name="14" sheetId="14" state="hidden" r:id="rId36"/>
    <sheet name="15" sheetId="26" state="hidden" r:id="rId37"/>
    <sheet name="16" sheetId="15" state="hidden" r:id="rId38"/>
    <sheet name="17" sheetId="16" state="hidden" r:id="rId39"/>
    <sheet name="18" sheetId="17" state="hidden" r:id="rId40"/>
    <sheet name="19" sheetId="18" state="hidden" r:id="rId41"/>
    <sheet name="20" sheetId="19" r:id="rId42"/>
    <sheet name="21" sheetId="20" r:id="rId43"/>
    <sheet name="22" sheetId="21" r:id="rId44"/>
    <sheet name="23" sheetId="22" r:id="rId45"/>
  </sheets>
  <definedNames>
    <definedName name="_xlnm._FilterDatabase" localSheetId="1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9" l="1"/>
  <c r="F17" i="18"/>
  <c r="F9" i="9"/>
  <c r="F11" i="9"/>
  <c r="F13" i="9"/>
  <c r="F15" i="9"/>
  <c r="F17" i="9"/>
  <c r="E8" i="8"/>
  <c r="F8" i="3"/>
  <c r="F9" i="3"/>
  <c r="F10" i="3"/>
  <c r="F11" i="3"/>
  <c r="F12" i="3"/>
  <c r="F13" i="3"/>
  <c r="F14" i="3"/>
  <c r="F15" i="3"/>
  <c r="F3" i="3"/>
  <c r="G31" i="27"/>
  <c r="H9" i="4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3" i="4"/>
  <c r="G32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4" i="24"/>
  <c r="I26" i="24"/>
  <c r="I3" i="24"/>
  <c r="G33" i="27"/>
  <c r="I10" i="5"/>
  <c r="I11" i="5"/>
  <c r="I12" i="5"/>
  <c r="I13" i="5"/>
  <c r="I14" i="5"/>
  <c r="I15" i="5"/>
  <c r="I16" i="5"/>
  <c r="I17" i="5"/>
  <c r="I18" i="5"/>
  <c r="I19" i="5"/>
  <c r="I20" i="5"/>
  <c r="I21" i="5"/>
  <c r="I3" i="5"/>
  <c r="G34" i="27"/>
  <c r="F9" i="6"/>
  <c r="F10" i="6"/>
  <c r="F11" i="6"/>
  <c r="F12" i="6"/>
  <c r="F13" i="6"/>
  <c r="F14" i="6"/>
  <c r="F3" i="6"/>
  <c r="G35" i="27"/>
  <c r="G7" i="7"/>
  <c r="G8" i="7"/>
  <c r="G9" i="7"/>
  <c r="G10" i="7"/>
  <c r="G11" i="7"/>
  <c r="G12" i="7"/>
  <c r="G13" i="7"/>
  <c r="G3" i="7"/>
  <c r="G36" i="27"/>
  <c r="G8" i="8"/>
  <c r="G9" i="8"/>
  <c r="G10" i="8"/>
  <c r="G11" i="8"/>
  <c r="G12" i="8"/>
  <c r="G13" i="8"/>
  <c r="G14" i="8"/>
  <c r="G15" i="8"/>
  <c r="G3" i="8"/>
  <c r="G37" i="27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3" i="9"/>
  <c r="G38" i="27"/>
  <c r="G9" i="10"/>
  <c r="G10" i="10"/>
  <c r="G3" i="10"/>
  <c r="G39" i="27"/>
  <c r="H4" i="11"/>
  <c r="H9" i="11"/>
  <c r="H10" i="11"/>
  <c r="H11" i="11"/>
  <c r="H3" i="11"/>
  <c r="G40" i="27"/>
  <c r="H8" i="12"/>
  <c r="H9" i="12"/>
  <c r="H10" i="12"/>
  <c r="H3" i="12"/>
  <c r="G41" i="27"/>
  <c r="G8" i="14"/>
  <c r="G9" i="14"/>
  <c r="G10" i="14"/>
  <c r="G11" i="14"/>
  <c r="G12" i="14"/>
  <c r="G13" i="14"/>
  <c r="G14" i="14"/>
  <c r="G15" i="14"/>
  <c r="G16" i="14"/>
  <c r="G3" i="14"/>
  <c r="G43" i="27"/>
  <c r="I9" i="16"/>
  <c r="I11" i="16"/>
  <c r="I13" i="16"/>
  <c r="I3" i="16"/>
  <c r="G45" i="27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" i="18"/>
  <c r="G46" i="27"/>
  <c r="G8" i="19"/>
  <c r="G10" i="19"/>
  <c r="G11" i="19"/>
  <c r="G12" i="19"/>
  <c r="G13" i="19"/>
  <c r="G14" i="19"/>
  <c r="G15" i="19"/>
  <c r="G16" i="19"/>
  <c r="G17" i="19"/>
  <c r="G18" i="19"/>
  <c r="G3" i="19"/>
  <c r="G47" i="27"/>
  <c r="G7" i="20"/>
  <c r="G8" i="20"/>
  <c r="G12" i="20"/>
  <c r="G14" i="20"/>
  <c r="G3" i="20"/>
  <c r="G48" i="27"/>
  <c r="F7" i="22"/>
  <c r="F8" i="22"/>
  <c r="F9" i="22"/>
  <c r="F10" i="22"/>
  <c r="F11" i="22"/>
  <c r="F12" i="22"/>
  <c r="F13" i="22"/>
  <c r="F14" i="22"/>
  <c r="F15" i="22"/>
  <c r="F18" i="22"/>
  <c r="F20" i="22"/>
  <c r="F22" i="22"/>
  <c r="F24" i="22"/>
  <c r="F3" i="22"/>
  <c r="G49" i="27"/>
  <c r="G42" i="27"/>
  <c r="G44" i="27"/>
  <c r="G50" i="27"/>
  <c r="I4" i="82"/>
  <c r="G4" i="82"/>
  <c r="D10" i="3"/>
  <c r="D11" i="3"/>
  <c r="D13" i="3"/>
  <c r="D14" i="3"/>
  <c r="D3" i="3"/>
  <c r="F31" i="27"/>
  <c r="G13" i="4"/>
  <c r="G14" i="4"/>
  <c r="G16" i="4"/>
  <c r="G17" i="4"/>
  <c r="G18" i="4"/>
  <c r="G19" i="4"/>
  <c r="G20" i="4"/>
  <c r="G21" i="4"/>
  <c r="G22" i="4"/>
  <c r="G23" i="4"/>
  <c r="G24" i="4"/>
  <c r="G25" i="4"/>
  <c r="G3" i="4"/>
  <c r="F32" i="27"/>
  <c r="G9" i="24"/>
  <c r="G10" i="24"/>
  <c r="G15" i="24"/>
  <c r="G16" i="24"/>
  <c r="G17" i="24"/>
  <c r="G18" i="24"/>
  <c r="G19" i="24"/>
  <c r="G20" i="24"/>
  <c r="G21" i="24"/>
  <c r="G24" i="24"/>
  <c r="G26" i="24"/>
  <c r="G3" i="24"/>
  <c r="F33" i="27"/>
  <c r="G13" i="5"/>
  <c r="G14" i="5"/>
  <c r="G15" i="5"/>
  <c r="G18" i="5"/>
  <c r="G19" i="5"/>
  <c r="G20" i="5"/>
  <c r="G21" i="5"/>
  <c r="G3" i="5"/>
  <c r="F34" i="27"/>
  <c r="E9" i="6"/>
  <c r="E10" i="6"/>
  <c r="E11" i="6"/>
  <c r="E12" i="6"/>
  <c r="E13" i="6"/>
  <c r="E14" i="6"/>
  <c r="E3" i="6"/>
  <c r="F35" i="27"/>
  <c r="E10" i="7"/>
  <c r="E11" i="7"/>
  <c r="E12" i="7"/>
  <c r="E13" i="7"/>
  <c r="E3" i="7"/>
  <c r="F36" i="27"/>
  <c r="E10" i="8"/>
  <c r="E11" i="8"/>
  <c r="E12" i="8"/>
  <c r="E13" i="8"/>
  <c r="E14" i="8"/>
  <c r="E15" i="8"/>
  <c r="E3" i="8"/>
  <c r="F37" i="27"/>
  <c r="F8" i="9"/>
  <c r="F10" i="9"/>
  <c r="F12" i="9"/>
  <c r="F14" i="9"/>
  <c r="F16" i="9"/>
  <c r="F18" i="9"/>
  <c r="F19" i="9"/>
  <c r="F20" i="9"/>
  <c r="F21" i="9"/>
  <c r="F22" i="9"/>
  <c r="F23" i="9"/>
  <c r="F24" i="9"/>
  <c r="F3" i="9"/>
  <c r="F38" i="27"/>
  <c r="F10" i="11"/>
  <c r="F11" i="11"/>
  <c r="F3" i="11"/>
  <c r="F40" i="27"/>
  <c r="F9" i="12"/>
  <c r="F10" i="12"/>
  <c r="F3" i="12"/>
  <c r="F41" i="27"/>
  <c r="E9" i="14"/>
  <c r="E10" i="14"/>
  <c r="E11" i="14"/>
  <c r="E12" i="14"/>
  <c r="E13" i="14"/>
  <c r="E14" i="14"/>
  <c r="E15" i="14"/>
  <c r="E16" i="14"/>
  <c r="E3" i="14"/>
  <c r="F43" i="27"/>
  <c r="F11" i="18"/>
  <c r="F12" i="18"/>
  <c r="F14" i="18"/>
  <c r="F15" i="18"/>
  <c r="F16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" i="18"/>
  <c r="F46" i="27"/>
  <c r="E11" i="19"/>
  <c r="E12" i="19"/>
  <c r="E13" i="19"/>
  <c r="E14" i="19"/>
  <c r="E15" i="19"/>
  <c r="E16" i="19"/>
  <c r="E3" i="19"/>
  <c r="F47" i="27"/>
  <c r="E10" i="20"/>
  <c r="E12" i="20"/>
  <c r="E14" i="20"/>
  <c r="E3" i="20"/>
  <c r="F48" i="27"/>
  <c r="D8" i="22"/>
  <c r="D9" i="22"/>
  <c r="D10" i="22"/>
  <c r="D11" i="22"/>
  <c r="D12" i="22"/>
  <c r="D13" i="22"/>
  <c r="D14" i="22"/>
  <c r="D15" i="22"/>
  <c r="D18" i="22"/>
  <c r="D20" i="22"/>
  <c r="D22" i="22"/>
  <c r="D24" i="22"/>
  <c r="D3" i="22"/>
  <c r="F49" i="27"/>
  <c r="F39" i="27"/>
  <c r="F42" i="27"/>
  <c r="F44" i="27"/>
  <c r="F45" i="27"/>
  <c r="F50" i="27"/>
  <c r="H4" i="82"/>
  <c r="F11" i="65"/>
  <c r="F12" i="65"/>
  <c r="F13" i="65"/>
  <c r="F14" i="65"/>
  <c r="F15" i="65"/>
  <c r="F16" i="65"/>
  <c r="F17" i="65"/>
  <c r="F18" i="65"/>
  <c r="F19" i="65"/>
  <c r="F3" i="65"/>
  <c r="F4" i="71"/>
  <c r="G14" i="66"/>
  <c r="G15" i="66"/>
  <c r="G16" i="66"/>
  <c r="G17" i="66"/>
  <c r="G20" i="66"/>
  <c r="G21" i="66"/>
  <c r="G22" i="66"/>
  <c r="G23" i="66"/>
  <c r="G26" i="66"/>
  <c r="G27" i="66"/>
  <c r="G28" i="66"/>
  <c r="G29" i="66"/>
  <c r="G33" i="66"/>
  <c r="G34" i="66"/>
  <c r="G35" i="66"/>
  <c r="G37" i="66"/>
  <c r="G39" i="66"/>
  <c r="G40" i="66"/>
  <c r="G41" i="66"/>
  <c r="G43" i="66"/>
  <c r="G45" i="66"/>
  <c r="G46" i="66"/>
  <c r="G47" i="66"/>
  <c r="G49" i="66"/>
  <c r="G3" i="66"/>
  <c r="F5" i="71"/>
  <c r="H11" i="67"/>
  <c r="H12" i="67"/>
  <c r="H13" i="67"/>
  <c r="H14" i="67"/>
  <c r="H15" i="67"/>
  <c r="H16" i="67"/>
  <c r="H17" i="67"/>
  <c r="H18" i="67"/>
  <c r="H20" i="67"/>
  <c r="H21" i="67"/>
  <c r="H22" i="67"/>
  <c r="H23" i="67"/>
  <c r="H24" i="67"/>
  <c r="H26" i="67"/>
  <c r="H27" i="67"/>
  <c r="H28" i="67"/>
  <c r="H29" i="67"/>
  <c r="H30" i="67"/>
  <c r="H31" i="67"/>
  <c r="H33" i="67"/>
  <c r="H34" i="67"/>
  <c r="H35" i="67"/>
  <c r="H36" i="67"/>
  <c r="H37" i="67"/>
  <c r="H38" i="67"/>
  <c r="H39" i="67"/>
  <c r="H40" i="67"/>
  <c r="H41" i="67"/>
  <c r="H42" i="67"/>
  <c r="H43" i="67"/>
  <c r="H45" i="67"/>
  <c r="H46" i="67"/>
  <c r="H47" i="67"/>
  <c r="H48" i="67"/>
  <c r="H49" i="67"/>
  <c r="H50" i="67"/>
  <c r="H51" i="67"/>
  <c r="H52" i="67"/>
  <c r="H53" i="67"/>
  <c r="H54" i="67"/>
  <c r="H55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70" i="67"/>
  <c r="H71" i="67"/>
  <c r="H72" i="67"/>
  <c r="H73" i="67"/>
  <c r="H74" i="67"/>
  <c r="H75" i="67"/>
  <c r="H76" i="67"/>
  <c r="H77" i="67"/>
  <c r="H78" i="67"/>
  <c r="H79" i="67"/>
  <c r="H80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5" i="67"/>
  <c r="H96" i="67"/>
  <c r="H97" i="67"/>
  <c r="H98" i="67"/>
  <c r="H99" i="67"/>
  <c r="H100" i="67"/>
  <c r="H101" i="67"/>
  <c r="H102" i="67"/>
  <c r="H103" i="67"/>
  <c r="H104" i="67"/>
  <c r="H105" i="67"/>
  <c r="H107" i="67"/>
  <c r="H108" i="67"/>
  <c r="H109" i="67"/>
  <c r="H110" i="67"/>
  <c r="H111" i="67"/>
  <c r="H112" i="67"/>
  <c r="H113" i="67"/>
  <c r="H114" i="67"/>
  <c r="H115" i="67"/>
  <c r="H116" i="67"/>
  <c r="H117" i="67"/>
  <c r="H3" i="67"/>
  <c r="F6" i="71"/>
  <c r="F10" i="69"/>
  <c r="F14" i="69"/>
  <c r="F15" i="69"/>
  <c r="F16" i="69"/>
  <c r="F17" i="69"/>
  <c r="F3" i="69"/>
  <c r="F8" i="71"/>
  <c r="G13" i="70"/>
  <c r="G14" i="70"/>
  <c r="G15" i="70"/>
  <c r="G16" i="70"/>
  <c r="G17" i="70"/>
  <c r="G18" i="70"/>
  <c r="G19" i="70"/>
  <c r="G3" i="70"/>
  <c r="F9" i="71"/>
  <c r="F9" i="73"/>
  <c r="F10" i="73"/>
  <c r="F11" i="73"/>
  <c r="F12" i="73"/>
  <c r="F3" i="73"/>
  <c r="F11" i="71"/>
  <c r="G13" i="74"/>
  <c r="G14" i="74"/>
  <c r="G15" i="74"/>
  <c r="G17" i="74"/>
  <c r="G18" i="74"/>
  <c r="G19" i="74"/>
  <c r="G20" i="74"/>
  <c r="G22" i="74"/>
  <c r="G23" i="74"/>
  <c r="G24" i="74"/>
  <c r="G25" i="74"/>
  <c r="G27" i="74"/>
  <c r="G28" i="74"/>
  <c r="G29" i="74"/>
  <c r="G30" i="74"/>
  <c r="G32" i="74"/>
  <c r="G33" i="74"/>
  <c r="G34" i="74"/>
  <c r="G35" i="74"/>
  <c r="G3" i="74"/>
  <c r="F12" i="71"/>
  <c r="E9" i="75"/>
  <c r="E10" i="75"/>
  <c r="E11" i="75"/>
  <c r="E12" i="75"/>
  <c r="E13" i="75"/>
  <c r="E3" i="75"/>
  <c r="F13" i="71"/>
  <c r="E7" i="76"/>
  <c r="E8" i="76"/>
  <c r="E9" i="76"/>
  <c r="E10" i="76"/>
  <c r="E11" i="76"/>
  <c r="E12" i="76"/>
  <c r="E13" i="76"/>
  <c r="E14" i="76"/>
  <c r="E3" i="76"/>
  <c r="F14" i="71"/>
  <c r="D7" i="77"/>
  <c r="D8" i="77"/>
  <c r="D9" i="77"/>
  <c r="D10" i="77"/>
  <c r="D11" i="77"/>
  <c r="D12" i="77"/>
  <c r="D3" i="77"/>
  <c r="F15" i="71"/>
  <c r="D7" i="78"/>
  <c r="D8" i="78"/>
  <c r="D9" i="78"/>
  <c r="D10" i="78"/>
  <c r="D12" i="78"/>
  <c r="D14" i="78"/>
  <c r="D3" i="78"/>
  <c r="F16" i="71"/>
  <c r="E9" i="79"/>
  <c r="E10" i="79"/>
  <c r="E11" i="79"/>
  <c r="E13" i="79"/>
  <c r="E14" i="79"/>
  <c r="E3" i="79"/>
  <c r="F17" i="71"/>
  <c r="E12" i="80"/>
  <c r="E13" i="80"/>
  <c r="E14" i="80"/>
  <c r="E16" i="80"/>
  <c r="E17" i="80"/>
  <c r="E18" i="80"/>
  <c r="E19" i="80"/>
  <c r="E21" i="80"/>
  <c r="E22" i="80"/>
  <c r="E23" i="80"/>
  <c r="E24" i="80"/>
  <c r="E25" i="80"/>
  <c r="E26" i="80"/>
  <c r="E3" i="80"/>
  <c r="F18" i="71"/>
  <c r="F7" i="71"/>
  <c r="F10" i="71"/>
  <c r="F19" i="71"/>
  <c r="F20" i="71"/>
  <c r="H5" i="82"/>
  <c r="G5" i="82"/>
  <c r="H6" i="82"/>
  <c r="E7" i="81"/>
  <c r="E8" i="81"/>
  <c r="E9" i="81"/>
  <c r="E10" i="81"/>
  <c r="E3" i="81"/>
  <c r="G19" i="71"/>
  <c r="E4" i="81"/>
  <c r="D4" i="81"/>
  <c r="G12" i="80"/>
  <c r="G13" i="80"/>
  <c r="G14" i="80"/>
  <c r="G16" i="80"/>
  <c r="G17" i="80"/>
  <c r="G18" i="80"/>
  <c r="G19" i="80"/>
  <c r="G21" i="80"/>
  <c r="G22" i="80"/>
  <c r="G23" i="80"/>
  <c r="G24" i="80"/>
  <c r="G26" i="80"/>
  <c r="G7" i="80"/>
  <c r="G8" i="80"/>
  <c r="G9" i="80"/>
  <c r="G11" i="80"/>
  <c r="G3" i="80"/>
  <c r="G18" i="71"/>
  <c r="G4" i="80"/>
  <c r="F4" i="80"/>
  <c r="G10" i="79"/>
  <c r="G11" i="79"/>
  <c r="G13" i="79"/>
  <c r="G14" i="79"/>
  <c r="G8" i="79"/>
  <c r="G9" i="79"/>
  <c r="G3" i="79"/>
  <c r="G17" i="71"/>
  <c r="G4" i="79"/>
  <c r="F4" i="79"/>
  <c r="F8" i="78"/>
  <c r="F9" i="78"/>
  <c r="F10" i="78"/>
  <c r="F12" i="78"/>
  <c r="F14" i="78"/>
  <c r="F7" i="78"/>
  <c r="F3" i="78"/>
  <c r="G16" i="71"/>
  <c r="F4" i="78"/>
  <c r="E4" i="78"/>
  <c r="F8" i="77"/>
  <c r="F9" i="77"/>
  <c r="F10" i="77"/>
  <c r="F11" i="77"/>
  <c r="F12" i="77"/>
  <c r="F7" i="77"/>
  <c r="F3" i="77"/>
  <c r="G15" i="71"/>
  <c r="F4" i="77"/>
  <c r="E4" i="77"/>
  <c r="G8" i="76"/>
  <c r="G9" i="76"/>
  <c r="G10" i="76"/>
  <c r="G11" i="76"/>
  <c r="G12" i="76"/>
  <c r="G13" i="76"/>
  <c r="G14" i="76"/>
  <c r="G7" i="76"/>
  <c r="G3" i="76"/>
  <c r="G14" i="71"/>
  <c r="G4" i="76"/>
  <c r="F4" i="76"/>
  <c r="G10" i="75"/>
  <c r="G11" i="75"/>
  <c r="G13" i="75"/>
  <c r="G8" i="75"/>
  <c r="G9" i="75"/>
  <c r="G12" i="75"/>
  <c r="G3" i="75"/>
  <c r="G13" i="71"/>
  <c r="G4" i="75"/>
  <c r="F4" i="75"/>
  <c r="I14" i="74"/>
  <c r="I15" i="74"/>
  <c r="I17" i="74"/>
  <c r="I18" i="74"/>
  <c r="I19" i="74"/>
  <c r="I20" i="74"/>
  <c r="I22" i="74"/>
  <c r="I23" i="74"/>
  <c r="I24" i="74"/>
  <c r="I25" i="74"/>
  <c r="I27" i="74"/>
  <c r="I28" i="74"/>
  <c r="I29" i="74"/>
  <c r="I30" i="74"/>
  <c r="I32" i="74"/>
  <c r="I33" i="74"/>
  <c r="I34" i="74"/>
  <c r="I35" i="74"/>
  <c r="I9" i="74"/>
  <c r="I10" i="74"/>
  <c r="I13" i="74"/>
  <c r="I3" i="74"/>
  <c r="G12" i="71"/>
  <c r="I4" i="74"/>
  <c r="H4" i="74"/>
  <c r="H9" i="73"/>
  <c r="H10" i="73"/>
  <c r="H11" i="73"/>
  <c r="H12" i="73"/>
  <c r="H7" i="73"/>
  <c r="H8" i="73"/>
  <c r="H3" i="73"/>
  <c r="G11" i="71"/>
  <c r="H4" i="73"/>
  <c r="G4" i="73"/>
  <c r="F8" i="72"/>
  <c r="F9" i="72"/>
  <c r="F10" i="72"/>
  <c r="F3" i="72"/>
  <c r="G10" i="71"/>
  <c r="F4" i="72"/>
  <c r="E4" i="72"/>
  <c r="I13" i="70"/>
  <c r="I14" i="70"/>
  <c r="I15" i="70"/>
  <c r="I16" i="70"/>
  <c r="I17" i="70"/>
  <c r="I18" i="70"/>
  <c r="I19" i="70"/>
  <c r="I7" i="70"/>
  <c r="I10" i="70"/>
  <c r="I11" i="70"/>
  <c r="I12" i="70"/>
  <c r="I3" i="70"/>
  <c r="G9" i="71"/>
  <c r="I4" i="70"/>
  <c r="H4" i="70"/>
  <c r="H14" i="69"/>
  <c r="H15" i="69"/>
  <c r="H16" i="69"/>
  <c r="H17" i="69"/>
  <c r="H10" i="69"/>
  <c r="H12" i="69"/>
  <c r="H13" i="69"/>
  <c r="H3" i="69"/>
  <c r="G8" i="71"/>
  <c r="H4" i="69"/>
  <c r="G4" i="69"/>
  <c r="J11" i="68"/>
  <c r="J12" i="68"/>
  <c r="J13" i="68"/>
  <c r="J15" i="68"/>
  <c r="J16" i="68"/>
  <c r="J17" i="68"/>
  <c r="J20" i="68"/>
  <c r="J21" i="68"/>
  <c r="J19" i="68"/>
  <c r="J3" i="68"/>
  <c r="G7" i="71"/>
  <c r="I14" i="68"/>
  <c r="I15" i="68"/>
  <c r="I16" i="68"/>
  <c r="I17" i="68"/>
  <c r="I18" i="68"/>
  <c r="I19" i="68"/>
  <c r="I20" i="68"/>
  <c r="I21" i="68"/>
  <c r="I22" i="68"/>
  <c r="I13" i="68"/>
  <c r="I12" i="68"/>
  <c r="J4" i="68"/>
  <c r="I4" i="68"/>
  <c r="J93" i="67"/>
  <c r="J62" i="67"/>
  <c r="J45" i="67"/>
  <c r="J33" i="67"/>
  <c r="J31" i="67"/>
  <c r="J29" i="67"/>
  <c r="J30" i="67"/>
  <c r="J28" i="67"/>
  <c r="J27" i="67"/>
  <c r="J26" i="67"/>
  <c r="J24" i="67"/>
  <c r="J23" i="67"/>
  <c r="J22" i="67"/>
  <c r="J21" i="67"/>
  <c r="J20" i="67"/>
  <c r="J18" i="67"/>
  <c r="J17" i="67"/>
  <c r="J16" i="67"/>
  <c r="J15" i="67"/>
  <c r="J14" i="67"/>
  <c r="J12" i="67"/>
  <c r="J13" i="67"/>
  <c r="J10" i="67"/>
  <c r="J11" i="67"/>
  <c r="B8" i="67"/>
  <c r="J3" i="67"/>
  <c r="J4" i="67"/>
  <c r="I4" i="67"/>
  <c r="I49" i="66"/>
  <c r="I47" i="66"/>
  <c r="I46" i="66"/>
  <c r="I45" i="66"/>
  <c r="I43" i="66"/>
  <c r="I37" i="66"/>
  <c r="I31" i="66"/>
  <c r="I41" i="66"/>
  <c r="I40" i="66"/>
  <c r="I39" i="66"/>
  <c r="I35" i="66"/>
  <c r="I34" i="66"/>
  <c r="I33" i="66"/>
  <c r="I29" i="66"/>
  <c r="I28" i="66"/>
  <c r="I27" i="66"/>
  <c r="I26" i="66"/>
  <c r="I22" i="66"/>
  <c r="I23" i="66"/>
  <c r="I21" i="66"/>
  <c r="I20" i="66"/>
  <c r="I17" i="66"/>
  <c r="I16" i="66"/>
  <c r="I15" i="66"/>
  <c r="I14" i="66"/>
  <c r="I11" i="66"/>
  <c r="I10" i="66"/>
  <c r="I3" i="66"/>
  <c r="I4" i="66"/>
  <c r="H4" i="66"/>
  <c r="H11" i="65"/>
  <c r="H12" i="65"/>
  <c r="H13" i="65"/>
  <c r="H14" i="65"/>
  <c r="H15" i="65"/>
  <c r="H16" i="65"/>
  <c r="H17" i="65"/>
  <c r="H18" i="65"/>
  <c r="H19" i="65"/>
  <c r="H9" i="65"/>
  <c r="H10" i="65"/>
  <c r="H3" i="65"/>
  <c r="G4" i="71"/>
  <c r="G5" i="71"/>
  <c r="G6" i="71"/>
  <c r="H4" i="65"/>
  <c r="G12" i="3"/>
  <c r="G11" i="3"/>
  <c r="G10" i="3"/>
  <c r="G3" i="3"/>
  <c r="G4" i="3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2" i="1"/>
  <c r="J23" i="1"/>
  <c r="J24" i="1"/>
  <c r="J26" i="1"/>
  <c r="F4" i="22"/>
  <c r="E4" i="22"/>
  <c r="G4" i="20"/>
  <c r="F4" i="20"/>
  <c r="G4" i="19"/>
  <c r="F4" i="19"/>
  <c r="D27" i="18"/>
  <c r="D23" i="18"/>
  <c r="D19" i="18"/>
  <c r="D15" i="18"/>
  <c r="D11" i="18"/>
  <c r="D8" i="18"/>
  <c r="H4" i="18"/>
  <c r="G4" i="18"/>
  <c r="I4" i="16"/>
  <c r="H4" i="16"/>
  <c r="G3" i="15"/>
  <c r="G4" i="15"/>
  <c r="F4" i="15"/>
  <c r="G4" i="14"/>
  <c r="F4" i="14"/>
  <c r="G3" i="13"/>
  <c r="G4" i="13"/>
  <c r="F4" i="13"/>
  <c r="H4" i="12"/>
  <c r="G4" i="12"/>
  <c r="G4" i="11"/>
  <c r="H4" i="9"/>
  <c r="G4" i="9"/>
  <c r="G4" i="8"/>
  <c r="F4" i="8"/>
  <c r="G4" i="7"/>
  <c r="F4" i="7"/>
  <c r="F4" i="6"/>
  <c r="I4" i="5"/>
  <c r="H4" i="5"/>
  <c r="H10" i="24"/>
  <c r="H16" i="24"/>
  <c r="H21" i="24"/>
  <c r="B21" i="24"/>
  <c r="B20" i="24"/>
  <c r="B14" i="24"/>
  <c r="B15" i="24"/>
  <c r="H17" i="24"/>
  <c r="H18" i="24"/>
  <c r="I4" i="24"/>
  <c r="H4" i="24"/>
  <c r="H4" i="4"/>
  <c r="G4" i="10"/>
  <c r="E19" i="22"/>
  <c r="E21" i="22"/>
  <c r="E23" i="22"/>
  <c r="E25" i="22"/>
  <c r="E9" i="22"/>
  <c r="E11" i="22"/>
  <c r="E13" i="22"/>
  <c r="E15" i="22"/>
  <c r="E3" i="22"/>
  <c r="F13" i="20"/>
  <c r="F15" i="20"/>
  <c r="F3" i="20"/>
  <c r="F3" i="19"/>
  <c r="G14" i="18"/>
  <c r="G18" i="18"/>
  <c r="G22" i="18"/>
  <c r="G26" i="18"/>
  <c r="G30" i="18"/>
  <c r="G3" i="18"/>
  <c r="H3" i="16"/>
  <c r="F3" i="15"/>
  <c r="F3" i="14"/>
  <c r="F3" i="13"/>
  <c r="G3" i="12"/>
  <c r="G3" i="11"/>
  <c r="F3" i="10"/>
  <c r="G3" i="9"/>
  <c r="F3" i="8"/>
  <c r="F11" i="7"/>
  <c r="F13" i="7"/>
  <c r="F3" i="7"/>
  <c r="H15" i="5"/>
  <c r="H20" i="5"/>
  <c r="H21" i="5"/>
  <c r="H3" i="5"/>
  <c r="H25" i="24"/>
  <c r="H27" i="24"/>
  <c r="H3" i="24"/>
  <c r="E3" i="3"/>
  <c r="F4" i="3"/>
  <c r="E4" i="3"/>
  <c r="G9" i="65"/>
  <c r="G12" i="65"/>
  <c r="G15" i="65"/>
  <c r="G18" i="65"/>
  <c r="G11" i="65"/>
  <c r="G13" i="65"/>
  <c r="G14" i="65"/>
  <c r="G16" i="65"/>
  <c r="G17" i="65"/>
  <c r="G19" i="65"/>
  <c r="G3" i="65"/>
  <c r="I10" i="67"/>
  <c r="I12" i="67"/>
  <c r="I14" i="67"/>
  <c r="I16" i="67"/>
  <c r="I18" i="67"/>
  <c r="I22" i="67"/>
  <c r="I24" i="67"/>
  <c r="I27" i="67"/>
  <c r="I29" i="67"/>
  <c r="I31" i="67"/>
  <c r="I35" i="67"/>
  <c r="I37" i="67"/>
  <c r="I39" i="67"/>
  <c r="I41" i="67"/>
  <c r="I43" i="67"/>
  <c r="I47" i="67"/>
  <c r="I49" i="67"/>
  <c r="I51" i="67"/>
  <c r="I53" i="67"/>
  <c r="I55" i="67"/>
  <c r="I59" i="67"/>
  <c r="I61" i="67"/>
  <c r="I64" i="67"/>
  <c r="I66" i="67"/>
  <c r="I68" i="67"/>
  <c r="I72" i="67"/>
  <c r="I74" i="67"/>
  <c r="I76" i="67"/>
  <c r="I78" i="67"/>
  <c r="I80" i="67"/>
  <c r="I84" i="67"/>
  <c r="I86" i="67"/>
  <c r="I88" i="67"/>
  <c r="I90" i="67"/>
  <c r="I92" i="67"/>
  <c r="I97" i="67"/>
  <c r="I99" i="67"/>
  <c r="I101" i="67"/>
  <c r="I103" i="67"/>
  <c r="I105" i="67"/>
  <c r="I109" i="67"/>
  <c r="I111" i="67"/>
  <c r="I113" i="67"/>
  <c r="I115" i="67"/>
  <c r="I117" i="67"/>
  <c r="I11" i="67"/>
  <c r="I13" i="67"/>
  <c r="I15" i="67"/>
  <c r="I17" i="67"/>
  <c r="I20" i="67"/>
  <c r="I21" i="67"/>
  <c r="I23" i="67"/>
  <c r="I26" i="67"/>
  <c r="I28" i="67"/>
  <c r="I30" i="67"/>
  <c r="I33" i="67"/>
  <c r="I34" i="67"/>
  <c r="I36" i="67"/>
  <c r="I38" i="67"/>
  <c r="I40" i="67"/>
  <c r="I42" i="67"/>
  <c r="I45" i="67"/>
  <c r="I46" i="67"/>
  <c r="I48" i="67"/>
  <c r="I50" i="67"/>
  <c r="I52" i="67"/>
  <c r="I54" i="67"/>
  <c r="I57" i="67"/>
  <c r="I58" i="67"/>
  <c r="I60" i="67"/>
  <c r="I62" i="67"/>
  <c r="I63" i="67"/>
  <c r="I65" i="67"/>
  <c r="I67" i="67"/>
  <c r="I70" i="67"/>
  <c r="I71" i="67"/>
  <c r="I73" i="67"/>
  <c r="I75" i="67"/>
  <c r="I77" i="67"/>
  <c r="I79" i="67"/>
  <c r="I82" i="67"/>
  <c r="I83" i="67"/>
  <c r="I85" i="67"/>
  <c r="I87" i="67"/>
  <c r="I89" i="67"/>
  <c r="I91" i="67"/>
  <c r="I93" i="67"/>
  <c r="I95" i="67"/>
  <c r="I96" i="67"/>
  <c r="I98" i="67"/>
  <c r="I100" i="67"/>
  <c r="I102" i="67"/>
  <c r="I104" i="67"/>
  <c r="I107" i="67"/>
  <c r="I108" i="67"/>
  <c r="I110" i="67"/>
  <c r="I112" i="67"/>
  <c r="I114" i="67"/>
  <c r="I116" i="67"/>
  <c r="I3" i="67"/>
  <c r="H11" i="70"/>
  <c r="H15" i="70"/>
  <c r="H19" i="70"/>
  <c r="H13" i="70"/>
  <c r="H14" i="70"/>
  <c r="H16" i="70"/>
  <c r="H17" i="70"/>
  <c r="H18" i="70"/>
  <c r="H3" i="70"/>
  <c r="F8" i="80"/>
  <c r="F9" i="80"/>
  <c r="F11" i="80"/>
  <c r="F13" i="80"/>
  <c r="F14" i="80"/>
  <c r="F16" i="80"/>
  <c r="F18" i="80"/>
  <c r="F19" i="80"/>
  <c r="F21" i="80"/>
  <c r="F23" i="80"/>
  <c r="F24" i="80"/>
  <c r="F26" i="80"/>
  <c r="F12" i="80"/>
  <c r="F17" i="80"/>
  <c r="F22" i="80"/>
  <c r="F25" i="80"/>
  <c r="F3" i="80"/>
  <c r="H14" i="66"/>
  <c r="H15" i="66"/>
  <c r="H16" i="66"/>
  <c r="H17" i="66"/>
  <c r="H20" i="66"/>
  <c r="H21" i="66"/>
  <c r="H22" i="66"/>
  <c r="H23" i="66"/>
  <c r="H26" i="66"/>
  <c r="H27" i="66"/>
  <c r="H28" i="66"/>
  <c r="H29" i="66"/>
  <c r="H33" i="66"/>
  <c r="H34" i="66"/>
  <c r="H35" i="66"/>
  <c r="H37" i="66"/>
  <c r="H39" i="66"/>
  <c r="H40" i="66"/>
  <c r="H41" i="66"/>
  <c r="H43" i="66"/>
  <c r="H45" i="66"/>
  <c r="H46" i="66"/>
  <c r="H47" i="66"/>
  <c r="H49" i="66"/>
  <c r="H3" i="66"/>
  <c r="G14" i="69"/>
  <c r="G15" i="69"/>
  <c r="G16" i="69"/>
  <c r="G17" i="69"/>
  <c r="G3" i="69"/>
  <c r="G9" i="73"/>
  <c r="G10" i="73"/>
  <c r="G11" i="73"/>
  <c r="G12" i="73"/>
  <c r="G3" i="73"/>
  <c r="H13" i="74"/>
  <c r="H14" i="74"/>
  <c r="H15" i="74"/>
  <c r="H17" i="74"/>
  <c r="H18" i="74"/>
  <c r="H19" i="74"/>
  <c r="H20" i="74"/>
  <c r="H22" i="74"/>
  <c r="H23" i="74"/>
  <c r="H24" i="74"/>
  <c r="H25" i="74"/>
  <c r="H27" i="74"/>
  <c r="H28" i="74"/>
  <c r="H29" i="74"/>
  <c r="H30" i="74"/>
  <c r="H32" i="74"/>
  <c r="H33" i="74"/>
  <c r="H34" i="74"/>
  <c r="H35" i="74"/>
  <c r="H3" i="74"/>
  <c r="F9" i="75"/>
  <c r="F10" i="75"/>
  <c r="F11" i="75"/>
  <c r="F12" i="75"/>
  <c r="F13" i="75"/>
  <c r="F3" i="75"/>
  <c r="F7" i="76"/>
  <c r="F8" i="76"/>
  <c r="F9" i="76"/>
  <c r="F10" i="76"/>
  <c r="F11" i="76"/>
  <c r="F12" i="76"/>
  <c r="F13" i="76"/>
  <c r="F14" i="76"/>
  <c r="F3" i="76"/>
  <c r="E7" i="77"/>
  <c r="E8" i="77"/>
  <c r="E9" i="77"/>
  <c r="E10" i="77"/>
  <c r="E11" i="77"/>
  <c r="E12" i="77"/>
  <c r="E3" i="77"/>
  <c r="E7" i="78"/>
  <c r="E8" i="78"/>
  <c r="E9" i="78"/>
  <c r="E10" i="78"/>
  <c r="E12" i="78"/>
  <c r="E14" i="78"/>
  <c r="E3" i="78"/>
  <c r="F9" i="79"/>
  <c r="F10" i="79"/>
  <c r="F11" i="79"/>
  <c r="F13" i="79"/>
  <c r="F14" i="79"/>
  <c r="F3" i="79"/>
  <c r="I3" i="68"/>
  <c r="H3" i="68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0" i="1"/>
  <c r="H41" i="1"/>
  <c r="H39" i="1"/>
  <c r="H5" i="1"/>
  <c r="I5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9" i="1"/>
  <c r="I19" i="1"/>
  <c r="H20" i="1"/>
  <c r="I20" i="1"/>
  <c r="H22" i="1"/>
  <c r="I22" i="1"/>
  <c r="H23" i="1"/>
  <c r="I23" i="1"/>
  <c r="H24" i="1"/>
  <c r="I24" i="1"/>
  <c r="H26" i="1"/>
  <c r="I26" i="1"/>
  <c r="I4" i="1"/>
  <c r="H4" i="1"/>
  <c r="H10" i="66"/>
  <c r="D4" i="22"/>
  <c r="E4" i="20"/>
  <c r="E4" i="19"/>
  <c r="F4" i="18"/>
  <c r="G4" i="16"/>
  <c r="E4" i="15"/>
  <c r="E4" i="14"/>
  <c r="E4" i="13"/>
  <c r="F4" i="12"/>
  <c r="F4" i="11"/>
  <c r="F4" i="10"/>
  <c r="E4" i="10"/>
  <c r="F4" i="9"/>
  <c r="E4" i="8"/>
  <c r="E4" i="7"/>
  <c r="E4" i="6"/>
  <c r="G4" i="5"/>
  <c r="G4" i="24"/>
  <c r="G4" i="4"/>
  <c r="D4" i="3"/>
  <c r="C4" i="81"/>
  <c r="D3" i="81"/>
  <c r="E4" i="80"/>
  <c r="E4" i="79"/>
  <c r="D4" i="78"/>
  <c r="D4" i="77"/>
  <c r="E4" i="76"/>
  <c r="E4" i="75"/>
  <c r="G4" i="74"/>
  <c r="D4" i="72"/>
  <c r="E3" i="72"/>
  <c r="G4" i="70"/>
  <c r="F4" i="69"/>
  <c r="H4" i="68"/>
  <c r="H4" i="67"/>
  <c r="G4" i="66"/>
  <c r="F4" i="65"/>
  <c r="G4" i="65"/>
  <c r="F4" i="73"/>
  <c r="F3" i="71"/>
  <c r="G3" i="16"/>
  <c r="E3" i="15"/>
  <c r="E3" i="13"/>
  <c r="E3" i="10"/>
  <c r="C3" i="81"/>
  <c r="E20" i="71"/>
  <c r="D3" i="72"/>
  <c r="D20" i="71"/>
  <c r="B8" i="72"/>
  <c r="B9" i="72"/>
  <c r="B10" i="72"/>
  <c r="D50" i="27"/>
  <c r="E50" i="2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E27" i="27"/>
  <c r="D27" i="27"/>
  <c r="F19" i="4"/>
  <c r="F12" i="4"/>
  <c r="B12" i="4"/>
  <c r="B14" i="4"/>
  <c r="C9" i="4"/>
  <c r="C12" i="4"/>
  <c r="C1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G20" i="71"/>
  <c r="I5" i="82"/>
  <c r="I6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  <author>tc={23E88B06-E7F2-D946-BE24-C80A8FC6D688}</author>
  </authors>
  <commentList>
    <comment ref="A7" authorId="0" shapeId="0" xr:uid="{6AC9C0CF-436C-2D4D-8C21-20009B6E65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instead of counter2=counter1</t>
      </text>
    </comment>
    <comment ref="A15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20" authorId="2" shapeId="0" xr:uid="{23E88B06-E7F2-D946-BE24-C80A8FC6D68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5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<sst xmlns="http://schemas.openxmlformats.org/spreadsheetml/2006/main" count="1462" uniqueCount="509">
  <si>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</si>
  <si>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</si>
  <si>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</si>
  <si>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</si>
  <si>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</si>
  <si>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</si>
  <si>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</si>
  <si>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</si>
  <si>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</si>
  <si>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</si>
  <si>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</si>
  <si>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</si>
  <si>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</si>
  <si>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</si>
  <si>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</si>
  <si>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</si>
  <si>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</si>
  <si>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</si>
  <si>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</si>
  <si>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</si>
  <si>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</si>
  <si>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</si>
  <si>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</si>
  <si>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</si>
  <si>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</si>
  <si>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</si>
  <si>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</si>
  <si>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</si>
  <si>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</si>
  <si>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</si>
  <si>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</si>
  <si>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</si>
  <si>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</si>
  <si>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</si>
  <si>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</si>
  <si>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</si>
  <si>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</si>
  <si>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</si>
  <si>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</si>
  <si>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</si>
  <si>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</si>
  <si>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</si>
  <si>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</si>
  <si>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</si>
  <si>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</si>
  <si>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</si>
  <si>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</si>
  <si>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</si>
  <si>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</si>
  <si>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</si>
  <si>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</si>
  <si>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</si>
  <si>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</si>
  <si>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</si>
  <si>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</si>
  <si>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</si>
  <si>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</si>
  <si>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</si>
  <si>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</si>
  <si>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</si>
  <si>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</si>
  <si>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</si>
  <si>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</si>
  <si>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</si>
  <si>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</si>
  <si>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</si>
  <si>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</si>
  <si>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</si>
  <si>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</si>
  <si>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</si>
  <si>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</si>
  <si>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</si>
  <si>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</si>
  <si>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</si>
  <si>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</si>
  <si>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</si>
  <si>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</si>
  <si>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</si>
  <si>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</si>
  <si>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</si>
  <si>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</si>
  <si>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</si>
  <si>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</si>
  <si>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</si>
  <si>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</si>
  <si>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</si>
  <si>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</si>
  <si>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</si>
  <si>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</si>
  <si>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</si>
  <si>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</si>
  <si>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</si>
  <si>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</si>
  <si>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</si>
  <si>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</si>
  <si>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</si>
  <si>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</si>
  <si>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</si>
  <si>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</si>
  <si>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</si>
  <si>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</si>
  <si>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</si>
  <si>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</si>
  <si>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</si>
  <si>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</si>
  <si>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</si>
  <si>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</si>
  <si>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</si>
  <si>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</si>
  <si>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</si>
  <si>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</si>
  <si>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</si>
  <si>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</si>
  <si>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</si>
  <si>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</si>
  <si>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</si>
  <si>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</si>
  <si>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</si>
  <si>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</si>
  <si>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</si>
  <si>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</si>
  <si>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</si>
  <si>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</si>
  <si>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</si>
  <si>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</si>
  <si>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</si>
  <si>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</si>
  <si>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</si>
  <si>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</si>
  <si>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</si>
  <si>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</si>
  <si>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</si>
  <si>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</si>
  <si>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</si>
  <si>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</si>
  <si>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</si>
  <si>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</si>
  <si>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</si>
  <si>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</si>
  <si>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</si>
  <si>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</si>
  <si>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</si>
  <si>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</si>
  <si>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</si>
  <si>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</si>
  <si>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</si>
  <si>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</si>
  <si>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</si>
  <si>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</si>
  <si>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</si>
  <si>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</si>
  <si>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</si>
  <si>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</si>
  <si>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</si>
  <si>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</si>
  <si>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</si>
  <si>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</si>
  <si>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</si>
  <si>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</si>
  <si>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</si>
  <si>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</si>
  <si>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</si>
  <si>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</si>
  <si>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</si>
  <si>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</si>
  <si>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</si>
  <si>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</si>
  <si>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</si>
  <si>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</si>
  <si>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</si>
  <si>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</si>
  <si>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</si>
  <si>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</si>
  <si>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</si>
  <si>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</si>
  <si>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</si>
  <si>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</si>
  <si>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</si>
  <si>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</si>
  <si>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</si>
  <si>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</si>
  <si>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</si>
  <si>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</si>
  <si>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</si>
  <si>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</si>
  <si>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</si>
  <si>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</si>
  <si>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</si>
  <si>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</si>
  <si>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</si>
  <si>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</si>
  <si>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</si>
  <si>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</si>
  <si>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</si>
  <si>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</si>
  <si>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</si>
  <si>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</si>
  <si>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</si>
  <si>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</si>
  <si>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</si>
  <si>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</si>
  <si>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</si>
  <si>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</si>
  <si>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</si>
  <si>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</si>
  <si>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</si>
  <si>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</si>
  <si>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</si>
  <si>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</si>
  <si>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</si>
  <si>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</si>
  <si>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</si>
  <si>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</si>
  <si>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</si>
  <si>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</si>
  <si>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</si>
  <si>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</si>
  <si>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</si>
  <si>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</si>
  <si>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</si>
  <si>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</si>
  <si>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</si>
  <si>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</si>
  <si>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</si>
  <si>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</si>
  <si>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</si>
  <si>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</si>
  <si>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</si>
  <si>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</si>
  <si>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</si>
  <si>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</si>
  <si>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</si>
  <si>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</si>
  <si>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</si>
  <si>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</si>
  <si>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</si>
  <si>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</si>
  <si>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</si>
  <si>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</si>
  <si>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</si>
  <si>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</si>
  <si>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</si>
  <si>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</si>
  <si>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</si>
  <si>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</si>
  <si>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</si>
  <si>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</si>
  <si>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</si>
  <si>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</si>
  <si>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</si>
  <si>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</si>
  <si>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</si>
  <si>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</si>
  <si>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</si>
  <si>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</si>
  <si>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</si>
  <si>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</si>
  <si>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</si>
  <si>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</si>
  <si>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</si>
  <si>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</si>
  <si>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</si>
  <si>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</si>
  <si>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</si>
  <si>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</si>
  <si>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</si>
  <si>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</si>
  <si>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</si>
  <si>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</si>
  <si>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</si>
  <si>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</si>
  <si>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</si>
  <si>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</si>
  <si>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</si>
  <si>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</si>
  <si>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</si>
  <si>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</si>
  <si>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</si>
  <si>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</si>
  <si>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</si>
  <si>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</si>
  <si>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</si>
  <si>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</si>
  <si>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</si>
  <si>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</si>
  <si>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</si>
  <si>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</si>
  <si>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</si>
  <si>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</si>
  <si>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</si>
  <si>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</si>
  <si>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</si>
  <si>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</si>
  <si>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</si>
  <si>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</si>
  <si>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</si>
  <si>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</si>
  <si>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</si>
  <si>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</si>
  <si>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</si>
  <si>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</si>
  <si>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</si>
  <si>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</si>
  <si>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</si>
  <si>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</si>
  <si>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</si>
  <si>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</si>
  <si>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</si>
  <si>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</si>
  <si>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</si>
  <si>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</si>
  <si>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</si>
  <si>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</si>
  <si>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</si>
  <si>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</si>
  <si>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</si>
  <si>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</si>
  <si>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</si>
  <si>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</si>
  <si>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</si>
  <si>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</si>
  <si>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</si>
  <si>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</si>
  <si>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</si>
  <si>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</si>
  <si>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</si>
  <si>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</si>
  <si>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</si>
  <si>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1</t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</si>
  <si>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</si>
  <si>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</si>
  <si>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</si>
  <si>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</si>
  <si>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</si>
  <si>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</si>
  <si>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</si>
  <si>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</si>
  <si>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</si>
  <si>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</si>
  <si>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</si>
  <si>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</si>
  <si>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</si>
  <si>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</si>
  <si>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</si>
  <si>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</si>
  <si>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</si>
  <si>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</si>
  <si>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</si>
  <si>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</si>
  <si>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</si>
  <si>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</si>
  <si>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</si>
  <si>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</si>
  <si>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</si>
  <si>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</si>
  <si>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</si>
  <si>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</si>
  <si>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</si>
  <si>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</si>
  <si>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</si>
  <si>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</si>
  <si>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</si>
  <si>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</si>
  <si>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</si>
  <si>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</si>
  <si>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</si>
  <si>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</si>
  <si>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</si>
  <si>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</si>
  <si>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</si>
  <si>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</si>
  <si>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</si>
  <si>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</si>
  <si>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</si>
  <si>
    <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</si>
  <si>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15;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</si>
  <si>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</si>
  <si>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</si>
  <si>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>&lt;</t>
    </r>
    <r>
      <rPr>
        <sz val="12"/>
        <rFont val="Fira Code"/>
        <family val="3"/>
      </rPr>
      <t xml:space="preserve"> number2) {</t>
    </r>
  </si>
  <si>
    <r>
      <t xml:space="preserve">    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number2;</t>
    </r>
  </si>
  <si>
    <r>
      <t xml:space="preserve">    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</t>
    </r>
  </si>
  <si>
    <r>
      <t xml:space="preserve">        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>%</t>
    </r>
    <r>
      <rPr>
        <sz val="12"/>
        <rFont val="Fira Code"/>
        <family val="3"/>
      </rPr>
      <t xml:space="preserve"> number2;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</si>
  <si>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</si>
  <si>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number2;</t>
    </r>
  </si>
  <si>
    <t xml:space="preserve">    Arrays.sort(numbers);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</si>
  <si>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4,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</si>
  <si>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count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numbers.length;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</si>
  <si>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</si>
  <si>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current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>-</t>
    </r>
    <r>
      <rPr>
        <sz val="12"/>
        <rFont val="Fira Code"/>
        <family val="3"/>
      </rPr>
      <t xml:space="preserve"> i;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</si>
  <si>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>&gt;=</t>
    </r>
    <r>
      <rPr>
        <sz val="12"/>
        <rFont val="Fira Code"/>
        <family val="3"/>
      </rPr>
      <t xml:space="preserve"> current) {</t>
    </r>
  </si>
  <si>
    <r>
      <t xml:space="preserve">            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current;</t>
    </r>
  </si>
  <si>
    <r>
      <t xml:space="preserve">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</si>
  <si>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</si>
  <si>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t>{2, 4, 1, 4, 9}</t>
  </si>
  <si>
    <t>count</t>
  </si>
  <si>
    <t>current</t>
  </si>
  <si>
    <t xml:space="preserve">    String result;</t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</si>
  <si>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112;</t>
    </r>
  </si>
  <si>
    <r>
      <t xml:space="preserve">    </t>
    </r>
    <r>
      <rPr>
        <i/>
        <sz val="12"/>
        <rFont val="Fira Code"/>
        <family val="3"/>
      </rPr>
      <t xml:space="preserve">if     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65)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"Not a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</si>
  <si>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96)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1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</si>
  <si>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111)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2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</si>
  <si>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131)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3 hurricane";</t>
    </r>
  </si>
  <si>
    <t>value</t>
  </si>
  <si>
    <t>Class 3 hurricane</t>
  </si>
  <si>
    <r>
      <t xml:space="preserve">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"reviver";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</si>
  <si>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</si>
  <si>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0, 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2;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, j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</si>
  <si>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word.charAt(j)) {</t>
    </r>
  </si>
  <si>
    <t>reviver</t>
  </si>
  <si>
    <r>
      <t xml:space="preserve">String text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"The quick brown fox jumps";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</si>
  <si>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</si>
  <si>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text.length()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</si>
  <si>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char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text.charAt(i);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</si>
  <si>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 xml:space="preserve">'z') </t>
    </r>
    <r>
      <rPr>
        <i/>
        <sz val="12"/>
        <rFont val="Fira Code"/>
        <family val="3"/>
      </rPr>
      <t xml:space="preserve">||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'Z')) {</t>
    </r>
  </si>
  <si>
    <r>
      <t xml:space="preserve">            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</si>
  <si>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        result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</si>
  <si>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(flag)</t>
    </r>
  </si>
  <si>
    <t>text</t>
  </si>
  <si>
    <t>The quick brown fox jumps</t>
  </si>
  <si>
    <t>flag</t>
  </si>
  <si>
    <t>p</t>
  </si>
  <si>
    <t>u</t>
  </si>
  <si>
    <t>" "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</si>
  <si>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</si>
  <si>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</si>
  <si>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</si>
  <si>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(s.charAt(number)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'0'){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</si>
  <si>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</si>
  <si>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</si>
  <si>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t>input</t>
  </si>
  <si>
    <r>
      <t xml:space="preserve">String 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"101";</t>
    </r>
  </si>
  <si>
    <t>compute</t>
  </si>
  <si>
    <r>
      <t xml:space="preserve">return </t>
    </r>
    <r>
      <rPr>
        <sz val="10"/>
        <rFont val="Fira Code"/>
        <family val="3"/>
      </rPr>
      <t>0;</t>
    </r>
  </si>
  <si>
    <r>
      <t xml:space="preserve">int </t>
    </r>
    <r>
      <rPr>
        <sz val="12"/>
        <rFont val="Fira Code"/>
        <family val="3"/>
      </rPr>
      <t xml:space="preserve">n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3247;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</si>
  <si>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</si>
  <si>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% </t>
    </r>
    <r>
      <rPr>
        <sz val="12"/>
        <rFont val="Fira Code"/>
        <family val="3"/>
      </rPr>
      <t xml:space="preserve">10)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compute((</t>
    </r>
    <r>
      <rPr>
        <i/>
        <sz val="12"/>
        <rFont val="Fira Code"/>
        <family val="3"/>
      </rPr>
      <t>int</t>
    </r>
    <r>
      <rPr>
        <sz val="12"/>
        <rFont val="Fira Code"/>
        <family val="3"/>
      </rPr>
      <t>) number</t>
    </r>
    <r>
      <rPr>
        <i/>
        <sz val="12"/>
        <rFont val="Fira Code"/>
        <family val="3"/>
      </rPr>
      <t>/</t>
    </r>
    <r>
      <rPr>
        <sz val="12"/>
        <rFont val="Fira Code"/>
        <family val="3"/>
      </rPr>
      <t>10);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</si>
  <si>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</si>
  <si>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</si>
  <si>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compute(value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>*</t>
    </r>
    <r>
      <rPr>
        <sz val="12"/>
        <rFont val="Fira Code"/>
        <family val="3"/>
      </rPr>
      <t xml:space="preserve"> value;</t>
    </r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</si>
  <si>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</si>
  <si>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</si>
  <si>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1)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</si>
  <si>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2)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4);</t>
    </r>
  </si>
  <si>
    <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</si>
  <si>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</si>
  <si>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</si>
  <si>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</si>
  <si>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a;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</si>
  <si>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compute(a, b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</si>
  <si>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{9, 25, 16, 100};</t>
    </r>
  </si>
  <si>
    <r>
      <t xml:space="preserve">    </t>
    </r>
    <r>
      <rPr>
        <i/>
        <sz val="12"/>
        <rFont val="Fira Code"/>
        <family val="3"/>
      </rPr>
      <t>double</t>
    </r>
    <r>
      <rPr>
        <sz val="12"/>
        <rFont val="Fira Code"/>
        <family val="3"/>
      </rPr>
      <t xml:space="preserve">[] result </t>
    </r>
    <r>
      <rPr>
        <i/>
        <sz val="12"/>
        <rFont val="Fira Code"/>
        <family val="3"/>
      </rPr>
      <t>= new double</t>
    </r>
    <r>
      <rPr>
        <sz val="12"/>
        <rFont val="Fira Code"/>
        <family val="3"/>
      </rPr>
      <t>[numbers.length];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</si>
  <si>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</si>
  <si>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</si>
  <si>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</si>
  <si>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    result[i]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Math.sqrt(numbers[i]);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</si>
  <si>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Arrays.toString(result);</t>
    </r>
  </si>
  <si>
    <t>{9, 25, 16, 100}</t>
  </si>
  <si>
    <t>[]</t>
  </si>
  <si>
    <t>[3]</t>
  </si>
  <si>
    <t>[3, 5]</t>
  </si>
  <si>
    <t>[3, 5, 4]</t>
  </si>
  <si>
    <t>[3, 5, 4, 10]</t>
  </si>
  <si>
    <r>
      <t xml:space="preserve">String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"Yes";</t>
    </r>
  </si>
  <si>
    <r>
      <t xml:space="preserve">   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input.toLowerCase();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</si>
  <si>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(input.contentEquals("n")) {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</si>
  <si>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(input.contentEquals("no"))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</si>
  <si>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(input.contentEquals("y"))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</si>
  <si>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true;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</si>
  <si>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(input.contentEquals("yes")) {</t>
    </r>
  </si>
  <si>
    <t>Yes</t>
  </si>
  <si>
    <t>yes</t>
  </si>
  <si>
    <t>Parameters</t>
  </si>
  <si>
    <t>Loop</t>
  </si>
  <si>
    <t>Recursion</t>
  </si>
  <si>
    <t>Siegmund 2012</t>
  </si>
  <si>
    <t>diff_id</t>
  </si>
  <si>
    <t>Peitek 2021</t>
  </si>
  <si>
    <t>recursion</t>
  </si>
  <si>
    <t>Modulo</t>
  </si>
  <si>
    <t>modulo</t>
  </si>
  <si>
    <t>Arrays</t>
  </si>
  <si>
    <t>Studies data</t>
  </si>
  <si>
    <t>studies</t>
  </si>
  <si>
    <t>siegmund_2012</t>
  </si>
  <si>
    <t>peitek_2021</t>
  </si>
  <si>
    <t>Average</t>
  </si>
  <si>
    <t>arrays</t>
  </si>
  <si>
    <t>Reuse</t>
  </si>
  <si>
    <t>reuse</t>
  </si>
  <si>
    <t xml:space="preserve">for (int counter2 = array.length; counter2 &gt; 0; counter2--) { </t>
  </si>
  <si>
    <t>operators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</si>
  <si>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</si>
  <si>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</si>
  <si>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</si>
  <si>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int temp = c; </t>
  </si>
  <si>
    <t xml:space="preserve">c = a; </t>
  </si>
  <si>
    <t>a = temp; }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</si>
  <si>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</si>
  <si>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t xml:space="preserve"> int temp = d; </t>
  </si>
  <si>
    <t>d = b;</t>
  </si>
  <si>
    <t xml:space="preserve"> b = temp;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</si>
  <si>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</si>
  <si>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c = b; </t>
  </si>
  <si>
    <t>b = temp;</t>
  </si>
  <si>
    <t>2  / 0</t>
  </si>
  <si>
    <t>Nb snippets</t>
  </si>
  <si>
    <t>Synthesis</t>
  </si>
  <si>
    <t>snippet id</t>
  </si>
  <si>
    <t>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</si>
</sst>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000000"/>
      <name val="Tahoma"/>
      <family val="2"/>
    </font>
    <font>
      <sz val="10"/>
      <color rgb="FFFF0000"/>
      <name val="Consolas"/>
      <family val="2"/>
    </font>
    <font>
      <sz val="12"/>
      <name val="Calibri"/>
      <family val="2"/>
      <scheme val="minor"/>
    </font>
    <font>
      <sz val="10"/>
      <name val="Fira Code"/>
      <family val="3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onsolas"/>
      <family val="2"/>
    </font>
    <font>
      <sz val="12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49" fontId="0" fillId="0" borderId="0" xfId="0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/>
    <xf numFmtId="0" fontId="15" fillId="0" borderId="1" xfId="0" applyFont="1" applyBorder="1"/>
    <xf numFmtId="0" fontId="20" fillId="5" borderId="1" xfId="0" applyFont="1" applyFill="1" applyBorder="1"/>
    <xf numFmtId="0" fontId="19" fillId="0" borderId="0" xfId="0" applyFont="1" applyAlignment="1">
      <alignment horizontal="center" vertical="center"/>
    </xf>
    <xf numFmtId="0" fontId="0" fillId="2" borderId="1" xfId="0" applyFill="1" applyBorder="1"/>
    <xf numFmtId="0" fontId="15" fillId="2" borderId="1" xfId="0" applyFont="1" applyFill="1" applyBorder="1"/>
    <xf numFmtId="0" fontId="20" fillId="5" borderId="3" xfId="0" applyFont="1" applyFill="1" applyBorder="1"/>
    <xf numFmtId="0" fontId="18" fillId="0" borderId="1" xfId="0" applyFont="1" applyBorder="1"/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7" fillId="0" borderId="1" xfId="0" applyFont="1" applyBorder="1"/>
    <xf numFmtId="0" fontId="15" fillId="3" borderId="1" xfId="0" applyFont="1" applyFill="1" applyBorder="1"/>
    <xf numFmtId="0" fontId="15" fillId="3" borderId="3" xfId="0" applyFon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2" fillId="5" borderId="1" xfId="0" applyFont="1" applyFill="1" applyBorder="1"/>
    <xf numFmtId="0" fontId="2" fillId="5" borderId="3" xfId="0" applyFont="1" applyFill="1" applyBorder="1"/>
    <xf numFmtId="0" fontId="0" fillId="3" borderId="1" xfId="0" applyFont="1" applyFill="1" applyBorder="1"/>
    <xf numFmtId="0" fontId="21" fillId="0" borderId="0" xfId="0" applyFont="1" applyAlignment="1">
      <alignment horizontal="center" vertical="center"/>
    </xf>
    <xf numFmtId="0" fontId="0" fillId="3" borderId="3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2" borderId="1" xfId="0" applyFont="1" applyFill="1" applyBorder="1"/>
    <xf numFmtId="0" fontId="22" fillId="0" borderId="0" xfId="0" applyFont="1"/>
    <xf numFmtId="0" fontId="21" fillId="0" borderId="0" xfId="0" applyFont="1" applyAlignment="1">
      <alignment horizontal="center"/>
    </xf>
    <xf numFmtId="0" fontId="22" fillId="0" borderId="1" xfId="0" applyFont="1" applyBorder="1"/>
    <xf numFmtId="0" fontId="22" fillId="4" borderId="1" xfId="0" applyFont="1" applyFill="1" applyBorder="1"/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1" xfId="0" applyFont="1" applyBorder="1"/>
    <xf numFmtId="0" fontId="6" fillId="0" borderId="1" xfId="0" applyFont="1" applyBorder="1"/>
    <xf numFmtId="0" fontId="0" fillId="3" borderId="3" xfId="0" applyFill="1" applyBorder="1"/>
    <xf numFmtId="0" fontId="10" fillId="0" borderId="1" xfId="0" applyFont="1" applyBorder="1"/>
    <xf numFmtId="0" fontId="14" fillId="0" borderId="1" xfId="0" applyFont="1" applyBorder="1"/>
    <xf numFmtId="0" fontId="22" fillId="2" borderId="1" xfId="0" applyFont="1" applyFill="1" applyBorder="1"/>
    <xf numFmtId="0" fontId="0" fillId="6" borderId="1" xfId="0" applyFont="1" applyFill="1" applyBorder="1"/>
    <xf numFmtId="49" fontId="0" fillId="0" borderId="1" xfId="0" applyNumberFormat="1" applyBorder="1"/>
    <xf numFmtId="49" fontId="0" fillId="3" borderId="3" xfId="0" applyNumberFormat="1" applyFill="1" applyBorder="1"/>
    <xf numFmtId="49" fontId="0" fillId="0" borderId="1" xfId="0" quotePrefix="1" applyNumberFormat="1" applyBorder="1"/>
    <xf numFmtId="0" fontId="10" fillId="2" borderId="1" xfId="0" applyFont="1" applyFill="1" applyBorder="1"/>
    <xf numFmtId="0" fontId="22" fillId="7" borderId="1" xfId="0" applyFont="1" applyFill="1" applyBorder="1"/>
    <xf numFmtId="0" fontId="24" fillId="7" borderId="1" xfId="0" applyFont="1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0" borderId="0" xfId="0" applyFont="1" applyFill="1" applyBorder="1"/>
    <xf numFmtId="0" fontId="20" fillId="0" borderId="0" xfId="0" applyFont="1" applyFill="1" applyBorder="1"/>
    <xf numFmtId="0" fontId="0" fillId="3" borderId="4" xfId="0" applyFont="1" applyFill="1" applyBorder="1"/>
    <xf numFmtId="0" fontId="20" fillId="0" borderId="2" xfId="0" applyFont="1" applyFill="1" applyBorder="1"/>
    <xf numFmtId="0" fontId="15" fillId="7" borderId="1" xfId="0" applyFont="1" applyFill="1" applyBorder="1"/>
    <xf numFmtId="0" fontId="15" fillId="3" borderId="5" xfId="0" applyFont="1" applyFill="1" applyBorder="1"/>
    <xf numFmtId="0" fontId="15" fillId="0" borderId="5" xfId="0" applyFont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3" borderId="6" xfId="0" applyFont="1" applyFill="1" applyBorder="1"/>
    <xf numFmtId="0" fontId="3" fillId="2" borderId="1" xfId="0" applyFont="1" applyFill="1" applyBorder="1"/>
    <xf numFmtId="0" fontId="22" fillId="9" borderId="1" xfId="0" applyFont="1" applyFill="1" applyBorder="1"/>
    <xf numFmtId="0" fontId="24" fillId="9" borderId="1" xfId="0" applyFont="1" applyFill="1" applyBorder="1"/>
    <xf numFmtId="0" fontId="0" fillId="9" borderId="1" xfId="0" applyFont="1" applyFill="1" applyBorder="1"/>
    <xf numFmtId="0" fontId="10" fillId="9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9" borderId="1" xfId="0" applyFont="1" applyFill="1" applyBorder="1"/>
    <xf numFmtId="0" fontId="18" fillId="9" borderId="1" xfId="0" applyFont="1" applyFill="1" applyBorder="1"/>
    <xf numFmtId="0" fontId="18" fillId="10" borderId="1" xfId="0" applyFont="1" applyFill="1" applyBorder="1"/>
    <xf numFmtId="0" fontId="25" fillId="2" borderId="1" xfId="0" applyFont="1" applyFill="1" applyBorder="1"/>
    <xf numFmtId="0" fontId="15" fillId="8" borderId="1" xfId="0" applyFont="1" applyFill="1" applyBorder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peitek2021!$D$3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peitek2021!$D$4:$D$19</c:f>
            </c:numRef>
          </c:yVal>
          <c:smooth val="0"/>
          <c:extLst>
            <c:ext xmlns:c16="http://schemas.microsoft.com/office/drawing/2014/chart" uri="{C3380CC4-5D6E-409C-BE32-E72D297353CC}">
              <c16:uniqueId val="{00000000-6491-2440-B6AE-61BF20F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8543"/>
        <c:axId val="1373430191"/>
      </c:scatterChart>
      <c:valAx>
        <c:axId val="1373428543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30191"/>
        <c:crosses val="autoZero"/>
        <c:crossBetween val="midCat"/>
      </c:valAx>
      <c:valAx>
        <c:axId val="1373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</c:numRef>
          </c:yVal>
          <c:smooth val="0"/>
          <c:extLst>
            <c:ext xmlns:c16="http://schemas.microsoft.com/office/drawing/2014/chart" uri="{C3380CC4-5D6E-409C-BE32-E72D297353CC}">
              <c16:uniqueId val="{00000000-9162-E049-B60C-54FDD201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0767"/>
        <c:axId val="1352305455"/>
      </c:scatterChart>
      <c:valAx>
        <c:axId val="1352290767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305455"/>
        <c:crosses val="autoZero"/>
        <c:crossBetween val="midCat"/>
      </c:valAx>
      <c:valAx>
        <c:axId val="1352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2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peitek2021!$G$3</c:f>
              <c:strCache>
                <c:ptCount val="1"/>
                <c:pt idx="0">
                  <c:v>dyn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A71-6445-9989-B9B8E8BFD656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A71-6445-9989-B9B8E8BFD656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1"/>
                </a:solidFill>
                <a:ln w="158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A71-6445-9989-B9B8E8BFD656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71-6445-9989-B9B8E8BFD656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A71-6445-9989-B9B8E8BFD656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A71-6445-9989-B9B8E8BFD65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peitek2021!$G$4:$G$19</c:f>
              <c:numCache>
                <c:formatCode>General</c:formatCode>
                <c:ptCount val="16"/>
                <c:pt idx="0">
                  <c:v>9.2853393034880014</c:v>
                </c:pt>
                <c:pt idx="1">
                  <c:v>11.530927025310637</c:v>
                </c:pt>
                <c:pt idx="2">
                  <c:v>9.3711639868234222</c:v>
                </c:pt>
                <c:pt idx="3">
                  <c:v>14.16</c:v>
                </c:pt>
                <c:pt idx="4">
                  <c:v>9.9460000000000015</c:v>
                </c:pt>
                <c:pt idx="5">
                  <c:v>8.9761231999999982</c:v>
                </c:pt>
                <c:pt idx="6">
                  <c:v>2.5329999999999999</c:v>
                </c:pt>
                <c:pt idx="7">
                  <c:v>5.9126238298449598</c:v>
                </c:pt>
                <c:pt idx="8">
                  <c:v>10.90676270550866</c:v>
                </c:pt>
                <c:pt idx="9">
                  <c:v>6.7590000000000003</c:v>
                </c:pt>
                <c:pt idx="10">
                  <c:v>6.6677599999999995</c:v>
                </c:pt>
                <c:pt idx="11">
                  <c:v>4.2604000000000006</c:v>
                </c:pt>
                <c:pt idx="12">
                  <c:v>4.7540000000000004</c:v>
                </c:pt>
                <c:pt idx="13">
                  <c:v>5.8592400000000007</c:v>
                </c:pt>
                <c:pt idx="14">
                  <c:v>7.9318737209704704</c:v>
                </c:pt>
                <c:pt idx="15">
                  <c:v>2.7730999999999999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1-6445-9989-B9B8E8BF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99071"/>
        <c:axId val="1086548608"/>
      </c:scatterChart>
      <c:valAx>
        <c:axId val="162209907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548608"/>
        <c:crosses val="autoZero"/>
        <c:crossBetween val="midCat"/>
      </c:valAx>
      <c:valAx>
        <c:axId val="10865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0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4F70F8-FDB2-2F45-A535-A54EE68BA1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1C9885-136E-EE45-B4E3-7245B6D54E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7AA11B-835D-134B-9F6A-A2F345E9466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A5C0F9-6E29-5147-865C-099D9A8FAF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F2F60C-21A1-8645-B901-A683137775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EE879E-AD71-AB46-A795-8620231872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0AACE9-7604-8243-A37A-1C8F53103C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B1F5084-0EDA-B74A-A142-9EA72572D3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F03A091-447D-7747-A47E-34C9A270C5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B734CC-C4B2-BF4A-8F29-F315CA8B13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9B09BEE-AFBE-E649-8350-602F0A6787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FA3DA80-AF55-7140-8425-B9E9F7005B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48E4CE5-BE3F-F540-806F-A96F553CBF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81B351C-CC5F-974B-BE4A-01D213864A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E6F6995-7445-B446-8E84-674C552107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A76EAEF-5985-7A4D-97B7-DD007E64C2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757442A-48B7-6541-9E36-D00C08432E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FE95CE8-7826-014B-8E4D-B8BB87ED60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92BFE6C-FEC6-B540-9B25-BB47D263B6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FEC0432-A216-9E44-ABBE-BE4B369B29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849D538-56FC-D64C-9B2D-171BB3A49D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30950FF-1A4D-304B-86BD-96D4A145EF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FE9D38E-17A4-0E44-B68F-2DB34EE75E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siegmund2012!$C$4:$C$26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siegmund2012!$D$4:$D$26</c:f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siegmund2012!$C$4:$C$26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siegmund2012!$E$4:$E$26</c:f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siegmund2012!$D$30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siegmund2012!$C$31:$C$49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siegmund2012!$D$31:$D$49</c:f>
            </c:numRef>
          </c:yVal>
          <c:smooth val="0"/>
          <c:extLst>
            <c:ext xmlns:c16="http://schemas.microsoft.com/office/drawing/2014/chart" uri="{C3380CC4-5D6E-409C-BE32-E72D297353CC}">
              <c16:uniqueId val="{00000000-8F31-944F-9B84-C95A0248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4799"/>
        <c:axId val="1900538383"/>
      </c:scatterChart>
      <c:valAx>
        <c:axId val="19263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538383"/>
        <c:crosses val="autoZero"/>
        <c:crossBetween val="midCat"/>
      </c:valAx>
      <c:valAx>
        <c:axId val="19005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3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siegmund2012!$E$30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siegmund2012!$C$31:$C$49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siegmund2012!$E$31:$E$49</c:f>
            </c:numRef>
          </c:yVal>
          <c:smooth val="0"/>
          <c:extLst>
            <c:ext xmlns:c16="http://schemas.microsoft.com/office/drawing/2014/chart" uri="{C3380CC4-5D6E-409C-BE32-E72D297353CC}">
              <c16:uniqueId val="{00000000-83FE-414E-A8EC-305495C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8767"/>
        <c:axId val="1192225247"/>
      </c:scatterChart>
      <c:valAx>
        <c:axId val="17155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225247"/>
        <c:crosses val="autoZero"/>
        <c:crossBetween val="midCat"/>
      </c:valAx>
      <c:valAx>
        <c:axId val="1192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5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siegmund2012!$F$30</c:f>
              <c:strCache>
                <c:ptCount val="1"/>
                <c:pt idx="0">
                  <c:v>dyn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siegmund2012!$C$31:$C$49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siegmund2012!$F$31:$F$49</c:f>
            </c:numRef>
          </c:yVal>
          <c:smooth val="0"/>
          <c:extLst>
            <c:ext xmlns:c16="http://schemas.microsoft.com/office/drawing/2014/chart" uri="{C3380CC4-5D6E-409C-BE32-E72D297353CC}">
              <c16:uniqueId val="{00000000-E37D-064F-AF36-7132565F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5552"/>
        <c:axId val="572155952"/>
      </c:scatterChart>
      <c:valAx>
        <c:axId val="5721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952"/>
        <c:crosses val="autoZero"/>
        <c:crossBetween val="midCat"/>
      </c:valAx>
      <c:valAx>
        <c:axId val="572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siegmund2012!$G$30</c:f>
              <c:strCache>
                <c:ptCount val="1"/>
                <c:pt idx="0">
                  <c:v>dyn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FAB-6544-BBAE-D8BA699005F7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AB-6544-BBAE-D8BA699005F7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FAB-6544-BBAE-D8BA699005F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siegmund2012!$C$31:$C$49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siegmund2012!$G$31:$G$49</c:f>
              <c:numCache>
                <c:formatCode>General</c:formatCode>
                <c:ptCount val="19"/>
                <c:pt idx="0">
                  <c:v>4.8948</c:v>
                </c:pt>
                <c:pt idx="1">
                  <c:v>7.7837939390651911</c:v>
                </c:pt>
                <c:pt idx="2">
                  <c:v>9.3121798400000007</c:v>
                </c:pt>
                <c:pt idx="3">
                  <c:v>11.704923999999998</c:v>
                </c:pt>
                <c:pt idx="4">
                  <c:v>4.7900520000000002</c:v>
                </c:pt>
                <c:pt idx="5">
                  <c:v>6.6073685280000003</c:v>
                </c:pt>
                <c:pt idx="6">
                  <c:v>6.8864000000000001</c:v>
                </c:pt>
                <c:pt idx="7">
                  <c:v>5.1806567180919743</c:v>
                </c:pt>
                <c:pt idx="8">
                  <c:v>6.0659999999999989</c:v>
                </c:pt>
                <c:pt idx="9">
                  <c:v>4.976</c:v>
                </c:pt>
                <c:pt idx="10">
                  <c:v>4.8332000000000006</c:v>
                </c:pt>
                <c:pt idx="11">
                  <c:v>3</c:v>
                </c:pt>
                <c:pt idx="12">
                  <c:v>5.4130162525952006</c:v>
                </c:pt>
                <c:pt idx="13">
                  <c:v>2</c:v>
                </c:pt>
                <c:pt idx="14">
                  <c:v>7.1000000000000005</c:v>
                </c:pt>
                <c:pt idx="15">
                  <c:v>8.6915907722453642</c:v>
                </c:pt>
                <c:pt idx="16">
                  <c:v>6.4580000000000011</c:v>
                </c:pt>
                <c:pt idx="17">
                  <c:v>6.1128912</c:v>
                </c:pt>
                <c:pt idx="18">
                  <c:v>5.7813413250560011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6544-BBAE-D8BA6990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0416"/>
        <c:axId val="1623911439"/>
      </c:scatterChart>
      <c:valAx>
        <c:axId val="5936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911439"/>
        <c:crosses val="autoZero"/>
        <c:crossBetween val="midCat"/>
      </c:valAx>
      <c:valAx>
        <c:axId val="1623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6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peitek2021!$F$3</c:f>
              <c:strCache>
                <c:ptCount val="1"/>
                <c:pt idx="0">
                  <c:v>diff_id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peitek2021!$F$4:$F$19</c:f>
            </c:numRef>
          </c:yVal>
          <c:smooth val="0"/>
          <c:extLst>
            <c:ext xmlns:c16="http://schemas.microsoft.com/office/drawing/2014/chart" uri="{C3380CC4-5D6E-409C-BE32-E72D297353CC}">
              <c16:uniqueId val="{00000000-847A-994B-A457-CD471C7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0</xdr:row>
      <xdr:rowOff>171450</xdr:rowOff>
    </xdr:from>
    <xdr:to>
      <xdr:col>14</xdr:col>
      <xdr:colOff>215900</xdr:colOff>
      <xdr:row>24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254000</xdr:colOff>
      <xdr:row>0</xdr:row>
      <xdr:rowOff>196850</xdr:rowOff>
    </xdr:from>
    <xdr:to>
      <xdr:col>20</xdr:col>
      <xdr:colOff>635000</xdr:colOff>
      <xdr:row>24</xdr:row>
      <xdr:rowOff>88900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70555</xdr:colOff>
      <xdr:row>53</xdr:row>
      <xdr:rowOff>58091</xdr:rowOff>
    </xdr:from>
    <xdr:to>
      <xdr:col>10</xdr:col>
      <xdr:colOff>756355</xdr:colOff>
      <xdr:row>76</xdr:row>
      <xdr:rowOff>13641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64090C-0775-9942-85B2-6B6C93BE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649582</xdr:colOff>
      <xdr:row>28</xdr:row>
      <xdr:rowOff>165805</xdr:rowOff>
    </xdr:from>
    <xdr:to>
      <xdr:col>19</xdr:col>
      <xdr:colOff>270934</xdr:colOff>
      <xdr:row>50</xdr:row>
      <xdr:rowOff>11759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924091-FEF5-2645-89B1-0E4DA4DE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277050</xdr:colOff>
      <xdr:row>53</xdr:row>
      <xdr:rowOff>72908</xdr:rowOff>
    </xdr:from>
    <xdr:to>
      <xdr:col>16</xdr:col>
      <xdr:colOff>764352</xdr:colOff>
      <xdr:row>74</xdr:row>
      <xdr:rowOff>82315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C2CF8C3-E7FA-904C-989F-049AA179B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219664</xdr:colOff>
      <xdr:row>29</xdr:row>
      <xdr:rowOff>6821</xdr:rowOff>
    </xdr:from>
    <xdr:to>
      <xdr:col>12</xdr:col>
      <xdr:colOff>705556</xdr:colOff>
      <xdr:row>50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A9C4F6A-BCC8-1240-808A-FF94482B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29</xdr:row>
      <xdr:rowOff>57150</xdr:rowOff>
    </xdr:from>
    <xdr:to>
      <xdr:col>6</xdr:col>
      <xdr:colOff>381000</xdr:colOff>
      <xdr:row>47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088939-923E-0642-A038-4C23D421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29</xdr:row>
      <xdr:rowOff>31750</xdr:rowOff>
    </xdr:from>
    <xdr:to>
      <xdr:col>16</xdr:col>
      <xdr:colOff>584200</xdr:colOff>
      <xdr:row>47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6E16C2-CE40-5049-B3CD-69BCA5E2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177800</xdr:colOff>
      <xdr:row>25</xdr:row>
      <xdr:rowOff>133350</xdr:rowOff>
    </xdr:from>
    <xdr:to>
      <xdr:col>21</xdr:col>
      <xdr:colOff>635000</xdr:colOff>
      <xdr:row>43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D9A657-E685-4E42-9096-6E1D8C3D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127000</xdr:colOff>
      <xdr:row>1</xdr:row>
      <xdr:rowOff>177800</xdr:rowOff>
    </xdr:from>
    <xdr:to>
      <xdr:col>12</xdr:col>
      <xdr:colOff>266700</xdr:colOff>
      <xdr:row>20</xdr:row>
      <xdr:rowOff>25400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0FA2551-D270-2C48-A476-E897EAC3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7-11T11:22:41.13" personId="{A4C9A5BD-8491-454E-A1E9-D85386424885}" id="{6AC9C0CF-436C-2D4D-8C21-20009B6E65B2}">
    <text>Probably bugged: should have int counter2 = array.length
instead of counter2=counter1</text>
  </threadedComment>
  <threadedComment ref="A15" dT="2021-07-11T11:22:41.13" personId="{A4C9A5BD-8491-454E-A1E9-D85386424885}" id="{91258D48-6388-F54B-841F-43B2DE86FB15}">
    <text xml:space="preserve">Probably bugged: should have int counter2 = array.length
</text>
  </threadedComment>
  <threadedComment ref="A20" dT="2021-07-11T11:22:41.13" personId="{A4C9A5BD-8491-454E-A1E9-D85386424885}" id="{23E88B06-E7F2-D946-BE24-C80A8FC6D688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7-11T10:53:55.45" personId="{A4C9A5BD-8491-454E-A1E9-D85386424885}" id="{642C2FE1-167A-1C4C-AD26-AB58DBC32DE5}">
    <text>Probably {1, 6, 4} in the first study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AA55"/>
  <sheetViews>
    <sheetView zoomScale="117" workbookViewId="0">
      <selection activeCell="K12" sqref="K12"/>
    </sheetView>
  </sheetViews>
  <sheetFormatPr baseColWidth="10" defaultRowHeight="16"/>
  <cols>
    <col min="1" max="1" width="56" style="1" customWidth="1"/>
    <col min="2" max="2" width="36.6640625" style="3" customWidth="1"/>
    <col min="3" max="4" width="10.83203125" style="3"/>
    <col min="5" max="5" width="16.1640625" style="5" customWidth="1"/>
    <col min="6" max="7" width="10.83203125" style="3"/>
    <col min="8" max="16384" width="10.83203125" style="1"/>
  </cols>
  <sheetData>
    <row r="1" spans="1:27" ht="19">
      <c r="A1" s="50" t="s">
        <v>481</v>
      </c>
      <c r="B1" s="50"/>
      <c r="C1" s="50"/>
      <c r="D1" s="50"/>
      <c r="E1" s="50"/>
      <c r="F1" s="50"/>
      <c r="G1" s="50"/>
      <c r="H1" s="50"/>
      <c r="I1" s="50"/>
    </row>
    <row r="2" spans="1:27">
      <c r="B2" s="14"/>
      <c r="C2" s="14"/>
      <c r="D2" s="14"/>
      <c r="F2" s="14"/>
      <c r="G2" s="14"/>
    </row>
    <row r="3" spans="1:27" ht="27" customHeight="1">
      <c r="A3" s="92" t="s">
        <v>47</v>
      </c>
      <c r="B3" s="93" t="s">
        <v>0</v>
      </c>
      <c r="C3" s="93" t="s">
        <v>7</v>
      </c>
      <c r="D3" s="93" t="s">
        <v>8</v>
      </c>
      <c r="E3" s="94" t="s">
        <v>1</v>
      </c>
      <c r="F3" s="93" t="s">
        <v>2</v>
      </c>
      <c r="G3" s="93" t="s">
        <v>3</v>
      </c>
      <c r="H3" s="93" t="s">
        <v>475</v>
      </c>
      <c r="I3" s="93" t="s">
        <v>486</v>
      </c>
      <c r="J3" s="93" t="s">
        <v>488</v>
      </c>
      <c r="K3" s="93" t="s">
        <v>490</v>
      </c>
    </row>
    <row r="4" spans="1:27">
      <c r="A4" s="80" t="s">
        <v>6</v>
      </c>
      <c r="B4" s="42" t="s">
        <v>24</v>
      </c>
      <c r="C4" s="42">
        <v>31</v>
      </c>
      <c r="D4" s="42">
        <v>10</v>
      </c>
      <c r="E4" s="41">
        <v>68.014414634146334</v>
      </c>
      <c r="F4" s="42">
        <v>1</v>
      </c>
      <c r="G4" s="42">
        <v>6.8</v>
      </c>
      <c r="H4" s="21">
        <f>siegmund2012!F31</f>
        <v>4.6800000000000006</v>
      </c>
      <c r="I4" s="21" t="e">
        <f>siegmund2012!#REF!</f>
        <v>#REF!</v>
      </c>
      <c r="J4" s="21">
        <f>siegmund2012!G31</f>
        <v>4.8948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>
      <c r="A5" s="80" t="s">
        <v>6</v>
      </c>
      <c r="B5" s="42" t="s">
        <v>34</v>
      </c>
      <c r="C5" s="42">
        <v>39</v>
      </c>
      <c r="D5" s="42">
        <v>2</v>
      </c>
      <c r="E5" s="41">
        <v>100.26741463414632</v>
      </c>
      <c r="F5" s="42">
        <v>5</v>
      </c>
      <c r="G5" s="42">
        <v>18.100000000000001</v>
      </c>
      <c r="H5" s="21">
        <f>siegmund2012!F32</f>
        <v>10.655744000000004</v>
      </c>
      <c r="I5" s="21" t="e">
        <f>siegmund2012!#REF!</f>
        <v>#REF!</v>
      </c>
      <c r="J5" s="21">
        <f>siegmund2012!G32</f>
        <v>7.7837939390651911</v>
      </c>
    </row>
    <row r="6" spans="1:27">
      <c r="A6" s="80" t="s">
        <v>6</v>
      </c>
      <c r="B6" s="42" t="s">
        <v>38</v>
      </c>
      <c r="C6" s="42">
        <v>37</v>
      </c>
      <c r="D6" s="42">
        <v>4</v>
      </c>
      <c r="E6" s="41">
        <v>132.46873170731703</v>
      </c>
      <c r="F6" s="42">
        <v>5</v>
      </c>
      <c r="G6" s="42">
        <v>12.8</v>
      </c>
      <c r="H6" s="80"/>
      <c r="I6" s="80"/>
      <c r="J6" s="80"/>
    </row>
    <row r="7" spans="1:27">
      <c r="A7" s="80" t="s">
        <v>6</v>
      </c>
      <c r="B7" s="42" t="s">
        <v>39</v>
      </c>
      <c r="C7" s="42">
        <v>29</v>
      </c>
      <c r="D7" s="42">
        <v>12</v>
      </c>
      <c r="E7" s="41">
        <v>154.64156097560979</v>
      </c>
      <c r="F7" s="42">
        <v>7</v>
      </c>
      <c r="G7" s="42">
        <v>15.4</v>
      </c>
      <c r="H7" s="21">
        <f>siegmund2012!F33</f>
        <v>15.432000000000002</v>
      </c>
      <c r="I7" s="21" t="e">
        <f>siegmund2012!#REF!</f>
        <v>#REF!</v>
      </c>
      <c r="J7" s="21">
        <f>siegmund2012!G33</f>
        <v>9.3121798400000007</v>
      </c>
    </row>
    <row r="8" spans="1:27">
      <c r="A8" s="80" t="s">
        <v>6</v>
      </c>
      <c r="B8" s="42" t="s">
        <v>40</v>
      </c>
      <c r="C8" s="42">
        <v>28</v>
      </c>
      <c r="D8" s="42">
        <v>13</v>
      </c>
      <c r="E8" s="41">
        <v>211.48453658536584</v>
      </c>
      <c r="F8" s="42">
        <v>5</v>
      </c>
      <c r="G8" s="42">
        <v>14.3</v>
      </c>
      <c r="H8" s="21">
        <f>siegmund2012!F34</f>
        <v>18.12</v>
      </c>
      <c r="I8" s="21" t="e">
        <f>siegmund2012!#REF!</f>
        <v>#REF!</v>
      </c>
      <c r="J8" s="21">
        <f>siegmund2012!G34</f>
        <v>11.704923999999998</v>
      </c>
    </row>
    <row r="9" spans="1:27">
      <c r="A9" s="80" t="s">
        <v>6</v>
      </c>
      <c r="B9" s="42" t="s">
        <v>35</v>
      </c>
      <c r="C9" s="42">
        <v>33</v>
      </c>
      <c r="D9" s="42">
        <v>8</v>
      </c>
      <c r="E9" s="41">
        <v>70.510951219512179</v>
      </c>
      <c r="F9" s="42">
        <v>1</v>
      </c>
      <c r="G9" s="42">
        <v>7.1</v>
      </c>
      <c r="H9" s="21">
        <f>siegmund2012!F35</f>
        <v>4.8720000000000008</v>
      </c>
      <c r="I9" s="21" t="e">
        <f>siegmund2012!#REF!</f>
        <v>#REF!</v>
      </c>
      <c r="J9" s="21">
        <f>siegmund2012!G35</f>
        <v>4.7900520000000002</v>
      </c>
    </row>
    <row r="10" spans="1:27">
      <c r="A10" s="80" t="s">
        <v>6</v>
      </c>
      <c r="B10" s="42" t="s">
        <v>25</v>
      </c>
      <c r="C10" s="42">
        <v>36</v>
      </c>
      <c r="D10" s="42">
        <v>5</v>
      </c>
      <c r="E10" s="41">
        <v>66.048609756097534</v>
      </c>
      <c r="F10" s="42">
        <v>3</v>
      </c>
      <c r="G10" s="42">
        <v>9.5</v>
      </c>
      <c r="H10" s="21">
        <f>siegmund2012!F36</f>
        <v>9.240000000000002</v>
      </c>
      <c r="I10" s="21" t="e">
        <f>siegmund2012!#REF!</f>
        <v>#REF!</v>
      </c>
      <c r="J10" s="21">
        <f>siegmund2012!G36</f>
        <v>6.6073685280000003</v>
      </c>
    </row>
    <row r="11" spans="1:27">
      <c r="A11" s="80" t="s">
        <v>6</v>
      </c>
      <c r="B11" s="42" t="s">
        <v>26</v>
      </c>
      <c r="C11" s="42">
        <v>31</v>
      </c>
      <c r="D11" s="42">
        <v>10</v>
      </c>
      <c r="E11" s="41">
        <v>104.82602439024393</v>
      </c>
      <c r="F11" s="42">
        <v>1</v>
      </c>
      <c r="G11" s="42">
        <v>7.4</v>
      </c>
      <c r="H11" s="21">
        <f>siegmund2012!F37</f>
        <v>8.4240000000000013</v>
      </c>
      <c r="I11" s="21" t="e">
        <f>siegmund2012!#REF!</f>
        <v>#REF!</v>
      </c>
      <c r="J11" s="21">
        <f>siegmund2012!G37</f>
        <v>6.8864000000000001</v>
      </c>
    </row>
    <row r="12" spans="1:27">
      <c r="A12" s="80" t="s">
        <v>6</v>
      </c>
      <c r="B12" s="42" t="s">
        <v>27</v>
      </c>
      <c r="C12" s="42">
        <v>36</v>
      </c>
      <c r="D12" s="42">
        <v>5</v>
      </c>
      <c r="E12" s="41">
        <v>65.420853658536572</v>
      </c>
      <c r="F12" s="42">
        <v>3</v>
      </c>
      <c r="G12" s="42">
        <v>8.9</v>
      </c>
      <c r="H12" s="21">
        <f>siegmund2012!F38</f>
        <v>7.3314109439999999</v>
      </c>
      <c r="I12" s="21" t="e">
        <f>siegmund2012!#REF!</f>
        <v>#REF!</v>
      </c>
      <c r="J12" s="21">
        <f>siegmund2012!G38</f>
        <v>5.1806567180919743</v>
      </c>
    </row>
    <row r="13" spans="1:27">
      <c r="A13" s="80" t="s">
        <v>6</v>
      </c>
      <c r="B13" s="42" t="s">
        <v>28</v>
      </c>
      <c r="C13" s="42">
        <v>41</v>
      </c>
      <c r="D13" s="42">
        <v>0</v>
      </c>
      <c r="E13" s="41">
        <v>42.585804878048783</v>
      </c>
      <c r="F13" s="42">
        <v>6</v>
      </c>
      <c r="G13" s="42">
        <v>16.7</v>
      </c>
      <c r="H13" s="21">
        <f>siegmund2012!F39</f>
        <v>9</v>
      </c>
      <c r="I13" s="21" t="e">
        <f>siegmund2012!#REF!</f>
        <v>#REF!</v>
      </c>
      <c r="J13" s="21">
        <f>siegmund2012!G39</f>
        <v>6.0659999999999989</v>
      </c>
    </row>
    <row r="14" spans="1:27">
      <c r="A14" s="80" t="s">
        <v>6</v>
      </c>
      <c r="B14" s="42" t="s">
        <v>29</v>
      </c>
      <c r="C14" s="42">
        <v>34</v>
      </c>
      <c r="D14" s="42">
        <v>7</v>
      </c>
      <c r="E14" s="41">
        <v>65.473780487804873</v>
      </c>
      <c r="F14" s="42">
        <v>1</v>
      </c>
      <c r="G14" s="42">
        <v>7.4</v>
      </c>
      <c r="H14" s="21">
        <f>siegmund2012!F40</f>
        <v>6.6</v>
      </c>
      <c r="I14" s="21" t="e">
        <f>siegmund2012!#REF!</f>
        <v>#REF!</v>
      </c>
      <c r="J14" s="21">
        <f>siegmund2012!G40</f>
        <v>4.976</v>
      </c>
    </row>
    <row r="15" spans="1:27">
      <c r="A15" s="80" t="s">
        <v>6</v>
      </c>
      <c r="B15" s="42" t="s">
        <v>37</v>
      </c>
      <c r="C15" s="42">
        <v>41</v>
      </c>
      <c r="D15" s="42">
        <v>0</v>
      </c>
      <c r="E15" s="41">
        <v>59.81002439024391</v>
      </c>
      <c r="F15" s="42">
        <v>3</v>
      </c>
      <c r="G15" s="42">
        <v>14</v>
      </c>
      <c r="H15" s="21">
        <f>siegmund2012!F41</f>
        <v>5.6000000000000005</v>
      </c>
      <c r="I15" s="21" t="e">
        <f>siegmund2012!#REF!</f>
        <v>#REF!</v>
      </c>
      <c r="J15" s="21">
        <f>siegmund2012!G41</f>
        <v>4.8332000000000006</v>
      </c>
    </row>
    <row r="16" spans="1:27">
      <c r="A16" s="80" t="s">
        <v>6</v>
      </c>
      <c r="B16" s="42" t="s">
        <v>36</v>
      </c>
      <c r="C16" s="42">
        <v>41</v>
      </c>
      <c r="D16" s="42">
        <v>0</v>
      </c>
      <c r="E16" s="41">
        <v>37.425292682926823</v>
      </c>
      <c r="F16" s="42">
        <v>0</v>
      </c>
      <c r="G16" s="42">
        <v>6</v>
      </c>
      <c r="H16" s="21">
        <f>siegmund2012!F42</f>
        <v>3</v>
      </c>
      <c r="I16" s="21" t="e">
        <f>siegmund2012!#REF!</f>
        <v>#REF!</v>
      </c>
      <c r="J16" s="21">
        <f>siegmund2012!G42</f>
        <v>3</v>
      </c>
    </row>
    <row r="17" spans="1:10">
      <c r="A17" s="80" t="s">
        <v>6</v>
      </c>
      <c r="B17" s="42" t="s">
        <v>30</v>
      </c>
      <c r="C17" s="42">
        <v>39</v>
      </c>
      <c r="D17" s="42">
        <v>2</v>
      </c>
      <c r="E17" s="41">
        <v>48.394707317073163</v>
      </c>
      <c r="F17" s="42">
        <v>1</v>
      </c>
      <c r="G17" s="42">
        <v>9.5</v>
      </c>
      <c r="H17" s="21">
        <f>siegmund2012!F43</f>
        <v>4.9488000000000003</v>
      </c>
      <c r="I17" s="21" t="e">
        <f>siegmund2012!#REF!</f>
        <v>#REF!</v>
      </c>
      <c r="J17" s="21">
        <f>siegmund2012!G43</f>
        <v>5.4130162525952006</v>
      </c>
    </row>
    <row r="18" spans="1:10">
      <c r="A18" s="80" t="s">
        <v>6</v>
      </c>
      <c r="B18" s="42" t="s">
        <v>41</v>
      </c>
      <c r="C18" s="42">
        <v>7</v>
      </c>
      <c r="D18" s="42">
        <v>34</v>
      </c>
      <c r="E18" s="41">
        <v>355.30917073170724</v>
      </c>
      <c r="F18" s="42">
        <v>9</v>
      </c>
      <c r="G18" s="42">
        <v>29.7</v>
      </c>
      <c r="H18" s="80"/>
      <c r="I18" s="80"/>
      <c r="J18" s="80"/>
    </row>
    <row r="19" spans="1:10">
      <c r="A19" s="80" t="s">
        <v>6</v>
      </c>
      <c r="B19" s="42" t="s">
        <v>42</v>
      </c>
      <c r="C19" s="42">
        <v>41</v>
      </c>
      <c r="D19" s="42">
        <v>0</v>
      </c>
      <c r="E19" s="41">
        <v>20.50239024390244</v>
      </c>
      <c r="F19" s="42">
        <v>0</v>
      </c>
      <c r="G19" s="42">
        <v>5.6</v>
      </c>
      <c r="H19" s="21">
        <f>siegmund2012!F44</f>
        <v>2</v>
      </c>
      <c r="I19" s="21" t="e">
        <f>siegmund2012!#REF!</f>
        <v>#REF!</v>
      </c>
      <c r="J19" s="21">
        <f>siegmund2012!G44</f>
        <v>2</v>
      </c>
    </row>
    <row r="20" spans="1:10">
      <c r="A20" s="80" t="s">
        <v>6</v>
      </c>
      <c r="B20" s="42" t="s">
        <v>31</v>
      </c>
      <c r="C20" s="42">
        <v>20</v>
      </c>
      <c r="D20" s="42">
        <v>21</v>
      </c>
      <c r="E20" s="41">
        <v>99.988414634146352</v>
      </c>
      <c r="F20" s="42">
        <v>4</v>
      </c>
      <c r="G20" s="42">
        <v>16.2</v>
      </c>
      <c r="H20" s="21">
        <f>siegmund2012!F45</f>
        <v>6</v>
      </c>
      <c r="I20" s="21" t="e">
        <f>siegmund2012!#REF!</f>
        <v>#REF!</v>
      </c>
      <c r="J20" s="21">
        <f>siegmund2012!G45</f>
        <v>7.1000000000000005</v>
      </c>
    </row>
    <row r="21" spans="1:10">
      <c r="A21" s="80" t="s">
        <v>6</v>
      </c>
      <c r="B21" s="42" t="s">
        <v>43</v>
      </c>
      <c r="C21" s="42">
        <v>31</v>
      </c>
      <c r="D21" s="42">
        <v>10</v>
      </c>
      <c r="E21" s="41">
        <v>132.07892682926831</v>
      </c>
      <c r="F21" s="42">
        <v>7</v>
      </c>
      <c r="G21" s="42">
        <v>16.7</v>
      </c>
      <c r="H21" s="80"/>
      <c r="I21" s="80"/>
      <c r="J21" s="80"/>
    </row>
    <row r="22" spans="1:10">
      <c r="A22" s="80" t="s">
        <v>6</v>
      </c>
      <c r="B22" s="42" t="s">
        <v>44</v>
      </c>
      <c r="C22" s="42">
        <v>28</v>
      </c>
      <c r="D22" s="42">
        <v>13</v>
      </c>
      <c r="E22" s="41">
        <v>145.23982926829271</v>
      </c>
      <c r="F22" s="42">
        <v>3</v>
      </c>
      <c r="G22" s="42">
        <v>21.3</v>
      </c>
      <c r="H22" s="21">
        <f>siegmund2012!F46</f>
        <v>10.948800000000004</v>
      </c>
      <c r="I22" s="21" t="e">
        <f>siegmund2012!#REF!</f>
        <v>#REF!</v>
      </c>
      <c r="J22" s="21">
        <f>siegmund2012!G46</f>
        <v>8.6915907722453642</v>
      </c>
    </row>
    <row r="23" spans="1:10">
      <c r="A23" s="80" t="s">
        <v>6</v>
      </c>
      <c r="B23" s="42" t="s">
        <v>32</v>
      </c>
      <c r="C23" s="42">
        <v>27</v>
      </c>
      <c r="D23" s="42">
        <v>14</v>
      </c>
      <c r="E23" s="41">
        <v>80.621829268292686</v>
      </c>
      <c r="F23" s="42">
        <v>4</v>
      </c>
      <c r="G23" s="42">
        <v>9.8000000000000007</v>
      </c>
      <c r="H23" s="21">
        <f>siegmund2012!F47</f>
        <v>7.5440000000000014</v>
      </c>
      <c r="I23" s="21" t="e">
        <f>siegmund2012!#REF!</f>
        <v>#REF!</v>
      </c>
      <c r="J23" s="21">
        <f>siegmund2012!G47</f>
        <v>6.4580000000000011</v>
      </c>
    </row>
    <row r="24" spans="1:10">
      <c r="A24" s="80" t="s">
        <v>6</v>
      </c>
      <c r="B24" s="42" t="s">
        <v>70</v>
      </c>
      <c r="C24" s="42">
        <v>28</v>
      </c>
      <c r="D24" s="42">
        <v>13</v>
      </c>
      <c r="E24" s="41">
        <v>89.939219512195123</v>
      </c>
      <c r="F24" s="42">
        <v>2</v>
      </c>
      <c r="G24" s="42">
        <v>11.7</v>
      </c>
      <c r="H24" s="21">
        <f>siegmund2012!F48</f>
        <v>6.6240000000000006</v>
      </c>
      <c r="I24" s="21" t="e">
        <f>siegmund2012!#REF!</f>
        <v>#REF!</v>
      </c>
      <c r="J24" s="21">
        <f>siegmund2012!G48</f>
        <v>6.1128912</v>
      </c>
    </row>
    <row r="25" spans="1:10">
      <c r="A25" s="80" t="s">
        <v>6</v>
      </c>
      <c r="B25" s="42" t="s">
        <v>33</v>
      </c>
      <c r="C25" s="42">
        <v>22</v>
      </c>
      <c r="D25" s="42">
        <v>19</v>
      </c>
      <c r="E25" s="41">
        <v>86.29456097560977</v>
      </c>
      <c r="F25" s="42">
        <v>2</v>
      </c>
      <c r="G25" s="42">
        <v>10.6</v>
      </c>
      <c r="H25" s="80"/>
      <c r="I25" s="80"/>
      <c r="J25" s="80"/>
    </row>
    <row r="26" spans="1:10">
      <c r="A26" s="80" t="s">
        <v>6</v>
      </c>
      <c r="B26" s="42" t="s">
        <v>45</v>
      </c>
      <c r="C26" s="42">
        <v>30</v>
      </c>
      <c r="D26" s="42">
        <v>11</v>
      </c>
      <c r="E26" s="41">
        <v>54.500707317073157</v>
      </c>
      <c r="F26" s="42">
        <v>2</v>
      </c>
      <c r="G26" s="42">
        <v>9.6</v>
      </c>
      <c r="H26" s="21">
        <f>siegmund2012!F49</f>
        <v>6.5984000000000007</v>
      </c>
      <c r="I26" s="21" t="e">
        <f>siegmund2012!#REF!</f>
        <v>#REF!</v>
      </c>
      <c r="J26" s="21">
        <f>siegmund2012!G49</f>
        <v>5.7813413250560011</v>
      </c>
    </row>
    <row r="27" spans="1:10">
      <c r="A27" s="80" t="s">
        <v>4</v>
      </c>
      <c r="B27" s="42" t="s">
        <v>24</v>
      </c>
      <c r="C27" s="42">
        <v>14</v>
      </c>
      <c r="D27" s="42">
        <v>2</v>
      </c>
      <c r="E27" s="41">
        <v>274.95</v>
      </c>
      <c r="F27" s="42">
        <v>1</v>
      </c>
      <c r="G27" s="42">
        <v>6.8</v>
      </c>
      <c r="H27" s="80"/>
      <c r="I27" s="80"/>
    </row>
    <row r="28" spans="1:10">
      <c r="A28" s="80" t="s">
        <v>4</v>
      </c>
      <c r="B28" s="42" t="s">
        <v>34</v>
      </c>
      <c r="C28" s="42">
        <v>11</v>
      </c>
      <c r="D28" s="42">
        <v>5</v>
      </c>
      <c r="E28" s="41">
        <v>229.65</v>
      </c>
      <c r="F28" s="42">
        <v>5</v>
      </c>
      <c r="G28" s="42">
        <v>18.100000000000001</v>
      </c>
      <c r="H28" s="80"/>
      <c r="I28" s="80"/>
    </row>
    <row r="29" spans="1:10">
      <c r="A29" s="80" t="s">
        <v>4</v>
      </c>
      <c r="B29" s="42" t="s">
        <v>25</v>
      </c>
      <c r="C29" s="42">
        <v>13</v>
      </c>
      <c r="D29" s="42">
        <v>3</v>
      </c>
      <c r="E29" s="41">
        <v>151.47999999999999</v>
      </c>
      <c r="F29" s="42">
        <v>3</v>
      </c>
      <c r="G29" s="42">
        <v>9.5</v>
      </c>
      <c r="H29" s="80"/>
      <c r="I29" s="80"/>
    </row>
    <row r="30" spans="1:10">
      <c r="A30" s="80" t="s">
        <v>4</v>
      </c>
      <c r="B30" s="42" t="s">
        <v>26</v>
      </c>
      <c r="C30" s="42">
        <v>15</v>
      </c>
      <c r="D30" s="42">
        <v>1</v>
      </c>
      <c r="E30" s="41">
        <v>120.43</v>
      </c>
      <c r="F30" s="42">
        <v>1</v>
      </c>
      <c r="G30" s="42">
        <v>7.4</v>
      </c>
      <c r="H30" s="80"/>
      <c r="I30" s="80"/>
    </row>
    <row r="31" spans="1:10">
      <c r="A31" s="80" t="s">
        <v>4</v>
      </c>
      <c r="B31" s="42" t="s">
        <v>35</v>
      </c>
      <c r="C31" s="42">
        <v>16</v>
      </c>
      <c r="D31" s="42">
        <v>0</v>
      </c>
      <c r="E31" s="41">
        <v>72.540000000000006</v>
      </c>
      <c r="F31" s="42">
        <v>1</v>
      </c>
      <c r="G31" s="42">
        <v>7.1</v>
      </c>
      <c r="H31" s="80"/>
      <c r="I31" s="80"/>
    </row>
    <row r="32" spans="1:10">
      <c r="A32" s="80" t="s">
        <v>4</v>
      </c>
      <c r="B32" s="42" t="s">
        <v>29</v>
      </c>
      <c r="C32" s="42">
        <v>14</v>
      </c>
      <c r="D32" s="42">
        <v>2</v>
      </c>
      <c r="E32" s="41">
        <v>140.81</v>
      </c>
      <c r="F32" s="42">
        <v>1</v>
      </c>
      <c r="G32" s="42">
        <v>7.4</v>
      </c>
      <c r="H32" s="80"/>
      <c r="I32" s="80"/>
    </row>
    <row r="33" spans="1:9">
      <c r="A33" s="80" t="s">
        <v>4</v>
      </c>
      <c r="B33" s="42" t="s">
        <v>36</v>
      </c>
      <c r="C33" s="42">
        <v>7</v>
      </c>
      <c r="D33" s="42">
        <v>9</v>
      </c>
      <c r="E33" s="41">
        <v>381.56</v>
      </c>
      <c r="F33" s="42">
        <v>0</v>
      </c>
      <c r="G33" s="42">
        <v>6</v>
      </c>
      <c r="H33" s="80"/>
      <c r="I33" s="80"/>
    </row>
    <row r="34" spans="1:9">
      <c r="A34" s="80" t="s">
        <v>4</v>
      </c>
      <c r="B34" s="42" t="s">
        <v>30</v>
      </c>
      <c r="C34" s="42">
        <v>11</v>
      </c>
      <c r="D34" s="42">
        <v>5</v>
      </c>
      <c r="E34" s="41">
        <v>264</v>
      </c>
      <c r="F34" s="42">
        <v>1</v>
      </c>
      <c r="G34" s="42">
        <v>9.5</v>
      </c>
      <c r="H34" s="80"/>
      <c r="I34" s="80"/>
    </row>
    <row r="35" spans="1:9">
      <c r="A35" s="80" t="s">
        <v>4</v>
      </c>
      <c r="B35" s="42" t="s">
        <v>31</v>
      </c>
      <c r="C35" s="42">
        <v>11</v>
      </c>
      <c r="D35" s="42">
        <v>5</v>
      </c>
      <c r="E35" s="41">
        <v>159.03</v>
      </c>
      <c r="F35" s="42">
        <v>4</v>
      </c>
      <c r="G35" s="42">
        <v>16.2</v>
      </c>
      <c r="H35" s="80"/>
      <c r="I35" s="80"/>
    </row>
    <row r="36" spans="1:9">
      <c r="A36" s="80" t="s">
        <v>4</v>
      </c>
      <c r="B36" s="42" t="s">
        <v>32</v>
      </c>
      <c r="C36" s="42">
        <v>16</v>
      </c>
      <c r="D36" s="42">
        <v>0</v>
      </c>
      <c r="E36" s="41">
        <v>68.290000000000006</v>
      </c>
      <c r="F36" s="42">
        <v>4</v>
      </c>
      <c r="G36" s="42">
        <v>9.8000000000000007</v>
      </c>
      <c r="H36" s="80"/>
      <c r="I36" s="80"/>
    </row>
    <row r="37" spans="1:9">
      <c r="A37" s="80" t="s">
        <v>4</v>
      </c>
      <c r="B37" s="42" t="s">
        <v>69</v>
      </c>
      <c r="C37" s="42">
        <v>15</v>
      </c>
      <c r="D37" s="42">
        <v>1</v>
      </c>
      <c r="E37" s="41">
        <v>125.47</v>
      </c>
      <c r="F37" s="42">
        <v>2</v>
      </c>
      <c r="G37" s="42">
        <v>11.7</v>
      </c>
      <c r="H37" s="80"/>
      <c r="I37" s="80"/>
    </row>
    <row r="38" spans="1:9">
      <c r="A38" s="80" t="s">
        <v>4</v>
      </c>
      <c r="B38" s="42" t="s">
        <v>33</v>
      </c>
      <c r="C38" s="42">
        <v>8</v>
      </c>
      <c r="D38" s="42">
        <v>8</v>
      </c>
      <c r="E38" s="41">
        <v>259.10000000000002</v>
      </c>
      <c r="F38" s="42">
        <v>2</v>
      </c>
      <c r="G38" s="42">
        <v>10.6</v>
      </c>
      <c r="H38" s="80"/>
      <c r="I38" s="80"/>
    </row>
    <row r="39" spans="1:9">
      <c r="A39" s="80" t="s">
        <v>5</v>
      </c>
      <c r="B39" s="42" t="s">
        <v>9</v>
      </c>
      <c r="C39" s="42">
        <v>9</v>
      </c>
      <c r="D39" s="42">
        <v>10</v>
      </c>
      <c r="E39" s="41">
        <v>41.24</v>
      </c>
      <c r="F39" s="42">
        <v>1</v>
      </c>
      <c r="G39" s="42">
        <v>6.9</v>
      </c>
      <c r="H39" s="80">
        <f>peitek2021!F4</f>
        <v>11.744000000000002</v>
      </c>
      <c r="I39" s="80" t="e">
        <f>peitek2021!#REF!</f>
        <v>#REF!</v>
      </c>
    </row>
    <row r="40" spans="1:9">
      <c r="A40" s="80" t="s">
        <v>5</v>
      </c>
      <c r="B40" s="42" t="s">
        <v>10</v>
      </c>
      <c r="C40" s="42">
        <v>6</v>
      </c>
      <c r="D40" s="42">
        <v>13</v>
      </c>
      <c r="E40" s="41">
        <v>33.33</v>
      </c>
      <c r="F40" s="42">
        <v>14</v>
      </c>
      <c r="G40" s="42">
        <v>24.9</v>
      </c>
      <c r="H40" s="80">
        <f>peitek2021!F5</f>
        <v>18.183487999999997</v>
      </c>
      <c r="I40" s="80" t="e">
        <f>peitek2021!#REF!</f>
        <v>#REF!</v>
      </c>
    </row>
    <row r="41" spans="1:9">
      <c r="A41" s="80" t="s">
        <v>5</v>
      </c>
      <c r="B41" s="42" t="s">
        <v>11</v>
      </c>
      <c r="C41" s="42">
        <v>17</v>
      </c>
      <c r="D41" s="42">
        <v>2</v>
      </c>
      <c r="E41" s="41">
        <v>26.95</v>
      </c>
      <c r="F41" s="42">
        <v>6</v>
      </c>
      <c r="G41" s="42">
        <v>13.1</v>
      </c>
      <c r="H41" s="80">
        <f>peitek2021!F6</f>
        <v>11.699563093333332</v>
      </c>
      <c r="I41" s="80" t="e">
        <f>peitek2021!#REF!</f>
        <v>#REF!</v>
      </c>
    </row>
    <row r="42" spans="1:9">
      <c r="A42" s="80" t="s">
        <v>5</v>
      </c>
      <c r="B42" s="42" t="s">
        <v>12</v>
      </c>
      <c r="C42" s="42">
        <v>15</v>
      </c>
      <c r="D42" s="42">
        <v>4</v>
      </c>
      <c r="E42" s="41">
        <v>37.869999999999997</v>
      </c>
      <c r="F42" s="42">
        <v>5</v>
      </c>
      <c r="G42" s="42">
        <v>20.3</v>
      </c>
      <c r="H42" s="80">
        <f>peitek2021!F7</f>
        <v>19</v>
      </c>
      <c r="I42" s="80" t="e">
        <f>peitek2021!#REF!</f>
        <v>#REF!</v>
      </c>
    </row>
    <row r="43" spans="1:9">
      <c r="A43" s="80" t="s">
        <v>5</v>
      </c>
      <c r="B43" s="42" t="s">
        <v>13</v>
      </c>
      <c r="C43" s="42">
        <v>9</v>
      </c>
      <c r="D43" s="42">
        <v>10</v>
      </c>
      <c r="E43" s="41">
        <v>41.82</v>
      </c>
      <c r="F43" s="42">
        <v>5</v>
      </c>
      <c r="G43" s="42">
        <v>11.9</v>
      </c>
      <c r="H43" s="80">
        <f>peitek2021!F8</f>
        <v>14.360000000000001</v>
      </c>
      <c r="I43" s="80" t="e">
        <f>peitek2021!#REF!</f>
        <v>#REF!</v>
      </c>
    </row>
    <row r="44" spans="1:9">
      <c r="A44" s="80" t="s">
        <v>5</v>
      </c>
      <c r="B44" s="42" t="s">
        <v>14</v>
      </c>
      <c r="C44" s="42">
        <v>10</v>
      </c>
      <c r="D44" s="42">
        <v>9</v>
      </c>
      <c r="E44" s="41">
        <v>40.78</v>
      </c>
      <c r="F44" s="42">
        <v>4</v>
      </c>
      <c r="G44" s="42">
        <v>11</v>
      </c>
      <c r="H44" s="80">
        <f>peitek2021!F9</f>
        <v>14.160000000000004</v>
      </c>
      <c r="I44" s="80" t="e">
        <f>peitek2021!#REF!</f>
        <v>#REF!</v>
      </c>
    </row>
    <row r="45" spans="1:9">
      <c r="A45" s="80" t="s">
        <v>5</v>
      </c>
      <c r="B45" s="42" t="s">
        <v>15</v>
      </c>
      <c r="C45" s="42">
        <v>19</v>
      </c>
      <c r="D45" s="42">
        <v>0</v>
      </c>
      <c r="E45" s="41">
        <v>21.52</v>
      </c>
      <c r="F45" s="42">
        <v>6</v>
      </c>
      <c r="G45" s="42">
        <v>11.9</v>
      </c>
      <c r="H45" s="80">
        <f>peitek2021!F10</f>
        <v>4</v>
      </c>
      <c r="I45" s="80" t="e">
        <f>peitek2021!#REF!</f>
        <v>#REF!</v>
      </c>
    </row>
    <row r="46" spans="1:9">
      <c r="A46" s="80" t="s">
        <v>5</v>
      </c>
      <c r="B46" s="42" t="s">
        <v>16</v>
      </c>
      <c r="C46" s="42">
        <v>15</v>
      </c>
      <c r="D46" s="42">
        <v>4</v>
      </c>
      <c r="E46" s="41">
        <v>34.869999999999997</v>
      </c>
      <c r="F46" s="42">
        <v>3</v>
      </c>
      <c r="G46" s="42">
        <v>12.3</v>
      </c>
      <c r="H46" s="80">
        <f>peitek2021!F11</f>
        <v>7.8000000000000007</v>
      </c>
      <c r="I46" s="80" t="e">
        <f>peitek2021!#REF!</f>
        <v>#REF!</v>
      </c>
    </row>
    <row r="47" spans="1:9">
      <c r="A47" s="80" t="s">
        <v>5</v>
      </c>
      <c r="B47" s="42" t="s">
        <v>17</v>
      </c>
      <c r="C47" s="42">
        <v>11</v>
      </c>
      <c r="D47" s="42">
        <v>8</v>
      </c>
      <c r="E47" s="41">
        <v>37.65</v>
      </c>
      <c r="F47" s="42">
        <v>10</v>
      </c>
      <c r="G47" s="42">
        <v>18.3</v>
      </c>
      <c r="H47" s="80">
        <f>peitek2021!F12</f>
        <v>9.2889600000000012</v>
      </c>
      <c r="I47" s="80" t="e">
        <f>peitek2021!#REF!</f>
        <v>#REF!</v>
      </c>
    </row>
    <row r="48" spans="1:9">
      <c r="A48" s="80" t="s">
        <v>5</v>
      </c>
      <c r="B48" s="42" t="s">
        <v>18</v>
      </c>
      <c r="C48" s="42">
        <v>12</v>
      </c>
      <c r="D48" s="42">
        <v>7</v>
      </c>
      <c r="E48" s="41">
        <v>36.979999999999997</v>
      </c>
      <c r="F48" s="42">
        <v>2</v>
      </c>
      <c r="G48" s="42">
        <v>11.9</v>
      </c>
      <c r="H48" s="80">
        <f>peitek2021!F13</f>
        <v>9.36</v>
      </c>
      <c r="I48" s="80" t="e">
        <f>peitek2021!#REF!</f>
        <v>#REF!</v>
      </c>
    </row>
    <row r="49" spans="1:9">
      <c r="A49" s="80" t="s">
        <v>5</v>
      </c>
      <c r="B49" s="42" t="s">
        <v>19</v>
      </c>
      <c r="C49" s="42">
        <v>16</v>
      </c>
      <c r="D49" s="42">
        <v>3</v>
      </c>
      <c r="E49" s="41">
        <v>24.25</v>
      </c>
      <c r="F49" s="42">
        <v>1</v>
      </c>
      <c r="G49" s="42">
        <v>6.2</v>
      </c>
      <c r="H49" s="80">
        <f>peitek2021!F14</f>
        <v>6.3591999999999995</v>
      </c>
      <c r="I49" s="80" t="e">
        <f>peitek2021!#REF!</f>
        <v>#REF!</v>
      </c>
    </row>
    <row r="50" spans="1:9">
      <c r="A50" s="80" t="s">
        <v>5</v>
      </c>
      <c r="B50" s="42" t="s">
        <v>20</v>
      </c>
      <c r="C50" s="42">
        <v>18</v>
      </c>
      <c r="D50" s="42">
        <v>1</v>
      </c>
      <c r="E50" s="41">
        <v>21.25</v>
      </c>
      <c r="F50" s="42">
        <v>1</v>
      </c>
      <c r="G50" s="42">
        <v>5.9</v>
      </c>
      <c r="H50" s="80">
        <f>peitek2021!F15</f>
        <v>3.9640000000000004</v>
      </c>
      <c r="I50" s="80" t="e">
        <f>peitek2021!#REF!</f>
        <v>#REF!</v>
      </c>
    </row>
    <row r="51" spans="1:9">
      <c r="A51" s="80" t="s">
        <v>5</v>
      </c>
      <c r="B51" s="42" t="s">
        <v>21</v>
      </c>
      <c r="C51" s="42">
        <v>16</v>
      </c>
      <c r="D51" s="42">
        <v>3</v>
      </c>
      <c r="E51" s="41">
        <v>31.74</v>
      </c>
      <c r="F51" s="42">
        <v>1</v>
      </c>
      <c r="G51" s="42">
        <v>7.2</v>
      </c>
      <c r="H51" s="80">
        <f>peitek2021!F16</f>
        <v>4.4496000000000002</v>
      </c>
      <c r="I51" s="80" t="e">
        <f>peitek2021!#REF!</f>
        <v>#REF!</v>
      </c>
    </row>
    <row r="52" spans="1:9">
      <c r="A52" s="80" t="s">
        <v>5</v>
      </c>
      <c r="B52" s="42" t="s">
        <v>22</v>
      </c>
      <c r="C52" s="42">
        <v>15</v>
      </c>
      <c r="D52" s="42">
        <v>4</v>
      </c>
      <c r="E52" s="41">
        <v>28.54</v>
      </c>
      <c r="F52" s="42">
        <v>2</v>
      </c>
      <c r="G52" s="42">
        <v>9.1</v>
      </c>
      <c r="H52" s="80">
        <f>peitek2021!F17</f>
        <v>6.4600000000000009</v>
      </c>
      <c r="I52" s="80" t="e">
        <f>peitek2021!#REF!</f>
        <v>#REF!</v>
      </c>
    </row>
    <row r="53" spans="1:9">
      <c r="A53" s="80" t="s">
        <v>5</v>
      </c>
      <c r="B53" s="42" t="s">
        <v>23</v>
      </c>
      <c r="C53" s="42">
        <v>13</v>
      </c>
      <c r="D53" s="42">
        <v>6</v>
      </c>
      <c r="E53" s="41">
        <v>34.83</v>
      </c>
      <c r="F53" s="42">
        <v>6</v>
      </c>
      <c r="G53" s="42">
        <v>15.6</v>
      </c>
      <c r="H53" s="80">
        <f>peitek2021!F18</f>
        <v>12.368000000000004</v>
      </c>
      <c r="I53" s="80" t="e">
        <f>peitek2021!#REF!</f>
        <v>#REF!</v>
      </c>
    </row>
    <row r="54" spans="1:9">
      <c r="A54" s="80" t="s">
        <v>5</v>
      </c>
      <c r="B54" s="42" t="s">
        <v>46</v>
      </c>
      <c r="C54" s="42">
        <v>18</v>
      </c>
      <c r="D54" s="42">
        <v>1</v>
      </c>
      <c r="E54" s="41">
        <v>24.05</v>
      </c>
      <c r="F54" s="42">
        <v>4</v>
      </c>
      <c r="G54" s="42">
        <v>14.5</v>
      </c>
      <c r="H54" s="80">
        <f>peitek2021!F19</f>
        <v>5</v>
      </c>
      <c r="I54" s="80" t="e">
        <f>peitek2021!#REF!</f>
        <v>#REF!</v>
      </c>
    </row>
    <row r="55" spans="1:9">
      <c r="F55" s="1"/>
      <c r="G55" s="1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sheetPr codeName="Feuil69"/>
  <dimension ref="A1:J23"/>
  <sheetViews>
    <sheetView workbookViewId="0">
      <selection activeCell="H21" sqref="H21"/>
    </sheetView>
  </sheetViews>
  <sheetFormatPr baseColWidth="10" defaultRowHeight="16"/>
  <cols>
    <col min="1" max="1" width="40.33203125" style="24" customWidth="1"/>
    <col min="2" max="16384" width="10.83203125" style="24"/>
  </cols>
  <sheetData>
    <row r="1" spans="1:10" ht="19">
      <c r="A1" s="35" t="s">
        <v>12</v>
      </c>
      <c r="B1" s="35"/>
      <c r="C1" s="35"/>
      <c r="D1" s="35"/>
      <c r="E1" s="35"/>
      <c r="F1" s="35"/>
      <c r="G1" s="35"/>
      <c r="H1" s="35"/>
    </row>
    <row r="3" spans="1:10">
      <c r="H3" s="32">
        <f>SUM(H5:H23)</f>
        <v>19</v>
      </c>
      <c r="I3" s="32">
        <f>SUM(I5:I108)</f>
        <v>19</v>
      </c>
      <c r="J3" s="32">
        <f>SUM(J5:J23)</f>
        <v>14.16</v>
      </c>
    </row>
    <row r="4" spans="1:10">
      <c r="B4" s="38" t="s">
        <v>203</v>
      </c>
      <c r="C4" s="38" t="s">
        <v>204</v>
      </c>
      <c r="D4" s="38" t="s">
        <v>371</v>
      </c>
      <c r="E4" s="38" t="s">
        <v>372</v>
      </c>
      <c r="F4" s="38" t="s">
        <v>186</v>
      </c>
      <c r="G4" s="38" t="s">
        <v>97</v>
      </c>
      <c r="H4" s="49" t="str">
        <f>data!$H$3</f>
        <v>diff_id</v>
      </c>
      <c r="I4" s="49" t="str">
        <f>data!I$3</f>
        <v>arrays</v>
      </c>
      <c r="J4" s="49" t="str">
        <f>data!J$3</f>
        <v>reuse</v>
      </c>
    </row>
    <row r="5" spans="1:10">
      <c r="A5" s="33" t="s">
        <v>366</v>
      </c>
      <c r="B5" s="27">
        <v>9</v>
      </c>
      <c r="C5" s="27"/>
      <c r="D5" s="27"/>
      <c r="E5" s="27"/>
      <c r="F5" s="27"/>
      <c r="G5" s="27"/>
      <c r="H5" s="31"/>
      <c r="I5" s="107"/>
      <c r="J5" s="31"/>
    </row>
    <row r="6" spans="1:10">
      <c r="A6" s="33" t="s">
        <v>367</v>
      </c>
      <c r="B6" s="27"/>
      <c r="C6" s="27">
        <v>12</v>
      </c>
      <c r="D6" s="27"/>
      <c r="E6" s="27"/>
      <c r="F6" s="27"/>
      <c r="G6" s="27"/>
      <c r="H6" s="31"/>
      <c r="I6" s="107"/>
      <c r="J6" s="31"/>
    </row>
    <row r="7" spans="1:10">
      <c r="A7" s="33" t="s">
        <v>368</v>
      </c>
      <c r="B7" s="27"/>
      <c r="C7" s="27"/>
      <c r="D7" s="27">
        <v>8</v>
      </c>
      <c r="E7" s="27"/>
      <c r="F7" s="27"/>
      <c r="G7" s="27"/>
      <c r="H7" s="31"/>
      <c r="I7" s="107"/>
      <c r="J7" s="31"/>
    </row>
    <row r="8" spans="1:10">
      <c r="A8" s="33" t="s">
        <v>369</v>
      </c>
      <c r="B8" s="27"/>
      <c r="C8" s="27"/>
      <c r="D8" s="27"/>
      <c r="E8" s="27">
        <v>11</v>
      </c>
      <c r="F8" s="27"/>
      <c r="G8" s="27"/>
      <c r="H8" s="31"/>
      <c r="I8" s="107"/>
      <c r="J8" s="31"/>
    </row>
    <row r="9" spans="1:10">
      <c r="A9" s="33" t="s">
        <v>491</v>
      </c>
      <c r="B9" s="27">
        <v>9</v>
      </c>
      <c r="C9" s="27">
        <v>12</v>
      </c>
      <c r="D9" s="27"/>
      <c r="E9" s="27"/>
      <c r="F9" s="27"/>
      <c r="G9" s="27"/>
      <c r="H9" s="31">
        <v>2</v>
      </c>
      <c r="I9" s="107">
        <v>2</v>
      </c>
      <c r="J9" s="31">
        <v>1</v>
      </c>
    </row>
    <row r="10" spans="1:10">
      <c r="A10" s="33" t="s">
        <v>492</v>
      </c>
      <c r="B10" s="27"/>
      <c r="C10" s="27"/>
      <c r="D10" s="27">
        <v>8</v>
      </c>
      <c r="E10" s="27">
        <v>11</v>
      </c>
      <c r="F10" s="27"/>
      <c r="G10" s="27"/>
      <c r="H10" s="31">
        <v>2</v>
      </c>
      <c r="I10" s="107">
        <v>2</v>
      </c>
      <c r="J10" s="31">
        <v>2</v>
      </c>
    </row>
    <row r="11" spans="1:10">
      <c r="A11" s="33" t="s">
        <v>493</v>
      </c>
      <c r="B11" s="27">
        <v>9</v>
      </c>
      <c r="C11" s="27"/>
      <c r="D11" s="27">
        <v>8</v>
      </c>
      <c r="E11" s="27"/>
      <c r="F11" s="27"/>
      <c r="G11" s="27"/>
      <c r="H11" s="31">
        <v>2</v>
      </c>
      <c r="I11" s="107">
        <v>2</v>
      </c>
      <c r="J11" s="31">
        <f>Synthesis!$C$7+Synthesis!$C$7</f>
        <v>1.4</v>
      </c>
    </row>
    <row r="12" spans="1:10">
      <c r="A12" s="33" t="s">
        <v>494</v>
      </c>
      <c r="B12" s="27"/>
      <c r="C12" s="27"/>
      <c r="D12" s="27">
        <v>8</v>
      </c>
      <c r="E12" s="27"/>
      <c r="F12" s="27">
        <v>8</v>
      </c>
      <c r="G12" s="27"/>
      <c r="H12" s="31">
        <v>1</v>
      </c>
      <c r="I12" s="107">
        <f>H12</f>
        <v>1</v>
      </c>
      <c r="J12" s="31">
        <f>Synthesis!$C$7^2</f>
        <v>0.48999999999999994</v>
      </c>
    </row>
    <row r="13" spans="1:10">
      <c r="A13" s="33" t="s">
        <v>495</v>
      </c>
      <c r="B13" s="27">
        <v>9</v>
      </c>
      <c r="C13" s="27"/>
      <c r="D13" s="27">
        <v>9</v>
      </c>
      <c r="E13" s="27"/>
      <c r="F13" s="27"/>
      <c r="G13" s="27"/>
      <c r="H13" s="31">
        <v>1</v>
      </c>
      <c r="I13" s="107">
        <f>H13</f>
        <v>1</v>
      </c>
      <c r="J13" s="31">
        <f>Synthesis!$C$7^2</f>
        <v>0.48999999999999994</v>
      </c>
    </row>
    <row r="14" spans="1:10">
      <c r="A14" s="33" t="s">
        <v>496</v>
      </c>
      <c r="B14" s="27">
        <v>8</v>
      </c>
      <c r="C14" s="27"/>
      <c r="D14" s="27"/>
      <c r="E14" s="27"/>
      <c r="F14" s="27">
        <v>8</v>
      </c>
      <c r="G14" s="27"/>
      <c r="H14" s="31">
        <v>1</v>
      </c>
      <c r="I14" s="107">
        <f t="shared" ref="I14:I22" si="0">H14</f>
        <v>1</v>
      </c>
      <c r="J14" s="31">
        <v>1</v>
      </c>
    </row>
    <row r="15" spans="1:10">
      <c r="A15" s="33" t="s">
        <v>497</v>
      </c>
      <c r="B15" s="27"/>
      <c r="C15" s="27">
        <v>12</v>
      </c>
      <c r="D15" s="27"/>
      <c r="E15" s="27">
        <v>11</v>
      </c>
      <c r="F15" s="27"/>
      <c r="G15" s="27"/>
      <c r="H15" s="31">
        <v>2</v>
      </c>
      <c r="I15" s="107">
        <f t="shared" si="0"/>
        <v>2</v>
      </c>
      <c r="J15" s="31">
        <f>Synthesis!$C$7+Synthesis!$C$7</f>
        <v>1.4</v>
      </c>
    </row>
    <row r="16" spans="1:10">
      <c r="A16" s="33" t="s">
        <v>498</v>
      </c>
      <c r="B16" s="27"/>
      <c r="C16" s="27"/>
      <c r="D16" s="27"/>
      <c r="E16" s="27">
        <v>11</v>
      </c>
      <c r="F16" s="27">
        <v>11</v>
      </c>
      <c r="G16" s="27"/>
      <c r="H16" s="31">
        <v>1</v>
      </c>
      <c r="I16" s="107">
        <f t="shared" si="0"/>
        <v>1</v>
      </c>
      <c r="J16" s="31">
        <f>Synthesis!$C$7^2</f>
        <v>0.48999999999999994</v>
      </c>
    </row>
    <row r="17" spans="1:10">
      <c r="A17" s="33" t="s">
        <v>499</v>
      </c>
      <c r="B17" s="27"/>
      <c r="C17" s="27">
        <v>12</v>
      </c>
      <c r="D17" s="27"/>
      <c r="E17" s="27">
        <v>12</v>
      </c>
      <c r="F17" s="27"/>
      <c r="G17" s="27"/>
      <c r="H17" s="31">
        <v>1</v>
      </c>
      <c r="I17" s="107">
        <f t="shared" si="0"/>
        <v>1</v>
      </c>
      <c r="J17" s="31">
        <f>Synthesis!$C$7^2</f>
        <v>0.48999999999999994</v>
      </c>
    </row>
    <row r="18" spans="1:10">
      <c r="A18" s="33" t="s">
        <v>500</v>
      </c>
      <c r="B18" s="27"/>
      <c r="C18" s="27">
        <v>11</v>
      </c>
      <c r="D18" s="27"/>
      <c r="E18" s="27"/>
      <c r="F18" s="27">
        <v>11</v>
      </c>
      <c r="G18" s="27"/>
      <c r="H18" s="31">
        <v>1</v>
      </c>
      <c r="I18" s="107">
        <f t="shared" si="0"/>
        <v>1</v>
      </c>
      <c r="J18" s="31">
        <v>1</v>
      </c>
    </row>
    <row r="19" spans="1:10">
      <c r="A19" s="33" t="s">
        <v>501</v>
      </c>
      <c r="B19" s="27"/>
      <c r="C19" s="27">
        <v>11</v>
      </c>
      <c r="D19" s="27">
        <v>9</v>
      </c>
      <c r="E19" s="27"/>
      <c r="F19" s="27"/>
      <c r="G19" s="27"/>
      <c r="H19" s="31">
        <v>2</v>
      </c>
      <c r="I19" s="107">
        <f t="shared" si="0"/>
        <v>2</v>
      </c>
      <c r="J19" s="31">
        <f>1+1</f>
        <v>2</v>
      </c>
    </row>
    <row r="20" spans="1:10">
      <c r="A20" s="33" t="s">
        <v>494</v>
      </c>
      <c r="B20" s="27"/>
      <c r="C20" s="27"/>
      <c r="D20" s="27">
        <v>9</v>
      </c>
      <c r="E20" s="27"/>
      <c r="F20" s="27">
        <v>9</v>
      </c>
      <c r="G20" s="27"/>
      <c r="H20" s="31">
        <v>1</v>
      </c>
      <c r="I20" s="107">
        <f t="shared" si="0"/>
        <v>1</v>
      </c>
      <c r="J20" s="31">
        <f>Synthesis!$C$7</f>
        <v>0.7</v>
      </c>
    </row>
    <row r="21" spans="1:10">
      <c r="A21" s="33" t="s">
        <v>502</v>
      </c>
      <c r="B21" s="27"/>
      <c r="C21" s="27">
        <v>11</v>
      </c>
      <c r="D21" s="27">
        <v>11</v>
      </c>
      <c r="E21" s="27"/>
      <c r="F21" s="27"/>
      <c r="G21" s="27"/>
      <c r="H21" s="31">
        <v>1</v>
      </c>
      <c r="I21" s="107">
        <f t="shared" si="0"/>
        <v>1</v>
      </c>
      <c r="J21" s="31">
        <f>Synthesis!$C$7</f>
        <v>0.7</v>
      </c>
    </row>
    <row r="22" spans="1:10">
      <c r="A22" s="27" t="s">
        <v>503</v>
      </c>
      <c r="B22" s="27"/>
      <c r="C22" s="27">
        <v>9</v>
      </c>
      <c r="D22" s="27"/>
      <c r="E22" s="27"/>
      <c r="F22" s="27">
        <v>9</v>
      </c>
      <c r="G22" s="27"/>
      <c r="H22" s="31">
        <v>1</v>
      </c>
      <c r="I22" s="107">
        <f t="shared" si="0"/>
        <v>1</v>
      </c>
      <c r="J22" s="31">
        <v>1</v>
      </c>
    </row>
    <row r="23" spans="1:10">
      <c r="A23" s="33" t="s">
        <v>370</v>
      </c>
      <c r="B23" s="27"/>
      <c r="C23" s="27"/>
      <c r="D23" s="27"/>
      <c r="E23" s="27"/>
      <c r="F23" s="27"/>
      <c r="G23" s="27"/>
      <c r="H23" s="31"/>
      <c r="I23" s="107"/>
      <c r="J23" s="31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sheetPr codeName="Feuil70"/>
  <dimension ref="A1:H31"/>
  <sheetViews>
    <sheetView workbookViewId="0">
      <selection activeCell="H21" sqref="H21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8" ht="19">
      <c r="A1" s="35" t="s">
        <v>373</v>
      </c>
      <c r="B1" s="35"/>
      <c r="C1" s="35"/>
      <c r="D1" s="35"/>
      <c r="E1" s="35"/>
      <c r="F1" s="35"/>
    </row>
    <row r="3" spans="1:8">
      <c r="F3" s="28">
        <f>SUM(F5:F18)</f>
        <v>14.360000000000001</v>
      </c>
      <c r="G3" s="32">
        <f>SUM(G5:G99)</f>
        <v>15.340000000000002</v>
      </c>
      <c r="H3" s="32">
        <f>SUM(H5:H18)</f>
        <v>9.9460000000000015</v>
      </c>
    </row>
    <row r="4" spans="1:8">
      <c r="B4" s="38" t="s">
        <v>235</v>
      </c>
      <c r="C4" s="38" t="s">
        <v>236</v>
      </c>
      <c r="D4" s="38" t="s">
        <v>186</v>
      </c>
      <c r="E4" s="38" t="s">
        <v>479</v>
      </c>
      <c r="F4" s="49" t="str">
        <f>data!$H$3</f>
        <v>diff_id</v>
      </c>
      <c r="G4" s="49" t="str">
        <f>data!I$3</f>
        <v>arrays</v>
      </c>
      <c r="H4" s="49" t="str">
        <f>data!J$3</f>
        <v>reuse</v>
      </c>
    </row>
    <row r="5" spans="1:8">
      <c r="A5" s="37" t="s">
        <v>374</v>
      </c>
      <c r="B5" s="27">
        <v>20</v>
      </c>
      <c r="C5" s="27"/>
      <c r="D5" s="27"/>
      <c r="E5" s="27"/>
      <c r="F5" s="31"/>
      <c r="G5" s="107"/>
      <c r="H5" s="31"/>
    </row>
    <row r="6" spans="1:8">
      <c r="A6" s="33" t="s">
        <v>375</v>
      </c>
      <c r="B6" s="27"/>
      <c r="C6" s="27">
        <v>15</v>
      </c>
      <c r="D6" s="27"/>
      <c r="E6" s="27"/>
      <c r="F6" s="31"/>
      <c r="G6" s="107"/>
      <c r="H6" s="31"/>
    </row>
    <row r="7" spans="1:8">
      <c r="A7" s="33" t="s">
        <v>376</v>
      </c>
      <c r="B7" s="27"/>
      <c r="C7" s="27"/>
      <c r="D7" s="27">
        <v>20</v>
      </c>
      <c r="E7" s="27"/>
      <c r="F7" s="31"/>
      <c r="G7" s="107"/>
      <c r="H7" s="31"/>
    </row>
    <row r="8" spans="1:8">
      <c r="A8" s="104" t="s">
        <v>377</v>
      </c>
      <c r="B8" s="27"/>
      <c r="C8" s="27"/>
      <c r="D8" s="27">
        <v>20</v>
      </c>
      <c r="E8" s="27"/>
      <c r="F8" s="31">
        <v>1</v>
      </c>
      <c r="G8" s="107">
        <v>1</v>
      </c>
      <c r="H8" s="31">
        <v>1</v>
      </c>
    </row>
    <row r="9" spans="1:8">
      <c r="A9" s="33" t="s">
        <v>378</v>
      </c>
      <c r="B9" s="27">
        <v>20</v>
      </c>
      <c r="C9" s="27">
        <v>15</v>
      </c>
      <c r="D9" s="27"/>
      <c r="E9" s="27"/>
      <c r="F9" s="31">
        <v>2</v>
      </c>
      <c r="G9" s="107">
        <v>2</v>
      </c>
      <c r="H9" s="31">
        <v>2</v>
      </c>
    </row>
    <row r="10" spans="1:8">
      <c r="A10" s="33" t="s">
        <v>381</v>
      </c>
      <c r="B10" s="27">
        <v>20</v>
      </c>
      <c r="C10" s="27">
        <v>15</v>
      </c>
      <c r="D10" s="27">
        <v>5</v>
      </c>
      <c r="E10" s="27">
        <v>1</v>
      </c>
      <c r="F10" s="31">
        <f>2+E10*Synthesis!$C$6</f>
        <v>3.4</v>
      </c>
      <c r="G10" s="107">
        <v>4.0999999999999996</v>
      </c>
      <c r="H10" s="31">
        <f>Synthesis!$C$7+Synthesis!$C$7+Synthesis!$C$6</f>
        <v>2.8</v>
      </c>
    </row>
    <row r="11" spans="1:8">
      <c r="A11" s="33" t="s">
        <v>382</v>
      </c>
      <c r="B11" s="27"/>
      <c r="C11" s="27"/>
      <c r="D11" s="27">
        <v>5</v>
      </c>
      <c r="E11" s="27"/>
      <c r="F11" s="31">
        <v>1</v>
      </c>
      <c r="G11" s="107">
        <v>1</v>
      </c>
      <c r="H11" s="31">
        <v>1</v>
      </c>
    </row>
    <row r="12" spans="1:8">
      <c r="A12" s="33" t="s">
        <v>379</v>
      </c>
      <c r="B12" s="27">
        <v>15</v>
      </c>
      <c r="C12" s="27">
        <v>15</v>
      </c>
      <c r="D12" s="27"/>
      <c r="E12" s="27"/>
      <c r="F12" s="31">
        <v>2</v>
      </c>
      <c r="G12" s="107">
        <v>2</v>
      </c>
      <c r="H12" s="31">
        <f>Synthesis!$C$7^2</f>
        <v>0.48999999999999994</v>
      </c>
    </row>
    <row r="13" spans="1:8">
      <c r="A13" s="33" t="s">
        <v>380</v>
      </c>
      <c r="B13" s="27"/>
      <c r="C13" s="27">
        <v>5</v>
      </c>
      <c r="D13" s="27">
        <v>5</v>
      </c>
      <c r="E13" s="27"/>
      <c r="F13" s="31">
        <v>2</v>
      </c>
      <c r="G13" s="107">
        <v>2</v>
      </c>
      <c r="H13" s="31">
        <f>Synthesis!$C$7</f>
        <v>0.7</v>
      </c>
    </row>
    <row r="14" spans="1:8">
      <c r="A14" s="104" t="s">
        <v>377</v>
      </c>
      <c r="B14" s="27"/>
      <c r="C14" s="27"/>
      <c r="D14" s="27">
        <v>5</v>
      </c>
      <c r="E14" s="27"/>
      <c r="F14" s="31">
        <f>F8*Synthesis!$C$4</f>
        <v>0.4</v>
      </c>
      <c r="G14" s="107">
        <f>G8*Synthesis!$C$4</f>
        <v>0.4</v>
      </c>
      <c r="H14" s="31">
        <f>(Synthesis!$C$7^2)*Synthesis!$C$4</f>
        <v>0.19599999999999998</v>
      </c>
    </row>
    <row r="15" spans="1:8">
      <c r="A15" s="33" t="s">
        <v>378</v>
      </c>
      <c r="B15" s="27">
        <v>15</v>
      </c>
      <c r="C15" s="27">
        <v>5</v>
      </c>
      <c r="D15" s="27"/>
      <c r="E15" s="27"/>
      <c r="F15" s="31">
        <f>F9*Synthesis!$C$4</f>
        <v>0.8</v>
      </c>
      <c r="G15" s="107">
        <f>G9*Synthesis!$C$4</f>
        <v>0.8</v>
      </c>
      <c r="H15" s="31">
        <f>(1+1)*Synthesis!$C$4</f>
        <v>0.8</v>
      </c>
    </row>
    <row r="16" spans="1:8">
      <c r="A16" s="33" t="s">
        <v>381</v>
      </c>
      <c r="B16" s="27">
        <v>15</v>
      </c>
      <c r="C16" s="27">
        <v>5</v>
      </c>
      <c r="D16" s="27">
        <v>0</v>
      </c>
      <c r="E16" s="27"/>
      <c r="F16" s="31">
        <f>F10*Synthesis!$C$4</f>
        <v>1.36</v>
      </c>
      <c r="G16" s="107">
        <f>G10*Synthesis!$C$4</f>
        <v>1.64</v>
      </c>
      <c r="H16" s="31">
        <f>(Synthesis!$C$7+Synthesis!$C$7)*Synthesis!$C$4</f>
        <v>0.55999999999999994</v>
      </c>
    </row>
    <row r="17" spans="1:8">
      <c r="A17" s="33" t="s">
        <v>382</v>
      </c>
      <c r="B17" s="27"/>
      <c r="C17" s="27"/>
      <c r="D17" s="27">
        <v>0</v>
      </c>
      <c r="E17" s="27"/>
      <c r="F17" s="31">
        <f>F11*Synthesis!$C$4</f>
        <v>0.4</v>
      </c>
      <c r="G17" s="107">
        <f>G11*Synthesis!$C$4</f>
        <v>0.4</v>
      </c>
      <c r="H17" s="31">
        <f>Synthesis!$C$4</f>
        <v>0.4</v>
      </c>
    </row>
    <row r="18" spans="1:8">
      <c r="A18" s="33" t="s">
        <v>383</v>
      </c>
      <c r="B18" s="27"/>
      <c r="C18" s="27"/>
      <c r="D18" s="27"/>
      <c r="E18" s="27"/>
      <c r="F18" s="31"/>
      <c r="G18" s="107"/>
      <c r="H18" s="31"/>
    </row>
    <row r="29" spans="1:8">
      <c r="A29" s="26"/>
    </row>
    <row r="30" spans="1:8">
      <c r="A30" s="26"/>
    </row>
    <row r="31" spans="1:8">
      <c r="A31" s="26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B86-D676-6C4A-A7AF-BC0028413D87}">
  <sheetPr codeName="Feuil71"/>
  <dimension ref="A1:I46"/>
  <sheetViews>
    <sheetView workbookViewId="0">
      <selection activeCell="H21" sqref="H21"/>
    </sheetView>
  </sheetViews>
  <sheetFormatPr baseColWidth="10" defaultRowHeight="16"/>
  <cols>
    <col min="1" max="1" width="35" style="24" customWidth="1"/>
    <col min="2" max="16384" width="10.83203125" style="24"/>
  </cols>
  <sheetData>
    <row r="1" spans="1:9" ht="19">
      <c r="A1" s="35" t="s">
        <v>14</v>
      </c>
      <c r="B1" s="35"/>
      <c r="C1" s="35"/>
      <c r="D1" s="35"/>
      <c r="E1" s="35"/>
      <c r="F1" s="35"/>
      <c r="G1" s="35"/>
    </row>
    <row r="3" spans="1:9">
      <c r="D3" s="36"/>
      <c r="E3" s="36"/>
      <c r="F3" s="36"/>
      <c r="G3" s="28">
        <f>SUM(G5:G22)</f>
        <v>14.160000000000004</v>
      </c>
      <c r="H3" s="28" t="e">
        <f>SUM(H5:H100)</f>
        <v>#REF!</v>
      </c>
      <c r="I3" s="28">
        <f>SUM(I5:I22)</f>
        <v>8.9761231999999982</v>
      </c>
    </row>
    <row r="4" spans="1:9">
      <c r="B4" s="38" t="s">
        <v>339</v>
      </c>
      <c r="C4" s="38" t="s">
        <v>394</v>
      </c>
      <c r="D4" s="38" t="s">
        <v>97</v>
      </c>
      <c r="E4" s="38" t="s">
        <v>109</v>
      </c>
      <c r="F4" s="87" t="s">
        <v>395</v>
      </c>
      <c r="G4" s="49" t="str">
        <f>data!$H$3</f>
        <v>diff_id</v>
      </c>
      <c r="H4" s="49" t="str">
        <f>data!I$3</f>
        <v>arrays</v>
      </c>
      <c r="I4" s="49" t="str">
        <f>data!J$3</f>
        <v>reuse</v>
      </c>
    </row>
    <row r="5" spans="1:9">
      <c r="A5" s="37" t="s">
        <v>385</v>
      </c>
      <c r="B5" s="27" t="s">
        <v>393</v>
      </c>
      <c r="C5" s="27"/>
      <c r="D5" s="27"/>
      <c r="E5" s="27"/>
      <c r="F5" s="88"/>
      <c r="G5" s="31"/>
      <c r="H5" s="107"/>
      <c r="I5" s="31"/>
    </row>
    <row r="6" spans="1:9">
      <c r="A6" s="33" t="s">
        <v>384</v>
      </c>
      <c r="B6" s="27" t="s">
        <v>393</v>
      </c>
      <c r="C6" s="27"/>
      <c r="D6" s="27"/>
      <c r="E6" s="27"/>
      <c r="F6" s="88"/>
      <c r="G6" s="31">
        <v>1</v>
      </c>
      <c r="H6" s="107">
        <v>1</v>
      </c>
      <c r="I6" s="31">
        <v>1</v>
      </c>
    </row>
    <row r="7" spans="1:9">
      <c r="A7" s="33" t="s">
        <v>386</v>
      </c>
      <c r="B7" s="27" t="s">
        <v>393</v>
      </c>
      <c r="C7" s="27">
        <v>5</v>
      </c>
      <c r="D7" s="27"/>
      <c r="E7" s="27"/>
      <c r="F7" s="88"/>
      <c r="G7" s="31">
        <v>1</v>
      </c>
      <c r="H7" s="107">
        <v>1</v>
      </c>
      <c r="I7" s="31">
        <f>Synthesis!$C$7</f>
        <v>0.7</v>
      </c>
    </row>
    <row r="8" spans="1:9">
      <c r="A8" s="33" t="s">
        <v>358</v>
      </c>
      <c r="B8" s="27"/>
      <c r="C8" s="27"/>
      <c r="D8" s="27">
        <v>0</v>
      </c>
      <c r="E8" s="27"/>
      <c r="F8" s="88"/>
      <c r="G8" s="31"/>
      <c r="H8" s="107"/>
      <c r="I8" s="31"/>
    </row>
    <row r="9" spans="1:9">
      <c r="A9" s="104" t="s">
        <v>387</v>
      </c>
      <c r="B9" s="27"/>
      <c r="C9" s="27">
        <v>5</v>
      </c>
      <c r="D9" s="27"/>
      <c r="E9" s="27">
        <v>4</v>
      </c>
      <c r="F9" s="88"/>
      <c r="G9" s="31">
        <v>1</v>
      </c>
      <c r="H9" s="107">
        <v>1</v>
      </c>
      <c r="I9" s="31">
        <v>1</v>
      </c>
    </row>
    <row r="10" spans="1:9">
      <c r="A10" s="33" t="s">
        <v>388</v>
      </c>
      <c r="B10" s="27"/>
      <c r="C10" s="27">
        <v>5</v>
      </c>
      <c r="D10" s="27"/>
      <c r="E10" s="27">
        <v>4</v>
      </c>
      <c r="F10" s="88">
        <v>1</v>
      </c>
      <c r="G10" s="31">
        <v>2</v>
      </c>
      <c r="H10" s="107">
        <v>2</v>
      </c>
      <c r="I10" s="31">
        <f>Synthesis!$C$7+1</f>
        <v>1.7</v>
      </c>
    </row>
    <row r="11" spans="1:9">
      <c r="A11" s="33" t="s">
        <v>389</v>
      </c>
      <c r="B11" s="27" t="s">
        <v>393</v>
      </c>
      <c r="C11" s="27"/>
      <c r="D11" s="27"/>
      <c r="E11" s="27">
        <v>4</v>
      </c>
      <c r="F11" s="88">
        <v>1</v>
      </c>
      <c r="G11" s="31">
        <v>3</v>
      </c>
      <c r="H11" s="107" t="e">
        <f>3+Synthesis!#REF!</f>
        <v>#REF!</v>
      </c>
      <c r="I11" s="31">
        <f>Synthesis!$C$7^2+Synthesis!$C$7+1</f>
        <v>2.19</v>
      </c>
    </row>
    <row r="12" spans="1:9">
      <c r="A12" s="33" t="s">
        <v>390</v>
      </c>
      <c r="B12" s="27"/>
      <c r="C12" s="27"/>
      <c r="D12" s="27">
        <v>1</v>
      </c>
      <c r="E12" s="27"/>
      <c r="F12" s="88">
        <v>1</v>
      </c>
      <c r="G12" s="31">
        <v>2</v>
      </c>
      <c r="H12" s="107">
        <v>2</v>
      </c>
      <c r="I12" s="31">
        <f>Synthesis!$C$7</f>
        <v>0.7</v>
      </c>
    </row>
    <row r="13" spans="1:9">
      <c r="A13" s="104" t="s">
        <v>387</v>
      </c>
      <c r="B13" s="27"/>
      <c r="C13" s="27">
        <v>5</v>
      </c>
      <c r="D13" s="27"/>
      <c r="E13" s="27">
        <v>3</v>
      </c>
      <c r="F13" s="88"/>
      <c r="G13" s="31">
        <f>G9*Synthesis!$C$4</f>
        <v>0.4</v>
      </c>
      <c r="H13" s="107">
        <f>H9*Synthesis!$C$4</f>
        <v>0.4</v>
      </c>
      <c r="I13" s="31">
        <f>(Synthesis!$C$7^2)*Synthesis!$C$4</f>
        <v>0.19599999999999998</v>
      </c>
    </row>
    <row r="14" spans="1:9">
      <c r="A14" s="33" t="s">
        <v>388</v>
      </c>
      <c r="B14" s="27"/>
      <c r="C14" s="27">
        <v>5</v>
      </c>
      <c r="D14" s="27"/>
      <c r="E14" s="27">
        <v>3</v>
      </c>
      <c r="F14" s="88">
        <v>2</v>
      </c>
      <c r="G14" s="31">
        <f>G10*Synthesis!$C$4</f>
        <v>0.8</v>
      </c>
      <c r="H14" s="107">
        <f>H10*Synthesis!$C$4</f>
        <v>0.8</v>
      </c>
      <c r="I14" s="31">
        <f>(Synthesis!$C$7^3+1)*Synthesis!$C$4</f>
        <v>0.53720000000000001</v>
      </c>
    </row>
    <row r="15" spans="1:9">
      <c r="A15" s="33" t="s">
        <v>389</v>
      </c>
      <c r="B15" s="27" t="s">
        <v>393</v>
      </c>
      <c r="C15" s="27"/>
      <c r="D15" s="27"/>
      <c r="E15" s="27">
        <v>3</v>
      </c>
      <c r="F15" s="88">
        <v>2</v>
      </c>
      <c r="G15" s="31">
        <f>G11*Synthesis!$C$4</f>
        <v>1.2000000000000002</v>
      </c>
      <c r="H15" s="107" t="e">
        <f>H11*Synthesis!$C$4</f>
        <v>#REF!</v>
      </c>
      <c r="I15" s="31">
        <f>(Synthesis!$C$7^3)*Synthesis!$C$4</f>
        <v>0.13719999999999996</v>
      </c>
    </row>
    <row r="16" spans="1:9">
      <c r="A16" s="33" t="s">
        <v>390</v>
      </c>
      <c r="B16" s="27"/>
      <c r="C16" s="27"/>
      <c r="D16" s="27">
        <v>2</v>
      </c>
      <c r="E16" s="27"/>
      <c r="F16" s="88">
        <v>2</v>
      </c>
      <c r="G16" s="31">
        <f>G12*Synthesis!$C$4</f>
        <v>0.8</v>
      </c>
      <c r="H16" s="107">
        <f>H12*Synthesis!$C$4</f>
        <v>0.8</v>
      </c>
      <c r="I16" s="31">
        <f>(Synthesis!$C$7)*Synthesis!$C$4</f>
        <v>0.27999999999999997</v>
      </c>
    </row>
    <row r="17" spans="1:9">
      <c r="A17" s="104" t="s">
        <v>387</v>
      </c>
      <c r="B17" s="27"/>
      <c r="C17" s="27">
        <v>5</v>
      </c>
      <c r="D17" s="27"/>
      <c r="E17" s="27">
        <v>2</v>
      </c>
      <c r="F17" s="88"/>
      <c r="G17" s="31">
        <f>G13*Synthesis!$C$4</f>
        <v>0.16000000000000003</v>
      </c>
      <c r="H17" s="107">
        <f>H13*Synthesis!$C$4</f>
        <v>0.16000000000000003</v>
      </c>
      <c r="I17" s="31">
        <f>(Synthesis!$C$7^4)*Synthesis!$C$4^2</f>
        <v>3.8415999999999999E-2</v>
      </c>
    </row>
    <row r="18" spans="1:9">
      <c r="A18" s="33" t="s">
        <v>388</v>
      </c>
      <c r="B18" s="27"/>
      <c r="C18" s="27">
        <v>5</v>
      </c>
      <c r="D18" s="27"/>
      <c r="E18" s="27">
        <v>2</v>
      </c>
      <c r="F18" s="88">
        <v>2</v>
      </c>
      <c r="G18" s="31">
        <f>G14*Synthesis!$C$4</f>
        <v>0.32000000000000006</v>
      </c>
      <c r="H18" s="107">
        <f>H14*Synthesis!$C$4</f>
        <v>0.32000000000000006</v>
      </c>
      <c r="I18" s="31">
        <f>(Synthesis!$C$7^5+1)*Synthesis!$C$4^2</f>
        <v>0.18689120000000004</v>
      </c>
    </row>
    <row r="19" spans="1:9">
      <c r="A19" s="33" t="s">
        <v>389</v>
      </c>
      <c r="B19" s="27" t="s">
        <v>393</v>
      </c>
      <c r="C19" s="27"/>
      <c r="D19" s="27"/>
      <c r="E19" s="27">
        <v>2</v>
      </c>
      <c r="F19" s="88">
        <v>2</v>
      </c>
      <c r="G19" s="31">
        <f>G15*Synthesis!$C$4</f>
        <v>0.48000000000000009</v>
      </c>
      <c r="H19" s="107" t="e">
        <f>H15*Synthesis!$C$4</f>
        <v>#REF!</v>
      </c>
      <c r="I19" s="31">
        <f>(Synthesis!$C$7^4+Synthesis!$C$7+1)*Synthesis!$C$4^2</f>
        <v>0.31041600000000003</v>
      </c>
    </row>
    <row r="20" spans="1:9">
      <c r="A20" s="33" t="s">
        <v>391</v>
      </c>
      <c r="B20" s="27"/>
      <c r="C20" s="27"/>
      <c r="D20" s="27"/>
      <c r="E20" s="27"/>
      <c r="F20" s="88"/>
      <c r="G20" s="31"/>
      <c r="H20" s="107"/>
      <c r="I20" s="31"/>
    </row>
    <row r="21" spans="1:9">
      <c r="A21" s="33" t="s">
        <v>392</v>
      </c>
      <c r="B21" s="27"/>
      <c r="C21" s="27"/>
      <c r="D21" s="27"/>
      <c r="E21" s="27"/>
      <c r="F21" s="88"/>
      <c r="G21" s="31"/>
      <c r="H21" s="107"/>
      <c r="I21" s="31"/>
    </row>
    <row r="22" spans="1:9">
      <c r="A22" s="33" t="s">
        <v>338</v>
      </c>
      <c r="B22" s="27"/>
      <c r="C22" s="27"/>
      <c r="D22" s="27"/>
      <c r="E22" s="27"/>
      <c r="F22" s="88"/>
      <c r="G22" s="31"/>
      <c r="H22" s="107"/>
      <c r="I22" s="31"/>
    </row>
    <row r="45" spans="1:1">
      <c r="A45" s="26"/>
    </row>
    <row r="46" spans="1:1">
      <c r="A46" s="26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02BC-DA8D-A94E-AB02-C76A77CDF19B}">
  <sheetPr codeName="Feuil72"/>
  <dimension ref="A1:F11"/>
  <sheetViews>
    <sheetView workbookViewId="0">
      <selection activeCell="H21" sqref="H21"/>
    </sheetView>
  </sheetViews>
  <sheetFormatPr baseColWidth="10" defaultRowHeight="16"/>
  <cols>
    <col min="1" max="1" width="45.1640625" style="24" customWidth="1"/>
    <col min="2" max="2" width="10.83203125" style="24"/>
    <col min="3" max="3" width="15.6640625" style="24" customWidth="1"/>
    <col min="4" max="16384" width="10.83203125" style="24"/>
  </cols>
  <sheetData>
    <row r="1" spans="1:6" ht="19">
      <c r="A1" s="35" t="s">
        <v>15</v>
      </c>
      <c r="B1" s="35"/>
      <c r="C1" s="35"/>
      <c r="D1" s="35"/>
    </row>
    <row r="3" spans="1:6">
      <c r="D3" s="28">
        <f>SUM(D5:D11)</f>
        <v>4</v>
      </c>
      <c r="E3" s="32">
        <f>SUM(E5:E100)</f>
        <v>4</v>
      </c>
      <c r="F3" s="32">
        <f>SUM(F5:F11)</f>
        <v>2.5329999999999999</v>
      </c>
    </row>
    <row r="4" spans="1:6">
      <c r="B4" s="38" t="s">
        <v>402</v>
      </c>
      <c r="C4" s="38" t="s">
        <v>97</v>
      </c>
      <c r="D4" s="49" t="str">
        <f>data!$H$3</f>
        <v>diff_id</v>
      </c>
      <c r="E4" s="49" t="str">
        <f>data!I$3</f>
        <v>arrays</v>
      </c>
      <c r="F4" s="49" t="str">
        <f>data!J$3</f>
        <v>reuse</v>
      </c>
    </row>
    <row r="5" spans="1:6">
      <c r="A5" s="37" t="s">
        <v>397</v>
      </c>
      <c r="B5" s="27">
        <v>112</v>
      </c>
      <c r="C5" s="27"/>
      <c r="D5" s="31"/>
      <c r="E5" s="107"/>
      <c r="F5" s="31"/>
    </row>
    <row r="6" spans="1:6">
      <c r="A6" s="33" t="s">
        <v>396</v>
      </c>
      <c r="B6" s="27"/>
      <c r="C6" s="27"/>
      <c r="D6" s="31"/>
      <c r="E6" s="107"/>
      <c r="F6" s="31"/>
    </row>
    <row r="7" spans="1:6">
      <c r="A7" s="33" t="s">
        <v>398</v>
      </c>
      <c r="B7" s="27">
        <v>112</v>
      </c>
      <c r="C7" s="27"/>
      <c r="D7" s="31">
        <v>1</v>
      </c>
      <c r="E7" s="107">
        <v>1</v>
      </c>
      <c r="F7" s="31">
        <v>1</v>
      </c>
    </row>
    <row r="8" spans="1:6">
      <c r="A8" s="33" t="s">
        <v>399</v>
      </c>
      <c r="B8" s="27">
        <f t="shared" ref="B8:B10" si="0">B7</f>
        <v>112</v>
      </c>
      <c r="C8" s="27"/>
      <c r="D8" s="31">
        <v>1</v>
      </c>
      <c r="E8" s="107">
        <v>1</v>
      </c>
      <c r="F8" s="31">
        <f>Synthesis!$C$7</f>
        <v>0.7</v>
      </c>
    </row>
    <row r="9" spans="1:6">
      <c r="A9" s="33" t="s">
        <v>400</v>
      </c>
      <c r="B9" s="27">
        <f t="shared" si="0"/>
        <v>112</v>
      </c>
      <c r="C9" s="27"/>
      <c r="D9" s="31">
        <v>1</v>
      </c>
      <c r="E9" s="107">
        <v>1</v>
      </c>
      <c r="F9" s="31">
        <f>Synthesis!$C$7^2</f>
        <v>0.48999999999999994</v>
      </c>
    </row>
    <row r="10" spans="1:6">
      <c r="A10" s="33" t="s">
        <v>401</v>
      </c>
      <c r="B10" s="27">
        <f t="shared" si="0"/>
        <v>112</v>
      </c>
      <c r="C10" s="27" t="s">
        <v>403</v>
      </c>
      <c r="D10" s="31">
        <v>1</v>
      </c>
      <c r="E10" s="107">
        <v>1</v>
      </c>
      <c r="F10" s="31">
        <f>Synthesis!$C$7^3</f>
        <v>0.34299999999999992</v>
      </c>
    </row>
    <row r="11" spans="1:6">
      <c r="A11" s="33" t="s">
        <v>338</v>
      </c>
      <c r="B11" s="27"/>
      <c r="C11" s="27"/>
      <c r="D11" s="31"/>
      <c r="E11" s="107"/>
      <c r="F11" s="31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B02-69C1-D244-8D95-E48598BC4CC1}">
  <sheetPr codeName="Feuil73"/>
  <dimension ref="A1:H13"/>
  <sheetViews>
    <sheetView workbookViewId="0">
      <selection activeCell="H21" sqref="H21"/>
    </sheetView>
  </sheetViews>
  <sheetFormatPr baseColWidth="10" defaultRowHeight="16"/>
  <cols>
    <col min="1" max="1" width="59.33203125" style="24" customWidth="1"/>
    <col min="2" max="16384" width="10.83203125" style="24"/>
  </cols>
  <sheetData>
    <row r="1" spans="1:8" ht="19">
      <c r="A1" s="35" t="s">
        <v>16</v>
      </c>
      <c r="B1" s="35"/>
      <c r="C1" s="35"/>
      <c r="D1" s="35"/>
      <c r="E1" s="35"/>
      <c r="F1" s="35"/>
      <c r="G1" s="35"/>
    </row>
    <row r="3" spans="1:8">
      <c r="B3" s="83"/>
      <c r="F3" s="32">
        <f>SUM(F5:F13)</f>
        <v>7.8000000000000007</v>
      </c>
      <c r="G3" s="32">
        <f>SUM(G5:G13)</f>
        <v>7.8000000000000007</v>
      </c>
      <c r="H3" s="32">
        <f>SUM(H5:H13)</f>
        <v>5.9126238298449598</v>
      </c>
    </row>
    <row r="4" spans="1:8">
      <c r="B4" s="38" t="s">
        <v>172</v>
      </c>
      <c r="C4" s="38" t="s">
        <v>97</v>
      </c>
      <c r="D4" s="38" t="s">
        <v>109</v>
      </c>
      <c r="E4" s="38" t="s">
        <v>175</v>
      </c>
      <c r="F4" s="38" t="str">
        <f>data!H3</f>
        <v>diff_id</v>
      </c>
      <c r="G4" s="38" t="str">
        <f>data!I$3</f>
        <v>arrays</v>
      </c>
      <c r="H4" s="38" t="str">
        <f>data!J$3</f>
        <v>reuse</v>
      </c>
    </row>
    <row r="5" spans="1:8">
      <c r="A5" s="33" t="s">
        <v>404</v>
      </c>
      <c r="B5" s="27" t="s">
        <v>408</v>
      </c>
      <c r="C5" s="27"/>
      <c r="D5" s="27"/>
      <c r="E5" s="27"/>
      <c r="F5" s="31"/>
      <c r="G5" s="107"/>
      <c r="H5" s="31"/>
    </row>
    <row r="6" spans="1:8">
      <c r="A6" s="33" t="s">
        <v>405</v>
      </c>
      <c r="B6" s="27"/>
      <c r="C6" s="27" t="s">
        <v>55</v>
      </c>
      <c r="D6" s="27"/>
      <c r="E6" s="27"/>
      <c r="F6" s="31"/>
      <c r="G6" s="107"/>
      <c r="H6" s="31"/>
    </row>
    <row r="7" spans="1:8">
      <c r="A7" s="33" t="s">
        <v>406</v>
      </c>
      <c r="B7" s="27" t="s">
        <v>408</v>
      </c>
      <c r="C7" s="27"/>
      <c r="D7" s="27">
        <v>0</v>
      </c>
      <c r="E7" s="27">
        <v>6</v>
      </c>
      <c r="F7" s="31">
        <v>2</v>
      </c>
      <c r="G7" s="107">
        <v>2</v>
      </c>
      <c r="H7" s="31">
        <f>1+Synthesis!$C$7</f>
        <v>1.7</v>
      </c>
    </row>
    <row r="8" spans="1:8">
      <c r="A8" s="33" t="s">
        <v>407</v>
      </c>
      <c r="B8" s="27" t="s">
        <v>408</v>
      </c>
      <c r="C8" s="27"/>
      <c r="D8" s="27">
        <v>0</v>
      </c>
      <c r="E8" s="27">
        <v>6</v>
      </c>
      <c r="F8" s="31">
        <v>3</v>
      </c>
      <c r="G8" s="107">
        <v>3</v>
      </c>
      <c r="H8" s="31">
        <f>Synthesis!$C$7^2+Synthesis!$C$7^3+1+1</f>
        <v>2.8329999999999997</v>
      </c>
    </row>
    <row r="9" spans="1:8">
      <c r="A9" s="33" t="s">
        <v>406</v>
      </c>
      <c r="B9" s="27" t="s">
        <v>408</v>
      </c>
      <c r="C9" s="27"/>
      <c r="D9" s="27">
        <v>1</v>
      </c>
      <c r="E9" s="27">
        <v>5</v>
      </c>
      <c r="F9" s="31">
        <f>F7*Synthesis!$C$4</f>
        <v>0.8</v>
      </c>
      <c r="G9" s="107">
        <f>G7*Synthesis!$C$4</f>
        <v>0.8</v>
      </c>
      <c r="H9" s="31">
        <f>(Synthesis!$C$7^4+Synthesis!$C$7^5)*Synthesis!$C$4</f>
        <v>0.16326799999999997</v>
      </c>
    </row>
    <row r="10" spans="1:8">
      <c r="A10" s="33" t="s">
        <v>407</v>
      </c>
      <c r="B10" s="27" t="s">
        <v>408</v>
      </c>
      <c r="C10" s="27"/>
      <c r="D10" s="27">
        <v>1</v>
      </c>
      <c r="E10" s="27">
        <v>5</v>
      </c>
      <c r="F10" s="31">
        <f>F8*Synthesis!$C$4</f>
        <v>1.2000000000000002</v>
      </c>
      <c r="G10" s="107">
        <f>G8*Synthesis!$C$4</f>
        <v>1.2000000000000002</v>
      </c>
      <c r="H10" s="31">
        <f>(Synthesis!$C$7^6+Synthesis!$C$7^7+1+1)*Synthesis!$C$4</f>
        <v>0.88000131999999986</v>
      </c>
    </row>
    <row r="11" spans="1:8">
      <c r="A11" s="33" t="s">
        <v>406</v>
      </c>
      <c r="B11" s="27" t="s">
        <v>408</v>
      </c>
      <c r="C11" s="27"/>
      <c r="D11" s="27">
        <v>2</v>
      </c>
      <c r="E11" s="27">
        <v>4</v>
      </c>
      <c r="F11" s="31">
        <f>F9*Synthesis!$C$4</f>
        <v>0.32000000000000006</v>
      </c>
      <c r="G11" s="107">
        <f>G9*Synthesis!$C$4</f>
        <v>0.32000000000000006</v>
      </c>
      <c r="H11" s="31">
        <f>(Synthesis!$C$7^9+Synthesis!$C$7^10)*Synthesis!$C$4^2</f>
        <v>1.0976181103999994E-2</v>
      </c>
    </row>
    <row r="12" spans="1:8">
      <c r="A12" s="33" t="s">
        <v>407</v>
      </c>
      <c r="B12" s="27" t="s">
        <v>408</v>
      </c>
      <c r="C12" s="27"/>
      <c r="D12" s="27">
        <v>2</v>
      </c>
      <c r="E12" s="27">
        <v>4</v>
      </c>
      <c r="F12" s="31">
        <f>F10*Synthesis!$C$4</f>
        <v>0.48000000000000009</v>
      </c>
      <c r="G12" s="107">
        <f>G10*Synthesis!$C$4</f>
        <v>0.48000000000000009</v>
      </c>
      <c r="H12" s="31">
        <f>(Synthesis!$C$7^11+Synthesis!$C$7^12+1+1)*Synthesis!$C$4^2</f>
        <v>0.32537832874096001</v>
      </c>
    </row>
    <row r="13" spans="1:8">
      <c r="A13" s="33" t="s">
        <v>338</v>
      </c>
      <c r="B13" s="27"/>
      <c r="C13" s="27"/>
      <c r="D13" s="27"/>
      <c r="E13" s="27"/>
      <c r="F13" s="31"/>
      <c r="G13" s="107"/>
      <c r="H13" s="31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6C-96C2-B141-8047-DBA10F86F39A}">
  <sheetPr codeName="Feuil74"/>
  <dimension ref="A1:I48"/>
  <sheetViews>
    <sheetView workbookViewId="0">
      <selection activeCell="H21" sqref="H21"/>
    </sheetView>
  </sheetViews>
  <sheetFormatPr baseColWidth="10" defaultRowHeight="16"/>
  <cols>
    <col min="1" max="1" width="49.33203125" style="24" customWidth="1"/>
    <col min="2" max="2" width="23.5" style="24" customWidth="1"/>
    <col min="3" max="8" width="10.83203125" style="24"/>
    <col min="9" max="9" width="12.1640625" style="24" bestFit="1" customWidth="1"/>
    <col min="10" max="16384" width="10.83203125" style="24"/>
  </cols>
  <sheetData>
    <row r="1" spans="1:9" ht="19">
      <c r="A1" s="35" t="s">
        <v>17</v>
      </c>
      <c r="B1" s="35"/>
      <c r="C1" s="35"/>
      <c r="D1" s="35"/>
      <c r="E1" s="35"/>
      <c r="F1" s="35"/>
      <c r="G1" s="35"/>
    </row>
    <row r="3" spans="1:9">
      <c r="G3" s="28">
        <f>SUM(G5:G39)</f>
        <v>9.2889600000000012</v>
      </c>
      <c r="H3" s="32">
        <f>SUM(H5:H100)</f>
        <v>9.2889600000000012</v>
      </c>
      <c r="I3" s="32">
        <f>SUM(I5:I39)</f>
        <v>10.90676270550866</v>
      </c>
    </row>
    <row r="4" spans="1:9">
      <c r="B4" s="39" t="s">
        <v>417</v>
      </c>
      <c r="C4" s="39" t="s">
        <v>97</v>
      </c>
      <c r="D4" s="39" t="s">
        <v>419</v>
      </c>
      <c r="E4" s="39" t="s">
        <v>109</v>
      </c>
      <c r="F4" s="39" t="s">
        <v>371</v>
      </c>
      <c r="G4" s="49" t="str">
        <f>data!$H$3</f>
        <v>diff_id</v>
      </c>
      <c r="H4" s="49" t="str">
        <f>data!I$3</f>
        <v>arrays</v>
      </c>
      <c r="I4" s="49" t="str">
        <f>data!J$3</f>
        <v>reuse</v>
      </c>
    </row>
    <row r="5" spans="1:9">
      <c r="A5" s="33" t="s">
        <v>409</v>
      </c>
      <c r="B5" s="27" t="s">
        <v>418</v>
      </c>
      <c r="C5" s="27"/>
      <c r="D5" s="27"/>
      <c r="E5" s="27"/>
      <c r="F5" s="27"/>
      <c r="G5" s="31"/>
      <c r="H5" s="107"/>
      <c r="I5" s="31"/>
    </row>
    <row r="6" spans="1:9">
      <c r="A6" s="33" t="s">
        <v>358</v>
      </c>
      <c r="B6" s="27"/>
      <c r="C6" s="27">
        <v>0</v>
      </c>
      <c r="D6" s="27"/>
      <c r="E6" s="27"/>
      <c r="F6" s="27"/>
      <c r="G6" s="31"/>
      <c r="H6" s="107"/>
      <c r="I6" s="31"/>
    </row>
    <row r="7" spans="1:9">
      <c r="A7" s="33" t="s">
        <v>410</v>
      </c>
      <c r="B7" s="27"/>
      <c r="C7" s="27"/>
      <c r="D7" s="27" t="s">
        <v>354</v>
      </c>
      <c r="E7" s="27"/>
      <c r="F7" s="27"/>
      <c r="G7" s="31"/>
      <c r="H7" s="107"/>
      <c r="I7" s="31"/>
    </row>
    <row r="8" spans="1:9">
      <c r="A8" s="104" t="s">
        <v>411</v>
      </c>
      <c r="B8" s="27" t="s">
        <v>418</v>
      </c>
      <c r="C8" s="27"/>
      <c r="D8" s="27"/>
      <c r="E8" s="27">
        <v>24</v>
      </c>
      <c r="F8" s="27"/>
      <c r="G8" s="31">
        <v>1</v>
      </c>
      <c r="H8" s="107">
        <v>1</v>
      </c>
      <c r="I8" s="31">
        <v>1</v>
      </c>
    </row>
    <row r="9" spans="1:9">
      <c r="A9" s="33" t="s">
        <v>412</v>
      </c>
      <c r="B9" s="27" t="s">
        <v>418</v>
      </c>
      <c r="C9" s="27"/>
      <c r="D9" s="27"/>
      <c r="E9" s="27">
        <v>24</v>
      </c>
      <c r="F9" s="27" t="s">
        <v>247</v>
      </c>
      <c r="G9" s="31">
        <v>2</v>
      </c>
      <c r="H9" s="107">
        <v>2</v>
      </c>
      <c r="I9" s="31">
        <f>Synthesis!$C$7+1</f>
        <v>1.7</v>
      </c>
    </row>
    <row r="10" spans="1:9">
      <c r="A10" s="33" t="s">
        <v>413</v>
      </c>
      <c r="B10" s="27"/>
      <c r="C10" s="27"/>
      <c r="D10" s="27"/>
      <c r="E10" s="27"/>
      <c r="F10" s="27" t="s">
        <v>247</v>
      </c>
      <c r="G10" s="31">
        <v>1</v>
      </c>
      <c r="H10" s="107">
        <v>1</v>
      </c>
      <c r="I10" s="31">
        <f>1+Synthesis!$C$7+Synthesis!$C$7^2+Synthesis!$C$7^3</f>
        <v>2.5329999999999999</v>
      </c>
    </row>
    <row r="11" spans="1:9">
      <c r="A11" s="33" t="s">
        <v>414</v>
      </c>
      <c r="B11" s="27"/>
      <c r="C11" s="27"/>
      <c r="D11" s="27" t="s">
        <v>55</v>
      </c>
      <c r="E11" s="27"/>
      <c r="F11" s="27"/>
      <c r="G11" s="31"/>
      <c r="H11" s="107"/>
      <c r="I11" s="31"/>
    </row>
    <row r="12" spans="1:9">
      <c r="A12" s="33" t="s">
        <v>415</v>
      </c>
      <c r="B12" s="27"/>
      <c r="C12" s="27">
        <v>1</v>
      </c>
      <c r="D12" s="27"/>
      <c r="E12" s="27"/>
      <c r="F12" s="27"/>
      <c r="G12" s="31">
        <v>1</v>
      </c>
      <c r="H12" s="107">
        <v>1</v>
      </c>
      <c r="I12" s="31">
        <v>1</v>
      </c>
    </row>
    <row r="13" spans="1:9">
      <c r="A13" s="104" t="s">
        <v>411</v>
      </c>
      <c r="B13" s="27" t="s">
        <v>418</v>
      </c>
      <c r="C13" s="27"/>
      <c r="D13" s="27"/>
      <c r="E13" s="27">
        <v>23</v>
      </c>
      <c r="F13" s="27"/>
      <c r="G13" s="31">
        <f>G8*Synthesis!$C$4</f>
        <v>0.4</v>
      </c>
      <c r="H13" s="107">
        <f>H8*Synthesis!$C$4</f>
        <v>0.4</v>
      </c>
      <c r="I13" s="31">
        <f>Synthesis!$C$7^2</f>
        <v>0.48999999999999994</v>
      </c>
    </row>
    <row r="14" spans="1:9">
      <c r="A14" s="33" t="s">
        <v>412</v>
      </c>
      <c r="B14" s="27" t="s">
        <v>418</v>
      </c>
      <c r="C14" s="27"/>
      <c r="D14" s="27"/>
      <c r="E14" s="27">
        <v>23</v>
      </c>
      <c r="F14" s="27" t="s">
        <v>420</v>
      </c>
      <c r="G14" s="31">
        <f>G9*Synthesis!$C$4</f>
        <v>0.8</v>
      </c>
      <c r="H14" s="107">
        <f>H9*Synthesis!$C$4</f>
        <v>0.8</v>
      </c>
      <c r="I14" s="31">
        <f>(Synthesis!$C$7^3+1)*Synthesis!$C$4</f>
        <v>0.53720000000000001</v>
      </c>
    </row>
    <row r="15" spans="1:9">
      <c r="A15" s="33" t="s">
        <v>413</v>
      </c>
      <c r="B15" s="27"/>
      <c r="C15" s="27"/>
      <c r="D15" s="27"/>
      <c r="E15" s="27"/>
      <c r="F15" s="27" t="s">
        <v>420</v>
      </c>
      <c r="G15" s="31">
        <f>G10*Synthesis!$C$4</f>
        <v>0.4</v>
      </c>
      <c r="H15" s="107">
        <f>H10*Synthesis!$C$4</f>
        <v>0.4</v>
      </c>
      <c r="I15" s="31">
        <f>(1+Synthesis!$C$7+Synthesis!$C$7^2+Synthesis!$C$7^3)*Synthesis!$C$4</f>
        <v>1.0132000000000001</v>
      </c>
    </row>
    <row r="16" spans="1:9">
      <c r="A16" s="33" t="s">
        <v>414</v>
      </c>
      <c r="B16" s="27"/>
      <c r="C16" s="27"/>
      <c r="D16" s="27" t="s">
        <v>55</v>
      </c>
      <c r="E16" s="27"/>
      <c r="F16" s="27"/>
      <c r="G16" s="31"/>
      <c r="H16" s="107"/>
      <c r="I16" s="31"/>
    </row>
    <row r="17" spans="1:9">
      <c r="A17" s="33" t="s">
        <v>415</v>
      </c>
      <c r="B17" s="27"/>
      <c r="C17" s="27">
        <v>2</v>
      </c>
      <c r="D17" s="27"/>
      <c r="E17" s="27"/>
      <c r="F17" s="27"/>
      <c r="G17" s="31">
        <f>G12*Synthesis!$C$4</f>
        <v>0.4</v>
      </c>
      <c r="H17" s="107">
        <f>H12*Synthesis!$C$4</f>
        <v>0.4</v>
      </c>
      <c r="I17" s="31">
        <f>Synthesis!$C$4</f>
        <v>0.4</v>
      </c>
    </row>
    <row r="18" spans="1:9">
      <c r="A18" s="104" t="s">
        <v>411</v>
      </c>
      <c r="B18" s="27" t="s">
        <v>418</v>
      </c>
      <c r="C18" s="27"/>
      <c r="D18" s="27"/>
      <c r="E18" s="27">
        <v>22</v>
      </c>
      <c r="F18" s="27"/>
      <c r="G18" s="31">
        <f>G13*Synthesis!$C$4</f>
        <v>0.16000000000000003</v>
      </c>
      <c r="H18" s="107">
        <f>H13*Synthesis!$C$4</f>
        <v>0.16000000000000003</v>
      </c>
      <c r="I18" s="31">
        <f>(Synthesis!$C$7^4)*Synthesis!$C$4^2</f>
        <v>3.8415999999999999E-2</v>
      </c>
    </row>
    <row r="19" spans="1:9">
      <c r="A19" s="33" t="s">
        <v>412</v>
      </c>
      <c r="B19" s="27" t="s">
        <v>418</v>
      </c>
      <c r="C19" s="27"/>
      <c r="D19" s="27"/>
      <c r="E19" s="27">
        <v>22</v>
      </c>
      <c r="F19" s="27" t="s">
        <v>128</v>
      </c>
      <c r="G19" s="31">
        <f>G14*Synthesis!$C$4</f>
        <v>0.32000000000000006</v>
      </c>
      <c r="H19" s="107">
        <f>H14*Synthesis!$C$4</f>
        <v>0.32000000000000006</v>
      </c>
      <c r="I19" s="31">
        <f>(Synthesis!$C$7^5+1)*Synthesis!$C$4^2</f>
        <v>0.18689120000000004</v>
      </c>
    </row>
    <row r="20" spans="1:9">
      <c r="A20" s="33" t="s">
        <v>413</v>
      </c>
      <c r="B20" s="27"/>
      <c r="C20" s="27"/>
      <c r="D20" s="27"/>
      <c r="E20" s="27"/>
      <c r="F20" s="27" t="s">
        <v>128</v>
      </c>
      <c r="G20" s="31">
        <f>G15*Synthesis!$C$4</f>
        <v>0.16000000000000003</v>
      </c>
      <c r="H20" s="107">
        <f>H15*Synthesis!$C$4</f>
        <v>0.16000000000000003</v>
      </c>
      <c r="I20" s="31">
        <f>(1+Synthesis!$C$7+Synthesis!$C$7^2+Synthesis!$C$7^3)*Synthesis!$C$4^2</f>
        <v>0.40528000000000008</v>
      </c>
    </row>
    <row r="21" spans="1:9">
      <c r="A21" s="33" t="s">
        <v>414</v>
      </c>
      <c r="B21" s="27"/>
      <c r="C21" s="27"/>
      <c r="D21" s="27" t="s">
        <v>55</v>
      </c>
      <c r="E21" s="27"/>
      <c r="F21" s="27"/>
      <c r="G21" s="31"/>
      <c r="H21" s="107"/>
      <c r="I21" s="31"/>
    </row>
    <row r="22" spans="1:9">
      <c r="A22" s="33" t="s">
        <v>415</v>
      </c>
      <c r="B22" s="27"/>
      <c r="C22" s="27">
        <v>3</v>
      </c>
      <c r="D22" s="27"/>
      <c r="E22" s="27"/>
      <c r="F22" s="27"/>
      <c r="G22" s="31">
        <f>G17*Synthesis!$C$4</f>
        <v>0.16000000000000003</v>
      </c>
      <c r="H22" s="107">
        <f>H17*Synthesis!$C$4</f>
        <v>0.16000000000000003</v>
      </c>
      <c r="I22" s="31">
        <f>Synthesis!$C$4^2</f>
        <v>0.16000000000000003</v>
      </c>
    </row>
    <row r="23" spans="1:9">
      <c r="A23" s="104" t="s">
        <v>411</v>
      </c>
      <c r="B23" s="27" t="s">
        <v>418</v>
      </c>
      <c r="C23" s="27"/>
      <c r="D23" s="27"/>
      <c r="E23" s="27">
        <v>21</v>
      </c>
      <c r="F23" s="27"/>
      <c r="G23" s="31">
        <f>G18*Synthesis!$C$4</f>
        <v>6.4000000000000015E-2</v>
      </c>
      <c r="H23" s="107">
        <f>H18*Synthesis!$C$4</f>
        <v>6.4000000000000015E-2</v>
      </c>
      <c r="I23" s="31">
        <f>(Synthesis!$C$7^6)*Synthesis!$C$4^3</f>
        <v>7.5295359999999981E-3</v>
      </c>
    </row>
    <row r="24" spans="1:9">
      <c r="A24" s="33" t="s">
        <v>412</v>
      </c>
      <c r="B24" s="27" t="s">
        <v>418</v>
      </c>
      <c r="C24" s="27"/>
      <c r="D24" s="27"/>
      <c r="E24" s="27">
        <v>21</v>
      </c>
      <c r="F24" s="27" t="s">
        <v>421</v>
      </c>
      <c r="G24" s="31">
        <f>G19*Synthesis!$C$4</f>
        <v>0.12800000000000003</v>
      </c>
      <c r="H24" s="107">
        <f>H19*Synthesis!$C$4</f>
        <v>0.12800000000000003</v>
      </c>
      <c r="I24" s="31">
        <f>(Synthesis!$C$7^7+1)*Synthesis!$C$4^3</f>
        <v>6.927067520000002E-2</v>
      </c>
    </row>
    <row r="25" spans="1:9">
      <c r="A25" s="33" t="s">
        <v>413</v>
      </c>
      <c r="B25" s="27"/>
      <c r="C25" s="27"/>
      <c r="D25" s="27"/>
      <c r="E25" s="27"/>
      <c r="F25" s="27" t="s">
        <v>421</v>
      </c>
      <c r="G25" s="31">
        <f>G20*Synthesis!$C$4</f>
        <v>6.4000000000000015E-2</v>
      </c>
      <c r="H25" s="107">
        <f>H20*Synthesis!$C$4</f>
        <v>6.4000000000000015E-2</v>
      </c>
      <c r="I25" s="31">
        <f>(1+Synthesis!$C$7+Synthesis!$C$7^2+Synthesis!$C$7^3)*Synthesis!$C$4^3</f>
        <v>0.16211200000000003</v>
      </c>
    </row>
    <row r="26" spans="1:9">
      <c r="A26" s="33" t="s">
        <v>414</v>
      </c>
      <c r="B26" s="27"/>
      <c r="C26" s="27"/>
      <c r="D26" s="27" t="s">
        <v>55</v>
      </c>
      <c r="E26" s="27"/>
      <c r="F26" s="27"/>
      <c r="G26" s="31"/>
      <c r="H26" s="107"/>
      <c r="I26" s="31"/>
    </row>
    <row r="27" spans="1:9">
      <c r="A27" s="33" t="s">
        <v>415</v>
      </c>
      <c r="B27" s="27"/>
      <c r="C27" s="27">
        <v>4</v>
      </c>
      <c r="D27" s="27"/>
      <c r="E27" s="27"/>
      <c r="F27" s="27"/>
      <c r="G27" s="31">
        <f>G22*Synthesis!$C$4</f>
        <v>6.4000000000000015E-2</v>
      </c>
      <c r="H27" s="107">
        <f>H22*Synthesis!$C$4</f>
        <v>6.4000000000000015E-2</v>
      </c>
      <c r="I27" s="31">
        <f>Synthesis!$C$4^3</f>
        <v>6.4000000000000015E-2</v>
      </c>
    </row>
    <row r="28" spans="1:9">
      <c r="A28" s="104" t="s">
        <v>411</v>
      </c>
      <c r="B28" s="27" t="s">
        <v>418</v>
      </c>
      <c r="C28" s="27"/>
      <c r="D28" s="27"/>
      <c r="E28" s="27">
        <v>20</v>
      </c>
      <c r="F28" s="27"/>
      <c r="G28" s="31">
        <f>G23*Synthesis!$C$4</f>
        <v>2.5600000000000008E-2</v>
      </c>
      <c r="H28" s="107">
        <f>H23*Synthesis!$C$4</f>
        <v>2.5600000000000008E-2</v>
      </c>
      <c r="I28" s="31">
        <f>(Synthesis!$C$7^8)*Synthesis!$C$4^4</f>
        <v>1.4757890559999997E-3</v>
      </c>
    </row>
    <row r="29" spans="1:9">
      <c r="A29" s="33" t="s">
        <v>412</v>
      </c>
      <c r="B29" s="27" t="s">
        <v>418</v>
      </c>
      <c r="C29" s="27"/>
      <c r="D29" s="27"/>
      <c r="E29" s="27">
        <v>20</v>
      </c>
      <c r="F29" s="27" t="s">
        <v>175</v>
      </c>
      <c r="G29" s="31">
        <f>G24*Synthesis!$C$4</f>
        <v>5.1200000000000016E-2</v>
      </c>
      <c r="H29" s="107">
        <f>H24*Synthesis!$C$4</f>
        <v>5.1200000000000016E-2</v>
      </c>
      <c r="I29" s="31">
        <f>(Synthesis!$C$7^9+1)*Synthesis!$C$4^4</f>
        <v>2.6633052339200009E-2</v>
      </c>
    </row>
    <row r="30" spans="1:9">
      <c r="A30" s="33" t="s">
        <v>413</v>
      </c>
      <c r="B30" s="27"/>
      <c r="C30" s="27"/>
      <c r="D30" s="27"/>
      <c r="E30" s="27"/>
      <c r="F30" s="27" t="s">
        <v>175</v>
      </c>
      <c r="G30" s="31">
        <f>G25*Synthesis!$C$4</f>
        <v>2.5600000000000008E-2</v>
      </c>
      <c r="H30" s="107">
        <f>H25*Synthesis!$C$4</f>
        <v>2.5600000000000008E-2</v>
      </c>
      <c r="I30" s="31">
        <f>(1+Synthesis!$C$7+Synthesis!$C$7^2+Synthesis!$C$7^3)*Synthesis!$C$4^4</f>
        <v>6.4844800000000022E-2</v>
      </c>
    </row>
    <row r="31" spans="1:9">
      <c r="A31" s="33" t="s">
        <v>414</v>
      </c>
      <c r="B31" s="27"/>
      <c r="C31" s="27"/>
      <c r="D31" s="27" t="s">
        <v>55</v>
      </c>
      <c r="E31" s="27"/>
      <c r="F31" s="27"/>
      <c r="G31" s="31"/>
      <c r="H31" s="107"/>
      <c r="I31" s="31"/>
    </row>
    <row r="32" spans="1:9">
      <c r="A32" s="33" t="s">
        <v>415</v>
      </c>
      <c r="B32" s="27"/>
      <c r="C32" s="27">
        <v>5</v>
      </c>
      <c r="D32" s="27"/>
      <c r="E32" s="27"/>
      <c r="F32" s="27"/>
      <c r="G32" s="31">
        <f>G27*Synthesis!$C$4</f>
        <v>2.5600000000000008E-2</v>
      </c>
      <c r="H32" s="107">
        <f>H27*Synthesis!$C$4</f>
        <v>2.5600000000000008E-2</v>
      </c>
      <c r="I32" s="31">
        <f>Synthesis!$C$4^5</f>
        <v>1.0240000000000006E-2</v>
      </c>
    </row>
    <row r="33" spans="1:9">
      <c r="A33" s="104" t="s">
        <v>411</v>
      </c>
      <c r="B33" s="27" t="s">
        <v>418</v>
      </c>
      <c r="C33" s="27"/>
      <c r="D33" s="27"/>
      <c r="E33" s="27">
        <v>19</v>
      </c>
      <c r="F33" s="27"/>
      <c r="G33" s="31">
        <f>G28*Synthesis!$C$4</f>
        <v>1.0240000000000004E-2</v>
      </c>
      <c r="H33" s="107">
        <f>H28*Synthesis!$C$4</f>
        <v>1.0240000000000004E-2</v>
      </c>
      <c r="I33" s="31">
        <f>(Synthesis!$C$7^10)*Synthesis!$C$4^5</f>
        <v>2.8925465497599994E-4</v>
      </c>
    </row>
    <row r="34" spans="1:9">
      <c r="A34" s="33" t="s">
        <v>412</v>
      </c>
      <c r="B34" s="27" t="s">
        <v>418</v>
      </c>
      <c r="C34" s="27"/>
      <c r="D34" s="27"/>
      <c r="E34" s="27">
        <v>19</v>
      </c>
      <c r="F34" s="27" t="s">
        <v>422</v>
      </c>
      <c r="G34" s="31">
        <f>G29*Synthesis!$C$4</f>
        <v>2.0480000000000009E-2</v>
      </c>
      <c r="H34" s="107">
        <f>H29*Synthesis!$C$4</f>
        <v>2.0480000000000009E-2</v>
      </c>
      <c r="I34" s="31">
        <f>(Synthesis!$C$7^11+1)*Synthesis!$C$4^5</f>
        <v>1.0442478258483205E-2</v>
      </c>
    </row>
    <row r="35" spans="1:9">
      <c r="A35" s="33" t="s">
        <v>413</v>
      </c>
      <c r="B35" s="27"/>
      <c r="C35" s="27"/>
      <c r="D35" s="27"/>
      <c r="E35" s="27"/>
      <c r="F35" s="27" t="s">
        <v>422</v>
      </c>
      <c r="G35" s="31">
        <f>G30*Synthesis!$C$4</f>
        <v>1.0240000000000004E-2</v>
      </c>
      <c r="H35" s="107">
        <f>H30*Synthesis!$C$4</f>
        <v>1.0240000000000004E-2</v>
      </c>
      <c r="I35" s="31">
        <f>(1+Synthesis!$C$7+Synthesis!$C$7^2+Synthesis!$C$7^3)*Synthesis!$C$4^5</f>
        <v>2.5937920000000014E-2</v>
      </c>
    </row>
    <row r="36" spans="1:9">
      <c r="A36" s="33" t="s">
        <v>391</v>
      </c>
      <c r="B36" s="27"/>
      <c r="C36" s="27"/>
      <c r="D36" s="27"/>
      <c r="E36" s="27"/>
      <c r="F36" s="27"/>
      <c r="G36" s="31"/>
      <c r="H36" s="107"/>
      <c r="I36" s="31"/>
    </row>
    <row r="37" spans="1:9">
      <c r="A37" s="33" t="s">
        <v>416</v>
      </c>
      <c r="B37" s="27"/>
      <c r="C37" s="27"/>
      <c r="D37" s="27" t="s">
        <v>55</v>
      </c>
      <c r="E37" s="27"/>
      <c r="F37" s="27"/>
      <c r="G37" s="31">
        <v>1</v>
      </c>
      <c r="H37" s="107">
        <v>1</v>
      </c>
      <c r="I37" s="31">
        <v>1</v>
      </c>
    </row>
    <row r="38" spans="1:9">
      <c r="A38" s="33" t="s">
        <v>347</v>
      </c>
      <c r="B38" s="27"/>
      <c r="C38" s="27"/>
      <c r="D38" s="27"/>
      <c r="E38" s="27"/>
      <c r="F38" s="27"/>
      <c r="G38" s="31"/>
      <c r="H38" s="107"/>
      <c r="I38" s="31"/>
    </row>
    <row r="39" spans="1:9">
      <c r="A39" s="33" t="s">
        <v>338</v>
      </c>
      <c r="B39" s="27"/>
      <c r="C39" s="27"/>
      <c r="D39" s="27"/>
      <c r="E39" s="27"/>
      <c r="F39" s="27"/>
      <c r="G39" s="31"/>
      <c r="H39" s="107"/>
      <c r="I39" s="31"/>
    </row>
    <row r="46" spans="1:9">
      <c r="A46" s="26"/>
    </row>
    <row r="48" spans="1:9">
      <c r="A48" s="26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7337-FF2E-3742-8B30-C6E4D76F2733}">
  <sheetPr codeName="Feuil75"/>
  <dimension ref="A1:G14"/>
  <sheetViews>
    <sheetView workbookViewId="0">
      <selection activeCell="H21" sqref="H21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7" ht="19">
      <c r="A1" s="35" t="s">
        <v>18</v>
      </c>
      <c r="B1" s="35"/>
      <c r="C1" s="35"/>
      <c r="D1" s="35"/>
      <c r="E1" s="35"/>
    </row>
    <row r="3" spans="1:7">
      <c r="E3" s="32">
        <f>SUM(E5:E13)</f>
        <v>9.36</v>
      </c>
      <c r="F3" s="32">
        <f>SUM(F5:F100)</f>
        <v>9.36</v>
      </c>
      <c r="G3" s="32">
        <f>SUM(G5:G14)</f>
        <v>6.7590000000000003</v>
      </c>
    </row>
    <row r="4" spans="1:7">
      <c r="B4" s="39" t="s">
        <v>247</v>
      </c>
      <c r="C4" s="39" t="s">
        <v>149</v>
      </c>
      <c r="D4" s="39" t="s">
        <v>477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33" t="s">
        <v>430</v>
      </c>
      <c r="B5" s="27">
        <v>101</v>
      </c>
      <c r="C5" s="27"/>
      <c r="D5" s="27"/>
      <c r="E5" s="31"/>
      <c r="F5" s="31"/>
      <c r="G5" s="31"/>
    </row>
    <row r="6" spans="1:7">
      <c r="A6" s="33" t="s">
        <v>423</v>
      </c>
      <c r="B6" s="27"/>
      <c r="C6" s="27">
        <v>1</v>
      </c>
      <c r="D6" s="27"/>
      <c r="E6" s="31"/>
      <c r="F6" s="31"/>
      <c r="G6" s="31"/>
    </row>
    <row r="7" spans="1:7">
      <c r="A7" s="104" t="s">
        <v>424</v>
      </c>
      <c r="B7" s="27"/>
      <c r="C7" s="27">
        <v>1</v>
      </c>
      <c r="D7" s="27"/>
      <c r="E7" s="31">
        <v>1</v>
      </c>
      <c r="F7" s="31">
        <v>1</v>
      </c>
      <c r="G7" s="31">
        <v>1</v>
      </c>
    </row>
    <row r="8" spans="1:7">
      <c r="A8" s="33" t="s">
        <v>426</v>
      </c>
      <c r="B8" s="27">
        <v>101</v>
      </c>
      <c r="C8" s="27">
        <v>1</v>
      </c>
      <c r="D8" s="27"/>
      <c r="E8" s="31">
        <v>2</v>
      </c>
      <c r="F8" s="31">
        <v>2</v>
      </c>
      <c r="G8" s="31">
        <f>1+Synthesis!$C$7</f>
        <v>1.7</v>
      </c>
    </row>
    <row r="9" spans="1:7">
      <c r="A9" s="33" t="s">
        <v>427</v>
      </c>
      <c r="B9" s="27">
        <v>101</v>
      </c>
      <c r="C9" s="27">
        <v>0</v>
      </c>
      <c r="D9" s="27">
        <v>1</v>
      </c>
      <c r="E9" s="31">
        <f>2+Synthesis!$C$5</f>
        <v>2.5</v>
      </c>
      <c r="F9" s="31">
        <f>2+Synthesis!$C$5</f>
        <v>2.5</v>
      </c>
      <c r="G9" s="31">
        <f>Synthesis!$C$7+Synthesis!$C$7^2+Synthesis!$C$5</f>
        <v>1.69</v>
      </c>
    </row>
    <row r="10" spans="1:7">
      <c r="A10" s="104" t="s">
        <v>424</v>
      </c>
      <c r="B10" s="27"/>
      <c r="C10" s="27">
        <v>0</v>
      </c>
      <c r="D10" s="27"/>
      <c r="E10" s="31">
        <f>E7*Synthesis!$C$4</f>
        <v>0.4</v>
      </c>
      <c r="F10" s="31">
        <f>F7*Synthesis!$C$4</f>
        <v>0.4</v>
      </c>
      <c r="G10" s="31">
        <f>Synthesis!$C$4</f>
        <v>0.4</v>
      </c>
    </row>
    <row r="11" spans="1:7">
      <c r="A11" s="33" t="s">
        <v>426</v>
      </c>
      <c r="B11" s="27">
        <v>101</v>
      </c>
      <c r="C11" s="27">
        <v>0</v>
      </c>
      <c r="D11" s="27"/>
      <c r="E11" s="31">
        <f>E8*Synthesis!$C$4</f>
        <v>0.8</v>
      </c>
      <c r="F11" s="31">
        <f>F8*Synthesis!$C$4</f>
        <v>0.8</v>
      </c>
      <c r="G11" s="31">
        <f>(Synthesis!$C$7^2+Synthesis!$C$7)*Synthesis!$C$4</f>
        <v>0.47599999999999998</v>
      </c>
    </row>
    <row r="12" spans="1:7">
      <c r="A12" s="33" t="s">
        <v>428</v>
      </c>
      <c r="B12" s="27">
        <v>101</v>
      </c>
      <c r="C12" s="27">
        <v>-1</v>
      </c>
      <c r="D12" s="27">
        <v>1</v>
      </c>
      <c r="E12" s="31">
        <f>2+Synthesis!$C$5</f>
        <v>2.5</v>
      </c>
      <c r="F12" s="31">
        <f>2+Synthesis!$C$5</f>
        <v>2.5</v>
      </c>
      <c r="G12" s="31">
        <f>(Synthesis!$C$7^3+Synthesis!$C$7^2)+Synthesis!$C$5</f>
        <v>1.3329999999999997</v>
      </c>
    </row>
    <row r="13" spans="1:7">
      <c r="A13" s="104" t="s">
        <v>424</v>
      </c>
      <c r="B13" s="27"/>
      <c r="C13" s="27">
        <v>-1</v>
      </c>
      <c r="D13" s="27"/>
      <c r="E13" s="31">
        <f>E10*Synthesis!$C$4</f>
        <v>0.16000000000000003</v>
      </c>
      <c r="F13" s="31">
        <f>F10*Synthesis!$C$4</f>
        <v>0.16000000000000003</v>
      </c>
      <c r="G13" s="31">
        <f>Synthesis!$C$4^2</f>
        <v>0.16000000000000003</v>
      </c>
    </row>
    <row r="14" spans="1:7">
      <c r="A14" s="33" t="s">
        <v>432</v>
      </c>
      <c r="B14" s="27"/>
      <c r="C14" s="27"/>
      <c r="D14" s="27"/>
      <c r="E14" s="31"/>
      <c r="F14" s="31"/>
      <c r="G14" s="31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8B2F-20C5-9E4A-8215-D6FED65402FB}">
  <sheetPr codeName="Feuil76"/>
  <dimension ref="A1:G15"/>
  <sheetViews>
    <sheetView workbookViewId="0">
      <selection activeCell="H21" sqref="H21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7" ht="19">
      <c r="A1" s="35" t="s">
        <v>19</v>
      </c>
      <c r="B1" s="35"/>
      <c r="C1" s="35"/>
      <c r="D1" s="35"/>
      <c r="E1" s="35"/>
    </row>
    <row r="3" spans="1:7">
      <c r="D3" s="83"/>
      <c r="E3" s="32">
        <f>SUM(E5:E15)</f>
        <v>6.3591999999999995</v>
      </c>
      <c r="F3" s="32">
        <f>SUM(F5:F100)</f>
        <v>6.3591999999999995</v>
      </c>
      <c r="G3" s="32">
        <f>SUM(G5:G15)</f>
        <v>6.6677599999999995</v>
      </c>
    </row>
    <row r="4" spans="1:7">
      <c r="B4" s="39" t="s">
        <v>137</v>
      </c>
      <c r="C4" s="39" t="s">
        <v>431</v>
      </c>
      <c r="D4" s="39" t="s">
        <v>479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37" t="s">
        <v>433</v>
      </c>
      <c r="B5" s="27">
        <v>3247</v>
      </c>
      <c r="C5" s="27"/>
      <c r="D5" s="27"/>
      <c r="E5" s="31"/>
      <c r="F5" s="107"/>
      <c r="G5" s="31"/>
    </row>
    <row r="6" spans="1:7">
      <c r="A6" s="104" t="s">
        <v>434</v>
      </c>
      <c r="B6" s="27">
        <v>3247</v>
      </c>
      <c r="C6" s="27"/>
      <c r="D6" s="27"/>
      <c r="E6" s="31">
        <v>1</v>
      </c>
      <c r="F6" s="107">
        <v>1</v>
      </c>
      <c r="G6" s="31">
        <v>1</v>
      </c>
    </row>
    <row r="7" spans="1:7">
      <c r="A7" s="33" t="s">
        <v>435</v>
      </c>
      <c r="B7" s="27">
        <v>324</v>
      </c>
      <c r="C7" s="27">
        <v>1</v>
      </c>
      <c r="D7" s="27">
        <v>1</v>
      </c>
      <c r="E7" s="31">
        <f>1+C7*Synthesis!$C$5+D7*Synthesis!$C$6</f>
        <v>2.9</v>
      </c>
      <c r="F7" s="107">
        <f>1+C7*Synthesis!$C$5+D7*Synthesis!$C$6</f>
        <v>2.9</v>
      </c>
      <c r="G7" s="31">
        <f>Synthesis!$C$7+Synthesis!$C$7^2+Synthesis!$C$5+Synthesis!$C$6</f>
        <v>3.09</v>
      </c>
    </row>
    <row r="8" spans="1:7">
      <c r="A8" s="104" t="s">
        <v>434</v>
      </c>
      <c r="B8" s="27">
        <v>324</v>
      </c>
      <c r="C8" s="27"/>
      <c r="D8" s="27"/>
      <c r="E8" s="31">
        <f>E6*Synthesis!$C$4</f>
        <v>0.4</v>
      </c>
      <c r="F8" s="107">
        <f>F6*Synthesis!$C$4</f>
        <v>0.4</v>
      </c>
      <c r="G8" s="31">
        <f>Synthesis!$C$4</f>
        <v>0.4</v>
      </c>
    </row>
    <row r="9" spans="1:7">
      <c r="A9" s="33" t="s">
        <v>435</v>
      </c>
      <c r="B9" s="27">
        <v>32</v>
      </c>
      <c r="C9" s="27">
        <v>1</v>
      </c>
      <c r="D9" s="27"/>
      <c r="E9" s="31">
        <f>E7*Synthesis!$C$4</f>
        <v>1.1599999999999999</v>
      </c>
      <c r="F9" s="107">
        <f>F7*Synthesis!$C$4</f>
        <v>1.1599999999999999</v>
      </c>
      <c r="G9" s="31">
        <f>(Synthesis!$C$7+Synthesis!$C$7^2+Synthesis!$C$5+Synthesis!$C$6)*Synthesis!$C$4</f>
        <v>1.236</v>
      </c>
    </row>
    <row r="10" spans="1:7">
      <c r="A10" s="104" t="s">
        <v>434</v>
      </c>
      <c r="B10" s="27">
        <v>32</v>
      </c>
      <c r="C10" s="27"/>
      <c r="D10" s="27"/>
      <c r="E10" s="31">
        <f>E8*Synthesis!$C$4</f>
        <v>0.16000000000000003</v>
      </c>
      <c r="F10" s="107">
        <f>F8*Synthesis!$C$4</f>
        <v>0.16000000000000003</v>
      </c>
      <c r="G10" s="31">
        <f>Synthesis!$C$4^2</f>
        <v>0.16000000000000003</v>
      </c>
    </row>
    <row r="11" spans="1:7">
      <c r="A11" s="33" t="s">
        <v>435</v>
      </c>
      <c r="B11" s="27">
        <v>3</v>
      </c>
      <c r="C11" s="27">
        <v>1</v>
      </c>
      <c r="D11" s="27"/>
      <c r="E11" s="31">
        <f>E9*Synthesis!$C$4</f>
        <v>0.46399999999999997</v>
      </c>
      <c r="F11" s="107">
        <f>F9*Synthesis!$C$4</f>
        <v>0.46399999999999997</v>
      </c>
      <c r="G11" s="31">
        <f>(Synthesis!$C$7+Synthesis!$C$7^2+Synthesis!$C$5+Synthesis!$C$6)*Synthesis!$C$4^2</f>
        <v>0.49440000000000006</v>
      </c>
    </row>
    <row r="12" spans="1:7">
      <c r="A12" s="104" t="s">
        <v>434</v>
      </c>
      <c r="B12" s="27">
        <v>3</v>
      </c>
      <c r="C12" s="27"/>
      <c r="D12" s="27"/>
      <c r="E12" s="31">
        <f>E10*Synthesis!$C$4</f>
        <v>6.4000000000000015E-2</v>
      </c>
      <c r="F12" s="107">
        <f>F10*Synthesis!$C$4</f>
        <v>6.4000000000000015E-2</v>
      </c>
      <c r="G12" s="31">
        <f>Synthesis!$C$4^3</f>
        <v>6.4000000000000015E-2</v>
      </c>
    </row>
    <row r="13" spans="1:7">
      <c r="A13" s="33" t="s">
        <v>435</v>
      </c>
      <c r="B13" s="27">
        <v>0</v>
      </c>
      <c r="C13" s="27">
        <v>1</v>
      </c>
      <c r="D13" s="27"/>
      <c r="E13" s="31">
        <f>E11*Synthesis!$C$4</f>
        <v>0.18559999999999999</v>
      </c>
      <c r="F13" s="107">
        <f>F11*Synthesis!$C$4</f>
        <v>0.18559999999999999</v>
      </c>
      <c r="G13" s="31">
        <f>(Synthesis!$C$7+Synthesis!$C$7^2+Synthesis!$C$5+Synthesis!$C$6)*Synthesis!$C$4^3</f>
        <v>0.19776000000000005</v>
      </c>
    </row>
    <row r="14" spans="1:7">
      <c r="A14" s="104" t="s">
        <v>434</v>
      </c>
      <c r="B14" s="27">
        <v>0</v>
      </c>
      <c r="C14" s="27"/>
      <c r="D14" s="27"/>
      <c r="E14" s="31">
        <f>E12*Synthesis!$C$4</f>
        <v>2.5600000000000008E-2</v>
      </c>
      <c r="F14" s="107">
        <f>F12*Synthesis!$C$4</f>
        <v>2.5600000000000008E-2</v>
      </c>
      <c r="G14" s="31">
        <f>Synthesis!$C$4^4</f>
        <v>2.5600000000000012E-2</v>
      </c>
    </row>
    <row r="15" spans="1:7">
      <c r="A15" s="33" t="s">
        <v>425</v>
      </c>
      <c r="B15" s="27"/>
      <c r="C15" s="27"/>
      <c r="D15" s="27"/>
      <c r="E15" s="31"/>
      <c r="F15" s="107"/>
      <c r="G15" s="31"/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D497-03BB-1649-853D-4A1EBABBABC9}">
  <sheetPr codeName="Feuil77"/>
  <dimension ref="A1:F13"/>
  <sheetViews>
    <sheetView workbookViewId="0">
      <selection activeCell="H21" sqref="H21"/>
    </sheetView>
  </sheetViews>
  <sheetFormatPr baseColWidth="10" defaultRowHeight="16"/>
  <cols>
    <col min="1" max="1" width="32.83203125" style="24" customWidth="1"/>
    <col min="2" max="16384" width="10.83203125" style="24"/>
  </cols>
  <sheetData>
    <row r="1" spans="1:6" ht="19">
      <c r="A1" s="35" t="s">
        <v>20</v>
      </c>
      <c r="B1" s="35"/>
      <c r="C1" s="35"/>
      <c r="D1" s="35"/>
    </row>
    <row r="3" spans="1:6">
      <c r="D3" s="32">
        <f>SUM(D5:D13)</f>
        <v>3.9640000000000004</v>
      </c>
      <c r="E3" s="32">
        <f>SUM(E5:E100)</f>
        <v>3.9640000000000004</v>
      </c>
      <c r="F3" s="32">
        <f>SUM(F5:F13)</f>
        <v>4.2604000000000006</v>
      </c>
    </row>
    <row r="4" spans="1:6">
      <c r="B4" s="39" t="s">
        <v>402</v>
      </c>
      <c r="C4" s="39" t="s">
        <v>431</v>
      </c>
      <c r="D4" s="49" t="str">
        <f>data!$H$3</f>
        <v>diff_id</v>
      </c>
      <c r="E4" s="49" t="str">
        <f>data!I$3</f>
        <v>arrays</v>
      </c>
      <c r="F4" s="49" t="str">
        <f>data!J$3</f>
        <v>reuse</v>
      </c>
    </row>
    <row r="5" spans="1:6">
      <c r="A5" s="37" t="s">
        <v>439</v>
      </c>
      <c r="B5" s="27">
        <v>4</v>
      </c>
      <c r="C5" s="27"/>
      <c r="D5" s="31"/>
      <c r="E5" s="107"/>
      <c r="F5" s="31"/>
    </row>
    <row r="6" spans="1:6">
      <c r="A6" s="104" t="s">
        <v>436</v>
      </c>
      <c r="B6" s="27">
        <v>4</v>
      </c>
      <c r="C6" s="27"/>
      <c r="D6" s="31">
        <v>1</v>
      </c>
      <c r="E6" s="107">
        <v>1</v>
      </c>
      <c r="F6" s="31">
        <v>1</v>
      </c>
    </row>
    <row r="7" spans="1:6">
      <c r="A7" s="33" t="s">
        <v>438</v>
      </c>
      <c r="B7" s="27">
        <v>3</v>
      </c>
      <c r="C7" s="27">
        <v>1</v>
      </c>
      <c r="D7" s="31">
        <f>1+Synthesis!$C$5</f>
        <v>1.5</v>
      </c>
      <c r="E7" s="107">
        <f>1+Synthesis!$C$5</f>
        <v>1.5</v>
      </c>
      <c r="F7" s="31">
        <f>Synthesis!$C$7+Synthesis!$C$7^2+Synthesis!$C$5</f>
        <v>1.69</v>
      </c>
    </row>
    <row r="8" spans="1:6">
      <c r="A8" s="104" t="s">
        <v>436</v>
      </c>
      <c r="B8" s="27">
        <v>3</v>
      </c>
      <c r="C8" s="27"/>
      <c r="D8" s="31">
        <f>D6*Synthesis!$C$4</f>
        <v>0.4</v>
      </c>
      <c r="E8" s="107">
        <f>E6*Synthesis!$C$4</f>
        <v>0.4</v>
      </c>
      <c r="F8" s="31">
        <f>Synthesis!$C$4</f>
        <v>0.4</v>
      </c>
    </row>
    <row r="9" spans="1:6">
      <c r="A9" s="33" t="s">
        <v>438</v>
      </c>
      <c r="B9" s="27">
        <v>2</v>
      </c>
      <c r="C9" s="27">
        <v>1</v>
      </c>
      <c r="D9" s="31">
        <f>D7*Synthesis!$C$4</f>
        <v>0.60000000000000009</v>
      </c>
      <c r="E9" s="107">
        <f>E7*Synthesis!$C$4</f>
        <v>0.60000000000000009</v>
      </c>
      <c r="F9" s="31">
        <f>(Synthesis!$C$7+Synthesis!$C$7^2+Synthesis!$C$5)*Synthesis!$C$4</f>
        <v>0.67600000000000005</v>
      </c>
    </row>
    <row r="10" spans="1:6">
      <c r="A10" s="104" t="s">
        <v>436</v>
      </c>
      <c r="B10" s="27">
        <v>2</v>
      </c>
      <c r="C10" s="27"/>
      <c r="D10" s="31">
        <f>D8*Synthesis!$C$4</f>
        <v>0.16000000000000003</v>
      </c>
      <c r="E10" s="107">
        <f>E8*Synthesis!$C$4</f>
        <v>0.16000000000000003</v>
      </c>
      <c r="F10" s="31">
        <f>Synthesis!$C$4^2</f>
        <v>0.16000000000000003</v>
      </c>
    </row>
    <row r="11" spans="1:6">
      <c r="A11" s="33" t="s">
        <v>438</v>
      </c>
      <c r="B11" s="27">
        <v>1</v>
      </c>
      <c r="C11" s="27"/>
      <c r="D11" s="31">
        <f>D9*Synthesis!$C$4</f>
        <v>0.24000000000000005</v>
      </c>
      <c r="E11" s="107">
        <f>E9*Synthesis!$C$4</f>
        <v>0.24000000000000005</v>
      </c>
      <c r="F11" s="31">
        <f>(Synthesis!$C$7+Synthesis!$C$7^2+Synthesis!$C$5)*Synthesis!$C$4^2</f>
        <v>0.27040000000000003</v>
      </c>
    </row>
    <row r="12" spans="1:6">
      <c r="A12" s="104" t="s">
        <v>436</v>
      </c>
      <c r="B12" s="27">
        <v>1</v>
      </c>
      <c r="C12" s="27"/>
      <c r="D12" s="31">
        <f>D10*Synthesis!$C$4</f>
        <v>6.4000000000000015E-2</v>
      </c>
      <c r="E12" s="107">
        <f>E10*Synthesis!$C$4</f>
        <v>6.4000000000000015E-2</v>
      </c>
      <c r="F12" s="31">
        <f>Synthesis!$C$4^3</f>
        <v>6.4000000000000015E-2</v>
      </c>
    </row>
    <row r="13" spans="1:6">
      <c r="A13" s="33" t="s">
        <v>437</v>
      </c>
      <c r="B13" s="27"/>
      <c r="C13" s="27"/>
      <c r="D13" s="31"/>
      <c r="E13" s="107"/>
      <c r="F13" s="31"/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0-5F91-B341-9672-70FA0C1276E3}">
  <sheetPr codeName="Feuil78"/>
  <dimension ref="A1:F15"/>
  <sheetViews>
    <sheetView workbookViewId="0">
      <selection activeCell="H21" sqref="H21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6" ht="19">
      <c r="A1" s="35" t="s">
        <v>21</v>
      </c>
      <c r="B1" s="35"/>
      <c r="C1" s="35"/>
      <c r="D1" s="35"/>
    </row>
    <row r="3" spans="1:6">
      <c r="D3" s="32">
        <f>SUM(D5:D15)</f>
        <v>4.4496000000000002</v>
      </c>
      <c r="E3" s="32">
        <f>SUM(E5:E100)</f>
        <v>4.4496000000000002</v>
      </c>
      <c r="F3" s="32">
        <f>SUM(F5:F15)</f>
        <v>4.7540000000000004</v>
      </c>
    </row>
    <row r="4" spans="1:6">
      <c r="B4" s="39" t="s">
        <v>149</v>
      </c>
      <c r="C4" s="39" t="s">
        <v>431</v>
      </c>
      <c r="D4" s="49" t="str">
        <f>data!$H$3</f>
        <v>diff_id</v>
      </c>
      <c r="E4" s="49" t="str">
        <f>data!I$3</f>
        <v>arrays</v>
      </c>
      <c r="F4" s="49" t="str">
        <f>data!J$3</f>
        <v>reuse</v>
      </c>
    </row>
    <row r="5" spans="1:6">
      <c r="A5" s="37" t="s">
        <v>440</v>
      </c>
      <c r="B5" s="27">
        <v>4</v>
      </c>
      <c r="C5" s="27"/>
      <c r="D5" s="31"/>
      <c r="E5" s="31"/>
      <c r="F5" s="31"/>
    </row>
    <row r="6" spans="1:6">
      <c r="A6" s="104" t="s">
        <v>441</v>
      </c>
      <c r="B6" s="27">
        <v>4</v>
      </c>
      <c r="C6" s="27"/>
      <c r="D6" s="31">
        <v>1</v>
      </c>
      <c r="E6" s="31">
        <v>1</v>
      </c>
      <c r="F6" s="31">
        <v>1</v>
      </c>
    </row>
    <row r="7" spans="1:6">
      <c r="A7" s="33" t="s">
        <v>442</v>
      </c>
      <c r="B7" s="27" t="s">
        <v>504</v>
      </c>
      <c r="C7" s="27">
        <v>1</v>
      </c>
      <c r="D7" s="31">
        <f>1+2*Synthesis!$C$5</f>
        <v>2</v>
      </c>
      <c r="E7" s="31">
        <f>1+2*Synthesis!$C$5</f>
        <v>2</v>
      </c>
      <c r="F7" s="31">
        <f>Synthesis!$C$7+Synthesis!$C$7^2+Synthesis!$C$5+Synthesis!$C$5</f>
        <v>2.19</v>
      </c>
    </row>
    <row r="8" spans="1:6">
      <c r="A8" s="104" t="s">
        <v>441</v>
      </c>
      <c r="B8" s="27">
        <v>2</v>
      </c>
      <c r="C8" s="27"/>
      <c r="D8" s="31">
        <f>D6*Synthesis!$C$4</f>
        <v>0.4</v>
      </c>
      <c r="E8" s="31">
        <f>E6*Synthesis!$C$4</f>
        <v>0.4</v>
      </c>
      <c r="F8" s="31">
        <f>Synthesis!$C$4</f>
        <v>0.4</v>
      </c>
    </row>
    <row r="9" spans="1:6">
      <c r="A9" s="33" t="s">
        <v>442</v>
      </c>
      <c r="B9" s="27">
        <v>2</v>
      </c>
      <c r="C9" s="27">
        <v>1</v>
      </c>
      <c r="D9" s="31">
        <f>D7*Synthesis!$C$4</f>
        <v>0.8</v>
      </c>
      <c r="E9" s="31">
        <f>E7*Synthesis!$C$4</f>
        <v>0.8</v>
      </c>
      <c r="F9" s="31">
        <f>(Synthesis!$C$7+Synthesis!$C$7^2+Synthesis!$C$5+Synthesis!$C$5)*Synthesis!$C$4</f>
        <v>0.876</v>
      </c>
    </row>
    <row r="10" spans="1:6">
      <c r="A10" s="104" t="s">
        <v>441</v>
      </c>
      <c r="B10" s="27">
        <v>0</v>
      </c>
      <c r="C10" s="27"/>
      <c r="D10" s="31">
        <f>D8*Synthesis!$C$4</f>
        <v>0.16000000000000003</v>
      </c>
      <c r="E10" s="31">
        <f>E8*Synthesis!$C$4</f>
        <v>0.16000000000000003</v>
      </c>
      <c r="F10" s="31">
        <f>Synthesis!$C$4^2</f>
        <v>0.16000000000000003</v>
      </c>
    </row>
    <row r="11" spans="1:6">
      <c r="A11" s="33" t="s">
        <v>437</v>
      </c>
      <c r="B11" s="27"/>
      <c r="C11" s="27"/>
      <c r="D11" s="31"/>
      <c r="E11" s="31"/>
      <c r="F11" s="31"/>
    </row>
    <row r="12" spans="1:6">
      <c r="A12" s="104" t="s">
        <v>441</v>
      </c>
      <c r="B12" s="27">
        <v>-2</v>
      </c>
      <c r="C12" s="27"/>
      <c r="D12" s="31">
        <f>D10*Synthesis!$C$4</f>
        <v>6.4000000000000015E-2</v>
      </c>
      <c r="E12" s="31">
        <f>E10*Synthesis!$C$4</f>
        <v>6.4000000000000015E-2</v>
      </c>
      <c r="F12" s="31">
        <f>Synthesis!$C$4^3</f>
        <v>6.4000000000000015E-2</v>
      </c>
    </row>
    <row r="13" spans="1:6">
      <c r="A13" s="33" t="s">
        <v>437</v>
      </c>
      <c r="B13" s="27"/>
      <c r="C13" s="27"/>
      <c r="D13" s="31"/>
      <c r="E13" s="31"/>
      <c r="F13" s="31"/>
    </row>
    <row r="14" spans="1:6">
      <c r="A14" s="104" t="s">
        <v>441</v>
      </c>
      <c r="B14" s="27">
        <v>0</v>
      </c>
      <c r="C14" s="27"/>
      <c r="D14" s="31">
        <f>D12*Synthesis!$C$4</f>
        <v>2.5600000000000008E-2</v>
      </c>
      <c r="E14" s="31">
        <f>E12*Synthesis!$C$4</f>
        <v>2.5600000000000008E-2</v>
      </c>
      <c r="F14" s="31">
        <f>Synthesis!$C$4^3</f>
        <v>6.4000000000000015E-2</v>
      </c>
    </row>
    <row r="15" spans="1:6">
      <c r="A15" s="33" t="s">
        <v>437</v>
      </c>
      <c r="B15" s="27"/>
      <c r="C15" s="27"/>
      <c r="D15" s="31"/>
      <c r="E15" s="31"/>
      <c r="F15" s="3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sheetPr codeName="Feuil63"/>
  <dimension ref="B7:F42"/>
  <sheetViews>
    <sheetView workbookViewId="0">
      <selection activeCell="D47" sqref="D47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2" t="s">
        <v>0</v>
      </c>
      <c r="C7" s="4" t="s">
        <v>329</v>
      </c>
      <c r="D7" s="4" t="s">
        <v>330</v>
      </c>
    </row>
    <row r="8" spans="2:6">
      <c r="B8" s="25" t="s">
        <v>24</v>
      </c>
      <c r="C8" s="5">
        <v>68.014414634146334</v>
      </c>
      <c r="D8">
        <v>25.023400000000002</v>
      </c>
      <c r="F8">
        <v>1</v>
      </c>
    </row>
    <row r="9" spans="2:6">
      <c r="B9" s="25" t="s">
        <v>34</v>
      </c>
      <c r="C9" s="5">
        <v>100.26741463414632</v>
      </c>
      <c r="D9">
        <v>38.2515</v>
      </c>
      <c r="F9">
        <v>2</v>
      </c>
    </row>
    <row r="10" spans="2:6">
      <c r="B10" s="25" t="s">
        <v>38</v>
      </c>
      <c r="C10" s="5">
        <v>132.46873170731703</v>
      </c>
      <c r="F10">
        <v>7</v>
      </c>
    </row>
    <row r="11" spans="2:6">
      <c r="B11" s="25" t="s">
        <v>39</v>
      </c>
      <c r="C11" s="5">
        <v>154.64156097560979</v>
      </c>
      <c r="F11">
        <v>8</v>
      </c>
    </row>
    <row r="12" spans="2:6">
      <c r="B12" s="25" t="s">
        <v>40</v>
      </c>
      <c r="C12" s="5">
        <v>211.48453658536584</v>
      </c>
      <c r="F12">
        <v>10</v>
      </c>
    </row>
    <row r="13" spans="2:6">
      <c r="B13" s="25" t="s">
        <v>35</v>
      </c>
      <c r="C13" s="5">
        <v>70.510951219512179</v>
      </c>
      <c r="D13">
        <v>21.008300000000002</v>
      </c>
      <c r="F13">
        <v>11</v>
      </c>
    </row>
    <row r="14" spans="2:6">
      <c r="B14" s="25" t="s">
        <v>25</v>
      </c>
      <c r="C14" s="5">
        <v>66.048609756097534</v>
      </c>
      <c r="D14">
        <v>22.907299999999999</v>
      </c>
      <c r="F14">
        <v>13</v>
      </c>
    </row>
    <row r="15" spans="2:6">
      <c r="B15" s="25" t="s">
        <v>26</v>
      </c>
      <c r="C15" s="5">
        <v>104.82602439024393</v>
      </c>
      <c r="D15">
        <v>29.233600000000003</v>
      </c>
      <c r="F15">
        <v>14</v>
      </c>
    </row>
    <row r="16" spans="2:6">
      <c r="B16" s="25" t="s">
        <v>27</v>
      </c>
      <c r="C16" s="5">
        <v>65.420853658536572</v>
      </c>
      <c r="F16">
        <v>17</v>
      </c>
    </row>
    <row r="17" spans="2:6">
      <c r="B17" s="25" t="s">
        <v>28</v>
      </c>
      <c r="C17" s="5">
        <v>42.585804878048783</v>
      </c>
      <c r="F17">
        <v>20</v>
      </c>
    </row>
    <row r="18" spans="2:6">
      <c r="B18" s="25" t="s">
        <v>29</v>
      </c>
      <c r="C18" s="5">
        <v>65.473780487804873</v>
      </c>
      <c r="D18">
        <v>22.51305</v>
      </c>
      <c r="F18">
        <v>21</v>
      </c>
    </row>
    <row r="19" spans="2:6">
      <c r="B19" s="25" t="s">
        <v>37</v>
      </c>
      <c r="C19" s="5">
        <v>59.81002439024391</v>
      </c>
      <c r="F19">
        <v>22</v>
      </c>
    </row>
    <row r="20" spans="2:6">
      <c r="B20" s="25" t="s">
        <v>36</v>
      </c>
      <c r="C20" s="5">
        <v>37.425292682926823</v>
      </c>
      <c r="D20">
        <v>15.159050000000001</v>
      </c>
      <c r="F20">
        <v>23</v>
      </c>
    </row>
    <row r="21" spans="2:6">
      <c r="B21" s="25" t="s">
        <v>30</v>
      </c>
      <c r="C21" s="5">
        <v>48.394707317073163</v>
      </c>
      <c r="D21">
        <v>20.602500000000003</v>
      </c>
    </row>
    <row r="22" spans="2:6">
      <c r="B22" s="25" t="s">
        <v>41</v>
      </c>
      <c r="C22" s="5">
        <v>355.30917073170724</v>
      </c>
    </row>
    <row r="23" spans="2:6">
      <c r="B23" s="25" t="s">
        <v>42</v>
      </c>
      <c r="C23" s="5">
        <v>20.50239024390244</v>
      </c>
    </row>
    <row r="24" spans="2:6">
      <c r="B24" s="25" t="s">
        <v>31</v>
      </c>
      <c r="C24" s="5">
        <v>99.988414634146352</v>
      </c>
      <c r="D24">
        <v>33.501850000000005</v>
      </c>
    </row>
    <row r="25" spans="2:6">
      <c r="B25" s="25" t="s">
        <v>43</v>
      </c>
      <c r="C25" s="5">
        <v>132.07892682926831</v>
      </c>
    </row>
    <row r="26" spans="2:6">
      <c r="B26" s="25" t="s">
        <v>44</v>
      </c>
      <c r="C26" s="5">
        <v>145.23982926829271</v>
      </c>
    </row>
    <row r="27" spans="2:6">
      <c r="B27" s="25" t="s">
        <v>32</v>
      </c>
      <c r="C27" s="5">
        <v>80.621829268292686</v>
      </c>
      <c r="D27">
        <v>25.9283</v>
      </c>
    </row>
    <row r="28" spans="2:6">
      <c r="B28" s="25" t="s">
        <v>70</v>
      </c>
      <c r="C28" s="5">
        <v>89.939219512195123</v>
      </c>
      <c r="D28">
        <v>54.675699999999999</v>
      </c>
    </row>
    <row r="29" spans="2:6">
      <c r="B29" s="25" t="s">
        <v>33</v>
      </c>
      <c r="C29" s="5">
        <v>86.29456097560977</v>
      </c>
      <c r="D29">
        <v>43.558350000000004</v>
      </c>
    </row>
    <row r="30" spans="2:6">
      <c r="B30" s="25" t="s">
        <v>45</v>
      </c>
      <c r="C30" s="5">
        <v>54.500707317073157</v>
      </c>
    </row>
    <row r="31" spans="2:6">
      <c r="B31" s="14"/>
    </row>
    <row r="32" spans="2:6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C767-C8D1-DE49-850B-12B2C9FFC385}">
  <sheetPr codeName="Feuil79"/>
  <dimension ref="A1:G15"/>
  <sheetViews>
    <sheetView workbookViewId="0">
      <selection activeCell="H21" sqref="H21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7" ht="19">
      <c r="A1" s="35" t="s">
        <v>22</v>
      </c>
      <c r="B1" s="35"/>
      <c r="C1" s="35"/>
      <c r="D1" s="35"/>
      <c r="E1" s="35"/>
    </row>
    <row r="3" spans="1:7">
      <c r="E3" s="32">
        <f>SUM(E5:E15)</f>
        <v>6.4600000000000009</v>
      </c>
      <c r="F3" s="32">
        <f>SUM(F5:F100)</f>
        <v>6.4600000000000009</v>
      </c>
      <c r="G3" s="32">
        <f>SUM(G5:G15)</f>
        <v>5.8592400000000007</v>
      </c>
    </row>
    <row r="4" spans="1:7">
      <c r="B4" s="39" t="s">
        <v>203</v>
      </c>
      <c r="C4" s="39" t="s">
        <v>204</v>
      </c>
      <c r="D4" s="39" t="s">
        <v>431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37" t="s">
        <v>443</v>
      </c>
      <c r="B5" s="27">
        <v>3</v>
      </c>
      <c r="C5" s="27"/>
      <c r="D5" s="27"/>
      <c r="E5" s="31"/>
      <c r="F5" s="107"/>
      <c r="G5" s="31"/>
    </row>
    <row r="6" spans="1:7">
      <c r="A6" s="33" t="s">
        <v>444</v>
      </c>
      <c r="B6" s="27"/>
      <c r="C6" s="27">
        <v>2</v>
      </c>
      <c r="D6" s="27"/>
      <c r="E6" s="31"/>
      <c r="F6" s="107"/>
      <c r="G6" s="31"/>
    </row>
    <row r="7" spans="1:7">
      <c r="A7" s="104" t="s">
        <v>445</v>
      </c>
      <c r="B7" s="27"/>
      <c r="C7" s="27">
        <v>2</v>
      </c>
      <c r="D7" s="27"/>
      <c r="E7" s="31">
        <v>1</v>
      </c>
      <c r="F7" s="107">
        <v>1</v>
      </c>
      <c r="G7" s="31">
        <v>1</v>
      </c>
    </row>
    <row r="8" spans="1:7">
      <c r="A8" s="33" t="s">
        <v>446</v>
      </c>
      <c r="B8" s="27"/>
      <c r="C8" s="27">
        <v>2</v>
      </c>
      <c r="D8" s="27"/>
      <c r="E8" s="31">
        <v>1</v>
      </c>
      <c r="F8" s="107">
        <v>1</v>
      </c>
      <c r="G8" s="31">
        <f>Synthesis!$C$7</f>
        <v>0.7</v>
      </c>
    </row>
    <row r="9" spans="1:7">
      <c r="A9" s="33" t="s">
        <v>448</v>
      </c>
      <c r="B9" s="27">
        <v>3</v>
      </c>
      <c r="C9" s="27">
        <v>1</v>
      </c>
      <c r="D9" s="27">
        <v>1</v>
      </c>
      <c r="E9" s="31">
        <f>2+Synthesis!$C$5</f>
        <v>2.5</v>
      </c>
      <c r="F9" s="107">
        <f>2+Synthesis!$C$5</f>
        <v>2.5</v>
      </c>
      <c r="G9" s="31">
        <f>1+Synthesis!$C$7+Synthesis!$C$7^2+Synthesis!$C$5</f>
        <v>2.69</v>
      </c>
    </row>
    <row r="10" spans="1:7">
      <c r="A10" s="104" t="s">
        <v>445</v>
      </c>
      <c r="B10" s="27"/>
      <c r="C10" s="27">
        <v>1</v>
      </c>
      <c r="D10" s="27"/>
      <c r="E10" s="31">
        <f>E7*Synthesis!$C$4</f>
        <v>0.4</v>
      </c>
      <c r="F10" s="107">
        <f>F7*Synthesis!$C$4</f>
        <v>0.4</v>
      </c>
      <c r="G10" s="31">
        <f>Synthesis!$C$4</f>
        <v>0.4</v>
      </c>
    </row>
    <row r="11" spans="1:7">
      <c r="A11" s="33" t="s">
        <v>446</v>
      </c>
      <c r="B11" s="27"/>
      <c r="C11" s="27">
        <v>1</v>
      </c>
      <c r="D11" s="27"/>
      <c r="E11" s="31">
        <f>E8*Synthesis!$C$4</f>
        <v>0.4</v>
      </c>
      <c r="F11" s="107">
        <f>F8*Synthesis!$C$4</f>
        <v>0.4</v>
      </c>
      <c r="G11" s="31">
        <f>(Synthesis!$C$7)*Synthesis!$C$4</f>
        <v>0.27999999999999997</v>
      </c>
    </row>
    <row r="12" spans="1:7">
      <c r="A12" s="33" t="s">
        <v>447</v>
      </c>
      <c r="B12" s="27">
        <v>3</v>
      </c>
      <c r="C12" s="27"/>
      <c r="D12" s="27"/>
      <c r="E12" s="31"/>
      <c r="F12" s="107"/>
      <c r="G12" s="31"/>
    </row>
    <row r="13" spans="1:7">
      <c r="A13" s="33" t="s">
        <v>448</v>
      </c>
      <c r="B13" s="27">
        <v>3</v>
      </c>
      <c r="C13" s="27">
        <v>0</v>
      </c>
      <c r="D13" s="27">
        <v>1</v>
      </c>
      <c r="E13" s="31">
        <f>E9*Synthesis!$C$4</f>
        <v>1</v>
      </c>
      <c r="F13" s="107">
        <f>F9*Synthesis!$C$4</f>
        <v>1</v>
      </c>
      <c r="G13" s="31">
        <f>(Synthesis!$C$7^3+Synthesis!$C$7^4+Synthesis!$C$5+Synthesis!$C$7^2)*Synthesis!$C$4</f>
        <v>0.62924000000000002</v>
      </c>
    </row>
    <row r="14" spans="1:7">
      <c r="A14" s="104" t="s">
        <v>445</v>
      </c>
      <c r="B14" s="27"/>
      <c r="C14" s="27">
        <v>0</v>
      </c>
      <c r="D14" s="27"/>
      <c r="E14" s="31">
        <f>E10*Synthesis!$C$4</f>
        <v>0.16000000000000003</v>
      </c>
      <c r="F14" s="107">
        <f>F10*Synthesis!$C$4</f>
        <v>0.16000000000000003</v>
      </c>
      <c r="G14" s="31">
        <f>Synthesis!$C$4^2</f>
        <v>0.16000000000000003</v>
      </c>
    </row>
    <row r="15" spans="1:7">
      <c r="A15" s="33" t="s">
        <v>437</v>
      </c>
      <c r="B15" s="27"/>
      <c r="C15" s="27"/>
      <c r="D15" s="27"/>
      <c r="E15" s="31"/>
      <c r="F15" s="107"/>
      <c r="G15" s="31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215-B3DB-734D-B3FC-EACB1F03A95F}">
  <sheetPr codeName="Feuil80"/>
  <dimension ref="A1:G27"/>
  <sheetViews>
    <sheetView workbookViewId="0">
      <selection activeCell="H21" sqref="H21"/>
    </sheetView>
  </sheetViews>
  <sheetFormatPr baseColWidth="10" defaultRowHeight="16"/>
  <cols>
    <col min="1" max="1" width="44" style="24" customWidth="1"/>
    <col min="2" max="2" width="13.83203125" style="24" customWidth="1"/>
    <col min="3" max="6" width="10.83203125" style="24"/>
    <col min="7" max="7" width="12.1640625" style="24" bestFit="1" customWidth="1"/>
    <col min="8" max="16384" width="10.83203125" style="24"/>
  </cols>
  <sheetData>
    <row r="1" spans="1:7" ht="19">
      <c r="A1" s="29" t="s">
        <v>23</v>
      </c>
      <c r="B1" s="29"/>
      <c r="C1" s="29"/>
      <c r="D1" s="29"/>
      <c r="E1" s="29"/>
    </row>
    <row r="3" spans="1:7">
      <c r="E3" s="32">
        <f>SUM(E5:E27)</f>
        <v>12.368000000000004</v>
      </c>
      <c r="F3" s="32" t="e">
        <f>SUM(F5:F100)</f>
        <v>#REF!</v>
      </c>
      <c r="G3" s="32">
        <f>SUM(G5:G27)</f>
        <v>7.9318737209704704</v>
      </c>
    </row>
    <row r="4" spans="1:7">
      <c r="B4" s="39" t="s">
        <v>339</v>
      </c>
      <c r="C4" s="39" t="s">
        <v>97</v>
      </c>
      <c r="D4" s="39" t="s">
        <v>109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37" t="s">
        <v>449</v>
      </c>
      <c r="B5" s="27" t="s">
        <v>456</v>
      </c>
      <c r="C5" s="27"/>
      <c r="D5" s="27"/>
      <c r="E5" s="31"/>
      <c r="F5" s="107"/>
      <c r="G5" s="31"/>
    </row>
    <row r="6" spans="1:7">
      <c r="A6" s="33" t="s">
        <v>450</v>
      </c>
      <c r="B6" s="27" t="s">
        <v>456</v>
      </c>
      <c r="C6" s="27" t="s">
        <v>457</v>
      </c>
      <c r="D6" s="27"/>
      <c r="E6" s="31">
        <v>1</v>
      </c>
      <c r="F6" s="107">
        <v>1</v>
      </c>
      <c r="G6" s="31">
        <v>1</v>
      </c>
    </row>
    <row r="7" spans="1:7">
      <c r="A7" s="104" t="s">
        <v>451</v>
      </c>
      <c r="B7" s="27" t="s">
        <v>456</v>
      </c>
      <c r="C7" s="27"/>
      <c r="D7" s="27">
        <v>0</v>
      </c>
      <c r="E7" s="31">
        <v>1</v>
      </c>
      <c r="F7" s="107">
        <v>1</v>
      </c>
      <c r="G7" s="31">
        <f>Synthesis!$C$7</f>
        <v>0.7</v>
      </c>
    </row>
    <row r="8" spans="1:7">
      <c r="A8" s="33" t="s">
        <v>452</v>
      </c>
      <c r="B8" s="27" t="s">
        <v>456</v>
      </c>
      <c r="C8" s="27"/>
      <c r="D8" s="27">
        <v>0</v>
      </c>
      <c r="E8" s="31">
        <v>2</v>
      </c>
      <c r="F8" s="107" t="e">
        <f>2+Synthesis!#REF!</f>
        <v>#REF!</v>
      </c>
      <c r="G8" s="31">
        <f>Synthesis!$C$7^2+1</f>
        <v>1.49</v>
      </c>
    </row>
    <row r="9" spans="1:7">
      <c r="A9" s="33" t="s">
        <v>453</v>
      </c>
      <c r="B9" s="27" t="s">
        <v>456</v>
      </c>
      <c r="C9" s="27"/>
      <c r="D9" s="27">
        <v>0</v>
      </c>
      <c r="E9" s="31">
        <v>2</v>
      </c>
      <c r="F9" s="107" t="e">
        <f>2+Synthesis!#REF!</f>
        <v>#REF!</v>
      </c>
      <c r="G9" s="31">
        <f>Synthesis!$C$7^3+Synthesis!$C$7^2</f>
        <v>0.83299999999999985</v>
      </c>
    </row>
    <row r="10" spans="1:7">
      <c r="A10" s="33" t="s">
        <v>391</v>
      </c>
      <c r="B10" s="27"/>
      <c r="C10" s="27"/>
      <c r="D10" s="27"/>
      <c r="E10" s="31"/>
      <c r="F10" s="107"/>
      <c r="G10" s="31"/>
    </row>
    <row r="11" spans="1:7">
      <c r="A11" s="33" t="s">
        <v>454</v>
      </c>
      <c r="B11" s="27" t="s">
        <v>456</v>
      </c>
      <c r="C11" s="27" t="s">
        <v>458</v>
      </c>
      <c r="D11" s="27">
        <v>0</v>
      </c>
      <c r="E11" s="31">
        <v>2</v>
      </c>
      <c r="F11" s="107" t="e">
        <f>2+Synthesis!#REF!</f>
        <v>#REF!</v>
      </c>
      <c r="G11" s="31">
        <f>Synthesis!$C$7^4+1+Synthesis!$C$7^2</f>
        <v>1.7301</v>
      </c>
    </row>
    <row r="12" spans="1:7">
      <c r="A12" s="104" t="s">
        <v>451</v>
      </c>
      <c r="B12" s="27" t="s">
        <v>456</v>
      </c>
      <c r="C12" s="27"/>
      <c r="D12" s="27">
        <v>1</v>
      </c>
      <c r="E12" s="31">
        <f>E7*Synthesis!$C$4</f>
        <v>0.4</v>
      </c>
      <c r="F12" s="107">
        <f>F7*Synthesis!$C$4</f>
        <v>0.4</v>
      </c>
      <c r="G12" s="31">
        <f>(Synthesis!$C$7^5)*Synthesis!$C$4</f>
        <v>6.7227999999999982E-2</v>
      </c>
    </row>
    <row r="13" spans="1:7">
      <c r="A13" s="33" t="s">
        <v>452</v>
      </c>
      <c r="B13" s="27" t="s">
        <v>456</v>
      </c>
      <c r="C13" s="27"/>
      <c r="D13" s="27">
        <v>1</v>
      </c>
      <c r="E13" s="31">
        <f>E8*Synthesis!$C$4</f>
        <v>0.8</v>
      </c>
      <c r="F13" s="107" t="e">
        <f>F8*Synthesis!$C$4</f>
        <v>#REF!</v>
      </c>
      <c r="G13" s="31">
        <f>(Synthesis!$C$7^6+1)*Synthesis!$C$4</f>
        <v>0.4470596</v>
      </c>
    </row>
    <row r="14" spans="1:7">
      <c r="A14" s="33" t="s">
        <v>453</v>
      </c>
      <c r="B14" s="27" t="s">
        <v>456</v>
      </c>
      <c r="C14" s="27"/>
      <c r="D14" s="27">
        <v>1</v>
      </c>
      <c r="E14" s="31">
        <f>E9*Synthesis!$C$4</f>
        <v>0.8</v>
      </c>
      <c r="F14" s="107" t="e">
        <f>F9*Synthesis!$C$4</f>
        <v>#REF!</v>
      </c>
      <c r="G14" s="31">
        <f>(Synthesis!$C$7^7+Synthesis!$C$7)*Synthesis!$C$4</f>
        <v>0.31294171999999998</v>
      </c>
    </row>
    <row r="15" spans="1:7">
      <c r="A15" s="33" t="s">
        <v>391</v>
      </c>
      <c r="B15" s="27"/>
      <c r="C15" s="27"/>
      <c r="D15" s="27"/>
      <c r="E15" s="31"/>
      <c r="F15" s="107"/>
      <c r="G15" s="31"/>
    </row>
    <row r="16" spans="1:7">
      <c r="A16" s="33" t="s">
        <v>454</v>
      </c>
      <c r="B16" s="27" t="s">
        <v>456</v>
      </c>
      <c r="C16" s="27" t="s">
        <v>459</v>
      </c>
      <c r="D16" s="27">
        <v>1</v>
      </c>
      <c r="E16" s="31">
        <f>E11*Synthesis!$C$4</f>
        <v>0.8</v>
      </c>
      <c r="F16" s="107" t="e">
        <f>F11*Synthesis!$C$4</f>
        <v>#REF!</v>
      </c>
      <c r="G16" s="31">
        <f>(Synthesis!$C$7^8+1+Synthesis!$C$7^2)*Synthesis!$C$4</f>
        <v>0.61905920400000003</v>
      </c>
    </row>
    <row r="17" spans="1:7">
      <c r="A17" s="104" t="s">
        <v>451</v>
      </c>
      <c r="B17" s="27" t="s">
        <v>456</v>
      </c>
      <c r="C17" s="27"/>
      <c r="D17" s="27">
        <v>2</v>
      </c>
      <c r="E17" s="31">
        <f>E12*Synthesis!$C$4</f>
        <v>0.16000000000000003</v>
      </c>
      <c r="F17" s="107">
        <f>F12*Synthesis!$C$4</f>
        <v>0.16000000000000003</v>
      </c>
      <c r="G17" s="31">
        <f>(Synthesis!$C$7^9)*Synthesis!$C$4^2</f>
        <v>6.4565771199999967E-3</v>
      </c>
    </row>
    <row r="18" spans="1:7">
      <c r="A18" s="33" t="s">
        <v>452</v>
      </c>
      <c r="B18" s="27" t="s">
        <v>456</v>
      </c>
      <c r="C18" s="27"/>
      <c r="D18" s="27">
        <v>2</v>
      </c>
      <c r="E18" s="31">
        <f>E13*Synthesis!$C$4</f>
        <v>0.32000000000000006</v>
      </c>
      <c r="F18" s="107" t="e">
        <f>F13*Synthesis!$C$4</f>
        <v>#REF!</v>
      </c>
      <c r="G18" s="31">
        <f>(Synthesis!$C$7^10+1)*Synthesis!$C$4^2</f>
        <v>0.16451960398400003</v>
      </c>
    </row>
    <row r="19" spans="1:7">
      <c r="A19" s="33" t="s">
        <v>453</v>
      </c>
      <c r="B19" s="27" t="s">
        <v>456</v>
      </c>
      <c r="C19" s="27"/>
      <c r="D19" s="27">
        <v>2</v>
      </c>
      <c r="E19" s="31">
        <f>E14*Synthesis!$C$4</f>
        <v>0.32000000000000006</v>
      </c>
      <c r="F19" s="107" t="e">
        <f>F14*Synthesis!$C$4</f>
        <v>#REF!</v>
      </c>
      <c r="G19" s="31">
        <f>(Synthesis!$C$7^11+Synthesis!$C$7)*Synthesis!$C$4^2</f>
        <v>0.11516372278880001</v>
      </c>
    </row>
    <row r="20" spans="1:7">
      <c r="A20" s="33" t="s">
        <v>391</v>
      </c>
      <c r="B20" s="27"/>
      <c r="C20" s="27"/>
      <c r="D20" s="27"/>
      <c r="E20" s="31"/>
      <c r="F20" s="107"/>
      <c r="G20" s="31"/>
    </row>
    <row r="21" spans="1:7">
      <c r="A21" s="33" t="s">
        <v>454</v>
      </c>
      <c r="B21" s="27" t="s">
        <v>456</v>
      </c>
      <c r="C21" s="27" t="s">
        <v>460</v>
      </c>
      <c r="D21" s="27">
        <v>2</v>
      </c>
      <c r="E21" s="31">
        <f>E16*Synthesis!$C$4</f>
        <v>0.32000000000000006</v>
      </c>
      <c r="F21" s="107" t="e">
        <f>F16*Synthesis!$C$4</f>
        <v>#REF!</v>
      </c>
      <c r="G21" s="31">
        <f>(Synthesis!$C$7^12+1+Synthesis!$C$7^2)*Synthesis!$C$4^2</f>
        <v>0.24061460595216005</v>
      </c>
    </row>
    <row r="22" spans="1:7">
      <c r="A22" s="104" t="s">
        <v>451</v>
      </c>
      <c r="B22" s="27" t="s">
        <v>456</v>
      </c>
      <c r="C22" s="27"/>
      <c r="D22" s="27">
        <v>3</v>
      </c>
      <c r="E22" s="31">
        <f>E17*Synthesis!$C$4</f>
        <v>6.4000000000000015E-2</v>
      </c>
      <c r="F22" s="107">
        <f>F17*Synthesis!$C$4</f>
        <v>6.4000000000000015E-2</v>
      </c>
      <c r="G22" s="31">
        <f>(Synthesis!$C$7^13)*Synthesis!$C$4^3</f>
        <v>6.2008966660479945E-4</v>
      </c>
    </row>
    <row r="23" spans="1:7">
      <c r="A23" s="33" t="s">
        <v>452</v>
      </c>
      <c r="B23" s="27" t="s">
        <v>456</v>
      </c>
      <c r="C23" s="27"/>
      <c r="D23" s="27">
        <v>3</v>
      </c>
      <c r="E23" s="31">
        <f>E18*Synthesis!$C$4</f>
        <v>0.12800000000000003</v>
      </c>
      <c r="F23" s="107" t="e">
        <f>F18*Synthesis!$C$4</f>
        <v>#REF!</v>
      </c>
      <c r="G23" s="31">
        <f>(Synthesis!$C$7^14+1)*Synthesis!$C$4^3</f>
        <v>6.4434062766623376E-2</v>
      </c>
    </row>
    <row r="24" spans="1:7">
      <c r="A24" s="33" t="s">
        <v>453</v>
      </c>
      <c r="B24" s="27" t="s">
        <v>456</v>
      </c>
      <c r="C24" s="27"/>
      <c r="D24" s="27">
        <v>3</v>
      </c>
      <c r="E24" s="31">
        <f>E19*Synthesis!$C$4</f>
        <v>0.12800000000000003</v>
      </c>
      <c r="F24" s="107" t="e">
        <f>F19*Synthesis!$C$4</f>
        <v>#REF!</v>
      </c>
      <c r="G24" s="31">
        <f>(Synthesis!$C$7^15+Synthesis!$C$7)*Synthesis!$C$4^3</f>
        <v>4.5103843936636363E-2</v>
      </c>
    </row>
    <row r="25" spans="1:7">
      <c r="A25" s="33" t="s">
        <v>391</v>
      </c>
      <c r="B25" s="27"/>
      <c r="C25" s="27"/>
      <c r="D25" s="27"/>
      <c r="E25" s="31">
        <f>E20*Synthesis!$C$4</f>
        <v>0</v>
      </c>
      <c r="F25" s="107">
        <f>F20*Synthesis!$C$4</f>
        <v>0</v>
      </c>
      <c r="G25" s="31"/>
    </row>
    <row r="26" spans="1:7">
      <c r="A26" s="33" t="s">
        <v>454</v>
      </c>
      <c r="B26" s="27" t="s">
        <v>456</v>
      </c>
      <c r="C26" s="27" t="s">
        <v>461</v>
      </c>
      <c r="D26" s="27">
        <v>3</v>
      </c>
      <c r="E26" s="31">
        <f>E21*Synthesis!$C$4</f>
        <v>0.12800000000000003</v>
      </c>
      <c r="F26" s="107" t="e">
        <f>F21*Synthesis!$C$4</f>
        <v>#REF!</v>
      </c>
      <c r="G26" s="31">
        <f>(Synthesis!$C$7^16+1+Synthesis!$C$7^2)*Synthesis!$C$4^3</f>
        <v>9.5572690755645465E-2</v>
      </c>
    </row>
    <row r="27" spans="1:7">
      <c r="A27" s="33" t="s">
        <v>455</v>
      </c>
      <c r="B27" s="27"/>
      <c r="C27" s="27"/>
      <c r="D27" s="27"/>
      <c r="E27" s="31"/>
      <c r="F27" s="107"/>
      <c r="G27" s="31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33E-B418-E046-B907-848FD4223C36}">
  <sheetPr codeName="Feuil81"/>
  <dimension ref="A1:E11"/>
  <sheetViews>
    <sheetView workbookViewId="0">
      <selection activeCell="H21" sqref="H21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5" ht="19">
      <c r="A1" s="35" t="s">
        <v>46</v>
      </c>
      <c r="B1" s="35"/>
    </row>
    <row r="3" spans="1:5">
      <c r="C3" s="28">
        <f>SUM(C5:C11)</f>
        <v>5</v>
      </c>
      <c r="D3" s="32">
        <f>SUM(D5:D100)</f>
        <v>5</v>
      </c>
      <c r="E3" s="32">
        <f>SUM(E5:E11)</f>
        <v>2.7730999999999999</v>
      </c>
    </row>
    <row r="4" spans="1:5">
      <c r="B4" s="39" t="s">
        <v>429</v>
      </c>
      <c r="C4" s="49" t="str">
        <f>data!$H$3</f>
        <v>diff_id</v>
      </c>
      <c r="D4" s="49" t="str">
        <f>data!I$3</f>
        <v>arrays</v>
      </c>
      <c r="E4" s="49" t="str">
        <f>data!J$3</f>
        <v>reuse</v>
      </c>
    </row>
    <row r="5" spans="1:5">
      <c r="A5" s="33" t="s">
        <v>462</v>
      </c>
      <c r="B5" s="27" t="s">
        <v>469</v>
      </c>
      <c r="C5" s="31"/>
      <c r="D5" s="107"/>
      <c r="E5" s="31"/>
    </row>
    <row r="6" spans="1:5">
      <c r="A6" s="33" t="s">
        <v>463</v>
      </c>
      <c r="B6" s="27" t="s">
        <v>470</v>
      </c>
      <c r="C6" s="31">
        <v>1</v>
      </c>
      <c r="D6" s="107">
        <v>1</v>
      </c>
      <c r="E6" s="31">
        <v>1</v>
      </c>
    </row>
    <row r="7" spans="1:5">
      <c r="A7" s="33" t="s">
        <v>464</v>
      </c>
      <c r="B7" s="27" t="s">
        <v>470</v>
      </c>
      <c r="C7" s="31">
        <v>1</v>
      </c>
      <c r="D7" s="107">
        <v>1</v>
      </c>
      <c r="E7" s="31">
        <f>Synthesis!$C$7</f>
        <v>0.7</v>
      </c>
    </row>
    <row r="8" spans="1:5">
      <c r="A8" s="33" t="s">
        <v>465</v>
      </c>
      <c r="B8" s="27" t="s">
        <v>470</v>
      </c>
      <c r="C8" s="31">
        <v>1</v>
      </c>
      <c r="D8" s="107">
        <v>1</v>
      </c>
      <c r="E8" s="31">
        <f>Synthesis!$C$7^2</f>
        <v>0.48999999999999994</v>
      </c>
    </row>
    <row r="9" spans="1:5">
      <c r="A9" s="33" t="s">
        <v>466</v>
      </c>
      <c r="B9" s="27" t="s">
        <v>470</v>
      </c>
      <c r="C9" s="31">
        <v>1</v>
      </c>
      <c r="D9" s="107">
        <v>1</v>
      </c>
      <c r="E9" s="31">
        <f>Synthesis!$C$7^3</f>
        <v>0.34299999999999992</v>
      </c>
    </row>
    <row r="10" spans="1:5">
      <c r="A10" s="33" t="s">
        <v>468</v>
      </c>
      <c r="B10" s="27" t="s">
        <v>470</v>
      </c>
      <c r="C10" s="31">
        <v>1</v>
      </c>
      <c r="D10" s="107">
        <v>1</v>
      </c>
      <c r="E10" s="31">
        <f>Synthesis!$C$7^4</f>
        <v>0.24009999999999992</v>
      </c>
    </row>
    <row r="11" spans="1:5">
      <c r="A11" s="33" t="s">
        <v>467</v>
      </c>
      <c r="B11" s="27"/>
      <c r="C11" s="31"/>
      <c r="D11" s="107"/>
      <c r="E11" s="31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G16"/>
  <sheetViews>
    <sheetView zoomScale="137" workbookViewId="0">
      <selection activeCell="F8" sqref="F8"/>
    </sheetView>
  </sheetViews>
  <sheetFormatPr baseColWidth="10" defaultRowHeight="16"/>
  <cols>
    <col min="1" max="1" width="23.1640625" style="10" customWidth="1"/>
    <col min="2" max="16384" width="10.83203125" style="10"/>
  </cols>
  <sheetData>
    <row r="1" spans="1:7" ht="19">
      <c r="A1" s="34" t="s">
        <v>24</v>
      </c>
      <c r="B1" s="34"/>
      <c r="C1" s="34"/>
      <c r="D1" s="34"/>
    </row>
    <row r="2" spans="1:7" ht="19">
      <c r="A2" s="20"/>
      <c r="B2" s="20"/>
      <c r="C2" s="20"/>
    </row>
    <row r="3" spans="1:7">
      <c r="D3" s="48">
        <f>SUM(D5:D16)</f>
        <v>4.6800000000000006</v>
      </c>
      <c r="E3" s="32" t="e">
        <f>D3+SUM(E5:E16)*Synthesis!#REF!</f>
        <v>#REF!</v>
      </c>
      <c r="F3" s="32">
        <f>SUM(F5:F16)</f>
        <v>4.8948</v>
      </c>
      <c r="G3" s="32">
        <f>SUM(G5:G16)</f>
        <v>4.2</v>
      </c>
    </row>
    <row r="4" spans="1:7">
      <c r="B4" s="49" t="s">
        <v>97</v>
      </c>
      <c r="C4" s="49" t="s">
        <v>98</v>
      </c>
      <c r="D4" s="49" t="str">
        <f>data!$H$3</f>
        <v>diff_id</v>
      </c>
      <c r="E4" s="49" t="str">
        <f>data!I$3</f>
        <v>arrays</v>
      </c>
      <c r="F4" s="49" t="str">
        <f>data!J$3</f>
        <v>reuse</v>
      </c>
      <c r="G4" s="49" t="str">
        <f>data!K$3</f>
        <v>operators</v>
      </c>
    </row>
    <row r="5" spans="1:7">
      <c r="A5" s="45" t="s">
        <v>93</v>
      </c>
      <c r="B5" s="46">
        <v>1</v>
      </c>
      <c r="C5" s="46"/>
      <c r="D5" s="30"/>
      <c r="E5" s="89"/>
      <c r="F5" s="30"/>
      <c r="G5" s="89"/>
    </row>
    <row r="6" spans="1:7">
      <c r="A6" s="45" t="s">
        <v>94</v>
      </c>
      <c r="B6" s="46"/>
      <c r="C6" s="46">
        <v>4</v>
      </c>
      <c r="D6" s="30"/>
      <c r="E6" s="89"/>
      <c r="F6" s="30"/>
      <c r="G6" s="89"/>
    </row>
    <row r="7" spans="1:7">
      <c r="A7" s="45" t="s">
        <v>95</v>
      </c>
      <c r="B7" s="46"/>
      <c r="C7" s="46">
        <v>4</v>
      </c>
      <c r="D7" s="30">
        <v>1</v>
      </c>
      <c r="E7" s="89"/>
      <c r="F7" s="30">
        <v>1</v>
      </c>
      <c r="G7" s="89">
        <v>1</v>
      </c>
    </row>
    <row r="8" spans="1:7">
      <c r="A8" s="45" t="s">
        <v>96</v>
      </c>
      <c r="B8" s="46">
        <v>4</v>
      </c>
      <c r="C8" s="46">
        <v>4</v>
      </c>
      <c r="D8" s="30">
        <v>2</v>
      </c>
      <c r="E8" s="89"/>
      <c r="F8" s="30">
        <f>1+Synthesis!$C$7</f>
        <v>1.7</v>
      </c>
      <c r="G8" s="89">
        <v>1</v>
      </c>
    </row>
    <row r="9" spans="1:7">
      <c r="A9" s="45" t="s">
        <v>92</v>
      </c>
      <c r="B9" s="46"/>
      <c r="C9" s="46">
        <v>3</v>
      </c>
      <c r="D9" s="30"/>
      <c r="E9" s="89"/>
      <c r="F9" s="30">
        <f>Synthesis!$C$7^2</f>
        <v>0.48999999999999994</v>
      </c>
      <c r="G9" s="89">
        <v>1</v>
      </c>
    </row>
    <row r="10" spans="1:7">
      <c r="A10" s="45" t="s">
        <v>95</v>
      </c>
      <c r="B10" s="46"/>
      <c r="C10" s="46">
        <v>3</v>
      </c>
      <c r="D10" s="30">
        <f>D7*Synthesis!C$4</f>
        <v>0.4</v>
      </c>
      <c r="E10" s="89"/>
      <c r="F10" s="30">
        <f>Synthesis!$C$4</f>
        <v>0.4</v>
      </c>
      <c r="G10" s="89">
        <f>Synthesis!$C$4</f>
        <v>0.4</v>
      </c>
    </row>
    <row r="11" spans="1:7">
      <c r="A11" s="45" t="s">
        <v>96</v>
      </c>
      <c r="B11" s="46">
        <v>12</v>
      </c>
      <c r="C11" s="46">
        <v>3</v>
      </c>
      <c r="D11" s="30">
        <f>D8*Synthesis!C$4</f>
        <v>0.8</v>
      </c>
      <c r="E11" s="89"/>
      <c r="F11" s="30">
        <f>(1+Synthesis!$C$7)*Synthesis!$C$4</f>
        <v>0.68</v>
      </c>
      <c r="G11" s="89">
        <f>Synthesis!$C$4</f>
        <v>0.4</v>
      </c>
    </row>
    <row r="12" spans="1:7">
      <c r="A12" s="45" t="s">
        <v>92</v>
      </c>
      <c r="B12" s="46"/>
      <c r="C12" s="46">
        <v>2</v>
      </c>
      <c r="D12" s="30"/>
      <c r="E12" s="89"/>
      <c r="F12" s="30">
        <f>(Synthesis!$C$7^2)*Synthesis!$C$4</f>
        <v>0.19599999999999998</v>
      </c>
      <c r="G12" s="89">
        <f>Synthesis!$C$4</f>
        <v>0.4</v>
      </c>
    </row>
    <row r="13" spans="1:7">
      <c r="A13" s="45" t="s">
        <v>95</v>
      </c>
      <c r="B13" s="46"/>
      <c r="C13" s="46">
        <v>2</v>
      </c>
      <c r="D13" s="30">
        <f>D10*Synthesis!C$4</f>
        <v>0.16000000000000003</v>
      </c>
      <c r="E13" s="89"/>
      <c r="F13" s="30">
        <f>Synthesis!$C$4^2</f>
        <v>0.16000000000000003</v>
      </c>
      <c r="G13" s="89"/>
    </row>
    <row r="14" spans="1:7">
      <c r="A14" s="45" t="s">
        <v>96</v>
      </c>
      <c r="B14" s="46">
        <v>24</v>
      </c>
      <c r="C14" s="46">
        <v>2</v>
      </c>
      <c r="D14" s="30">
        <f>D11*Synthesis!C$4</f>
        <v>0.32000000000000006</v>
      </c>
      <c r="E14" s="89"/>
      <c r="F14" s="30">
        <f>(Synthesis!$C$7+Synthesis!$C$7^2)*Synthesis!$C$4^2</f>
        <v>0.19040000000000004</v>
      </c>
      <c r="G14" s="89"/>
    </row>
    <row r="15" spans="1:7">
      <c r="A15" s="45" t="s">
        <v>92</v>
      </c>
      <c r="B15" s="46"/>
      <c r="C15" s="46">
        <v>1</v>
      </c>
      <c r="D15" s="30"/>
      <c r="E15" s="89"/>
      <c r="F15" s="30">
        <f>(Synthesis!$C$7^2)*Synthesis!$C$4^2</f>
        <v>7.8400000000000011E-2</v>
      </c>
      <c r="G15" s="89"/>
    </row>
    <row r="16" spans="1:7">
      <c r="A16" s="45" t="s">
        <v>116</v>
      </c>
      <c r="B16" s="46">
        <v>24</v>
      </c>
      <c r="C16" s="46"/>
      <c r="D16" s="30"/>
      <c r="E16" s="89"/>
      <c r="F16" s="30"/>
      <c r="G16" s="89"/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H26"/>
  <sheetViews>
    <sheetView zoomScale="135" workbookViewId="0">
      <selection activeCell="J6" sqref="J6"/>
    </sheetView>
  </sheetViews>
  <sheetFormatPr baseColWidth="10" defaultRowHeight="16"/>
  <cols>
    <col min="1" max="1" width="42.83203125" style="10" customWidth="1"/>
    <col min="2" max="16384" width="10.83203125" style="10"/>
  </cols>
  <sheetData>
    <row r="1" spans="1:8" ht="19">
      <c r="A1" s="50" t="s">
        <v>34</v>
      </c>
      <c r="B1" s="50"/>
      <c r="C1" s="50"/>
      <c r="D1" s="50"/>
      <c r="E1" s="50"/>
      <c r="F1" s="50"/>
    </row>
    <row r="3" spans="1:8">
      <c r="G3" s="48">
        <f>SUM(G5:G26)</f>
        <v>10.655744000000004</v>
      </c>
      <c r="H3" s="32">
        <f>SUM(H5:H26)</f>
        <v>7.7837939390651911</v>
      </c>
    </row>
    <row r="4" spans="1:8">
      <c r="B4" s="51" t="s">
        <v>99</v>
      </c>
      <c r="C4" s="51" t="s">
        <v>100</v>
      </c>
      <c r="D4" s="51" t="s">
        <v>103</v>
      </c>
      <c r="E4" s="51" t="s">
        <v>108</v>
      </c>
      <c r="F4" s="51" t="s">
        <v>109</v>
      </c>
      <c r="G4" s="49" t="str">
        <f>data!$H$3</f>
        <v>diff_id</v>
      </c>
      <c r="H4" s="49" t="str">
        <f>data!J$3</f>
        <v>reuse</v>
      </c>
    </row>
    <row r="5" spans="1:8">
      <c r="A5" s="52" t="s">
        <v>104</v>
      </c>
      <c r="B5" s="46" t="s">
        <v>101</v>
      </c>
      <c r="C5" s="46"/>
      <c r="D5" s="46"/>
      <c r="E5" s="46"/>
      <c r="F5" s="46"/>
      <c r="G5" s="30"/>
      <c r="H5" s="30"/>
    </row>
    <row r="6" spans="1:8">
      <c r="A6" s="52" t="s">
        <v>105</v>
      </c>
      <c r="B6" s="46"/>
      <c r="C6" s="46" t="s">
        <v>102</v>
      </c>
      <c r="D6" s="46"/>
      <c r="E6" s="46"/>
      <c r="F6" s="46"/>
      <c r="G6" s="30"/>
      <c r="H6" s="30"/>
    </row>
    <row r="7" spans="1:8">
      <c r="A7" s="53" t="s">
        <v>106</v>
      </c>
      <c r="B7" s="46"/>
      <c r="C7" s="46"/>
      <c r="D7" s="46"/>
      <c r="E7" s="46"/>
      <c r="F7" s="46"/>
      <c r="G7" s="30"/>
      <c r="H7" s="30"/>
    </row>
    <row r="8" spans="1:8">
      <c r="A8" s="53" t="s">
        <v>107</v>
      </c>
      <c r="B8" s="46" t="s">
        <v>101</v>
      </c>
      <c r="C8" s="46" t="s">
        <v>102</v>
      </c>
      <c r="D8" s="46"/>
      <c r="E8" s="46"/>
      <c r="F8" s="46"/>
      <c r="G8" s="30">
        <v>2</v>
      </c>
      <c r="H8" s="30">
        <v>2</v>
      </c>
    </row>
    <row r="9" spans="1:8">
      <c r="A9" s="54" t="s">
        <v>110</v>
      </c>
      <c r="B9" s="46"/>
      <c r="C9" s="46" t="str">
        <f>C8</f>
        <v>Hamburg</v>
      </c>
      <c r="D9" s="46">
        <v>6</v>
      </c>
      <c r="E9" s="46"/>
      <c r="F9" s="46"/>
      <c r="G9" s="30">
        <v>1</v>
      </c>
      <c r="H9" s="30">
        <f>Synthesis!$C$7</f>
        <v>0.7</v>
      </c>
    </row>
    <row r="10" spans="1:8">
      <c r="A10" s="54" t="s">
        <v>111</v>
      </c>
      <c r="B10" s="46"/>
      <c r="C10" s="46"/>
      <c r="D10" s="46"/>
      <c r="E10" s="46">
        <v>0</v>
      </c>
      <c r="F10" s="46"/>
      <c r="G10" s="30"/>
      <c r="H10" s="30"/>
    </row>
    <row r="11" spans="1:8">
      <c r="A11" s="96" t="s">
        <v>112</v>
      </c>
      <c r="B11" s="46"/>
      <c r="C11" s="46"/>
      <c r="D11" s="46">
        <v>6</v>
      </c>
      <c r="E11" s="46"/>
      <c r="F11" s="46">
        <v>0</v>
      </c>
      <c r="G11" s="30">
        <v>1</v>
      </c>
      <c r="H11" s="30">
        <f>Synthesis!$C$7</f>
        <v>0.7</v>
      </c>
    </row>
    <row r="12" spans="1:8">
      <c r="A12" s="54" t="s">
        <v>113</v>
      </c>
      <c r="B12" s="46" t="str">
        <f>B8</f>
        <v>Magdeburg</v>
      </c>
      <c r="C12" s="46" t="str">
        <f>C9</f>
        <v>Hamburg</v>
      </c>
      <c r="D12" s="46"/>
      <c r="E12" s="46"/>
      <c r="F12" s="46">
        <f>F11</f>
        <v>0</v>
      </c>
      <c r="G12" s="30">
        <v>3</v>
      </c>
      <c r="H12" s="30">
        <f>Synthesis!$C$7+1+Synthesis!$C$7^2</f>
        <v>2.19</v>
      </c>
    </row>
    <row r="13" spans="1:8">
      <c r="A13" s="96" t="s">
        <v>112</v>
      </c>
      <c r="B13" s="46"/>
      <c r="C13" s="46"/>
      <c r="D13" s="46">
        <v>6</v>
      </c>
      <c r="E13" s="46"/>
      <c r="F13" s="46">
        <v>1</v>
      </c>
      <c r="G13" s="30">
        <f>G11*Synthesis!$C$4</f>
        <v>0.4</v>
      </c>
      <c r="H13" s="30">
        <f>Synthesis!$C$7*Synthesis!$C$4</f>
        <v>0.27999999999999997</v>
      </c>
    </row>
    <row r="14" spans="1:8">
      <c r="A14" s="54" t="s">
        <v>113</v>
      </c>
      <c r="B14" s="46" t="str">
        <f>B12</f>
        <v>Magdeburg</v>
      </c>
      <c r="C14" s="46" t="str">
        <f>C12</f>
        <v>Hamburg</v>
      </c>
      <c r="D14" s="46"/>
      <c r="E14" s="46"/>
      <c r="F14" s="46">
        <v>1</v>
      </c>
      <c r="G14" s="30">
        <f>G12*Synthesis!$C$4</f>
        <v>1.2000000000000002</v>
      </c>
      <c r="H14" s="30">
        <f>Synthesis!$C4</f>
        <v>0.4</v>
      </c>
    </row>
    <row r="15" spans="1:8">
      <c r="A15" s="45" t="s">
        <v>114</v>
      </c>
      <c r="B15" s="46"/>
      <c r="C15" s="46"/>
      <c r="D15" s="46"/>
      <c r="E15" s="46">
        <v>1</v>
      </c>
      <c r="F15" s="46"/>
      <c r="G15" s="30">
        <v>1</v>
      </c>
      <c r="H15" s="30">
        <v>1</v>
      </c>
    </row>
    <row r="16" spans="1:8">
      <c r="A16" s="96" t="s">
        <v>112</v>
      </c>
      <c r="B16" s="46"/>
      <c r="C16" s="46"/>
      <c r="D16" s="46">
        <v>6</v>
      </c>
      <c r="E16" s="46"/>
      <c r="F16" s="46">
        <v>2</v>
      </c>
      <c r="G16" s="30">
        <f>G13*Synthesis!$C$4</f>
        <v>0.16000000000000003</v>
      </c>
      <c r="H16" s="30">
        <f>(Synthesis!$C$7^2)*Synthesis!$C$4^2</f>
        <v>7.8400000000000011E-2</v>
      </c>
    </row>
    <row r="17" spans="1:8">
      <c r="A17" s="54" t="s">
        <v>113</v>
      </c>
      <c r="B17" s="46" t="s">
        <v>101</v>
      </c>
      <c r="C17" s="46" t="s">
        <v>102</v>
      </c>
      <c r="D17" s="46"/>
      <c r="E17" s="46"/>
      <c r="F17" s="46">
        <v>2</v>
      </c>
      <c r="G17" s="30">
        <f>G14*Synthesis!$C$4</f>
        <v>0.48000000000000009</v>
      </c>
      <c r="H17" s="30">
        <f>(Synthesis!$C$7^3+Synthesis!$C$7^4+1)*Synthesis!$C$4^2</f>
        <v>0.25329600000000002</v>
      </c>
    </row>
    <row r="18" spans="1:8">
      <c r="A18" s="96" t="s">
        <v>112</v>
      </c>
      <c r="B18" s="56"/>
      <c r="C18" s="56"/>
      <c r="D18" s="56">
        <v>6</v>
      </c>
      <c r="E18" s="56"/>
      <c r="F18" s="56">
        <v>3</v>
      </c>
      <c r="G18" s="30">
        <f>G16*Synthesis!$C$4</f>
        <v>6.4000000000000015E-2</v>
      </c>
      <c r="H18" s="30">
        <f>(Synthesis!$C$7^3)*Synthesis!$C$4^3</f>
        <v>2.1951999999999999E-2</v>
      </c>
    </row>
    <row r="19" spans="1:8">
      <c r="A19" s="55" t="s">
        <v>113</v>
      </c>
      <c r="B19" s="56" t="s">
        <v>101</v>
      </c>
      <c r="C19" s="56" t="s">
        <v>102</v>
      </c>
      <c r="D19" s="56"/>
      <c r="E19" s="56"/>
      <c r="F19" s="56">
        <f>F17+1</f>
        <v>3</v>
      </c>
      <c r="G19" s="30">
        <f>G17*Synthesis!$C$4</f>
        <v>0.19200000000000006</v>
      </c>
      <c r="H19" s="30">
        <f>(Synthesis!$C$7^4+Synthesis!$C$7^5+1)*Synthesis!$C$4^3</f>
        <v>9.0122880000000016E-2</v>
      </c>
    </row>
    <row r="20" spans="1:8">
      <c r="A20" s="96" t="s">
        <v>112</v>
      </c>
      <c r="B20" s="56"/>
      <c r="C20" s="56"/>
      <c r="D20" s="56">
        <v>6</v>
      </c>
      <c r="E20" s="56"/>
      <c r="F20" s="56">
        <v>4</v>
      </c>
      <c r="G20" s="30">
        <f>G18*Synthesis!$C$4</f>
        <v>2.5600000000000008E-2</v>
      </c>
      <c r="H20" s="30">
        <f>(Synthesis!$C$7^4)*Synthesis!$C$4^4</f>
        <v>6.1465600000000006E-3</v>
      </c>
    </row>
    <row r="21" spans="1:8">
      <c r="A21" s="55" t="s">
        <v>113</v>
      </c>
      <c r="B21" s="56" t="s">
        <v>101</v>
      </c>
      <c r="C21" s="56" t="s">
        <v>102</v>
      </c>
      <c r="D21" s="56"/>
      <c r="E21" s="56"/>
      <c r="F21" s="56">
        <v>4</v>
      </c>
      <c r="G21" s="30">
        <f>G19*Synthesis!$C$4</f>
        <v>7.6800000000000035E-2</v>
      </c>
      <c r="H21" s="30">
        <f>(Synthesis!$C$7^5+Synthesis!$C$7^6+1)*Synthesis!$C$4^4</f>
        <v>3.2914406400000012E-2</v>
      </c>
    </row>
    <row r="22" spans="1:8">
      <c r="A22" s="96" t="s">
        <v>112</v>
      </c>
      <c r="B22" s="56"/>
      <c r="C22" s="56"/>
      <c r="D22" s="56">
        <v>6</v>
      </c>
      <c r="E22" s="56"/>
      <c r="F22" s="56">
        <v>5</v>
      </c>
      <c r="G22" s="30">
        <f>G20*Synthesis!$C$4</f>
        <v>1.0240000000000004E-2</v>
      </c>
      <c r="H22" s="30">
        <f>(Synthesis!$C$7^5)*Synthesis!$C$4^5</f>
        <v>1.7210368000000005E-3</v>
      </c>
    </row>
    <row r="23" spans="1:8">
      <c r="A23" s="55" t="s">
        <v>113</v>
      </c>
      <c r="B23" s="56" t="s">
        <v>101</v>
      </c>
      <c r="C23" s="56" t="s">
        <v>102</v>
      </c>
      <c r="D23" s="56"/>
      <c r="E23" s="56"/>
      <c r="F23" s="56">
        <v>5</v>
      </c>
      <c r="G23" s="30">
        <f>G21*Synthesis!$C$4</f>
        <v>3.0720000000000015E-2</v>
      </c>
      <c r="H23" s="30">
        <f>(Synthesis!$C$7^6+Synthesis!$C$7^7+1)*Synthesis!$C$4^5</f>
        <v>1.2288033792000006E-2</v>
      </c>
    </row>
    <row r="24" spans="1:8">
      <c r="A24" s="96" t="s">
        <v>112</v>
      </c>
      <c r="B24" s="56"/>
      <c r="C24" s="56"/>
      <c r="D24" s="56">
        <v>6</v>
      </c>
      <c r="E24" s="56"/>
      <c r="F24" s="56">
        <v>6</v>
      </c>
      <c r="G24" s="30">
        <f>G22*Synthesis!$C$4</f>
        <v>4.0960000000000015E-3</v>
      </c>
      <c r="H24" s="30">
        <f>(Synthesis!$C$7^6)*Synthesis!$C$4^6</f>
        <v>4.818903040000001E-4</v>
      </c>
    </row>
    <row r="25" spans="1:8">
      <c r="A25" s="55" t="s">
        <v>113</v>
      </c>
      <c r="B25" s="56" t="s">
        <v>101</v>
      </c>
      <c r="C25" s="56" t="s">
        <v>102</v>
      </c>
      <c r="D25" s="56"/>
      <c r="E25" s="56"/>
      <c r="F25" s="56">
        <v>6</v>
      </c>
      <c r="G25" s="30">
        <f>G23*Synthesis!$C$4</f>
        <v>1.2288000000000007E-2</v>
      </c>
      <c r="H25" s="30">
        <f>(Synthesis!$C$7^7+Synthesis!$C$7^8)*Synthesis!$C$7^6</f>
        <v>1.6471131769189983E-2</v>
      </c>
    </row>
    <row r="26" spans="1:8">
      <c r="A26" s="45" t="s">
        <v>115</v>
      </c>
      <c r="B26" s="46"/>
      <c r="C26" s="46"/>
      <c r="D26" s="46"/>
      <c r="E26" s="46">
        <v>1</v>
      </c>
      <c r="F26" s="46"/>
      <c r="G26" s="58"/>
      <c r="H26" s="58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F17" sqref="F17"/>
    </sheetView>
  </sheetViews>
  <sheetFormatPr baseColWidth="10" defaultRowHeight="16"/>
  <sheetData>
    <row r="1" spans="1:1">
      <c r="A1" t="s">
        <v>305</v>
      </c>
    </row>
    <row r="3" spans="1:1">
      <c r="A3" s="19" t="s">
        <v>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I27"/>
  <sheetViews>
    <sheetView workbookViewId="0">
      <selection activeCell="F17" sqref="F17"/>
    </sheetView>
  </sheetViews>
  <sheetFormatPr baseColWidth="10" defaultRowHeight="16"/>
  <cols>
    <col min="1" max="1" width="72" style="10" customWidth="1"/>
    <col min="2" max="16384" width="10.83203125" style="10"/>
  </cols>
  <sheetData>
    <row r="1" spans="1:9" ht="19">
      <c r="A1" s="44" t="s">
        <v>307</v>
      </c>
      <c r="B1" s="44"/>
      <c r="C1" s="44"/>
      <c r="D1" s="44"/>
      <c r="E1" s="44"/>
      <c r="F1" s="44"/>
    </row>
    <row r="2" spans="1:9" ht="19">
      <c r="A2" s="60"/>
      <c r="B2" s="60"/>
      <c r="C2" s="60"/>
      <c r="D2" s="60"/>
      <c r="E2" s="60"/>
      <c r="F2" s="60"/>
    </row>
    <row r="3" spans="1:9">
      <c r="G3" s="48">
        <f>SUM(G5:G27)</f>
        <v>15.432000000000002</v>
      </c>
      <c r="H3" s="32" t="e">
        <f>G3+SUM(H5:H203)*Synthesis!#REF!</f>
        <v>#REF!</v>
      </c>
      <c r="I3" s="32">
        <f>SUM(I5:I27)</f>
        <v>9.3121798400000007</v>
      </c>
    </row>
    <row r="4" spans="1:9">
      <c r="B4" s="51" t="s">
        <v>117</v>
      </c>
      <c r="C4" s="51" t="s">
        <v>315</v>
      </c>
      <c r="D4" s="51" t="s">
        <v>316</v>
      </c>
      <c r="E4" s="51" t="s">
        <v>317</v>
      </c>
      <c r="F4" s="51" t="s">
        <v>322</v>
      </c>
      <c r="G4" s="49" t="str">
        <f>data!$H$3</f>
        <v>diff_id</v>
      </c>
      <c r="H4" s="49" t="str">
        <f>data!I$3</f>
        <v>arrays</v>
      </c>
      <c r="I4" s="49" t="str">
        <f>data!J$3</f>
        <v>reuse</v>
      </c>
    </row>
    <row r="5" spans="1:9">
      <c r="A5" s="61" t="s">
        <v>308</v>
      </c>
      <c r="B5" s="46" t="s">
        <v>314</v>
      </c>
      <c r="C5" s="46"/>
      <c r="D5" s="46"/>
      <c r="E5" s="46"/>
      <c r="F5" s="46"/>
      <c r="G5" s="58"/>
      <c r="H5" s="91"/>
      <c r="I5" s="58"/>
    </row>
    <row r="6" spans="1:9">
      <c r="A6" s="97" t="s">
        <v>309</v>
      </c>
      <c r="B6" s="46" t="s">
        <v>314</v>
      </c>
      <c r="C6" s="46">
        <v>0</v>
      </c>
      <c r="D6" s="46"/>
      <c r="E6" s="46"/>
      <c r="F6" s="46"/>
      <c r="G6" s="58">
        <v>1</v>
      </c>
      <c r="H6" s="91"/>
      <c r="I6" s="58">
        <v>1</v>
      </c>
    </row>
    <row r="7" spans="1:9">
      <c r="A7" s="58" t="s">
        <v>489</v>
      </c>
      <c r="B7" s="46"/>
      <c r="C7" s="46"/>
      <c r="D7" s="46">
        <v>2</v>
      </c>
      <c r="E7" s="46"/>
      <c r="F7" s="46"/>
      <c r="G7" s="58">
        <v>1</v>
      </c>
      <c r="H7" s="91"/>
      <c r="I7" s="58">
        <v>1</v>
      </c>
    </row>
    <row r="8" spans="1:9">
      <c r="A8" s="61" t="s">
        <v>310</v>
      </c>
      <c r="B8" s="46" t="s">
        <v>314</v>
      </c>
      <c r="C8" s="46"/>
      <c r="D8" s="46">
        <v>2</v>
      </c>
      <c r="E8" s="46"/>
      <c r="F8" s="46"/>
      <c r="G8" s="58">
        <v>2</v>
      </c>
      <c r="H8" s="91">
        <v>2</v>
      </c>
      <c r="I8" s="58">
        <f>Synthesis!$C$7+1</f>
        <v>1.7</v>
      </c>
    </row>
    <row r="9" spans="1:9">
      <c r="A9" s="58" t="s">
        <v>489</v>
      </c>
      <c r="B9" s="46"/>
      <c r="C9" s="46">
        <v>0</v>
      </c>
      <c r="D9" s="46">
        <v>1</v>
      </c>
      <c r="E9" s="46"/>
      <c r="F9" s="46"/>
      <c r="G9" s="58">
        <f>G7*Synthesis!$C$4</f>
        <v>0.4</v>
      </c>
      <c r="H9" s="91"/>
      <c r="I9" s="58">
        <f>(1+Synthesis!$C$7)*Synthesis!$C$4</f>
        <v>0.68</v>
      </c>
    </row>
    <row r="10" spans="1:9">
      <c r="A10" s="61" t="s">
        <v>310</v>
      </c>
      <c r="B10" s="46" t="s">
        <v>314</v>
      </c>
      <c r="C10" s="46"/>
      <c r="D10" s="46">
        <v>1</v>
      </c>
      <c r="E10" s="46"/>
      <c r="F10" s="46"/>
      <c r="G10" s="58">
        <f>G8*Synthesis!$C$4</f>
        <v>0.8</v>
      </c>
      <c r="H10" s="91">
        <f>H8*Synthesis!$C$4</f>
        <v>0.8</v>
      </c>
      <c r="I10" s="58">
        <f>(Synthesis!$C$7^2+1)*Synthesis!$C$4</f>
        <v>0.59599999999999997</v>
      </c>
    </row>
    <row r="11" spans="1:9">
      <c r="A11" s="46" t="s">
        <v>311</v>
      </c>
      <c r="B11" s="46" t="s">
        <v>314</v>
      </c>
      <c r="C11" s="46"/>
      <c r="D11" s="46">
        <v>1</v>
      </c>
      <c r="E11" s="46">
        <v>5</v>
      </c>
      <c r="F11" s="46"/>
      <c r="G11" s="58">
        <v>2</v>
      </c>
      <c r="H11" s="91">
        <v>1</v>
      </c>
      <c r="I11" s="58">
        <f>(Synthesis!$C$7^3+Synthesis!$C$7^2)*Synthesis!$C$4</f>
        <v>0.33319999999999994</v>
      </c>
    </row>
    <row r="12" spans="1:9">
      <c r="A12" s="61" t="s">
        <v>312</v>
      </c>
      <c r="B12" s="46" t="s">
        <v>314</v>
      </c>
      <c r="C12" s="46"/>
      <c r="D12" s="46">
        <v>1</v>
      </c>
      <c r="E12" s="46"/>
      <c r="F12" s="46"/>
      <c r="G12" s="58">
        <v>2</v>
      </c>
      <c r="H12" s="91">
        <v>2</v>
      </c>
      <c r="I12" s="58">
        <f>(Synthesis!$C$7^4+Synthesis!$C$7^3)</f>
        <v>0.58309999999999984</v>
      </c>
    </row>
    <row r="13" spans="1:9">
      <c r="A13" s="46" t="s">
        <v>313</v>
      </c>
      <c r="B13" s="46" t="s">
        <v>318</v>
      </c>
      <c r="C13" s="46"/>
      <c r="D13" s="46">
        <v>1</v>
      </c>
      <c r="E13" s="46">
        <v>5</v>
      </c>
      <c r="F13" s="46"/>
      <c r="G13" s="58">
        <v>1</v>
      </c>
      <c r="H13" s="91">
        <v>1</v>
      </c>
      <c r="I13" s="58">
        <f>Synthesis!$C$7^3+1</f>
        <v>1.343</v>
      </c>
    </row>
    <row r="14" spans="1:9">
      <c r="A14" s="98" t="s">
        <v>309</v>
      </c>
      <c r="B14" s="46" t="str">
        <f>B13</f>
        <v>{5, 14, 7}</v>
      </c>
      <c r="C14" s="46">
        <v>1</v>
      </c>
      <c r="D14" s="46"/>
      <c r="E14" s="46"/>
      <c r="F14" s="46"/>
      <c r="G14" s="58">
        <v>1</v>
      </c>
      <c r="H14" s="91"/>
      <c r="I14" s="58">
        <f>(1)*Synthesis!$C$4</f>
        <v>0.4</v>
      </c>
    </row>
    <row r="15" spans="1:9">
      <c r="A15" s="58" t="s">
        <v>489</v>
      </c>
      <c r="B15" s="46" t="str">
        <f>B14</f>
        <v>{5, 14, 7}</v>
      </c>
      <c r="C15" s="46"/>
      <c r="D15" s="46">
        <v>2</v>
      </c>
      <c r="E15" s="46"/>
      <c r="F15" s="46"/>
      <c r="G15" s="58">
        <f>G9*Synthesis!$C$4</f>
        <v>0.16000000000000003</v>
      </c>
      <c r="H15" s="91"/>
      <c r="I15" s="58">
        <f>(Synthesis!$C$7)*Synthesis!$C$4^2</f>
        <v>0.11200000000000002</v>
      </c>
    </row>
    <row r="16" spans="1:9">
      <c r="A16" s="61" t="s">
        <v>310</v>
      </c>
      <c r="B16" s="46" t="s">
        <v>318</v>
      </c>
      <c r="C16" s="46"/>
      <c r="D16" s="46">
        <v>2</v>
      </c>
      <c r="E16" s="46"/>
      <c r="F16" s="46"/>
      <c r="G16" s="58">
        <f>G10*Synthesis!$C$4</f>
        <v>0.32000000000000006</v>
      </c>
      <c r="H16" s="91">
        <f>H10*Synthesis!$C$4</f>
        <v>0.32000000000000006</v>
      </c>
      <c r="I16" s="58">
        <f>(Synthesis!$C$7+1)*Synthesis!$C$4^2</f>
        <v>0.27200000000000002</v>
      </c>
    </row>
    <row r="17" spans="1:9">
      <c r="A17" s="46" t="s">
        <v>311</v>
      </c>
      <c r="B17" s="46" t="s">
        <v>318</v>
      </c>
      <c r="C17" s="46"/>
      <c r="D17" s="46">
        <v>2</v>
      </c>
      <c r="E17" s="46">
        <v>7</v>
      </c>
      <c r="F17" s="46"/>
      <c r="G17" s="58">
        <f>G11*Synthesis!$C$4</f>
        <v>0.8</v>
      </c>
      <c r="H17" s="91">
        <f>H11*Synthesis!$C$4</f>
        <v>0.4</v>
      </c>
      <c r="I17" s="58">
        <f>(Synthesis!$C$7^2+1)*Synthesis!$C$4^2</f>
        <v>0.23840000000000006</v>
      </c>
    </row>
    <row r="18" spans="1:9">
      <c r="A18" s="61" t="s">
        <v>312</v>
      </c>
      <c r="B18" s="46" t="s">
        <v>318</v>
      </c>
      <c r="C18" s="46"/>
      <c r="D18" s="46">
        <v>2</v>
      </c>
      <c r="E18" s="46"/>
      <c r="F18" s="46"/>
      <c r="G18" s="58">
        <f>G12*Synthesis!$C$4</f>
        <v>0.8</v>
      </c>
      <c r="H18" s="91">
        <f>H12*Synthesis!$C$4</f>
        <v>0.8</v>
      </c>
      <c r="I18" s="58">
        <f>(Synthesis!$C$7^4+Synthesis!$C$7^2)*Synthesis!$C$4^2</f>
        <v>0.116816</v>
      </c>
    </row>
    <row r="19" spans="1:9">
      <c r="A19" s="46" t="s">
        <v>313</v>
      </c>
      <c r="B19" s="46" t="s">
        <v>319</v>
      </c>
      <c r="C19" s="46"/>
      <c r="D19" s="46">
        <v>2</v>
      </c>
      <c r="E19" s="46">
        <v>7</v>
      </c>
      <c r="F19" s="46"/>
      <c r="G19" s="58">
        <f>G13*Synthesis!$C$4</f>
        <v>0.4</v>
      </c>
      <c r="H19" s="91"/>
      <c r="I19" s="58">
        <f>(1)*Synthesis!$C$4^2</f>
        <v>0.16000000000000003</v>
      </c>
    </row>
    <row r="20" spans="1:9">
      <c r="A20" s="58" t="s">
        <v>489</v>
      </c>
      <c r="B20" s="46" t="str">
        <f>B19</f>
        <v>{5, 7, 14}</v>
      </c>
      <c r="C20" s="46"/>
      <c r="D20" s="46">
        <v>1</v>
      </c>
      <c r="E20" s="46"/>
      <c r="F20" s="46"/>
      <c r="G20" s="58">
        <f>G15*Synthesis!$C$4</f>
        <v>6.4000000000000015E-2</v>
      </c>
      <c r="H20" s="91"/>
      <c r="I20" s="58">
        <f>(1)*Synthesis!$C$4^3</f>
        <v>6.4000000000000015E-2</v>
      </c>
    </row>
    <row r="21" spans="1:9">
      <c r="A21" s="61" t="s">
        <v>310</v>
      </c>
      <c r="B21" s="46" t="str">
        <f>B20</f>
        <v>{5, 7, 14}</v>
      </c>
      <c r="C21" s="46"/>
      <c r="D21" s="46">
        <v>1</v>
      </c>
      <c r="E21" s="46"/>
      <c r="F21" s="46"/>
      <c r="G21" s="58">
        <f>G16*Synthesis!$C$4</f>
        <v>0.12800000000000003</v>
      </c>
      <c r="H21" s="91">
        <f>H16*Synthesis!$C$4</f>
        <v>0.12800000000000003</v>
      </c>
      <c r="I21" s="58">
        <f>(Synthesis!$C$7+1)*Synthesis!$C$4^3</f>
        <v>0.10880000000000002</v>
      </c>
    </row>
    <row r="22" spans="1:9">
      <c r="A22" s="62" t="s">
        <v>320</v>
      </c>
      <c r="B22" s="46" t="s">
        <v>319</v>
      </c>
      <c r="C22" s="46"/>
      <c r="D22" s="46"/>
      <c r="E22" s="46"/>
      <c r="F22" s="46">
        <v>0</v>
      </c>
      <c r="G22" s="58">
        <v>1</v>
      </c>
      <c r="H22" s="91"/>
      <c r="I22" s="58">
        <f>(Synthesis!$C$7^2)</f>
        <v>0.48999999999999994</v>
      </c>
    </row>
    <row r="23" spans="1:9">
      <c r="A23" s="46" t="s">
        <v>321</v>
      </c>
      <c r="B23" s="46" t="s">
        <v>319</v>
      </c>
      <c r="C23" s="46"/>
      <c r="D23" s="46"/>
      <c r="E23" s="46"/>
      <c r="F23" s="46">
        <v>0</v>
      </c>
      <c r="G23" s="58"/>
      <c r="H23" s="91">
        <v>1</v>
      </c>
      <c r="I23" s="58"/>
    </row>
    <row r="24" spans="1:9">
      <c r="A24" s="62" t="s">
        <v>320</v>
      </c>
      <c r="B24" s="46" t="s">
        <v>319</v>
      </c>
      <c r="C24" s="46"/>
      <c r="D24" s="46"/>
      <c r="E24" s="46"/>
      <c r="F24" s="46">
        <v>1</v>
      </c>
      <c r="G24" s="58">
        <f>G22*Synthesis!$C$4</f>
        <v>0.4</v>
      </c>
      <c r="H24" s="91"/>
      <c r="I24" s="58">
        <f>(Synthesis!$C$7^4)*Synthesis!$C$4</f>
        <v>9.6039999999999973E-2</v>
      </c>
    </row>
    <row r="25" spans="1:9">
      <c r="A25" s="46" t="s">
        <v>321</v>
      </c>
      <c r="B25" s="46" t="s">
        <v>319</v>
      </c>
      <c r="C25" s="46"/>
      <c r="D25" s="46"/>
      <c r="E25" s="46"/>
      <c r="F25" s="46">
        <v>1</v>
      </c>
      <c r="G25" s="58"/>
      <c r="H25" s="91">
        <f>H23*Synthesis!$C$4</f>
        <v>0.4</v>
      </c>
      <c r="I25" s="58"/>
    </row>
    <row r="26" spans="1:9">
      <c r="A26" s="62" t="s">
        <v>320</v>
      </c>
      <c r="B26" s="46" t="s">
        <v>319</v>
      </c>
      <c r="C26" s="46"/>
      <c r="D26" s="46"/>
      <c r="E26" s="46"/>
      <c r="F26" s="46">
        <v>2</v>
      </c>
      <c r="G26" s="58">
        <f>G24*Synthesis!$C$4</f>
        <v>0.16000000000000003</v>
      </c>
      <c r="H26" s="91"/>
      <c r="I26" s="58">
        <f>(Synthesis!$C$7^6)*Synthesis!$C$4^2</f>
        <v>1.8823839999999994E-2</v>
      </c>
    </row>
    <row r="27" spans="1:9">
      <c r="A27" s="46" t="s">
        <v>321</v>
      </c>
      <c r="B27" s="46" t="s">
        <v>319</v>
      </c>
      <c r="C27" s="46"/>
      <c r="D27" s="46"/>
      <c r="E27" s="46"/>
      <c r="F27" s="46">
        <v>2</v>
      </c>
      <c r="G27" s="58"/>
      <c r="H27" s="91">
        <f>H25*Synthesis!$C$4</f>
        <v>0.16000000000000003</v>
      </c>
      <c r="I27" s="58"/>
    </row>
  </sheetData>
  <mergeCells count="1">
    <mergeCell ref="A1:F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I24"/>
  <sheetViews>
    <sheetView zoomScale="125" workbookViewId="0">
      <selection activeCell="F17" sqref="F17"/>
    </sheetView>
  </sheetViews>
  <sheetFormatPr baseColWidth="10" defaultRowHeight="16"/>
  <cols>
    <col min="1" max="1" width="37.6640625" style="10" customWidth="1"/>
    <col min="2" max="2" width="25.83203125" style="10" customWidth="1"/>
    <col min="3" max="16384" width="10.83203125" style="10"/>
  </cols>
  <sheetData>
    <row r="1" spans="1:9" ht="19">
      <c r="A1" s="50" t="s">
        <v>40</v>
      </c>
      <c r="B1" s="50"/>
      <c r="C1" s="50"/>
      <c r="D1" s="50"/>
      <c r="E1" s="50"/>
      <c r="F1" s="50"/>
    </row>
    <row r="3" spans="1:9">
      <c r="G3" s="48">
        <f>SUM(G5:G24)</f>
        <v>18.12</v>
      </c>
      <c r="H3" s="32" t="e">
        <f>G3+SUM(H5:H200)*Synthesis!#REF!</f>
        <v>#REF!</v>
      </c>
      <c r="I3" s="32">
        <f>SUM(I5:I24)</f>
        <v>11.704923999999998</v>
      </c>
    </row>
    <row r="4" spans="1:9">
      <c r="B4" s="51" t="s">
        <v>117</v>
      </c>
      <c r="C4" s="51" t="s">
        <v>121</v>
      </c>
      <c r="D4" s="51" t="s">
        <v>123</v>
      </c>
      <c r="E4" s="51" t="s">
        <v>125</v>
      </c>
      <c r="F4" s="51" t="s">
        <v>128</v>
      </c>
      <c r="G4" s="51" t="str">
        <f>data!$H$3</f>
        <v>diff_id</v>
      </c>
      <c r="H4" s="51" t="str">
        <f>data!I$3</f>
        <v>arrays</v>
      </c>
      <c r="I4" s="51" t="str">
        <f>data!J$3</f>
        <v>reuse</v>
      </c>
    </row>
    <row r="5" spans="1:9">
      <c r="A5" s="68" t="s">
        <v>119</v>
      </c>
      <c r="B5" s="45" t="s">
        <v>120</v>
      </c>
      <c r="C5" s="46"/>
      <c r="D5" s="46"/>
      <c r="E5" s="46"/>
      <c r="F5" s="46"/>
      <c r="G5" s="30"/>
      <c r="H5" s="90"/>
      <c r="I5" s="30"/>
    </row>
    <row r="6" spans="1:9">
      <c r="A6" s="68" t="s">
        <v>118</v>
      </c>
      <c r="B6" s="46"/>
      <c r="C6" s="46">
        <v>5</v>
      </c>
      <c r="D6" s="46"/>
      <c r="E6" s="46"/>
      <c r="F6" s="46"/>
      <c r="G6" s="30"/>
      <c r="H6" s="90"/>
      <c r="I6" s="30"/>
    </row>
    <row r="7" spans="1:9">
      <c r="A7" s="68" t="s">
        <v>122</v>
      </c>
      <c r="B7" s="46"/>
      <c r="C7" s="46"/>
      <c r="D7" s="46">
        <v>0</v>
      </c>
      <c r="E7" s="46"/>
      <c r="F7" s="46"/>
      <c r="G7" s="30"/>
      <c r="H7" s="90"/>
      <c r="I7" s="30"/>
    </row>
    <row r="8" spans="1:9">
      <c r="A8" s="68" t="s">
        <v>124</v>
      </c>
      <c r="B8" s="45" t="s">
        <v>120</v>
      </c>
      <c r="C8" s="46"/>
      <c r="D8" s="46"/>
      <c r="E8" s="46">
        <v>6</v>
      </c>
      <c r="F8" s="46"/>
      <c r="G8" s="30">
        <v>1</v>
      </c>
      <c r="H8" s="90"/>
      <c r="I8" s="30">
        <v>1</v>
      </c>
    </row>
    <row r="9" spans="1:9">
      <c r="A9" s="75" t="s">
        <v>126</v>
      </c>
      <c r="B9" s="46"/>
      <c r="C9" s="46"/>
      <c r="D9" s="46">
        <v>0</v>
      </c>
      <c r="E9" s="46">
        <v>6</v>
      </c>
      <c r="F9" s="46"/>
      <c r="G9" s="30">
        <v>2</v>
      </c>
      <c r="H9" s="90"/>
      <c r="I9" s="30">
        <v>2</v>
      </c>
    </row>
    <row r="10" spans="1:9">
      <c r="A10" s="68" t="s">
        <v>127</v>
      </c>
      <c r="B10" s="46"/>
      <c r="C10" s="46"/>
      <c r="D10" s="46">
        <v>0</v>
      </c>
      <c r="E10" s="46">
        <v>6</v>
      </c>
      <c r="F10" s="46">
        <v>3</v>
      </c>
      <c r="G10" s="30">
        <v>2</v>
      </c>
      <c r="H10" s="90"/>
      <c r="I10" s="30">
        <f>Synthesis!$C$7+Synthesis!$C$7</f>
        <v>1.4</v>
      </c>
    </row>
    <row r="11" spans="1:9">
      <c r="A11" s="68" t="s">
        <v>129</v>
      </c>
      <c r="B11" s="45" t="s">
        <v>120</v>
      </c>
      <c r="C11" s="46">
        <v>5</v>
      </c>
      <c r="D11" s="46"/>
      <c r="E11" s="46"/>
      <c r="F11" s="46">
        <v>3</v>
      </c>
      <c r="G11" s="30">
        <v>3</v>
      </c>
      <c r="H11" s="90">
        <v>1</v>
      </c>
      <c r="I11" s="30">
        <f>Synthesis!$C$7+1+1</f>
        <v>2.7</v>
      </c>
    </row>
    <row r="12" spans="1:9">
      <c r="A12" s="68" t="s">
        <v>130</v>
      </c>
      <c r="B12" s="46"/>
      <c r="C12" s="46"/>
      <c r="D12" s="46"/>
      <c r="E12" s="46">
        <v>2</v>
      </c>
      <c r="F12" s="46">
        <v>3</v>
      </c>
      <c r="G12" s="30">
        <v>1</v>
      </c>
      <c r="H12" s="90"/>
      <c r="I12" s="30">
        <f>Synthesis!$C$7</f>
        <v>0.7</v>
      </c>
    </row>
    <row r="13" spans="1:9">
      <c r="A13" s="75" t="s">
        <v>126</v>
      </c>
      <c r="B13" s="46"/>
      <c r="C13" s="46"/>
      <c r="D13" s="46">
        <v>0</v>
      </c>
      <c r="E13" s="46">
        <v>2</v>
      </c>
      <c r="F13" s="46"/>
      <c r="G13" s="30">
        <f>G9*Synthesis!$C$4</f>
        <v>0.8</v>
      </c>
      <c r="H13" s="90"/>
      <c r="I13" s="30">
        <f>(Synthesis!$C$7^2+Synthesis!$C$7)*Synthesis!$C$4</f>
        <v>0.47599999999999998</v>
      </c>
    </row>
    <row r="14" spans="1:9">
      <c r="A14" s="68" t="s">
        <v>127</v>
      </c>
      <c r="B14" s="46"/>
      <c r="C14" s="46"/>
      <c r="D14" s="46">
        <v>0</v>
      </c>
      <c r="E14" s="46">
        <v>2</v>
      </c>
      <c r="F14" s="46">
        <v>1</v>
      </c>
      <c r="G14" s="30">
        <f>G10*Synthesis!$C$4</f>
        <v>0.8</v>
      </c>
      <c r="H14" s="90"/>
      <c r="I14" s="30">
        <f>(Synthesis!$C$7^3+Synthesis!$C$7)*Synthesis!$C$4</f>
        <v>0.41720000000000002</v>
      </c>
    </row>
    <row r="15" spans="1:9">
      <c r="A15" s="68" t="s">
        <v>129</v>
      </c>
      <c r="B15" s="45" t="s">
        <v>120</v>
      </c>
      <c r="C15" s="46">
        <v>5</v>
      </c>
      <c r="D15" s="46"/>
      <c r="E15" s="46"/>
      <c r="F15" s="46">
        <v>1</v>
      </c>
      <c r="G15" s="30">
        <f>G11*Synthesis!$C$4</f>
        <v>1.2000000000000002</v>
      </c>
      <c r="H15" s="90">
        <f>H11*Synthesis!$C$4</f>
        <v>0.4</v>
      </c>
      <c r="I15" s="30">
        <f>(Synthesis!$C$7^2+Synthesis!$C$7+1)*Synthesis!$C$4</f>
        <v>0.876</v>
      </c>
    </row>
    <row r="16" spans="1:9">
      <c r="A16" s="68" t="s">
        <v>131</v>
      </c>
      <c r="B16" s="45" t="s">
        <v>120</v>
      </c>
      <c r="C16" s="46">
        <v>5</v>
      </c>
      <c r="D16" s="46"/>
      <c r="E16" s="46"/>
      <c r="F16" s="46">
        <v>1</v>
      </c>
      <c r="G16" s="30">
        <v>3</v>
      </c>
      <c r="H16" s="90">
        <v>1</v>
      </c>
      <c r="I16" s="30">
        <f>(Synthesis!$C$7^3+Synthesis!$C$7^2+Synthesis!$C$7)*Synthesis!$C$4</f>
        <v>0.61319999999999997</v>
      </c>
    </row>
    <row r="17" spans="1:9">
      <c r="A17" s="68" t="s">
        <v>132</v>
      </c>
      <c r="B17" s="46"/>
      <c r="C17" s="46"/>
      <c r="D17" s="46">
        <v>2</v>
      </c>
      <c r="E17" s="46"/>
      <c r="F17" s="46">
        <v>1</v>
      </c>
      <c r="G17" s="30">
        <v>1</v>
      </c>
      <c r="H17" s="90"/>
      <c r="I17" s="30">
        <f>(Synthesis!$C$7^2)</f>
        <v>0.48999999999999994</v>
      </c>
    </row>
    <row r="18" spans="1:9">
      <c r="A18" s="75" t="s">
        <v>126</v>
      </c>
      <c r="B18" s="46"/>
      <c r="C18" s="46"/>
      <c r="D18" s="46">
        <v>2</v>
      </c>
      <c r="E18" s="46">
        <v>2</v>
      </c>
      <c r="F18" s="46"/>
      <c r="G18" s="30">
        <f>G13*Synthesis!$C$4</f>
        <v>0.32000000000000006</v>
      </c>
      <c r="H18" s="90"/>
      <c r="I18" s="30">
        <f>(1)*Synthesis!$C$4^2</f>
        <v>0.16000000000000003</v>
      </c>
    </row>
    <row r="19" spans="1:9">
      <c r="A19" s="68" t="s">
        <v>127</v>
      </c>
      <c r="B19" s="46"/>
      <c r="C19" s="46"/>
      <c r="D19" s="46">
        <v>2</v>
      </c>
      <c r="E19" s="46">
        <v>2</v>
      </c>
      <c r="F19" s="46">
        <v>2</v>
      </c>
      <c r="G19" s="30">
        <f>G14*Synthesis!$C$4</f>
        <v>0.32000000000000006</v>
      </c>
      <c r="H19" s="90"/>
      <c r="I19" s="30">
        <f>(Synthesis!$C$7+1)*Synthesis!$C$4^2</f>
        <v>0.27200000000000002</v>
      </c>
    </row>
    <row r="20" spans="1:9">
      <c r="A20" s="68" t="s">
        <v>129</v>
      </c>
      <c r="B20" s="45" t="s">
        <v>120</v>
      </c>
      <c r="C20" s="46">
        <v>5</v>
      </c>
      <c r="D20" s="46"/>
      <c r="E20" s="46"/>
      <c r="F20" s="46">
        <v>2</v>
      </c>
      <c r="G20" s="30">
        <f>G15*Synthesis!$C$4</f>
        <v>0.48000000000000009</v>
      </c>
      <c r="H20" s="90">
        <f>H15*Synthesis!$C$4</f>
        <v>0.16000000000000003</v>
      </c>
      <c r="I20" s="30">
        <f>(Synthesis!$C$7^4+Synthesis!$C$7^3+1)*Synthesis!$C$4^2</f>
        <v>0.25329600000000002</v>
      </c>
    </row>
    <row r="21" spans="1:9">
      <c r="A21" s="68" t="s">
        <v>131</v>
      </c>
      <c r="B21" s="45" t="s">
        <v>120</v>
      </c>
      <c r="C21" s="46">
        <v>5</v>
      </c>
      <c r="D21" s="46"/>
      <c r="E21" s="46"/>
      <c r="F21" s="46">
        <v>2</v>
      </c>
      <c r="G21" s="30">
        <f>G16*Synthesis!$C$4</f>
        <v>1.2000000000000002</v>
      </c>
      <c r="H21" s="90">
        <f>H16*Synthesis!$C$4</f>
        <v>0.4</v>
      </c>
      <c r="I21" s="30">
        <f>(Synthesis!$C$7^5+Synthesis!$C$7)*Synthesis!$C$4</f>
        <v>0.34722799999999998</v>
      </c>
    </row>
    <row r="22" spans="1:9">
      <c r="A22" s="68" t="s">
        <v>133</v>
      </c>
      <c r="B22" s="46"/>
      <c r="C22" s="46"/>
      <c r="D22" s="46"/>
      <c r="E22" s="46"/>
      <c r="F22" s="46"/>
      <c r="G22" s="30"/>
      <c r="H22" s="90"/>
      <c r="I22" s="30"/>
    </row>
    <row r="23" spans="1:9">
      <c r="A23" s="68" t="s">
        <v>134</v>
      </c>
      <c r="B23" s="46"/>
      <c r="C23" s="46"/>
      <c r="D23" s="46"/>
      <c r="E23" s="46"/>
      <c r="F23" s="46">
        <v>2</v>
      </c>
      <c r="G23" s="30"/>
      <c r="H23" s="90"/>
      <c r="I23" s="30"/>
    </row>
    <row r="24" spans="1:9">
      <c r="A24" s="68" t="s">
        <v>135</v>
      </c>
      <c r="B24" s="46"/>
      <c r="C24" s="46"/>
      <c r="D24" s="46"/>
      <c r="E24" s="46"/>
      <c r="F24" s="46"/>
      <c r="G24" s="30"/>
      <c r="H24" s="90"/>
      <c r="I24" s="30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F49"/>
  <sheetViews>
    <sheetView workbookViewId="0">
      <selection activeCell="F17" sqref="F17"/>
    </sheetView>
  </sheetViews>
  <sheetFormatPr baseColWidth="10" defaultRowHeight="16"/>
  <cols>
    <col min="1" max="1" width="35.33203125" customWidth="1"/>
    <col min="5" max="5" width="10.83203125" customWidth="1"/>
  </cols>
  <sheetData>
    <row r="1" spans="1:6" ht="19">
      <c r="A1" s="34" t="s">
        <v>35</v>
      </c>
      <c r="B1" s="34"/>
      <c r="C1" s="34"/>
      <c r="D1" s="34"/>
      <c r="E1" s="34"/>
    </row>
    <row r="2" spans="1:6" s="10" customFormat="1">
      <c r="A2" s="64"/>
      <c r="B2" s="63"/>
      <c r="C2" s="63"/>
      <c r="D2" s="63"/>
    </row>
    <row r="3" spans="1:6" s="10" customFormat="1">
      <c r="E3" s="48">
        <f>SUM(E5:E15)</f>
        <v>4.8720000000000008</v>
      </c>
      <c r="F3" s="32">
        <f>SUM(F5:F15)</f>
        <v>4.7900520000000002</v>
      </c>
    </row>
    <row r="4" spans="1:6" s="10" customFormat="1">
      <c r="B4" s="51" t="s">
        <v>137</v>
      </c>
      <c r="C4" s="51" t="s">
        <v>139</v>
      </c>
      <c r="D4" s="51" t="s">
        <v>109</v>
      </c>
      <c r="E4" s="49" t="str">
        <f>data!$H$3</f>
        <v>diff_id</v>
      </c>
      <c r="F4" s="49" t="str">
        <f>data!J$3</f>
        <v>reuse</v>
      </c>
    </row>
    <row r="5" spans="1:6" s="10" customFormat="1">
      <c r="A5" s="61" t="s">
        <v>136</v>
      </c>
      <c r="B5" s="46">
        <v>4</v>
      </c>
      <c r="C5" s="46"/>
      <c r="D5" s="46"/>
      <c r="E5" s="58"/>
      <c r="F5" s="58"/>
    </row>
    <row r="6" spans="1:6" s="10" customFormat="1">
      <c r="A6" s="61" t="s">
        <v>138</v>
      </c>
      <c r="B6" s="46"/>
      <c r="C6" s="46">
        <v>0</v>
      </c>
      <c r="D6" s="46"/>
      <c r="E6" s="58"/>
      <c r="F6" s="58"/>
    </row>
    <row r="7" spans="1:6" s="10" customFormat="1">
      <c r="A7" s="97" t="s">
        <v>140</v>
      </c>
      <c r="B7" s="46">
        <v>4</v>
      </c>
      <c r="C7" s="46"/>
      <c r="D7" s="46">
        <v>1</v>
      </c>
      <c r="E7" s="58">
        <v>1</v>
      </c>
      <c r="F7" s="58">
        <v>1</v>
      </c>
    </row>
    <row r="8" spans="1:6" s="10" customFormat="1">
      <c r="A8" s="61" t="s">
        <v>141</v>
      </c>
      <c r="B8" s="46"/>
      <c r="C8" s="46">
        <v>1</v>
      </c>
      <c r="D8" s="46">
        <v>1</v>
      </c>
      <c r="E8" s="58">
        <v>2</v>
      </c>
      <c r="F8" s="58">
        <v>2</v>
      </c>
    </row>
    <row r="9" spans="1:6" s="10" customFormat="1">
      <c r="A9" s="97" t="s">
        <v>140</v>
      </c>
      <c r="B9" s="46">
        <v>4</v>
      </c>
      <c r="C9" s="46"/>
      <c r="D9" s="46">
        <v>2</v>
      </c>
      <c r="E9" s="58">
        <f>E7*Synthesis!$C$4</f>
        <v>0.4</v>
      </c>
      <c r="F9" s="58">
        <f>(Synthesis!$C$7)*Synthesis!$C$4</f>
        <v>0.27999999999999997</v>
      </c>
    </row>
    <row r="10" spans="1:6" s="10" customFormat="1">
      <c r="A10" s="61" t="s">
        <v>141</v>
      </c>
      <c r="B10" s="46"/>
      <c r="C10" s="46">
        <v>3</v>
      </c>
      <c r="D10" s="46">
        <v>2</v>
      </c>
      <c r="E10" s="58">
        <f>E8*Synthesis!$C$4</f>
        <v>0.8</v>
      </c>
      <c r="F10" s="58">
        <f>(1+1)*Synthesis!$C$4</f>
        <v>0.8</v>
      </c>
    </row>
    <row r="11" spans="1:6" s="10" customFormat="1">
      <c r="A11" s="97" t="s">
        <v>140</v>
      </c>
      <c r="B11" s="46">
        <v>4</v>
      </c>
      <c r="C11" s="46"/>
      <c r="D11" s="46">
        <v>3</v>
      </c>
      <c r="E11" s="58">
        <f>E9*Synthesis!$C$4</f>
        <v>0.16000000000000003</v>
      </c>
      <c r="F11" s="58">
        <f>(Synthesis!$C$7^2)*Synthesis!$C$7^2</f>
        <v>0.24009999999999992</v>
      </c>
    </row>
    <row r="12" spans="1:6" s="10" customFormat="1">
      <c r="A12" s="61" t="s">
        <v>141</v>
      </c>
      <c r="B12" s="46"/>
      <c r="C12" s="46">
        <v>5</v>
      </c>
      <c r="D12" s="46">
        <v>3</v>
      </c>
      <c r="E12" s="58">
        <f>E10*Synthesis!$C$4</f>
        <v>0.32000000000000006</v>
      </c>
      <c r="F12" s="58">
        <f>(1+1)*Synthesis!$C$4^2</f>
        <v>0.32000000000000006</v>
      </c>
    </row>
    <row r="13" spans="1:6" s="10" customFormat="1">
      <c r="A13" s="98" t="s">
        <v>140</v>
      </c>
      <c r="B13" s="66">
        <v>4</v>
      </c>
      <c r="C13" s="66"/>
      <c r="D13" s="66">
        <v>4</v>
      </c>
      <c r="E13" s="58">
        <f>E11*Synthesis!$C$4</f>
        <v>6.4000000000000015E-2</v>
      </c>
      <c r="F13" s="58">
        <f>(Synthesis!$C$7^3)*Synthesis!$C$4^3</f>
        <v>2.1951999999999999E-2</v>
      </c>
    </row>
    <row r="14" spans="1:6" s="10" customFormat="1">
      <c r="A14" s="65" t="s">
        <v>141</v>
      </c>
      <c r="B14" s="66"/>
      <c r="C14" s="66">
        <v>9</v>
      </c>
      <c r="D14" s="66">
        <v>4</v>
      </c>
      <c r="E14" s="58">
        <f>E12*Synthesis!$C$4</f>
        <v>0.12800000000000003</v>
      </c>
      <c r="F14" s="58">
        <f>(1+1)*Synthesis!$C$4^3</f>
        <v>0.12800000000000003</v>
      </c>
    </row>
    <row r="15" spans="1:6" s="10" customFormat="1">
      <c r="A15" s="61" t="s">
        <v>116</v>
      </c>
      <c r="B15" s="46"/>
      <c r="C15" s="46">
        <v>9</v>
      </c>
      <c r="D15" s="46"/>
      <c r="E15" s="58"/>
      <c r="F15" s="58"/>
    </row>
    <row r="16" spans="1:6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G55"/>
  <sheetViews>
    <sheetView workbookViewId="0">
      <selection activeCell="F17" sqref="F17"/>
    </sheetView>
  </sheetViews>
  <sheetFormatPr baseColWidth="10" defaultRowHeight="16"/>
  <cols>
    <col min="1" max="1" width="47.33203125" customWidth="1"/>
    <col min="2" max="2" width="20.83203125" customWidth="1"/>
  </cols>
  <sheetData>
    <row r="1" spans="1:7" ht="19">
      <c r="A1" s="34" t="s">
        <v>25</v>
      </c>
      <c r="B1" s="34"/>
      <c r="C1" s="34"/>
      <c r="D1" s="34"/>
      <c r="E1" s="34"/>
    </row>
    <row r="2" spans="1:7" s="10" customFormat="1"/>
    <row r="3" spans="1:7" s="10" customFormat="1">
      <c r="E3" s="48">
        <f>SUM(E5:E14)</f>
        <v>9.240000000000002</v>
      </c>
      <c r="F3" s="32" t="e">
        <f>E3+SUM(F5:F200)*Synthesis!#REF!</f>
        <v>#REF!</v>
      </c>
      <c r="G3" s="32">
        <f>SUM(G5:G14)</f>
        <v>6.6073685280000003</v>
      </c>
    </row>
    <row r="4" spans="1:7" s="10" customFormat="1">
      <c r="B4" s="51" t="s">
        <v>117</v>
      </c>
      <c r="C4" s="51" t="s">
        <v>97</v>
      </c>
      <c r="D4" s="51" t="s">
        <v>109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 s="10" customFormat="1">
      <c r="A5" s="61" t="s">
        <v>142</v>
      </c>
      <c r="B5" s="61" t="s">
        <v>143</v>
      </c>
      <c r="C5" s="46"/>
      <c r="D5" s="46"/>
      <c r="E5" s="58"/>
      <c r="F5" s="91"/>
      <c r="G5" s="58"/>
    </row>
    <row r="6" spans="1:7" s="10" customFormat="1">
      <c r="A6" s="61" t="s">
        <v>144</v>
      </c>
      <c r="B6" s="61" t="s">
        <v>143</v>
      </c>
      <c r="C6" s="46">
        <v>2</v>
      </c>
      <c r="D6" s="46"/>
      <c r="E6" s="58">
        <v>1</v>
      </c>
      <c r="F6" s="91">
        <v>1</v>
      </c>
      <c r="G6" s="58">
        <v>1</v>
      </c>
    </row>
    <row r="7" spans="1:7" s="10" customFormat="1">
      <c r="A7" s="97" t="s">
        <v>145</v>
      </c>
      <c r="B7" s="61" t="s">
        <v>143</v>
      </c>
      <c r="C7" s="46"/>
      <c r="D7" s="46">
        <v>1</v>
      </c>
      <c r="E7" s="58">
        <v>1</v>
      </c>
      <c r="F7" s="91"/>
      <c r="G7" s="58">
        <f>Synthesis!$C$7</f>
        <v>0.7</v>
      </c>
    </row>
    <row r="8" spans="1:7" s="10" customFormat="1">
      <c r="A8" s="61" t="s">
        <v>146</v>
      </c>
      <c r="B8" s="61" t="s">
        <v>143</v>
      </c>
      <c r="C8" s="46">
        <v>2</v>
      </c>
      <c r="D8" s="46">
        <v>1</v>
      </c>
      <c r="E8" s="58">
        <v>3</v>
      </c>
      <c r="F8" s="91">
        <v>1</v>
      </c>
      <c r="G8" s="58">
        <f>Synthesis!$C$7+1+1</f>
        <v>2.7</v>
      </c>
    </row>
    <row r="9" spans="1:7" s="10" customFormat="1">
      <c r="A9" s="61" t="s">
        <v>147</v>
      </c>
      <c r="B9" s="61" t="s">
        <v>143</v>
      </c>
      <c r="C9" s="46">
        <v>19</v>
      </c>
      <c r="D9" s="46">
        <v>1</v>
      </c>
      <c r="E9" s="58">
        <v>2</v>
      </c>
      <c r="F9" s="91">
        <v>1</v>
      </c>
      <c r="G9" s="58">
        <f>Synthesis!$C$7^4+Synthesis!$C$7</f>
        <v>0.94009999999999994</v>
      </c>
    </row>
    <row r="10" spans="1:7" s="10" customFormat="1">
      <c r="A10" s="97" t="s">
        <v>145</v>
      </c>
      <c r="B10" s="61" t="s">
        <v>143</v>
      </c>
      <c r="C10" s="46"/>
      <c r="D10" s="46">
        <v>2</v>
      </c>
      <c r="E10" s="58">
        <f>E7*Synthesis!$C$4</f>
        <v>0.4</v>
      </c>
      <c r="F10" s="91"/>
      <c r="G10" s="58">
        <f>(Synthesis!$C$7^4)*Synthesis!$C$4</f>
        <v>9.6039999999999973E-2</v>
      </c>
    </row>
    <row r="11" spans="1:7" s="10" customFormat="1">
      <c r="A11" s="61" t="s">
        <v>146</v>
      </c>
      <c r="B11" s="61" t="s">
        <v>143</v>
      </c>
      <c r="C11" s="46">
        <v>19</v>
      </c>
      <c r="D11" s="46">
        <v>2</v>
      </c>
      <c r="E11" s="58">
        <f>E8*Synthesis!$C$4</f>
        <v>1.2000000000000002</v>
      </c>
      <c r="F11" s="91">
        <f>F8*Synthesis!$C$4</f>
        <v>0.4</v>
      </c>
      <c r="G11" s="58">
        <f>(Synthesis!$C$7^5+1+1)*Synthesis!$C$4</f>
        <v>0.86722800000000011</v>
      </c>
    </row>
    <row r="12" spans="1:7" s="10" customFormat="1">
      <c r="A12" s="97" t="s">
        <v>145</v>
      </c>
      <c r="B12" s="61" t="s">
        <v>143</v>
      </c>
      <c r="C12" s="46"/>
      <c r="D12" s="46">
        <v>3</v>
      </c>
      <c r="E12" s="58">
        <f>E10*Synthesis!$C$4</f>
        <v>0.16000000000000003</v>
      </c>
      <c r="F12" s="91"/>
      <c r="G12" s="58">
        <f>(Synthesis!$C$7^6)*Synthesis!$C$4^2</f>
        <v>1.8823839999999994E-2</v>
      </c>
    </row>
    <row r="13" spans="1:7" s="10" customFormat="1">
      <c r="A13" s="61" t="s">
        <v>146</v>
      </c>
      <c r="B13" s="61" t="s">
        <v>143</v>
      </c>
      <c r="C13" s="46">
        <v>19</v>
      </c>
      <c r="D13" s="46">
        <v>3</v>
      </c>
      <c r="E13" s="58">
        <f>E11*Synthesis!$C$4</f>
        <v>0.48000000000000009</v>
      </c>
      <c r="F13" s="91">
        <f>F11*Synthesis!$C$4</f>
        <v>0.16000000000000003</v>
      </c>
      <c r="G13" s="58">
        <f>(Synthesis!$C$7^7+Synthesis!$C$7+1)*Synthesis!$C$4^2</f>
        <v>0.28517668800000007</v>
      </c>
    </row>
    <row r="14" spans="1:7" s="10" customFormat="1">
      <c r="A14" s="61" t="s">
        <v>116</v>
      </c>
      <c r="B14" s="61"/>
      <c r="C14" s="46">
        <v>19</v>
      </c>
      <c r="D14" s="46"/>
      <c r="E14" s="58"/>
      <c r="F14" s="91"/>
      <c r="G14" s="58"/>
    </row>
    <row r="15" spans="1:7" s="10" customFormat="1">
      <c r="A15" s="59"/>
      <c r="B15" s="59"/>
    </row>
    <row r="16" spans="1:7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/>
  <cols>
    <col min="1" max="1" width="32.6640625" style="6" customWidth="1"/>
    <col min="2" max="2" width="10" style="6" customWidth="1"/>
    <col min="3" max="3" width="17.83203125" style="6" customWidth="1"/>
    <col min="4" max="6" width="10.83203125" style="6"/>
    <col min="7" max="7" width="8.33203125" style="6" customWidth="1"/>
    <col min="8" max="8" width="64.83203125" style="6" customWidth="1"/>
    <col min="9" max="16384" width="10.83203125" style="6"/>
  </cols>
  <sheetData>
    <row r="3" spans="1:8" ht="34">
      <c r="A3" s="8" t="s">
        <v>49</v>
      </c>
      <c r="B3" s="8" t="s">
        <v>0</v>
      </c>
      <c r="C3" s="8" t="s">
        <v>7</v>
      </c>
      <c r="D3" s="8" t="s">
        <v>48</v>
      </c>
      <c r="E3" s="8" t="s">
        <v>90</v>
      </c>
      <c r="F3" s="8" t="s">
        <v>91</v>
      </c>
      <c r="G3" s="8" t="s">
        <v>53</v>
      </c>
      <c r="H3" s="8" t="s">
        <v>51</v>
      </c>
    </row>
    <row r="4" spans="1:8" ht="45" customHeight="1">
      <c r="A4" s="6" t="str">
        <f>data!B4</f>
        <v>1-factorial</v>
      </c>
      <c r="B4" s="7">
        <v>1</v>
      </c>
      <c r="C4" s="6">
        <v>1</v>
      </c>
      <c r="D4" s="6">
        <v>24</v>
      </c>
      <c r="E4" s="6">
        <v>36.57</v>
      </c>
      <c r="F4" s="9">
        <f>data!E4</f>
        <v>68.014414634146334</v>
      </c>
      <c r="G4" s="6">
        <v>1</v>
      </c>
      <c r="H4" s="6" t="s">
        <v>76</v>
      </c>
    </row>
    <row r="5" spans="1:8" ht="45" customHeight="1">
      <c r="A5" s="6" t="str">
        <f>data!B5</f>
        <v>2-count-chars-at-same-pos-in-string</v>
      </c>
      <c r="B5" s="7">
        <v>2</v>
      </c>
      <c r="C5" s="6">
        <v>0</v>
      </c>
      <c r="D5" s="6">
        <v>1</v>
      </c>
      <c r="F5" s="9">
        <f>data!E5</f>
        <v>100.26741463414632</v>
      </c>
      <c r="G5" s="6">
        <v>2</v>
      </c>
      <c r="H5" s="6" t="s">
        <v>75</v>
      </c>
    </row>
    <row r="6" spans="1:8" ht="45" customHeight="1">
      <c r="A6" s="6" t="str">
        <f>data!B6</f>
        <v>3-greatest-common-divisor</v>
      </c>
      <c r="B6" s="7">
        <v>3</v>
      </c>
      <c r="C6" s="6" t="s">
        <v>83</v>
      </c>
      <c r="D6" s="6" t="s">
        <v>57</v>
      </c>
      <c r="F6" s="9">
        <f>data!E6</f>
        <v>132.46873170731703</v>
      </c>
      <c r="G6" s="6">
        <v>3</v>
      </c>
      <c r="H6" s="6" t="s">
        <v>82</v>
      </c>
    </row>
    <row r="7" spans="1:8" ht="45" customHeight="1">
      <c r="A7" s="6" t="str">
        <f>data!B7</f>
        <v>4-bubblesort</v>
      </c>
      <c r="B7" s="7">
        <v>4</v>
      </c>
      <c r="C7" s="6" t="s">
        <v>64</v>
      </c>
      <c r="F7" s="9">
        <f>data!E7</f>
        <v>154.64156097560979</v>
      </c>
      <c r="G7" s="6">
        <v>4</v>
      </c>
      <c r="H7" s="6" t="s">
        <v>85</v>
      </c>
    </row>
    <row r="8" spans="1:8" ht="45" customHeight="1">
      <c r="A8" s="6" t="str">
        <f>data!B8</f>
        <v>5-binary-search</v>
      </c>
      <c r="B8" s="7">
        <v>5</v>
      </c>
      <c r="C8" s="6">
        <v>1</v>
      </c>
      <c r="D8" s="6">
        <v>2</v>
      </c>
      <c r="E8" s="6">
        <v>276.22000000000003</v>
      </c>
      <c r="F8" s="9">
        <f>data!E8</f>
        <v>211.48453658536584</v>
      </c>
      <c r="G8" s="6">
        <v>4</v>
      </c>
      <c r="H8" s="6" t="s">
        <v>86</v>
      </c>
    </row>
    <row r="9" spans="1:8" ht="45" customHeight="1">
      <c r="A9" s="6" t="str">
        <f>data!B9</f>
        <v>6-sum-from-1-to-n</v>
      </c>
      <c r="B9" s="7">
        <v>6</v>
      </c>
      <c r="C9" s="6">
        <v>0</v>
      </c>
      <c r="D9" s="6">
        <v>10</v>
      </c>
      <c r="E9" s="6">
        <v>26</v>
      </c>
      <c r="F9" s="9">
        <f>data!E9</f>
        <v>70.510951219512179</v>
      </c>
      <c r="G9" s="6">
        <v>1</v>
      </c>
      <c r="H9" s="6" t="s">
        <v>77</v>
      </c>
    </row>
    <row r="10" spans="1:8" ht="45" customHeight="1">
      <c r="A10" s="6" t="str">
        <f>data!B10</f>
        <v>7-find-max-nb</v>
      </c>
      <c r="B10" s="7">
        <v>7</v>
      </c>
      <c r="C10" s="6">
        <v>1</v>
      </c>
      <c r="D10" s="6">
        <v>19</v>
      </c>
      <c r="F10" s="9">
        <f>data!E10</f>
        <v>66.048609756097534</v>
      </c>
      <c r="G10" s="6">
        <v>3</v>
      </c>
      <c r="H10" s="6" t="s">
        <v>52</v>
      </c>
    </row>
    <row r="11" spans="1:8" ht="45" customHeight="1">
      <c r="A11" s="6" t="str">
        <f>data!B11</f>
        <v>8-cross-sum</v>
      </c>
      <c r="B11" s="7">
        <v>8</v>
      </c>
      <c r="C11" s="6" t="s">
        <v>64</v>
      </c>
      <c r="D11" s="6" t="s">
        <v>50</v>
      </c>
      <c r="F11" s="9">
        <f>data!E11</f>
        <v>104.82602439024393</v>
      </c>
      <c r="G11" s="6">
        <v>4</v>
      </c>
      <c r="H11" s="6" t="s">
        <v>63</v>
      </c>
    </row>
    <row r="12" spans="1:8" ht="45" customHeight="1">
      <c r="A12" s="6" t="str">
        <f>data!B12</f>
        <v>9-prime-test</v>
      </c>
      <c r="B12" s="7">
        <v>9</v>
      </c>
      <c r="C12" s="6">
        <v>0</v>
      </c>
      <c r="D12" s="6" t="s">
        <v>55</v>
      </c>
      <c r="F12" s="9">
        <f>data!E12</f>
        <v>65.420853658536572</v>
      </c>
      <c r="G12" s="6">
        <v>2</v>
      </c>
      <c r="H12" s="6" t="s">
        <v>54</v>
      </c>
    </row>
    <row r="13" spans="1:8" ht="45" customHeight="1">
      <c r="A13" s="6" t="str">
        <f>data!B13</f>
        <v>10-find-middle-nb</v>
      </c>
      <c r="B13" s="7">
        <v>10</v>
      </c>
      <c r="C13" s="6">
        <v>1</v>
      </c>
      <c r="D13" s="6">
        <v>10</v>
      </c>
      <c r="E13" s="6">
        <v>21.14</v>
      </c>
      <c r="F13" s="9">
        <f>data!E13</f>
        <v>42.585804878048783</v>
      </c>
      <c r="G13" s="6">
        <v>1</v>
      </c>
      <c r="H13" s="6" t="s">
        <v>56</v>
      </c>
    </row>
    <row r="14" spans="1:8" ht="45" customHeight="1">
      <c r="A14" s="6" t="str">
        <f>data!B14</f>
        <v>11-power</v>
      </c>
      <c r="B14" s="7">
        <v>11</v>
      </c>
      <c r="D14" s="6">
        <v>8</v>
      </c>
      <c r="E14" s="6">
        <v>51.43</v>
      </c>
      <c r="F14" s="9">
        <f>data!E14</f>
        <v>65.473780487804873</v>
      </c>
      <c r="G14" s="6">
        <v>2</v>
      </c>
      <c r="H14" s="6" t="s">
        <v>84</v>
      </c>
    </row>
    <row r="15" spans="1:8" ht="45" customHeight="1">
      <c r="A15" s="6" t="str">
        <f>data!B15</f>
        <v>12-palindrom</v>
      </c>
      <c r="B15" s="7">
        <v>12</v>
      </c>
      <c r="D15" s="6" t="s">
        <v>55</v>
      </c>
      <c r="E15" s="6">
        <v>102.93</v>
      </c>
      <c r="F15" s="9">
        <f>data!E15</f>
        <v>59.81002439024391</v>
      </c>
      <c r="G15" s="6">
        <v>3</v>
      </c>
      <c r="H15" s="6" t="s">
        <v>78</v>
      </c>
    </row>
    <row r="16" spans="1:8" ht="17">
      <c r="A16" s="6" t="str">
        <f>data!B16</f>
        <v>13-swap</v>
      </c>
      <c r="B16" s="7">
        <v>13</v>
      </c>
      <c r="C16" s="6">
        <v>1</v>
      </c>
      <c r="D16" s="6">
        <v>42</v>
      </c>
      <c r="E16" s="6">
        <v>25.31</v>
      </c>
      <c r="F16" s="9">
        <f>data!E16</f>
        <v>37.425292682926823</v>
      </c>
      <c r="G16" s="6">
        <v>1</v>
      </c>
      <c r="H16" s="6" t="s">
        <v>58</v>
      </c>
    </row>
    <row r="17" spans="1:8" ht="51">
      <c r="A17" s="6" t="str">
        <f>data!B17</f>
        <v>14-reverse-string</v>
      </c>
      <c r="B17" s="7">
        <v>14</v>
      </c>
      <c r="C17" s="6" t="s">
        <v>198</v>
      </c>
      <c r="D17" s="6" t="s">
        <v>59</v>
      </c>
      <c r="E17" s="6">
        <v>41.87</v>
      </c>
      <c r="F17" s="9">
        <f>data!E17</f>
        <v>48.394707317073163</v>
      </c>
      <c r="G17" s="6">
        <v>1</v>
      </c>
      <c r="H17" s="6" t="s">
        <v>60</v>
      </c>
    </row>
    <row r="18" spans="1:8" ht="51">
      <c r="A18" s="6" t="str">
        <f>data!B18</f>
        <v>15-matrix-mult</v>
      </c>
      <c r="B18" s="7">
        <v>15</v>
      </c>
      <c r="C18" s="6" t="s">
        <v>64</v>
      </c>
      <c r="D18" s="6" t="s">
        <v>57</v>
      </c>
      <c r="E18" s="6" t="s">
        <v>67</v>
      </c>
      <c r="F18" s="9">
        <f>data!E18</f>
        <v>355.30917073170724</v>
      </c>
      <c r="G18" s="6">
        <v>5</v>
      </c>
      <c r="H18" s="6" t="s">
        <v>66</v>
      </c>
    </row>
    <row r="19" spans="1:8" ht="17">
      <c r="A19" s="6" t="str">
        <f>data!B19</f>
        <v>16-arithmetic-mean</v>
      </c>
      <c r="B19" s="7">
        <v>16</v>
      </c>
      <c r="C19" s="6">
        <v>1</v>
      </c>
      <c r="D19" s="6">
        <v>6</v>
      </c>
      <c r="E19" s="6">
        <v>5.96</v>
      </c>
      <c r="F19" s="9">
        <f>data!E19</f>
        <v>20.50239024390244</v>
      </c>
      <c r="G19" s="6">
        <v>1</v>
      </c>
      <c r="H19" s="6" t="s">
        <v>87</v>
      </c>
    </row>
    <row r="20" spans="1:8" ht="119">
      <c r="A20" s="6" t="str">
        <f>data!B20</f>
        <v>17-check-wether-substring-is-contained</v>
      </c>
      <c r="B20" s="7">
        <v>17</v>
      </c>
      <c r="C20" s="6">
        <v>1</v>
      </c>
      <c r="D20" s="6" t="s">
        <v>62</v>
      </c>
      <c r="E20" s="6">
        <v>64.38</v>
      </c>
      <c r="F20" s="9">
        <f>data!E20</f>
        <v>99.988414634146352</v>
      </c>
      <c r="G20" s="6">
        <v>2</v>
      </c>
      <c r="H20" s="6" t="s">
        <v>61</v>
      </c>
    </row>
    <row r="21" spans="1:8" ht="68">
      <c r="A21" s="6" t="str">
        <f>data!B21</f>
        <v>18-last-common-multiple</v>
      </c>
      <c r="B21" s="7">
        <v>18</v>
      </c>
      <c r="C21" s="6" t="s">
        <v>239</v>
      </c>
      <c r="D21" s="6" t="s">
        <v>57</v>
      </c>
      <c r="E21" s="6" t="s">
        <v>88</v>
      </c>
      <c r="F21" s="9">
        <f>data!E21</f>
        <v>132.07892682926831</v>
      </c>
      <c r="G21" s="6">
        <v>4</v>
      </c>
      <c r="H21" s="6" t="s">
        <v>89</v>
      </c>
    </row>
    <row r="22" spans="1:8" ht="51">
      <c r="A22" s="6" t="str">
        <f>data!B22</f>
        <v>19-capitalize-first-letter</v>
      </c>
      <c r="B22" s="7">
        <v>19</v>
      </c>
      <c r="C22" s="6" t="s">
        <v>266</v>
      </c>
      <c r="D22" s="6" t="s">
        <v>79</v>
      </c>
      <c r="E22" s="6">
        <v>83</v>
      </c>
      <c r="F22" s="9">
        <f>data!E22</f>
        <v>145.23982926829271</v>
      </c>
      <c r="G22" s="6">
        <v>2</v>
      </c>
      <c r="H22" s="6" t="s">
        <v>80</v>
      </c>
    </row>
    <row r="23" spans="1:8" ht="85">
      <c r="A23" s="6" t="str">
        <f>data!B23</f>
        <v>20-decimal-to-binary</v>
      </c>
      <c r="B23" s="7">
        <v>20</v>
      </c>
      <c r="C23" s="6" t="s">
        <v>279</v>
      </c>
      <c r="D23" s="6" t="s">
        <v>50</v>
      </c>
      <c r="E23" s="6">
        <v>44.05</v>
      </c>
      <c r="F23" s="9">
        <f>data!E23</f>
        <v>80.621829268292686</v>
      </c>
      <c r="G23" s="6">
        <v>3</v>
      </c>
      <c r="H23" s="6" t="s">
        <v>65</v>
      </c>
    </row>
    <row r="24" spans="1:8" ht="85">
      <c r="A24" s="6" t="str">
        <f>data!B24</f>
        <v>21-reverse-entries-array-3-ELEMENTS</v>
      </c>
      <c r="B24" s="7">
        <v>21</v>
      </c>
      <c r="C24" s="6" t="s">
        <v>71</v>
      </c>
      <c r="D24" s="6">
        <v>210461</v>
      </c>
      <c r="E24" s="6">
        <v>285.58999999999997</v>
      </c>
      <c r="F24" s="9">
        <f>data!E24</f>
        <v>89.939219512195123</v>
      </c>
      <c r="G24" s="6">
        <v>4</v>
      </c>
      <c r="H24" s="6" t="s">
        <v>68</v>
      </c>
    </row>
    <row r="25" spans="1:8" ht="34">
      <c r="A25" s="6" t="str">
        <f>data!B25</f>
        <v>22-median-sorted-data</v>
      </c>
      <c r="B25" s="7">
        <v>22</v>
      </c>
      <c r="C25" s="6" t="s">
        <v>72</v>
      </c>
      <c r="E25" s="6" t="s">
        <v>74</v>
      </c>
      <c r="F25" s="9">
        <f>data!E25</f>
        <v>86.29456097560977</v>
      </c>
      <c r="G25" s="6">
        <v>2</v>
      </c>
      <c r="H25" s="6" t="s">
        <v>73</v>
      </c>
    </row>
    <row r="26" spans="1:8" ht="17">
      <c r="A26" s="6" t="str">
        <f>data!B26</f>
        <v>23-double-entries-of-array</v>
      </c>
      <c r="B26" s="7">
        <v>23</v>
      </c>
      <c r="C26" s="6">
        <v>1</v>
      </c>
      <c r="D26" s="6">
        <v>2622148</v>
      </c>
      <c r="E26" s="6">
        <v>16.78</v>
      </c>
      <c r="F26" s="9">
        <f>data!E26</f>
        <v>54.500707317073157</v>
      </c>
      <c r="G26" s="6">
        <v>1</v>
      </c>
      <c r="H26" s="6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A1:G16"/>
  <sheetViews>
    <sheetView workbookViewId="0">
      <selection activeCell="F17" sqref="F17"/>
    </sheetView>
  </sheetViews>
  <sheetFormatPr baseColWidth="10" defaultRowHeight="16"/>
  <cols>
    <col min="1" max="1" width="32" customWidth="1"/>
  </cols>
  <sheetData>
    <row r="1" spans="1:7" ht="19">
      <c r="A1" s="34" t="s">
        <v>26</v>
      </c>
      <c r="B1" s="34"/>
      <c r="C1" s="34"/>
      <c r="D1" s="34"/>
      <c r="E1" s="34"/>
    </row>
    <row r="3" spans="1:7">
      <c r="B3" s="82"/>
      <c r="D3" s="82"/>
      <c r="E3" s="48">
        <f>SUM(E5:E16)</f>
        <v>8.4240000000000013</v>
      </c>
      <c r="F3" s="32" t="e">
        <f>E3+SUM(F5:F200)*Synthesis!#REF!</f>
        <v>#REF!</v>
      </c>
      <c r="G3" s="32">
        <f>SUM(G5:G16)</f>
        <v>6.8864000000000001</v>
      </c>
    </row>
    <row r="4" spans="1:7">
      <c r="B4" s="67" t="s">
        <v>149</v>
      </c>
      <c r="C4" s="67" t="s">
        <v>97</v>
      </c>
      <c r="D4" s="67" t="s">
        <v>479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8" t="s">
        <v>148</v>
      </c>
      <c r="B5" s="21">
        <v>323</v>
      </c>
      <c r="C5" s="21"/>
      <c r="D5" s="21"/>
      <c r="E5" s="30"/>
      <c r="F5" s="90"/>
      <c r="G5" s="30"/>
    </row>
    <row r="6" spans="1:7">
      <c r="A6" s="68" t="s">
        <v>138</v>
      </c>
      <c r="B6" s="21"/>
      <c r="C6" s="21">
        <v>0</v>
      </c>
      <c r="D6" s="21"/>
      <c r="E6" s="30"/>
      <c r="F6" s="90"/>
      <c r="G6" s="30"/>
    </row>
    <row r="7" spans="1:7">
      <c r="A7" s="100" t="s">
        <v>150</v>
      </c>
      <c r="B7" s="21">
        <v>323</v>
      </c>
      <c r="C7" s="21"/>
      <c r="D7" s="21"/>
      <c r="E7" s="30">
        <v>1</v>
      </c>
      <c r="F7" s="90"/>
      <c r="G7" s="30">
        <v>1</v>
      </c>
    </row>
    <row r="8" spans="1:7">
      <c r="A8" s="69" t="s">
        <v>151</v>
      </c>
      <c r="B8" s="21">
        <v>323</v>
      </c>
      <c r="C8" s="21">
        <v>3</v>
      </c>
      <c r="D8" s="21">
        <v>1</v>
      </c>
      <c r="E8" s="30">
        <f>2+D8*Synthesis!C6</f>
        <v>3.4</v>
      </c>
      <c r="F8" s="90"/>
      <c r="G8" s="30">
        <f>Synthesis!$C$7+1+Synthesis!C6</f>
        <v>3.0999999999999996</v>
      </c>
    </row>
    <row r="9" spans="1:7">
      <c r="A9" s="68" t="s">
        <v>152</v>
      </c>
      <c r="B9" s="21">
        <v>32</v>
      </c>
      <c r="C9" s="21"/>
      <c r="D9" s="21"/>
      <c r="E9" s="30">
        <v>1</v>
      </c>
      <c r="F9" s="90"/>
      <c r="G9" s="30">
        <f>1</f>
        <v>1</v>
      </c>
    </row>
    <row r="10" spans="1:7">
      <c r="A10" s="100" t="s">
        <v>150</v>
      </c>
      <c r="B10" s="21">
        <v>32</v>
      </c>
      <c r="C10" s="21"/>
      <c r="D10" s="21"/>
      <c r="E10" s="30">
        <f>E7*Synthesis!$C$4</f>
        <v>0.4</v>
      </c>
      <c r="F10" s="90"/>
      <c r="G10" s="30">
        <f>(1)*Synthesis!$C$4</f>
        <v>0.4</v>
      </c>
    </row>
    <row r="11" spans="1:7">
      <c r="A11" s="68" t="s">
        <v>151</v>
      </c>
      <c r="B11" s="21">
        <v>32</v>
      </c>
      <c r="C11" s="21">
        <v>5</v>
      </c>
      <c r="D11" s="21"/>
      <c r="E11" s="30">
        <f>E8*Synthesis!$C$4</f>
        <v>1.36</v>
      </c>
      <c r="F11" s="90"/>
      <c r="G11" s="30">
        <f>(Synthesis!$C$7+1)*Synthesis!$C$4</f>
        <v>0.68</v>
      </c>
    </row>
    <row r="12" spans="1:7">
      <c r="A12" s="68" t="s">
        <v>152</v>
      </c>
      <c r="B12" s="21">
        <v>3</v>
      </c>
      <c r="C12" s="21"/>
      <c r="D12" s="21"/>
      <c r="E12" s="30">
        <f>E9*Synthesis!$C$4</f>
        <v>0.4</v>
      </c>
      <c r="F12" s="90"/>
      <c r="G12" s="30">
        <f>(Synthesis!$C$7^2)*Synthesis!$C$4</f>
        <v>0.19599999999999998</v>
      </c>
    </row>
    <row r="13" spans="1:7">
      <c r="A13" s="100" t="s">
        <v>150</v>
      </c>
      <c r="B13" s="21">
        <v>3</v>
      </c>
      <c r="C13" s="21"/>
      <c r="D13" s="21"/>
      <c r="E13" s="30">
        <f>E10*Synthesis!$C$4</f>
        <v>0.16000000000000003</v>
      </c>
      <c r="F13" s="90"/>
      <c r="G13" s="30">
        <f>Synthesis!$C$4^2</f>
        <v>0.16000000000000003</v>
      </c>
    </row>
    <row r="14" spans="1:7">
      <c r="A14" s="68" t="s">
        <v>151</v>
      </c>
      <c r="B14" s="21">
        <v>3</v>
      </c>
      <c r="C14" s="21">
        <v>8</v>
      </c>
      <c r="D14" s="21"/>
      <c r="E14" s="30">
        <f>E11*Synthesis!$C$4</f>
        <v>0.54400000000000004</v>
      </c>
      <c r="F14" s="90"/>
      <c r="G14" s="30">
        <f>(1+Synthesis!$C$7)*Synthesis!$C$4^2</f>
        <v>0.27200000000000002</v>
      </c>
    </row>
    <row r="15" spans="1:7">
      <c r="A15" s="68" t="s">
        <v>152</v>
      </c>
      <c r="B15" s="21">
        <v>0</v>
      </c>
      <c r="C15" s="21"/>
      <c r="D15" s="21"/>
      <c r="E15" s="30">
        <f>E12*Synthesis!$C$4</f>
        <v>0.16000000000000003</v>
      </c>
      <c r="F15" s="90"/>
      <c r="G15" s="30">
        <f>(Synthesis!$C$7^2)*Synthesis!$C$4^2</f>
        <v>7.8400000000000011E-2</v>
      </c>
    </row>
    <row r="16" spans="1:7">
      <c r="A16" s="68" t="s">
        <v>116</v>
      </c>
      <c r="B16" s="21"/>
      <c r="C16" s="21">
        <v>8</v>
      </c>
      <c r="D16" s="21"/>
      <c r="E16" s="30"/>
      <c r="F16" s="90"/>
      <c r="G16" s="30"/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H31"/>
  <sheetViews>
    <sheetView workbookViewId="0">
      <selection activeCell="F17" sqref="F17"/>
    </sheetView>
  </sheetViews>
  <sheetFormatPr baseColWidth="10" defaultRowHeight="16"/>
  <cols>
    <col min="1" max="1" width="42" customWidth="1"/>
    <col min="8" max="8" width="15.1640625" customWidth="1"/>
  </cols>
  <sheetData>
    <row r="1" spans="1:8" ht="19">
      <c r="A1" s="34" t="s">
        <v>27</v>
      </c>
      <c r="B1" s="34"/>
      <c r="C1" s="34"/>
      <c r="D1" s="34"/>
      <c r="E1" s="34"/>
      <c r="F1" s="34"/>
    </row>
    <row r="2" spans="1:8" s="10" customFormat="1"/>
    <row r="3" spans="1:8" s="10" customFormat="1">
      <c r="F3" s="48">
        <f>SUM(F5:F25)</f>
        <v>7.3314109439999999</v>
      </c>
      <c r="G3" s="32" t="e">
        <f>F3+SUM(G5:G200)*Synthesis!#REF!</f>
        <v>#REF!</v>
      </c>
      <c r="H3" s="32">
        <f>SUM(H5:H25)</f>
        <v>5.1806567180919743</v>
      </c>
    </row>
    <row r="4" spans="1:8" s="10" customFormat="1">
      <c r="B4" s="49" t="s">
        <v>149</v>
      </c>
      <c r="C4" s="49" t="s">
        <v>97</v>
      </c>
      <c r="D4" s="49" t="s">
        <v>109</v>
      </c>
      <c r="E4" s="49" t="s">
        <v>479</v>
      </c>
      <c r="F4" s="49" t="str">
        <f>data!$H$3</f>
        <v>diff_id</v>
      </c>
      <c r="G4" s="49" t="str">
        <f>data!I$3</f>
        <v>arrays</v>
      </c>
      <c r="H4" s="49" t="str">
        <f>data!J$3</f>
        <v>reuse</v>
      </c>
    </row>
    <row r="5" spans="1:8" s="10" customFormat="1">
      <c r="A5" s="61" t="s">
        <v>153</v>
      </c>
      <c r="B5" s="46">
        <v>11</v>
      </c>
      <c r="C5" s="46"/>
      <c r="D5" s="46"/>
      <c r="E5" s="46"/>
      <c r="F5" s="58"/>
      <c r="G5" s="91"/>
      <c r="H5" s="58"/>
    </row>
    <row r="6" spans="1:8" s="10" customFormat="1">
      <c r="A6" s="61" t="s">
        <v>154</v>
      </c>
      <c r="B6" s="46"/>
      <c r="C6" s="46" t="s">
        <v>55</v>
      </c>
      <c r="D6" s="46"/>
      <c r="E6" s="46"/>
      <c r="F6" s="58"/>
      <c r="G6" s="91"/>
      <c r="H6" s="58"/>
    </row>
    <row r="7" spans="1:8" s="10" customFormat="1">
      <c r="A7" s="97" t="s">
        <v>155</v>
      </c>
      <c r="B7" s="46">
        <v>11</v>
      </c>
      <c r="C7" s="46"/>
      <c r="D7" s="46">
        <v>2</v>
      </c>
      <c r="E7" s="46"/>
      <c r="F7" s="58">
        <v>1</v>
      </c>
      <c r="G7" s="91"/>
      <c r="H7" s="58">
        <v>1</v>
      </c>
    </row>
    <row r="8" spans="1:8" s="10" customFormat="1">
      <c r="A8" s="61" t="s">
        <v>156</v>
      </c>
      <c r="B8" s="46">
        <v>11</v>
      </c>
      <c r="C8" s="46"/>
      <c r="D8" s="46">
        <v>2</v>
      </c>
      <c r="E8" s="46">
        <v>1</v>
      </c>
      <c r="F8" s="58">
        <f>2+E8*Synthesis!$C$6</f>
        <v>3.4</v>
      </c>
      <c r="G8" s="91"/>
      <c r="H8" s="58">
        <f>Synthesis!$C$7+1+Synthesis!C6</f>
        <v>3.0999999999999996</v>
      </c>
    </row>
    <row r="9" spans="1:8" s="10" customFormat="1">
      <c r="A9" s="97" t="s">
        <v>155</v>
      </c>
      <c r="B9" s="46">
        <v>11</v>
      </c>
      <c r="C9" s="46"/>
      <c r="D9" s="46">
        <v>3</v>
      </c>
      <c r="E9" s="46"/>
      <c r="F9" s="58">
        <f>F7*Synthesis!$C$4</f>
        <v>0.4</v>
      </c>
      <c r="G9" s="91"/>
      <c r="H9" s="58">
        <f>(Synthesis!$C$7^2)*Synthesis!$C$4</f>
        <v>0.19599999999999998</v>
      </c>
    </row>
    <row r="10" spans="1:8" s="10" customFormat="1">
      <c r="A10" s="61" t="s">
        <v>156</v>
      </c>
      <c r="B10" s="46">
        <v>11</v>
      </c>
      <c r="C10" s="46"/>
      <c r="D10" s="46">
        <v>3</v>
      </c>
      <c r="E10" s="46"/>
      <c r="F10" s="58">
        <f>F8*Synthesis!$C$4</f>
        <v>1.36</v>
      </c>
      <c r="G10" s="91"/>
      <c r="H10" s="58">
        <f>(Synthesis!$C$7^3+1)*Synthesis!$C$4</f>
        <v>0.53720000000000001</v>
      </c>
    </row>
    <row r="11" spans="1:8" s="10" customFormat="1">
      <c r="A11" s="97" t="s">
        <v>155</v>
      </c>
      <c r="B11" s="46">
        <v>11</v>
      </c>
      <c r="C11" s="46"/>
      <c r="D11" s="46">
        <v>4</v>
      </c>
      <c r="E11" s="46"/>
      <c r="F11" s="58">
        <f>F9*Synthesis!$C$4</f>
        <v>0.16000000000000003</v>
      </c>
      <c r="G11" s="91"/>
      <c r="H11" s="58">
        <f>(Synthesis!$C$7^4)*Synthesis!$C$4^2</f>
        <v>3.8415999999999999E-2</v>
      </c>
    </row>
    <row r="12" spans="1:8" s="10" customFormat="1">
      <c r="A12" s="61" t="s">
        <v>156</v>
      </c>
      <c r="B12" s="46">
        <v>11</v>
      </c>
      <c r="C12" s="46"/>
      <c r="D12" s="46">
        <v>4</v>
      </c>
      <c r="E12" s="46"/>
      <c r="F12" s="58">
        <f>F10*Synthesis!$C$4</f>
        <v>0.54400000000000004</v>
      </c>
      <c r="G12" s="91"/>
      <c r="H12" s="58">
        <f>(Synthesis!$C$7^5+1)*Synthesis!$C$4^2</f>
        <v>0.18689120000000004</v>
      </c>
    </row>
    <row r="13" spans="1:8" s="10" customFormat="1">
      <c r="A13" s="97" t="s">
        <v>155</v>
      </c>
      <c r="B13" s="46">
        <v>11</v>
      </c>
      <c r="C13" s="46"/>
      <c r="D13" s="46">
        <v>5</v>
      </c>
      <c r="E13" s="46"/>
      <c r="F13" s="58">
        <f>F11*Synthesis!$C$4</f>
        <v>6.4000000000000015E-2</v>
      </c>
      <c r="G13" s="91"/>
      <c r="H13" s="58">
        <f>(Synthesis!$C$7^6)*Synthesis!$C$4^3</f>
        <v>7.5295359999999981E-3</v>
      </c>
    </row>
    <row r="14" spans="1:8" s="10" customFormat="1">
      <c r="A14" s="61" t="s">
        <v>156</v>
      </c>
      <c r="B14" s="46">
        <v>11</v>
      </c>
      <c r="C14" s="46"/>
      <c r="D14" s="46">
        <v>5</v>
      </c>
      <c r="E14" s="46"/>
      <c r="F14" s="58">
        <f>F12*Synthesis!$C$4</f>
        <v>0.21760000000000002</v>
      </c>
      <c r="G14" s="91"/>
      <c r="H14" s="58">
        <f>(Synthesis!$C$7^7+1)*Synthesis!$C$4^3</f>
        <v>6.927067520000002E-2</v>
      </c>
    </row>
    <row r="15" spans="1:8" s="10" customFormat="1">
      <c r="A15" s="97" t="s">
        <v>155</v>
      </c>
      <c r="B15" s="46">
        <v>11</v>
      </c>
      <c r="C15" s="46"/>
      <c r="D15" s="46">
        <v>6</v>
      </c>
      <c r="E15" s="46"/>
      <c r="F15" s="58">
        <f>F13*Synthesis!$C$4</f>
        <v>2.5600000000000008E-2</v>
      </c>
      <c r="G15" s="91"/>
      <c r="H15" s="58">
        <f>(Synthesis!$C$7^8)*Synthesis!$C$4^4</f>
        <v>1.4757890559999997E-3</v>
      </c>
    </row>
    <row r="16" spans="1:8" s="10" customFormat="1">
      <c r="A16" s="61" t="s">
        <v>156</v>
      </c>
      <c r="B16" s="46">
        <v>11</v>
      </c>
      <c r="C16" s="46"/>
      <c r="D16" s="46">
        <v>6</v>
      </c>
      <c r="E16" s="46"/>
      <c r="F16" s="58">
        <f>F14*Synthesis!$C$4</f>
        <v>8.7040000000000006E-2</v>
      </c>
      <c r="G16" s="91"/>
      <c r="H16" s="58">
        <f>(Synthesis!$C$7^9+1)*Synthesis!$C$4^4</f>
        <v>2.6633052339200009E-2</v>
      </c>
    </row>
    <row r="17" spans="1:8" s="10" customFormat="1">
      <c r="A17" s="97" t="s">
        <v>155</v>
      </c>
      <c r="B17" s="46">
        <v>11</v>
      </c>
      <c r="C17" s="46"/>
      <c r="D17" s="46">
        <v>7</v>
      </c>
      <c r="E17" s="46"/>
      <c r="F17" s="58">
        <f>F15*Synthesis!$C$4</f>
        <v>1.0240000000000004E-2</v>
      </c>
      <c r="G17" s="91"/>
      <c r="H17" s="58">
        <f>(Synthesis!$C$7^10)*Synthesis!$C$4^5</f>
        <v>2.8925465497599994E-4</v>
      </c>
    </row>
    <row r="18" spans="1:8" s="10" customFormat="1">
      <c r="A18" s="61" t="s">
        <v>156</v>
      </c>
      <c r="B18" s="46">
        <v>11</v>
      </c>
      <c r="C18" s="46"/>
      <c r="D18" s="46">
        <v>7</v>
      </c>
      <c r="E18" s="46"/>
      <c r="F18" s="58">
        <f>F16*Synthesis!$C$4</f>
        <v>3.4816000000000007E-2</v>
      </c>
      <c r="G18" s="91"/>
      <c r="H18" s="58">
        <f>(Synthesis!$C$7^11+1)*Synthesis!$C$4^5</f>
        <v>1.0442478258483205E-2</v>
      </c>
    </row>
    <row r="19" spans="1:8" s="10" customFormat="1">
      <c r="A19" s="97" t="s">
        <v>155</v>
      </c>
      <c r="B19" s="46">
        <v>11</v>
      </c>
      <c r="C19" s="46"/>
      <c r="D19" s="46">
        <v>8</v>
      </c>
      <c r="E19" s="46"/>
      <c r="F19" s="58">
        <f>F17*Synthesis!$C$4</f>
        <v>4.0960000000000015E-3</v>
      </c>
      <c r="G19" s="91"/>
      <c r="H19" s="58">
        <f>(Synthesis!$C$7^12)*Synthesis!$C$4^6</f>
        <v>5.6693912375295981E-5</v>
      </c>
    </row>
    <row r="20" spans="1:8" s="10" customFormat="1">
      <c r="A20" s="61" t="s">
        <v>156</v>
      </c>
      <c r="B20" s="46">
        <v>11</v>
      </c>
      <c r="C20" s="46"/>
      <c r="D20" s="46">
        <v>8</v>
      </c>
      <c r="E20" s="46"/>
      <c r="F20" s="58">
        <f>F18*Synthesis!$C$4</f>
        <v>1.3926400000000004E-2</v>
      </c>
      <c r="G20" s="91"/>
      <c r="H20" s="58">
        <f>(Synthesis!$C$7^13+1)*Synthesis!$C$4^6</f>
        <v>4.1356857386627092E-3</v>
      </c>
    </row>
    <row r="21" spans="1:8" s="10" customFormat="1">
      <c r="A21" s="97" t="s">
        <v>155</v>
      </c>
      <c r="B21" s="46">
        <v>11</v>
      </c>
      <c r="C21" s="46"/>
      <c r="D21" s="46">
        <v>9</v>
      </c>
      <c r="E21" s="46"/>
      <c r="F21" s="58">
        <f>F19*Synthesis!$C$4</f>
        <v>1.6384000000000008E-3</v>
      </c>
      <c r="G21" s="91"/>
      <c r="H21" s="58">
        <f>(Synthesis!$C$7^14)*Synthesis!$C$4^7</f>
        <v>1.1112006825558012E-5</v>
      </c>
    </row>
    <row r="22" spans="1:8" s="10" customFormat="1">
      <c r="A22" s="61" t="s">
        <v>156</v>
      </c>
      <c r="B22" s="46">
        <v>11</v>
      </c>
      <c r="C22" s="46"/>
      <c r="D22" s="46">
        <v>9</v>
      </c>
      <c r="E22" s="46"/>
      <c r="F22" s="58">
        <f>F20*Synthesis!$C$4</f>
        <v>5.5705600000000022E-3</v>
      </c>
      <c r="G22" s="91"/>
      <c r="H22" s="58">
        <f>(Synthesis!$C$7^15+1)*Synthesis!$C$4^7</f>
        <v>1.6461784047778919E-3</v>
      </c>
    </row>
    <row r="23" spans="1:8" s="10" customFormat="1">
      <c r="A23" s="97" t="s">
        <v>155</v>
      </c>
      <c r="B23" s="46">
        <v>11</v>
      </c>
      <c r="C23" s="46"/>
      <c r="D23" s="46">
        <v>10</v>
      </c>
      <c r="E23" s="46"/>
      <c r="F23" s="58">
        <f>F21*Synthesis!$C$4</f>
        <v>6.5536000000000034E-4</v>
      </c>
      <c r="G23" s="91"/>
      <c r="H23" s="58">
        <f>(Synthesis!$C$7^16)*Synthesis!$C$4^8</f>
        <v>2.1779533378093702E-6</v>
      </c>
    </row>
    <row r="24" spans="1:8" s="10" customFormat="1">
      <c r="A24" s="61" t="s">
        <v>156</v>
      </c>
      <c r="B24" s="46">
        <v>11</v>
      </c>
      <c r="C24" s="46"/>
      <c r="D24" s="46">
        <v>10</v>
      </c>
      <c r="E24" s="46"/>
      <c r="F24" s="58">
        <f>F22*Synthesis!$C$4</f>
        <v>2.2282240000000009E-3</v>
      </c>
      <c r="G24" s="91"/>
      <c r="H24" s="58">
        <f>(Synthesis!$C$7^17+1)*Synthesis!$C$4^8</f>
        <v>6.5688456733646713E-4</v>
      </c>
    </row>
    <row r="25" spans="1:8" s="10" customFormat="1">
      <c r="A25" s="61" t="s">
        <v>116</v>
      </c>
      <c r="B25" s="46"/>
      <c r="C25" s="46" t="s">
        <v>55</v>
      </c>
      <c r="D25" s="46"/>
      <c r="E25" s="46"/>
      <c r="F25" s="58"/>
      <c r="G25" s="91"/>
      <c r="H25" s="58"/>
    </row>
    <row r="26" spans="1:8" s="10" customFormat="1"/>
    <row r="27" spans="1:8" s="10" customFormat="1"/>
    <row r="28" spans="1:8" s="10" customFormat="1"/>
    <row r="29" spans="1:8" s="10" customFormat="1"/>
    <row r="30" spans="1:8" s="10" customFormat="1"/>
    <row r="31" spans="1:8" s="10" customFormat="1"/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G11"/>
  <sheetViews>
    <sheetView topLeftCell="F1" workbookViewId="0">
      <selection activeCell="F17" sqref="F17"/>
    </sheetView>
  </sheetViews>
  <sheetFormatPr baseColWidth="10" defaultRowHeight="16"/>
  <cols>
    <col min="1" max="1" width="34.33203125" customWidth="1"/>
  </cols>
  <sheetData>
    <row r="1" spans="1:7" ht="19">
      <c r="A1" s="34" t="s">
        <v>28</v>
      </c>
      <c r="B1" s="34"/>
      <c r="C1" s="34"/>
      <c r="D1" s="34"/>
      <c r="E1" s="34"/>
    </row>
    <row r="3" spans="1:7">
      <c r="E3" s="47">
        <f>SUM(E5:E11)</f>
        <v>9</v>
      </c>
      <c r="F3" s="32" t="e">
        <f>E3+SUM(F5:F200)*Synthesis!#REF!</f>
        <v>#REF!</v>
      </c>
      <c r="G3">
        <f>SUM(G5:G11)</f>
        <v>6.0659999999999989</v>
      </c>
    </row>
    <row r="4" spans="1:7">
      <c r="B4" s="40" t="s">
        <v>160</v>
      </c>
      <c r="C4" s="40" t="s">
        <v>161</v>
      </c>
      <c r="D4" s="40" t="s">
        <v>162</v>
      </c>
      <c r="E4" s="49" t="str">
        <f>data!$H$3</f>
        <v>diff_id</v>
      </c>
      <c r="F4" s="49" t="str">
        <f>data!$I$3</f>
        <v>arrays</v>
      </c>
      <c r="G4" s="95" t="str">
        <f>data!J3</f>
        <v>reuse</v>
      </c>
    </row>
    <row r="5" spans="1:7">
      <c r="A5" s="68" t="s">
        <v>157</v>
      </c>
      <c r="B5" s="21">
        <v>5</v>
      </c>
      <c r="C5" s="21"/>
      <c r="D5" s="21"/>
      <c r="E5" s="30"/>
      <c r="F5" s="90"/>
      <c r="G5" s="21"/>
    </row>
    <row r="6" spans="1:7">
      <c r="A6" s="68" t="s">
        <v>158</v>
      </c>
      <c r="B6" s="21"/>
      <c r="C6" s="21">
        <v>3</v>
      </c>
      <c r="D6" s="21"/>
      <c r="E6" s="30"/>
      <c r="F6" s="90"/>
      <c r="G6" s="21"/>
    </row>
    <row r="7" spans="1:7">
      <c r="A7" s="68" t="s">
        <v>159</v>
      </c>
      <c r="B7" s="21"/>
      <c r="C7" s="21"/>
      <c r="D7" s="21">
        <v>10</v>
      </c>
      <c r="E7" s="30"/>
      <c r="F7" s="90"/>
      <c r="G7" s="21"/>
    </row>
    <row r="8" spans="1:7">
      <c r="A8" s="68" t="s">
        <v>163</v>
      </c>
      <c r="B8" s="21">
        <v>5</v>
      </c>
      <c r="C8" s="21">
        <v>3</v>
      </c>
      <c r="D8" s="21">
        <v>10</v>
      </c>
      <c r="E8" s="30">
        <v>3</v>
      </c>
      <c r="F8" s="90"/>
      <c r="G8" s="57">
        <v>3</v>
      </c>
    </row>
    <row r="9" spans="1:7">
      <c r="A9" s="68" t="s">
        <v>165</v>
      </c>
      <c r="B9" s="21">
        <v>5</v>
      </c>
      <c r="C9" s="21">
        <v>3</v>
      </c>
      <c r="D9" s="21">
        <v>10</v>
      </c>
      <c r="E9" s="30">
        <v>3</v>
      </c>
      <c r="F9" s="90"/>
      <c r="G9" s="57">
        <f>Synthesis!C7+Synthesis!C7^2+Synthesis!C7</f>
        <v>1.89</v>
      </c>
    </row>
    <row r="10" spans="1:7">
      <c r="A10" s="68" t="s">
        <v>164</v>
      </c>
      <c r="B10" s="21">
        <v>5</v>
      </c>
      <c r="C10" s="21">
        <v>3</v>
      </c>
      <c r="D10" s="21">
        <v>10</v>
      </c>
      <c r="E10" s="30">
        <v>3</v>
      </c>
      <c r="F10" s="90"/>
      <c r="G10" s="57">
        <f>Synthesis!C7^2+Synthesis!C7^3+Synthesis!C7^3</f>
        <v>1.1759999999999997</v>
      </c>
    </row>
    <row r="11" spans="1:7">
      <c r="A11" s="68" t="s">
        <v>166</v>
      </c>
      <c r="B11" s="21"/>
      <c r="C11" s="21"/>
      <c r="D11" s="21">
        <v>10</v>
      </c>
      <c r="E11" s="30"/>
      <c r="F11" s="90"/>
      <c r="G11" s="21"/>
    </row>
  </sheetData>
  <mergeCells count="1">
    <mergeCell ref="A1: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H14"/>
  <sheetViews>
    <sheetView workbookViewId="0">
      <selection activeCell="F17" sqref="F17"/>
    </sheetView>
  </sheetViews>
  <sheetFormatPr baseColWidth="10" defaultRowHeight="16"/>
  <cols>
    <col min="1" max="1" width="38.5" customWidth="1"/>
  </cols>
  <sheetData>
    <row r="1" spans="1:8" ht="19">
      <c r="A1" s="34" t="s">
        <v>29</v>
      </c>
      <c r="B1" s="34"/>
      <c r="C1" s="34"/>
      <c r="D1" s="34"/>
      <c r="E1" s="34"/>
      <c r="F1" s="34"/>
    </row>
    <row r="2" spans="1:8" s="10" customFormat="1">
      <c r="A2" s="11"/>
      <c r="B2" s="11"/>
      <c r="C2" s="11"/>
      <c r="D2" s="11"/>
      <c r="E2" s="11"/>
    </row>
    <row r="3" spans="1:8" s="10" customFormat="1">
      <c r="F3" s="48">
        <f>SUM(F5:F12)</f>
        <v>6.6</v>
      </c>
      <c r="G3" s="32" t="e">
        <f>F3+SUM(G5:G200)*Synthesis!#REF!</f>
        <v>#REF!</v>
      </c>
      <c r="H3" s="32">
        <f>SUM(H4:H13)</f>
        <v>4.976</v>
      </c>
    </row>
    <row r="4" spans="1:8" s="10" customFormat="1">
      <c r="B4" s="49" t="s">
        <v>160</v>
      </c>
      <c r="C4" s="49" t="s">
        <v>161</v>
      </c>
      <c r="D4" s="49" t="s">
        <v>97</v>
      </c>
      <c r="E4" s="49" t="s">
        <v>109</v>
      </c>
      <c r="F4" s="49" t="str">
        <f>data!$H$3</f>
        <v>diff_id</v>
      </c>
      <c r="G4" s="49" t="str">
        <f>data!I$3</f>
        <v>arrays</v>
      </c>
      <c r="H4" s="49" t="str">
        <f>data!J$3</f>
        <v>reuse</v>
      </c>
    </row>
    <row r="5" spans="1:8" s="10" customFormat="1">
      <c r="A5" s="61" t="s">
        <v>167</v>
      </c>
      <c r="B5" s="46">
        <v>2</v>
      </c>
      <c r="C5" s="46"/>
      <c r="D5" s="46"/>
      <c r="E5" s="46"/>
      <c r="F5" s="58"/>
      <c r="G5" s="91"/>
      <c r="H5" s="58"/>
    </row>
    <row r="6" spans="1:8" s="10" customFormat="1">
      <c r="A6" s="61" t="s">
        <v>158</v>
      </c>
      <c r="B6" s="46"/>
      <c r="C6" s="46">
        <v>3</v>
      </c>
      <c r="D6" s="46"/>
      <c r="E6" s="46"/>
      <c r="F6" s="58"/>
      <c r="G6" s="91"/>
      <c r="H6" s="58"/>
    </row>
    <row r="7" spans="1:8" s="10" customFormat="1">
      <c r="A7" s="61" t="s">
        <v>168</v>
      </c>
      <c r="B7" s="46">
        <v>2</v>
      </c>
      <c r="C7" s="46"/>
      <c r="D7" s="46">
        <v>2</v>
      </c>
      <c r="E7" s="46"/>
      <c r="F7" s="58">
        <v>1</v>
      </c>
      <c r="G7" s="91"/>
      <c r="H7" s="58">
        <v>1</v>
      </c>
    </row>
    <row r="8" spans="1:8" s="10" customFormat="1">
      <c r="A8" s="97" t="s">
        <v>169</v>
      </c>
      <c r="B8" s="46"/>
      <c r="C8" s="46">
        <v>3</v>
      </c>
      <c r="D8" s="46"/>
      <c r="E8" s="46">
        <v>1</v>
      </c>
      <c r="F8" s="58">
        <v>2</v>
      </c>
      <c r="G8" s="91"/>
      <c r="H8" s="58">
        <v>1</v>
      </c>
    </row>
    <row r="9" spans="1:8" s="10" customFormat="1">
      <c r="A9" s="61" t="s">
        <v>170</v>
      </c>
      <c r="B9" s="46">
        <v>2</v>
      </c>
      <c r="C9" s="46"/>
      <c r="D9" s="46">
        <v>4</v>
      </c>
      <c r="E9" s="46"/>
      <c r="F9" s="58">
        <v>2</v>
      </c>
      <c r="G9" s="91"/>
      <c r="H9" s="58">
        <f>Synthesis!$C$7+1</f>
        <v>1.7</v>
      </c>
    </row>
    <row r="10" spans="1:8" s="10" customFormat="1">
      <c r="A10" s="97" t="s">
        <v>169</v>
      </c>
      <c r="B10" s="46"/>
      <c r="C10" s="46">
        <v>3</v>
      </c>
      <c r="D10" s="46"/>
      <c r="E10" s="46">
        <v>2</v>
      </c>
      <c r="F10" s="58">
        <f>F8*Synthesis!$C$4</f>
        <v>0.8</v>
      </c>
      <c r="G10" s="91"/>
      <c r="H10" s="58">
        <f>(Synthesis!$C$7+1)*Synthesis!$C$4</f>
        <v>0.68</v>
      </c>
    </row>
    <row r="11" spans="1:8" s="10" customFormat="1">
      <c r="A11" s="61" t="s">
        <v>170</v>
      </c>
      <c r="B11" s="46">
        <v>2</v>
      </c>
      <c r="C11" s="46"/>
      <c r="D11" s="46">
        <v>8</v>
      </c>
      <c r="E11" s="46"/>
      <c r="F11" s="58">
        <f>F9*Synthesis!$C$4</f>
        <v>0.8</v>
      </c>
      <c r="G11" s="91"/>
      <c r="H11" s="58">
        <f>(Synthesis!$C$7^2+1)*Synthesis!$C$4</f>
        <v>0.59599999999999997</v>
      </c>
    </row>
    <row r="12" spans="1:8" s="10" customFormat="1">
      <c r="A12" s="61" t="s">
        <v>116</v>
      </c>
      <c r="B12" s="46"/>
      <c r="C12" s="46"/>
      <c r="D12" s="46">
        <v>8</v>
      </c>
      <c r="E12" s="46"/>
      <c r="F12" s="58"/>
      <c r="G12" s="91"/>
      <c r="H12" s="58"/>
    </row>
    <row r="13" spans="1:8" s="10" customFormat="1"/>
    <row r="14" spans="1:8" s="10" customFormat="1"/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H18"/>
  <sheetViews>
    <sheetView workbookViewId="0">
      <selection activeCell="F17" sqref="F17"/>
    </sheetView>
  </sheetViews>
  <sheetFormatPr baseColWidth="10" defaultRowHeight="16"/>
  <cols>
    <col min="1" max="1" width="89.1640625" customWidth="1"/>
  </cols>
  <sheetData>
    <row r="1" spans="1:8" ht="19">
      <c r="A1" s="50" t="s">
        <v>37</v>
      </c>
      <c r="B1" s="50"/>
      <c r="C1" s="50"/>
      <c r="D1" s="50"/>
      <c r="E1" s="50"/>
      <c r="F1" s="50"/>
    </row>
    <row r="2" spans="1:8" s="10" customFormat="1">
      <c r="A2" s="13"/>
      <c r="B2" s="13"/>
      <c r="C2" s="13"/>
      <c r="D2" s="13"/>
      <c r="E2" s="13"/>
    </row>
    <row r="3" spans="1:8" s="10" customFormat="1">
      <c r="F3" s="47">
        <f>SUM(F5:F11)</f>
        <v>5.6000000000000005</v>
      </c>
      <c r="G3" s="32" t="e">
        <f>F3+SUM(G5:G200)*Synthesis!#REF!</f>
        <v>#REF!</v>
      </c>
      <c r="H3" s="32">
        <f>SUM(H5:H11)</f>
        <v>4.8332000000000006</v>
      </c>
    </row>
    <row r="4" spans="1:8" s="10" customFormat="1">
      <c r="B4" s="49" t="s">
        <v>172</v>
      </c>
      <c r="C4" s="49" t="s">
        <v>97</v>
      </c>
      <c r="D4" s="49" t="s">
        <v>109</v>
      </c>
      <c r="E4" s="49" t="s">
        <v>175</v>
      </c>
      <c r="F4" s="49" t="str">
        <f>data!$H$3</f>
        <v>diff_id</v>
      </c>
      <c r="G4" s="49" t="str">
        <f>data!I$3</f>
        <v>arrays</v>
      </c>
      <c r="H4" s="49" t="str">
        <f>data!J$3</f>
        <v>reuse</v>
      </c>
    </row>
    <row r="5" spans="1:8" s="10" customFormat="1">
      <c r="A5" s="61" t="s">
        <v>171</v>
      </c>
      <c r="B5" s="46" t="s">
        <v>173</v>
      </c>
      <c r="C5" s="46"/>
      <c r="D5" s="46"/>
      <c r="E5" s="46"/>
      <c r="F5" s="58"/>
      <c r="G5" s="91"/>
      <c r="H5" s="58"/>
    </row>
    <row r="6" spans="1:8" s="10" customFormat="1">
      <c r="A6" s="61" t="s">
        <v>154</v>
      </c>
      <c r="B6" s="46"/>
      <c r="C6" s="46" t="s">
        <v>55</v>
      </c>
      <c r="D6" s="46"/>
      <c r="E6" s="46"/>
      <c r="F6" s="58"/>
      <c r="G6" s="91"/>
      <c r="H6" s="58"/>
    </row>
    <row r="7" spans="1:8" s="10" customFormat="1">
      <c r="A7" s="70" t="s">
        <v>174</v>
      </c>
      <c r="B7" s="46" t="s">
        <v>173</v>
      </c>
      <c r="C7" s="46"/>
      <c r="D7" s="46">
        <v>0</v>
      </c>
      <c r="E7" s="46">
        <v>3</v>
      </c>
      <c r="F7" s="58">
        <v>1</v>
      </c>
      <c r="G7" s="91"/>
      <c r="H7" s="58">
        <v>1</v>
      </c>
    </row>
    <row r="8" spans="1:8" s="10" customFormat="1">
      <c r="A8" s="61" t="s">
        <v>176</v>
      </c>
      <c r="B8" s="46" t="s">
        <v>173</v>
      </c>
      <c r="C8" s="46"/>
      <c r="D8" s="46">
        <v>0</v>
      </c>
      <c r="E8" s="46">
        <v>3</v>
      </c>
      <c r="F8" s="58">
        <v>3</v>
      </c>
      <c r="G8" s="91"/>
      <c r="H8" s="58">
        <f>(Synthesis!$C$7+1+1)</f>
        <v>2.7</v>
      </c>
    </row>
    <row r="9" spans="1:8" s="10" customFormat="1">
      <c r="A9" s="70" t="s">
        <v>174</v>
      </c>
      <c r="B9" s="46" t="s">
        <v>173</v>
      </c>
      <c r="C9" s="46"/>
      <c r="D9" s="46">
        <v>1</v>
      </c>
      <c r="E9" s="46">
        <v>2</v>
      </c>
      <c r="F9" s="58">
        <f>F7*Synthesis!$C$4</f>
        <v>0.4</v>
      </c>
      <c r="G9" s="91"/>
      <c r="H9" s="58">
        <f>(Synthesis!$C$7^2)*Synthesis!$C$4</f>
        <v>0.19599999999999998</v>
      </c>
    </row>
    <row r="10" spans="1:8" s="10" customFormat="1">
      <c r="A10" s="61" t="s">
        <v>176</v>
      </c>
      <c r="B10" s="46" t="s">
        <v>173</v>
      </c>
      <c r="C10" s="46"/>
      <c r="D10" s="46">
        <v>1</v>
      </c>
      <c r="E10" s="46">
        <v>2</v>
      </c>
      <c r="F10" s="58">
        <f>F8*Synthesis!$C$4</f>
        <v>1.2000000000000002</v>
      </c>
      <c r="G10" s="91"/>
      <c r="H10" s="58">
        <f>(Synthesis!$C$7^3+1+1)*Synthesis!$C$4</f>
        <v>0.93720000000000003</v>
      </c>
    </row>
    <row r="11" spans="1:8" s="10" customFormat="1">
      <c r="A11" s="61" t="s">
        <v>116</v>
      </c>
      <c r="B11" s="46"/>
      <c r="C11" s="46" t="s">
        <v>55</v>
      </c>
      <c r="D11" s="46"/>
      <c r="E11" s="46"/>
      <c r="F11" s="58"/>
      <c r="G11" s="91"/>
      <c r="H11" s="58"/>
    </row>
    <row r="12" spans="1:8" s="10" customFormat="1"/>
    <row r="13" spans="1:8" s="10" customFormat="1"/>
    <row r="14" spans="1:8" s="10" customFormat="1"/>
    <row r="15" spans="1:8" s="10" customFormat="1"/>
    <row r="16" spans="1:8" s="10" customFormat="1"/>
    <row r="17" s="10" customFormat="1"/>
    <row r="18" s="10" customFormat="1"/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G11"/>
  <sheetViews>
    <sheetView workbookViewId="0">
      <selection activeCell="F17" sqref="F17"/>
    </sheetView>
  </sheetViews>
  <sheetFormatPr baseColWidth="10" defaultRowHeight="16"/>
  <cols>
    <col min="1" max="1" width="39.5" style="10" customWidth="1"/>
    <col min="2" max="16384" width="10.83203125" style="10"/>
  </cols>
  <sheetData>
    <row r="1" spans="1:7" ht="19">
      <c r="A1" s="50" t="s">
        <v>36</v>
      </c>
      <c r="B1" s="50"/>
      <c r="C1" s="50"/>
      <c r="D1" s="50"/>
      <c r="E1" s="50"/>
    </row>
    <row r="2" spans="1:7">
      <c r="A2" s="13"/>
      <c r="B2" s="13"/>
      <c r="C2" s="13"/>
      <c r="D2" s="13"/>
    </row>
    <row r="3" spans="1:7">
      <c r="E3" s="48">
        <f>SUM(E5:E11)</f>
        <v>3</v>
      </c>
      <c r="F3" s="32" t="e">
        <f>E3+SUM(F5:F200)*Synthesis!#REF!</f>
        <v>#REF!</v>
      </c>
      <c r="G3" s="32">
        <f>SUM(G5:G11)</f>
        <v>3</v>
      </c>
    </row>
    <row r="4" spans="1:7">
      <c r="B4" s="49" t="s">
        <v>184</v>
      </c>
      <c r="C4" s="49" t="s">
        <v>185</v>
      </c>
      <c r="D4" s="49" t="s">
        <v>186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1" t="s">
        <v>177</v>
      </c>
      <c r="B5" s="46">
        <v>23</v>
      </c>
      <c r="C5" s="46"/>
      <c r="D5" s="46"/>
      <c r="E5" s="58"/>
      <c r="F5" s="91"/>
      <c r="G5" s="58"/>
    </row>
    <row r="6" spans="1:7">
      <c r="A6" s="61" t="s">
        <v>178</v>
      </c>
      <c r="B6" s="46"/>
      <c r="C6" s="46">
        <v>42</v>
      </c>
      <c r="D6" s="46"/>
      <c r="E6" s="58"/>
      <c r="F6" s="91"/>
      <c r="G6" s="58"/>
    </row>
    <row r="7" spans="1:7">
      <c r="A7" s="61" t="s">
        <v>179</v>
      </c>
      <c r="B7" s="46"/>
      <c r="C7" s="46"/>
      <c r="D7" s="46"/>
      <c r="E7" s="58"/>
      <c r="F7" s="91"/>
      <c r="G7" s="58"/>
    </row>
    <row r="8" spans="1:7">
      <c r="A8" s="61" t="s">
        <v>180</v>
      </c>
      <c r="B8" s="46">
        <v>23</v>
      </c>
      <c r="C8" s="46"/>
      <c r="D8" s="46">
        <v>23</v>
      </c>
      <c r="E8" s="58">
        <v>1</v>
      </c>
      <c r="F8" s="91"/>
      <c r="G8" s="58">
        <v>1</v>
      </c>
    </row>
    <row r="9" spans="1:7">
      <c r="A9" s="61" t="s">
        <v>181</v>
      </c>
      <c r="B9" s="46">
        <v>42</v>
      </c>
      <c r="C9" s="46">
        <v>42</v>
      </c>
      <c r="D9" s="46"/>
      <c r="E9" s="58">
        <v>1</v>
      </c>
      <c r="F9" s="91"/>
      <c r="G9" s="58">
        <v>1</v>
      </c>
    </row>
    <row r="10" spans="1:7">
      <c r="A10" s="61" t="s">
        <v>182</v>
      </c>
      <c r="B10" s="46"/>
      <c r="C10" s="46">
        <v>23</v>
      </c>
      <c r="D10" s="46">
        <v>23</v>
      </c>
      <c r="E10" s="58">
        <v>1</v>
      </c>
      <c r="F10" s="91"/>
      <c r="G10" s="58">
        <v>1</v>
      </c>
    </row>
    <row r="11" spans="1:7">
      <c r="A11" s="61" t="s">
        <v>183</v>
      </c>
      <c r="B11" s="46">
        <v>42</v>
      </c>
      <c r="C11" s="46"/>
      <c r="D11" s="46"/>
      <c r="E11" s="58"/>
      <c r="F11" s="91"/>
      <c r="G11" s="58"/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G17"/>
  <sheetViews>
    <sheetView workbookViewId="0">
      <selection activeCell="F17" sqref="F17"/>
    </sheetView>
  </sheetViews>
  <sheetFormatPr baseColWidth="10" defaultRowHeight="16"/>
  <cols>
    <col min="1" max="1" width="62.5" style="10" customWidth="1"/>
    <col min="2" max="6" width="10.83203125" style="10"/>
    <col min="7" max="7" width="11.1640625" style="10" bestFit="1" customWidth="1"/>
    <col min="8" max="16384" width="10.83203125" style="10"/>
  </cols>
  <sheetData>
    <row r="1" spans="1:7" ht="19">
      <c r="A1" s="44" t="s">
        <v>187</v>
      </c>
      <c r="B1" s="44"/>
      <c r="C1" s="44"/>
      <c r="D1" s="44"/>
      <c r="E1" s="44"/>
    </row>
    <row r="3" spans="1:7">
      <c r="E3" s="48">
        <f>SUM(E5:E17)</f>
        <v>4.9488000000000003</v>
      </c>
      <c r="F3" s="32" t="e">
        <f>E3+SUM(F5:F200)*Synthesis!#REF!</f>
        <v>#REF!</v>
      </c>
      <c r="G3" s="32">
        <f>SUM(G5:G17)</f>
        <v>5.4130162525952006</v>
      </c>
    </row>
    <row r="4" spans="1:7">
      <c r="B4" s="51" t="s">
        <v>172</v>
      </c>
      <c r="C4" s="51" t="s">
        <v>97</v>
      </c>
      <c r="D4" s="51" t="s">
        <v>175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1" t="s">
        <v>188</v>
      </c>
      <c r="B5" s="46" t="s">
        <v>190</v>
      </c>
      <c r="C5" s="46"/>
      <c r="D5" s="46"/>
      <c r="E5" s="58"/>
      <c r="F5" s="91"/>
      <c r="G5" s="58"/>
    </row>
    <row r="6" spans="1:7">
      <c r="A6" s="61" t="s">
        <v>189</v>
      </c>
      <c r="B6" s="46"/>
      <c r="C6" s="46" t="s">
        <v>191</v>
      </c>
      <c r="D6" s="46"/>
      <c r="E6" s="58"/>
      <c r="F6" s="91"/>
      <c r="G6" s="58"/>
    </row>
    <row r="7" spans="1:7">
      <c r="A7" s="61" t="s">
        <v>192</v>
      </c>
      <c r="B7" s="46" t="s">
        <v>190</v>
      </c>
      <c r="C7" s="46"/>
      <c r="D7" s="46">
        <v>4</v>
      </c>
      <c r="E7" s="58">
        <v>1</v>
      </c>
      <c r="F7" s="91"/>
      <c r="G7" s="58">
        <v>1</v>
      </c>
    </row>
    <row r="8" spans="1:7">
      <c r="A8" s="61" t="s">
        <v>193</v>
      </c>
      <c r="B8" s="46" t="s">
        <v>190</v>
      </c>
      <c r="C8" s="46" t="s">
        <v>194</v>
      </c>
      <c r="D8" s="46">
        <v>4</v>
      </c>
      <c r="E8" s="58">
        <v>2</v>
      </c>
      <c r="F8" s="91"/>
      <c r="G8" s="58">
        <f>Synthesis!$C$7+1+1</f>
        <v>2.7</v>
      </c>
    </row>
    <row r="9" spans="1:7">
      <c r="A9" s="61" t="s">
        <v>192</v>
      </c>
      <c r="B9" s="46" t="s">
        <v>190</v>
      </c>
      <c r="C9" s="46"/>
      <c r="D9" s="46">
        <v>3</v>
      </c>
      <c r="E9" s="58">
        <f>E7*Synthesis!$C$4</f>
        <v>0.4</v>
      </c>
      <c r="F9" s="91"/>
      <c r="G9" s="58">
        <f>(Synthesis!$C$7^2)*Synthesis!$C$4</f>
        <v>0.19599999999999998</v>
      </c>
    </row>
    <row r="10" spans="1:7">
      <c r="A10" s="61" t="s">
        <v>193</v>
      </c>
      <c r="B10" s="46" t="s">
        <v>190</v>
      </c>
      <c r="C10" s="46" t="s">
        <v>195</v>
      </c>
      <c r="D10" s="46">
        <v>3</v>
      </c>
      <c r="E10" s="58">
        <f>E8*Synthesis!$C$4</f>
        <v>0.8</v>
      </c>
      <c r="F10" s="91"/>
      <c r="G10" s="58">
        <f>(Synthesis!$C$7^3+1+1)*Synthesis!$C$4</f>
        <v>0.93720000000000003</v>
      </c>
    </row>
    <row r="11" spans="1:7">
      <c r="A11" s="61" t="s">
        <v>192</v>
      </c>
      <c r="B11" s="46" t="s">
        <v>190</v>
      </c>
      <c r="C11" s="46"/>
      <c r="D11" s="46">
        <v>2</v>
      </c>
      <c r="E11" s="58">
        <f>E9*Synthesis!$C$4</f>
        <v>0.16000000000000003</v>
      </c>
      <c r="F11" s="91"/>
      <c r="G11" s="58">
        <f>(Synthesis!$C$7^4)*Synthesis!$C$4^2</f>
        <v>3.8415999999999999E-2</v>
      </c>
    </row>
    <row r="12" spans="1:7">
      <c r="A12" s="61" t="s">
        <v>193</v>
      </c>
      <c r="B12" s="46" t="s">
        <v>190</v>
      </c>
      <c r="C12" s="46" t="s">
        <v>196</v>
      </c>
      <c r="D12" s="46">
        <v>2</v>
      </c>
      <c r="E12" s="58">
        <f>E10*Synthesis!$C$4</f>
        <v>0.32000000000000006</v>
      </c>
      <c r="F12" s="91"/>
      <c r="G12" s="58">
        <f>(Synthesis!$C$7^5+1+1)*Synthesis!$C$4^2</f>
        <v>0.34689120000000007</v>
      </c>
    </row>
    <row r="13" spans="1:7">
      <c r="A13" s="61" t="s">
        <v>192</v>
      </c>
      <c r="B13" s="46" t="s">
        <v>190</v>
      </c>
      <c r="C13" s="46"/>
      <c r="D13" s="46">
        <v>1</v>
      </c>
      <c r="E13" s="58">
        <f>E11*Synthesis!$C$4</f>
        <v>6.4000000000000015E-2</v>
      </c>
      <c r="F13" s="91"/>
      <c r="G13" s="58">
        <f>(Synthesis!$C$7^6)*Synthesis!$C$4^3</f>
        <v>7.5295359999999981E-3</v>
      </c>
    </row>
    <row r="14" spans="1:7">
      <c r="A14" s="61" t="s">
        <v>193</v>
      </c>
      <c r="B14" s="46" t="s">
        <v>190</v>
      </c>
      <c r="C14" s="46" t="s">
        <v>197</v>
      </c>
      <c r="D14" s="46">
        <v>1</v>
      </c>
      <c r="E14" s="58">
        <f>E12*Synthesis!$C$4</f>
        <v>0.12800000000000003</v>
      </c>
      <c r="F14" s="91"/>
      <c r="G14" s="58">
        <f>(Synthesis!$C$7^7+1+1)*Synthesis!$C$4^3</f>
        <v>0.13327067520000002</v>
      </c>
    </row>
    <row r="15" spans="1:7">
      <c r="A15" s="61" t="s">
        <v>192</v>
      </c>
      <c r="B15" s="46" t="s">
        <v>190</v>
      </c>
      <c r="C15" s="46"/>
      <c r="D15" s="46">
        <v>0</v>
      </c>
      <c r="E15" s="58">
        <f>E13*Synthesis!$C$4</f>
        <v>2.5600000000000008E-2</v>
      </c>
      <c r="F15" s="91"/>
      <c r="G15" s="58">
        <f>(Synthesis!$C$7^8)*Synthesis!$C$4^4</f>
        <v>1.4757890559999997E-3</v>
      </c>
    </row>
    <row r="16" spans="1:7">
      <c r="A16" s="61" t="s">
        <v>193</v>
      </c>
      <c r="B16" s="46" t="s">
        <v>190</v>
      </c>
      <c r="C16" s="46" t="s">
        <v>59</v>
      </c>
      <c r="D16" s="46">
        <v>0</v>
      </c>
      <c r="E16" s="58">
        <f>E14*Synthesis!$C$4</f>
        <v>5.1200000000000016E-2</v>
      </c>
      <c r="F16" s="91"/>
      <c r="G16" s="58">
        <f>(Synthesis!$C$7^9+1+1)*Synthesis!$C$4^4</f>
        <v>5.2233052339200024E-2</v>
      </c>
    </row>
    <row r="17" spans="1:7">
      <c r="A17" s="61" t="s">
        <v>116</v>
      </c>
      <c r="B17" s="46"/>
      <c r="C17" s="46" t="s">
        <v>59</v>
      </c>
      <c r="D17" s="46"/>
      <c r="E17" s="58"/>
      <c r="F17" s="91"/>
      <c r="G17" s="58"/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F17" sqref="F17"/>
    </sheetView>
  </sheetViews>
  <sheetFormatPr baseColWidth="10" defaultRowHeight="16"/>
  <sheetData>
    <row r="1" spans="1:11">
      <c r="A1" t="s">
        <v>324</v>
      </c>
    </row>
    <row r="3" spans="1:11">
      <c r="A3" s="19" t="s">
        <v>325</v>
      </c>
      <c r="K3" t="s">
        <v>323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G8"/>
  <sheetViews>
    <sheetView workbookViewId="0">
      <selection activeCell="F17" sqref="F17"/>
    </sheetView>
  </sheetViews>
  <sheetFormatPr baseColWidth="10" defaultRowHeight="16"/>
  <cols>
    <col min="1" max="1" width="33.6640625" style="10" customWidth="1"/>
    <col min="2" max="16384" width="10.83203125" style="10"/>
  </cols>
  <sheetData>
    <row r="1" spans="1:7" ht="19">
      <c r="A1" s="44" t="s">
        <v>199</v>
      </c>
      <c r="B1" s="44"/>
      <c r="C1" s="44"/>
      <c r="D1" s="44"/>
      <c r="E1" s="44"/>
    </row>
    <row r="3" spans="1:7">
      <c r="E3" s="48">
        <f>SUM(E5:E17)</f>
        <v>2</v>
      </c>
      <c r="F3" s="32" t="e">
        <f>E3+SUM(F5:F200)*Synthesis!#REF!</f>
        <v>#REF!</v>
      </c>
      <c r="G3" s="32">
        <f>SUM(G5:G8)</f>
        <v>2</v>
      </c>
    </row>
    <row r="4" spans="1:7">
      <c r="B4" s="49" t="s">
        <v>203</v>
      </c>
      <c r="C4" s="49" t="s">
        <v>204</v>
      </c>
      <c r="D4" s="49" t="s">
        <v>97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1" t="s">
        <v>200</v>
      </c>
      <c r="B5" s="46">
        <v>4</v>
      </c>
      <c r="C5" s="46"/>
      <c r="D5" s="46"/>
      <c r="E5" s="71"/>
      <c r="F5" s="91"/>
      <c r="G5" s="71"/>
    </row>
    <row r="6" spans="1:7">
      <c r="A6" s="61" t="s">
        <v>201</v>
      </c>
      <c r="B6" s="46"/>
      <c r="C6" s="46">
        <v>8</v>
      </c>
      <c r="D6" s="46"/>
      <c r="E6" s="71"/>
      <c r="F6" s="91"/>
      <c r="G6" s="71"/>
    </row>
    <row r="7" spans="1:7">
      <c r="A7" s="61" t="s">
        <v>202</v>
      </c>
      <c r="B7" s="46">
        <v>4</v>
      </c>
      <c r="C7" s="46">
        <v>8</v>
      </c>
      <c r="D7" s="46">
        <v>6</v>
      </c>
      <c r="E7" s="71">
        <v>2</v>
      </c>
      <c r="F7" s="91"/>
      <c r="G7" s="71">
        <v>2</v>
      </c>
    </row>
    <row r="8" spans="1:7">
      <c r="A8" s="61" t="s">
        <v>116</v>
      </c>
      <c r="B8" s="46"/>
      <c r="C8" s="46"/>
      <c r="D8" s="46">
        <v>6</v>
      </c>
      <c r="E8" s="71"/>
      <c r="F8" s="91"/>
      <c r="G8" s="71"/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I13"/>
  <sheetViews>
    <sheetView workbookViewId="0">
      <selection activeCell="F17" sqref="F17"/>
    </sheetView>
  </sheetViews>
  <sheetFormatPr baseColWidth="10" defaultRowHeight="16"/>
  <cols>
    <col min="1" max="1" width="51.33203125" customWidth="1"/>
    <col min="2" max="2" width="19.5" customWidth="1"/>
  </cols>
  <sheetData>
    <row r="1" spans="1:9" ht="19">
      <c r="A1" s="44" t="s">
        <v>205</v>
      </c>
      <c r="B1" s="44"/>
      <c r="C1" s="44"/>
      <c r="D1" s="44"/>
      <c r="E1" s="44"/>
      <c r="F1" s="44"/>
      <c r="G1" s="44"/>
    </row>
    <row r="3" spans="1:9">
      <c r="G3" s="48">
        <f>SUM(G5:G13)</f>
        <v>6</v>
      </c>
      <c r="H3" s="32" t="e">
        <f>G3+SUM(H5:H200)*Synthesis!#REF!</f>
        <v>#REF!</v>
      </c>
      <c r="I3" s="32">
        <f>SUM(I5:I13)</f>
        <v>7.1000000000000005</v>
      </c>
    </row>
    <row r="4" spans="1:9">
      <c r="B4" s="67" t="s">
        <v>172</v>
      </c>
      <c r="C4" s="67" t="s">
        <v>214</v>
      </c>
      <c r="D4" s="67" t="s">
        <v>215</v>
      </c>
      <c r="E4" s="67" t="s">
        <v>123</v>
      </c>
      <c r="F4" s="67" t="s">
        <v>125</v>
      </c>
      <c r="G4" s="49" t="str">
        <f>data!$H$3</f>
        <v>diff_id</v>
      </c>
      <c r="H4" s="49" t="str">
        <f>data!I$3</f>
        <v>arrays</v>
      </c>
      <c r="I4" s="49" t="str">
        <f>data!J$3</f>
        <v>reuse</v>
      </c>
    </row>
    <row r="5" spans="1:9">
      <c r="A5" s="68" t="s">
        <v>206</v>
      </c>
      <c r="B5" s="21" t="s">
        <v>216</v>
      </c>
      <c r="C5" s="21"/>
      <c r="D5" s="21"/>
      <c r="E5" s="21"/>
      <c r="F5" s="21"/>
      <c r="G5" s="30"/>
      <c r="H5" s="90"/>
      <c r="I5" s="30"/>
    </row>
    <row r="6" spans="1:9">
      <c r="A6" s="68" t="s">
        <v>207</v>
      </c>
      <c r="B6" s="21"/>
      <c r="C6" s="21" t="s">
        <v>217</v>
      </c>
      <c r="D6" s="21"/>
      <c r="E6" s="21"/>
      <c r="F6" s="21"/>
      <c r="G6" s="30"/>
      <c r="H6" s="90"/>
      <c r="I6" s="30"/>
    </row>
    <row r="7" spans="1:9">
      <c r="A7" s="68" t="s">
        <v>208</v>
      </c>
      <c r="B7" s="21"/>
      <c r="C7" s="21"/>
      <c r="D7" s="21" t="s">
        <v>218</v>
      </c>
      <c r="E7" s="21"/>
      <c r="F7" s="21"/>
      <c r="G7" s="30"/>
      <c r="H7" s="90"/>
      <c r="I7" s="30"/>
    </row>
    <row r="8" spans="1:9">
      <c r="A8" s="68" t="s">
        <v>209</v>
      </c>
      <c r="B8" s="21" t="s">
        <v>216</v>
      </c>
      <c r="C8" s="21" t="s">
        <v>217</v>
      </c>
      <c r="D8" s="21"/>
      <c r="E8" s="21">
        <v>16</v>
      </c>
      <c r="F8" s="21"/>
      <c r="G8" s="30">
        <v>2</v>
      </c>
      <c r="H8" s="90"/>
      <c r="I8" s="30">
        <v>2</v>
      </c>
    </row>
    <row r="9" spans="1:9">
      <c r="A9" s="68" t="s">
        <v>210</v>
      </c>
      <c r="B9" s="21" t="s">
        <v>216</v>
      </c>
      <c r="C9" s="21"/>
      <c r="D9" s="21" t="s">
        <v>218</v>
      </c>
      <c r="E9" s="21"/>
      <c r="F9" s="21">
        <v>-1</v>
      </c>
      <c r="G9" s="30">
        <v>2</v>
      </c>
      <c r="H9" s="90"/>
      <c r="I9" s="30">
        <f>Synthesis!$C$7+1</f>
        <v>1.7</v>
      </c>
    </row>
    <row r="10" spans="1:9">
      <c r="A10" s="68" t="s">
        <v>211</v>
      </c>
      <c r="B10" s="21"/>
      <c r="C10" s="21"/>
      <c r="D10" s="21"/>
      <c r="E10" s="21">
        <v>16</v>
      </c>
      <c r="F10" s="21"/>
      <c r="G10" s="30">
        <v>1</v>
      </c>
      <c r="H10" s="90"/>
      <c r="I10" s="30">
        <v>1</v>
      </c>
    </row>
    <row r="11" spans="1:9">
      <c r="A11" s="68" t="s">
        <v>213</v>
      </c>
      <c r="B11" s="21"/>
      <c r="C11" s="21" t="s">
        <v>217</v>
      </c>
      <c r="D11" s="21"/>
      <c r="E11" s="21"/>
      <c r="F11" s="21"/>
      <c r="G11" s="30"/>
      <c r="H11" s="90"/>
      <c r="I11" s="30">
        <f>Synthesis!$C$7</f>
        <v>0.7</v>
      </c>
    </row>
    <row r="12" spans="1:9">
      <c r="A12" s="68" t="s">
        <v>219</v>
      </c>
      <c r="B12" s="21"/>
      <c r="C12" s="21"/>
      <c r="D12" s="21"/>
      <c r="E12" s="21"/>
      <c r="F12" s="21">
        <v>-1</v>
      </c>
      <c r="G12" s="30">
        <v>1</v>
      </c>
      <c r="H12" s="90"/>
      <c r="I12" s="30">
        <v>1</v>
      </c>
    </row>
    <row r="13" spans="1:9">
      <c r="A13" s="68" t="s">
        <v>220</v>
      </c>
      <c r="B13" s="21"/>
      <c r="C13" s="21"/>
      <c r="D13" s="21" t="s">
        <v>218</v>
      </c>
      <c r="E13" s="21"/>
      <c r="F13" s="21"/>
      <c r="G13" s="30"/>
      <c r="H13" s="90"/>
      <c r="I13" s="30">
        <f>Synthesis!$C$7</f>
        <v>0.7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B1:H58"/>
  <sheetViews>
    <sheetView showGridLines="0" topLeftCell="A13" zoomScale="108" workbookViewId="0">
      <selection activeCell="H27" sqref="H27"/>
    </sheetView>
  </sheetViews>
  <sheetFormatPr baseColWidth="10" defaultRowHeight="16"/>
  <cols>
    <col min="1" max="1" width="10.83203125" style="1"/>
    <col min="2" max="2" width="8.6640625" style="1" customWidth="1"/>
    <col min="3" max="3" width="15" style="1" customWidth="1"/>
    <col min="4" max="4" width="10.83203125" style="1" hidden="1" customWidth="1"/>
    <col min="5" max="5" width="14.33203125" style="1" hidden="1" customWidth="1"/>
    <col min="6" max="6" width="15.33203125" style="1" hidden="1" customWidth="1"/>
    <col min="7" max="7" width="10.83203125" style="1" customWidth="1"/>
    <col min="8" max="8" width="10.5" style="1" customWidth="1"/>
    <col min="9" max="16384" width="10.83203125" style="1"/>
  </cols>
  <sheetData>
    <row r="1" spans="2:7" ht="19">
      <c r="B1" s="50" t="s">
        <v>474</v>
      </c>
      <c r="C1" s="50"/>
      <c r="D1" s="50"/>
      <c r="E1" s="50"/>
      <c r="F1" s="50"/>
    </row>
    <row r="3" spans="2:7">
      <c r="B3" s="102" t="s">
        <v>49</v>
      </c>
      <c r="C3" s="102" t="s">
        <v>1</v>
      </c>
      <c r="D3" s="102" t="s">
        <v>2</v>
      </c>
      <c r="E3" s="102" t="s">
        <v>3</v>
      </c>
    </row>
    <row r="4" spans="2:7">
      <c r="B4" s="80">
        <v>1</v>
      </c>
      <c r="C4" s="41">
        <v>68.014414634146334</v>
      </c>
      <c r="D4" s="42">
        <v>1</v>
      </c>
      <c r="E4" s="42">
        <v>6.8</v>
      </c>
    </row>
    <row r="5" spans="2:7">
      <c r="B5" s="80">
        <v>2</v>
      </c>
      <c r="C5" s="41">
        <v>100.26741463414632</v>
      </c>
      <c r="D5" s="42">
        <v>5</v>
      </c>
      <c r="E5" s="42">
        <v>18.100000000000001</v>
      </c>
    </row>
    <row r="6" spans="2:7">
      <c r="B6" s="80">
        <v>3</v>
      </c>
      <c r="C6" s="41">
        <v>132.46873170731703</v>
      </c>
      <c r="D6" s="42">
        <v>5</v>
      </c>
      <c r="E6" s="42">
        <v>12.8</v>
      </c>
      <c r="G6" s="14"/>
    </row>
    <row r="7" spans="2:7">
      <c r="B7" s="80">
        <v>4</v>
      </c>
      <c r="C7" s="41">
        <v>154.64156097560979</v>
      </c>
      <c r="D7" s="42">
        <v>7</v>
      </c>
      <c r="E7" s="42">
        <v>15.4</v>
      </c>
    </row>
    <row r="8" spans="2:7">
      <c r="B8" s="80">
        <v>5</v>
      </c>
      <c r="C8" s="41">
        <v>211.48453658536584</v>
      </c>
      <c r="D8" s="42">
        <v>5</v>
      </c>
      <c r="E8" s="42">
        <v>14.3</v>
      </c>
    </row>
    <row r="9" spans="2:7">
      <c r="B9" s="80">
        <v>6</v>
      </c>
      <c r="C9" s="41">
        <v>70.510951219512179</v>
      </c>
      <c r="D9" s="42">
        <v>1</v>
      </c>
      <c r="E9" s="42">
        <v>7.1</v>
      </c>
    </row>
    <row r="10" spans="2:7">
      <c r="B10" s="80">
        <v>7</v>
      </c>
      <c r="C10" s="41">
        <v>66.048609756097534</v>
      </c>
      <c r="D10" s="42">
        <v>3</v>
      </c>
      <c r="E10" s="42">
        <v>9.5</v>
      </c>
    </row>
    <row r="11" spans="2:7">
      <c r="B11" s="80">
        <v>8</v>
      </c>
      <c r="C11" s="41">
        <v>104.82602439024393</v>
      </c>
      <c r="D11" s="42">
        <v>1</v>
      </c>
      <c r="E11" s="42">
        <v>7.4</v>
      </c>
    </row>
    <row r="12" spans="2:7">
      <c r="B12" s="80">
        <v>9</v>
      </c>
      <c r="C12" s="41">
        <v>65.420853658536572</v>
      </c>
      <c r="D12" s="42">
        <v>3</v>
      </c>
      <c r="E12" s="42">
        <v>8.9</v>
      </c>
    </row>
    <row r="13" spans="2:7">
      <c r="B13" s="80">
        <v>10</v>
      </c>
      <c r="C13" s="41">
        <v>42.585804878048783</v>
      </c>
      <c r="D13" s="42">
        <v>6</v>
      </c>
      <c r="E13" s="42">
        <v>16.7</v>
      </c>
    </row>
    <row r="14" spans="2:7">
      <c r="B14" s="80">
        <v>11</v>
      </c>
      <c r="C14" s="41">
        <v>65.473780487804873</v>
      </c>
      <c r="D14" s="42">
        <v>1</v>
      </c>
      <c r="E14" s="42">
        <v>7.4</v>
      </c>
    </row>
    <row r="15" spans="2:7">
      <c r="B15" s="80">
        <v>12</v>
      </c>
      <c r="C15" s="41">
        <v>59.81002439024391</v>
      </c>
      <c r="D15" s="42">
        <v>3</v>
      </c>
      <c r="E15" s="42">
        <v>14</v>
      </c>
    </row>
    <row r="16" spans="2:7">
      <c r="B16" s="80">
        <v>13</v>
      </c>
      <c r="C16" s="41">
        <v>37.425292682926823</v>
      </c>
      <c r="D16" s="42">
        <v>0</v>
      </c>
      <c r="E16" s="42">
        <v>6</v>
      </c>
    </row>
    <row r="17" spans="2:8">
      <c r="B17" s="80">
        <v>14</v>
      </c>
      <c r="C17" s="41">
        <v>48.394707317073163</v>
      </c>
      <c r="D17" s="42">
        <v>1</v>
      </c>
      <c r="E17" s="42">
        <v>9.5</v>
      </c>
    </row>
    <row r="18" spans="2:8">
      <c r="B18" s="80">
        <v>15</v>
      </c>
      <c r="C18" s="41">
        <v>355.30917073170724</v>
      </c>
      <c r="D18" s="42">
        <v>9</v>
      </c>
      <c r="E18" s="42">
        <v>29.7</v>
      </c>
      <c r="G18" s="14"/>
    </row>
    <row r="19" spans="2:8">
      <c r="B19" s="80">
        <v>16</v>
      </c>
      <c r="C19" s="41">
        <v>20.50239024390244</v>
      </c>
      <c r="D19" s="42">
        <v>0</v>
      </c>
      <c r="E19" s="42">
        <v>5.6</v>
      </c>
    </row>
    <row r="20" spans="2:8">
      <c r="B20" s="80">
        <v>17</v>
      </c>
      <c r="C20" s="41">
        <v>99.988414634146352</v>
      </c>
      <c r="D20" s="42">
        <v>4</v>
      </c>
      <c r="E20" s="42">
        <v>16.2</v>
      </c>
    </row>
    <row r="21" spans="2:8">
      <c r="B21" s="80">
        <v>18</v>
      </c>
      <c r="C21" s="41">
        <v>132.07892682926831</v>
      </c>
      <c r="D21" s="42">
        <v>7</v>
      </c>
      <c r="E21" s="42">
        <v>16.7</v>
      </c>
      <c r="G21" s="14"/>
    </row>
    <row r="22" spans="2:8">
      <c r="B22" s="80">
        <v>19</v>
      </c>
      <c r="C22" s="41">
        <v>145.23982926829271</v>
      </c>
      <c r="D22" s="42">
        <v>3</v>
      </c>
      <c r="E22" s="42">
        <v>21.3</v>
      </c>
    </row>
    <row r="23" spans="2:8">
      <c r="B23" s="80">
        <v>20</v>
      </c>
      <c r="C23" s="41">
        <v>80.621829268292686</v>
      </c>
      <c r="D23" s="42">
        <v>4</v>
      </c>
      <c r="E23" s="42">
        <v>9.8000000000000007</v>
      </c>
    </row>
    <row r="24" spans="2:8">
      <c r="B24" s="80">
        <v>21</v>
      </c>
      <c r="C24" s="41">
        <v>89.939219512195123</v>
      </c>
      <c r="D24" s="42">
        <v>2</v>
      </c>
      <c r="E24" s="42">
        <v>11.7</v>
      </c>
    </row>
    <row r="25" spans="2:8">
      <c r="B25" s="80">
        <v>22</v>
      </c>
      <c r="C25" s="41">
        <v>86.29456097560977</v>
      </c>
      <c r="D25" s="42">
        <v>2</v>
      </c>
      <c r="E25" s="42">
        <v>10.6</v>
      </c>
      <c r="G25" s="14"/>
    </row>
    <row r="26" spans="2:8">
      <c r="B26" s="80">
        <v>23</v>
      </c>
      <c r="C26" s="41">
        <v>54.500707317073157</v>
      </c>
      <c r="D26" s="42">
        <v>2</v>
      </c>
      <c r="E26" s="42">
        <v>9.6</v>
      </c>
    </row>
    <row r="27" spans="2:8">
      <c r="C27" s="81" t="s">
        <v>326</v>
      </c>
      <c r="D27" s="81">
        <f>PEARSON($C4:$C26,D4:D26)</f>
        <v>0.72591509307923441</v>
      </c>
      <c r="E27" s="81">
        <f>PEARSON($C4:$C26,E4:E26)</f>
        <v>0.78748899109661075</v>
      </c>
    </row>
    <row r="28" spans="2:8">
      <c r="C28" s="81" t="s">
        <v>327</v>
      </c>
      <c r="D28" s="43">
        <v>0.50800000000000001</v>
      </c>
      <c r="E28" s="43">
        <v>0.48499999999999999</v>
      </c>
      <c r="G28" s="14"/>
    </row>
    <row r="30" spans="2:8">
      <c r="B30" s="79" t="s">
        <v>507</v>
      </c>
      <c r="C30" s="79" t="s">
        <v>1</v>
      </c>
      <c r="D30" s="79" t="s">
        <v>2</v>
      </c>
      <c r="E30" s="79" t="s">
        <v>3</v>
      </c>
      <c r="F30" s="102" t="s">
        <v>508</v>
      </c>
      <c r="G30" s="79" t="s">
        <v>508</v>
      </c>
      <c r="H30" s="108"/>
    </row>
    <row r="31" spans="2:8">
      <c r="B31" s="42">
        <v>1</v>
      </c>
      <c r="C31" s="41">
        <v>68.014414634146334</v>
      </c>
      <c r="D31" s="42">
        <v>1</v>
      </c>
      <c r="E31" s="42">
        <v>6.8</v>
      </c>
      <c r="F31" s="80">
        <f>'1'!D3</f>
        <v>4.6800000000000006</v>
      </c>
      <c r="G31" s="109">
        <f>'1'!F3</f>
        <v>4.8948</v>
      </c>
      <c r="H31" s="108"/>
    </row>
    <row r="32" spans="2:8">
      <c r="B32" s="42">
        <v>2</v>
      </c>
      <c r="C32" s="41">
        <v>100.26741463414632</v>
      </c>
      <c r="D32" s="42">
        <v>5</v>
      </c>
      <c r="E32" s="42">
        <v>18.100000000000001</v>
      </c>
      <c r="F32" s="80">
        <f>'2'!G3</f>
        <v>10.655744000000004</v>
      </c>
      <c r="G32" s="109">
        <f>'2'!H3</f>
        <v>7.7837939390651911</v>
      </c>
      <c r="H32" s="108"/>
    </row>
    <row r="33" spans="2:8">
      <c r="B33" s="42">
        <v>4</v>
      </c>
      <c r="C33" s="41">
        <v>154.64156097560979</v>
      </c>
      <c r="D33" s="42">
        <v>7</v>
      </c>
      <c r="E33" s="42">
        <v>15.4</v>
      </c>
      <c r="F33" s="80">
        <f>'4'!G3</f>
        <v>15.432000000000002</v>
      </c>
      <c r="G33" s="109">
        <f>'4'!I3</f>
        <v>9.3121798400000007</v>
      </c>
      <c r="H33" s="108"/>
    </row>
    <row r="34" spans="2:8">
      <c r="B34" s="42">
        <v>5</v>
      </c>
      <c r="C34" s="41">
        <v>211.48453658536584</v>
      </c>
      <c r="D34" s="42">
        <v>5</v>
      </c>
      <c r="E34" s="42">
        <v>14.3</v>
      </c>
      <c r="F34" s="80">
        <f>'5'!G3</f>
        <v>18.12</v>
      </c>
      <c r="G34" s="109">
        <f>'5'!I3</f>
        <v>11.704923999999998</v>
      </c>
      <c r="H34" s="108"/>
    </row>
    <row r="35" spans="2:8">
      <c r="B35" s="42">
        <v>6</v>
      </c>
      <c r="C35" s="41">
        <v>70.510951219512179</v>
      </c>
      <c r="D35" s="42">
        <v>1</v>
      </c>
      <c r="E35" s="42">
        <v>7.1</v>
      </c>
      <c r="F35" s="80">
        <f>'6'!E3</f>
        <v>4.8720000000000008</v>
      </c>
      <c r="G35" s="109">
        <f>'6'!F3</f>
        <v>4.7900520000000002</v>
      </c>
      <c r="H35" s="108"/>
    </row>
    <row r="36" spans="2:8">
      <c r="B36" s="42">
        <v>7</v>
      </c>
      <c r="C36" s="41">
        <v>66.048609756097534</v>
      </c>
      <c r="D36" s="42">
        <v>3</v>
      </c>
      <c r="E36" s="42">
        <v>9.5</v>
      </c>
      <c r="F36" s="80">
        <f>'7'!E3</f>
        <v>9.240000000000002</v>
      </c>
      <c r="G36" s="109">
        <f>'7'!G3</f>
        <v>6.6073685280000003</v>
      </c>
      <c r="H36" s="108"/>
    </row>
    <row r="37" spans="2:8">
      <c r="B37" s="112">
        <v>8</v>
      </c>
      <c r="C37" s="41">
        <v>104.82602439024393</v>
      </c>
      <c r="D37" s="42">
        <v>1</v>
      </c>
      <c r="E37" s="42">
        <v>7.4</v>
      </c>
      <c r="F37" s="80">
        <f>'8'!E3</f>
        <v>8.4240000000000013</v>
      </c>
      <c r="G37" s="109">
        <f>'8'!G3</f>
        <v>6.8864000000000001</v>
      </c>
      <c r="H37" s="108"/>
    </row>
    <row r="38" spans="2:8">
      <c r="B38" s="112">
        <v>9</v>
      </c>
      <c r="C38" s="41">
        <v>65.420853658536572</v>
      </c>
      <c r="D38" s="42">
        <v>3</v>
      </c>
      <c r="E38" s="42">
        <v>8.9</v>
      </c>
      <c r="F38" s="80">
        <f>'9'!F3</f>
        <v>7.3314109439999999</v>
      </c>
      <c r="G38" s="109">
        <f>'9'!H3</f>
        <v>5.1806567180919743</v>
      </c>
      <c r="H38" s="108"/>
    </row>
    <row r="39" spans="2:8">
      <c r="B39" s="112">
        <v>10</v>
      </c>
      <c r="C39" s="41">
        <v>42.585804878048783</v>
      </c>
      <c r="D39" s="42">
        <v>6</v>
      </c>
      <c r="E39" s="42">
        <v>16.7</v>
      </c>
      <c r="F39" s="80">
        <f>'10'!E3</f>
        <v>9</v>
      </c>
      <c r="G39" s="109">
        <f>'10'!G3</f>
        <v>6.0659999999999989</v>
      </c>
      <c r="H39" s="108"/>
    </row>
    <row r="40" spans="2:8">
      <c r="B40" s="112">
        <v>11</v>
      </c>
      <c r="C40" s="41">
        <v>65.473780487804873</v>
      </c>
      <c r="D40" s="42">
        <v>1</v>
      </c>
      <c r="E40" s="42">
        <v>7.4</v>
      </c>
      <c r="F40" s="80">
        <f>'11'!F3</f>
        <v>6.6</v>
      </c>
      <c r="G40" s="109">
        <f>'11'!H3</f>
        <v>4.976</v>
      </c>
      <c r="H40" s="108"/>
    </row>
    <row r="41" spans="2:8">
      <c r="B41" s="112">
        <v>12</v>
      </c>
      <c r="C41" s="41">
        <v>59.81002439024391</v>
      </c>
      <c r="D41" s="42">
        <v>3</v>
      </c>
      <c r="E41" s="42">
        <v>14</v>
      </c>
      <c r="F41" s="80">
        <f>'12'!F3</f>
        <v>5.6000000000000005</v>
      </c>
      <c r="G41" s="109">
        <f>'12'!H3</f>
        <v>4.8332000000000006</v>
      </c>
      <c r="H41" s="108"/>
    </row>
    <row r="42" spans="2:8">
      <c r="B42" s="112">
        <v>13</v>
      </c>
      <c r="C42" s="41">
        <v>37.425292682926823</v>
      </c>
      <c r="D42" s="42">
        <v>0</v>
      </c>
      <c r="E42" s="42">
        <v>6</v>
      </c>
      <c r="F42" s="80">
        <f>'13'!E3</f>
        <v>3</v>
      </c>
      <c r="G42" s="109">
        <f>'13'!G3</f>
        <v>3</v>
      </c>
      <c r="H42" s="108"/>
    </row>
    <row r="43" spans="2:8">
      <c r="B43" s="112">
        <v>14</v>
      </c>
      <c r="C43" s="41">
        <v>48.394707317073163</v>
      </c>
      <c r="D43" s="42">
        <v>1</v>
      </c>
      <c r="E43" s="42">
        <v>9.5</v>
      </c>
      <c r="F43" s="80">
        <f>'14'!E3</f>
        <v>4.9488000000000003</v>
      </c>
      <c r="G43" s="109">
        <f>'14'!G3</f>
        <v>5.4130162525952006</v>
      </c>
      <c r="H43" s="108"/>
    </row>
    <row r="44" spans="2:8">
      <c r="B44" s="112">
        <v>16</v>
      </c>
      <c r="C44" s="41">
        <v>20.50239024390244</v>
      </c>
      <c r="D44" s="42">
        <v>0</v>
      </c>
      <c r="E44" s="42">
        <v>5.6</v>
      </c>
      <c r="F44" s="80">
        <f>'16'!E3</f>
        <v>2</v>
      </c>
      <c r="G44" s="109">
        <f>'16'!G3</f>
        <v>2</v>
      </c>
      <c r="H44" s="108"/>
    </row>
    <row r="45" spans="2:8">
      <c r="B45" s="112">
        <v>17</v>
      </c>
      <c r="C45" s="41">
        <v>99.988414634146352</v>
      </c>
      <c r="D45" s="42">
        <v>4</v>
      </c>
      <c r="E45" s="42">
        <v>16.2</v>
      </c>
      <c r="F45" s="80">
        <f>'17'!G3</f>
        <v>6</v>
      </c>
      <c r="G45" s="109">
        <f>'17'!I3</f>
        <v>7.1000000000000005</v>
      </c>
      <c r="H45" s="108"/>
    </row>
    <row r="46" spans="2:8">
      <c r="B46" s="112">
        <v>19</v>
      </c>
      <c r="C46" s="41">
        <v>145.23982926829271</v>
      </c>
      <c r="D46" s="42">
        <v>3</v>
      </c>
      <c r="E46" s="42">
        <v>21.3</v>
      </c>
      <c r="F46" s="80">
        <f>'19'!F3</f>
        <v>10.948800000000004</v>
      </c>
      <c r="G46" s="109">
        <f>'19'!H3</f>
        <v>8.6915907722453642</v>
      </c>
      <c r="H46" s="108"/>
    </row>
    <row r="47" spans="2:8">
      <c r="B47" s="112">
        <v>20</v>
      </c>
      <c r="C47" s="41">
        <v>80.621829268292686</v>
      </c>
      <c r="D47" s="42">
        <v>4</v>
      </c>
      <c r="E47" s="42">
        <v>9.8000000000000007</v>
      </c>
      <c r="F47" s="80">
        <f>'20'!E3</f>
        <v>7.5440000000000014</v>
      </c>
      <c r="G47" s="109">
        <f>'20'!G3</f>
        <v>6.4580000000000011</v>
      </c>
      <c r="H47" s="108"/>
    </row>
    <row r="48" spans="2:8">
      <c r="B48" s="112">
        <v>21</v>
      </c>
      <c r="C48" s="41">
        <v>89.939219512195123</v>
      </c>
      <c r="D48" s="42">
        <v>2</v>
      </c>
      <c r="E48" s="42">
        <v>11.7</v>
      </c>
      <c r="F48" s="80">
        <f>'21'!E3</f>
        <v>6.6240000000000006</v>
      </c>
      <c r="G48" s="110">
        <f>'21'!G3</f>
        <v>6.1128912</v>
      </c>
      <c r="H48" s="111"/>
    </row>
    <row r="49" spans="2:8">
      <c r="B49" s="42">
        <v>23</v>
      </c>
      <c r="C49" s="41">
        <v>54.500707317073157</v>
      </c>
      <c r="D49" s="42">
        <v>2</v>
      </c>
      <c r="E49" s="42">
        <v>9.6</v>
      </c>
      <c r="F49" s="80">
        <f>'23'!D3</f>
        <v>6.5984000000000007</v>
      </c>
      <c r="G49" s="110">
        <f>'23'!F3</f>
        <v>5.7813413250560011</v>
      </c>
      <c r="H49" s="111"/>
    </row>
    <row r="50" spans="2:8">
      <c r="C50" s="81" t="s">
        <v>326</v>
      </c>
      <c r="D50" s="81">
        <f>PEARSON($C31:$C49,D31:D49)</f>
        <v>0.55825328632237992</v>
      </c>
      <c r="E50" s="81">
        <f>PEARSON($C31:$C49,E31:E49)</f>
        <v>0.55597715532437797</v>
      </c>
      <c r="F50" s="81">
        <f>PEARSON($C31:$C49,F31:F49)</f>
        <v>0.88388713486703019</v>
      </c>
      <c r="G50" s="81">
        <f>PEARSON($C31:$C49,G31:G49)</f>
        <v>0.93180506545250352</v>
      </c>
      <c r="H50" s="108"/>
    </row>
    <row r="51" spans="2:8" hidden="1">
      <c r="C51" s="81" t="s">
        <v>327</v>
      </c>
      <c r="D51" s="81"/>
      <c r="E51" s="81"/>
      <c r="F51" s="81">
        <v>0.41299999999999998</v>
      </c>
      <c r="G51" s="81"/>
      <c r="H51" s="108"/>
    </row>
    <row r="54" spans="2:8">
      <c r="C54" s="1" t="s">
        <v>472</v>
      </c>
      <c r="D54" s="1">
        <v>0.4</v>
      </c>
    </row>
    <row r="55" spans="2:8">
      <c r="C55" s="1" t="s">
        <v>473</v>
      </c>
      <c r="D55" s="1">
        <v>1.3</v>
      </c>
    </row>
    <row r="56" spans="2:8">
      <c r="C56" s="1" t="s">
        <v>478</v>
      </c>
      <c r="D56" s="1">
        <v>1.3</v>
      </c>
    </row>
    <row r="57" spans="2:8">
      <c r="C57" s="1" t="s">
        <v>480</v>
      </c>
      <c r="D57" s="1">
        <v>0</v>
      </c>
    </row>
    <row r="58" spans="2:8">
      <c r="C58" s="1" t="s">
        <v>487</v>
      </c>
      <c r="D58" s="1">
        <v>0.6</v>
      </c>
    </row>
  </sheetData>
  <sortState xmlns:xlrd2="http://schemas.microsoft.com/office/spreadsheetml/2017/richdata2" ref="S4:T26">
    <sortCondition ref="T4:T26"/>
  </sortState>
  <mergeCells count="1">
    <mergeCell ref="B1:F1"/>
  </mergeCell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F17" sqref="F17"/>
    </sheetView>
  </sheetViews>
  <sheetFormatPr baseColWidth="10" defaultRowHeight="16"/>
  <cols>
    <col min="1" max="1" width="34" customWidth="1"/>
  </cols>
  <sheetData>
    <row r="1" spans="1:11">
      <c r="A1" s="22" t="s">
        <v>221</v>
      </c>
      <c r="B1" s="22"/>
      <c r="C1" s="22"/>
      <c r="D1" s="22"/>
      <c r="E1" s="22"/>
      <c r="F1" s="22"/>
      <c r="G1" s="22"/>
    </row>
    <row r="2" spans="1:11">
      <c r="A2" s="23" t="s">
        <v>240</v>
      </c>
      <c r="B2" s="23"/>
      <c r="C2" s="23"/>
      <c r="D2" s="23"/>
      <c r="E2" s="23"/>
      <c r="F2" s="23"/>
      <c r="G2" s="23"/>
    </row>
    <row r="3" spans="1:11">
      <c r="A3" s="15"/>
      <c r="B3" s="15" t="s">
        <v>235</v>
      </c>
      <c r="C3" s="15" t="s">
        <v>236</v>
      </c>
      <c r="D3" s="15" t="s">
        <v>237</v>
      </c>
      <c r="E3" s="15" t="s">
        <v>238</v>
      </c>
      <c r="F3" s="15" t="s">
        <v>97</v>
      </c>
      <c r="G3" s="15" t="s">
        <v>109</v>
      </c>
      <c r="K3" t="s">
        <v>323</v>
      </c>
    </row>
    <row r="4" spans="1:11">
      <c r="A4" s="17" t="s">
        <v>222</v>
      </c>
      <c r="B4" s="15">
        <v>23</v>
      </c>
      <c r="C4" s="15"/>
      <c r="D4" s="15"/>
      <c r="E4" s="15"/>
      <c r="F4" s="15"/>
      <c r="G4" s="15"/>
    </row>
    <row r="5" spans="1:11">
      <c r="A5" s="17" t="s">
        <v>228</v>
      </c>
      <c r="B5" s="15"/>
      <c r="C5" s="15">
        <v>42</v>
      </c>
      <c r="D5" s="15"/>
      <c r="E5" s="15"/>
      <c r="F5" s="15"/>
      <c r="G5" s="15"/>
    </row>
    <row r="6" spans="1:11">
      <c r="A6" s="16" t="s">
        <v>229</v>
      </c>
      <c r="B6" s="15"/>
      <c r="C6" s="15"/>
      <c r="D6" s="15"/>
      <c r="E6" s="15"/>
      <c r="F6" s="15"/>
      <c r="G6" s="15"/>
    </row>
    <row r="7" spans="1:11">
      <c r="A7" s="16" t="s">
        <v>230</v>
      </c>
      <c r="B7" s="15"/>
      <c r="C7" s="15"/>
      <c r="D7" s="15"/>
      <c r="E7" s="15"/>
      <c r="F7" s="15">
        <v>-1</v>
      </c>
      <c r="G7" s="15"/>
    </row>
    <row r="8" spans="1:11">
      <c r="A8" s="16" t="s">
        <v>231</v>
      </c>
      <c r="B8" s="15">
        <v>23</v>
      </c>
      <c r="C8" s="15">
        <v>42</v>
      </c>
      <c r="D8" s="15"/>
      <c r="E8" s="15"/>
      <c r="F8" s="15"/>
      <c r="G8" s="15"/>
    </row>
    <row r="9" spans="1:11">
      <c r="A9" s="16" t="s">
        <v>223</v>
      </c>
      <c r="B9" s="15"/>
      <c r="C9" s="15"/>
      <c r="D9" s="15"/>
      <c r="E9" s="15"/>
      <c r="F9" s="15"/>
      <c r="G9" s="15"/>
    </row>
    <row r="10" spans="1:11">
      <c r="A10" s="16" t="s">
        <v>232</v>
      </c>
      <c r="B10" s="15">
        <v>23</v>
      </c>
      <c r="C10" s="15">
        <v>42</v>
      </c>
      <c r="D10" s="15">
        <v>42</v>
      </c>
      <c r="E10" s="15">
        <v>23</v>
      </c>
      <c r="F10" s="15"/>
      <c r="G10" s="15"/>
    </row>
    <row r="11" spans="1:11">
      <c r="A11" s="16" t="s">
        <v>224</v>
      </c>
      <c r="B11" s="15"/>
      <c r="C11" s="15"/>
      <c r="D11" s="15"/>
      <c r="E11" s="15">
        <v>23</v>
      </c>
      <c r="F11" s="15"/>
      <c r="G11" s="15">
        <v>1</v>
      </c>
    </row>
    <row r="12" spans="1:11">
      <c r="A12" s="16" t="s">
        <v>233</v>
      </c>
      <c r="B12" s="15"/>
      <c r="C12" s="15"/>
      <c r="D12" s="15">
        <v>42</v>
      </c>
      <c r="E12" s="15">
        <v>23</v>
      </c>
      <c r="F12" s="15"/>
      <c r="G12" s="15">
        <v>1</v>
      </c>
    </row>
    <row r="13" spans="1:11">
      <c r="A13" s="16" t="s">
        <v>224</v>
      </c>
      <c r="B13" s="15"/>
      <c r="C13" s="15"/>
      <c r="D13" s="15"/>
      <c r="E13" s="15">
        <v>23</v>
      </c>
      <c r="F13" s="15"/>
      <c r="G13" s="15">
        <v>2</v>
      </c>
    </row>
    <row r="14" spans="1:11">
      <c r="A14" s="16" t="s">
        <v>233</v>
      </c>
      <c r="B14" s="15"/>
      <c r="C14" s="15"/>
      <c r="D14" s="15">
        <v>84</v>
      </c>
      <c r="E14" s="15">
        <v>23</v>
      </c>
      <c r="F14" s="15"/>
      <c r="G14" s="15">
        <v>2</v>
      </c>
    </row>
    <row r="15" spans="1:11">
      <c r="A15" s="16" t="s">
        <v>224</v>
      </c>
      <c r="B15" s="15"/>
      <c r="C15" s="15"/>
      <c r="D15" s="15"/>
      <c r="E15" s="15">
        <v>23</v>
      </c>
      <c r="F15" s="15"/>
      <c r="G15" s="15">
        <v>3</v>
      </c>
    </row>
    <row r="16" spans="1:11">
      <c r="A16" s="16" t="s">
        <v>233</v>
      </c>
      <c r="B16" s="15"/>
      <c r="C16" s="15"/>
      <c r="D16" s="15">
        <v>126</v>
      </c>
      <c r="E16" s="15">
        <v>23</v>
      </c>
      <c r="F16" s="15"/>
      <c r="G16" s="15">
        <v>2</v>
      </c>
    </row>
    <row r="17" spans="1:7">
      <c r="A17" s="15"/>
      <c r="B17" s="15"/>
      <c r="C17" s="15"/>
      <c r="D17" s="15"/>
      <c r="E17" s="15"/>
      <c r="F17" s="15"/>
      <c r="G17" s="15"/>
    </row>
    <row r="18" spans="1:7">
      <c r="A18" s="15"/>
      <c r="B18" s="15"/>
      <c r="C18" s="15"/>
      <c r="D18" s="15"/>
      <c r="E18" s="15"/>
      <c r="F18" s="15"/>
      <c r="G18" s="15"/>
    </row>
    <row r="26" spans="1:7">
      <c r="A26" s="12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2" t="s">
        <v>225</v>
      </c>
    </row>
    <row r="30" spans="1:7">
      <c r="A30" s="12" t="s">
        <v>226</v>
      </c>
    </row>
    <row r="31" spans="1:7">
      <c r="A31" s="12" t="s">
        <v>212</v>
      </c>
    </row>
    <row r="32" spans="1:7">
      <c r="A32" s="12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H31"/>
  <sheetViews>
    <sheetView workbookViewId="0">
      <selection activeCell="F17" sqref="F17"/>
    </sheetView>
  </sheetViews>
  <sheetFormatPr baseColWidth="10" defaultRowHeight="16"/>
  <cols>
    <col min="1" max="1" width="73.83203125" style="10" customWidth="1"/>
    <col min="2" max="2" width="22.83203125" style="10" customWidth="1"/>
    <col min="3" max="3" width="27" style="10" customWidth="1"/>
    <col min="4" max="4" width="27.1640625" style="10" customWidth="1"/>
    <col min="5" max="5" width="6" style="10" customWidth="1"/>
    <col min="6" max="7" width="10.83203125" style="10"/>
    <col min="8" max="8" width="11.1640625" style="10" bestFit="1" customWidth="1"/>
    <col min="9" max="16384" width="10.83203125" style="10"/>
  </cols>
  <sheetData>
    <row r="1" spans="1:8" ht="19">
      <c r="A1" s="44" t="s">
        <v>241</v>
      </c>
      <c r="B1" s="44"/>
      <c r="C1" s="44"/>
      <c r="D1" s="44"/>
      <c r="E1" s="44"/>
      <c r="F1" s="44"/>
    </row>
    <row r="3" spans="1:8">
      <c r="F3" s="48">
        <f>SUM(F5:F31)</f>
        <v>10.948800000000004</v>
      </c>
      <c r="G3" s="32" t="e">
        <f>F3+SUM(G5:G200)*Synthesis!#REF!</f>
        <v>#REF!</v>
      </c>
      <c r="H3" s="32">
        <f>SUM(H5:H31)</f>
        <v>8.6915907722453642</v>
      </c>
    </row>
    <row r="4" spans="1:8">
      <c r="B4" s="49" t="s">
        <v>247</v>
      </c>
      <c r="C4" s="49" t="s">
        <v>97</v>
      </c>
      <c r="D4" s="49" t="s">
        <v>248</v>
      </c>
      <c r="E4" s="49" t="s">
        <v>109</v>
      </c>
      <c r="F4" s="49" t="str">
        <f>data!$H$3</f>
        <v>diff_id</v>
      </c>
      <c r="G4" s="49" t="str">
        <f>data!I$3</f>
        <v>arrays</v>
      </c>
      <c r="H4" s="49" t="str">
        <f>data!J$3</f>
        <v>reuse</v>
      </c>
    </row>
    <row r="5" spans="1:8">
      <c r="A5" s="61" t="s">
        <v>242</v>
      </c>
      <c r="B5" s="46" t="s">
        <v>249</v>
      </c>
      <c r="C5" s="46"/>
      <c r="D5" s="46"/>
      <c r="E5" s="46"/>
      <c r="F5" s="58"/>
      <c r="G5" s="91"/>
      <c r="H5" s="58"/>
    </row>
    <row r="6" spans="1:8">
      <c r="A6" s="61" t="s">
        <v>243</v>
      </c>
      <c r="B6" s="46"/>
      <c r="C6" s="46" t="s">
        <v>250</v>
      </c>
      <c r="D6" s="46"/>
      <c r="E6" s="46"/>
      <c r="F6" s="58"/>
      <c r="G6" s="91"/>
      <c r="H6" s="58"/>
    </row>
    <row r="7" spans="1:8">
      <c r="A7" s="61" t="s">
        <v>244</v>
      </c>
      <c r="B7" s="46" t="s">
        <v>249</v>
      </c>
      <c r="C7" s="46"/>
      <c r="D7" s="46" t="s">
        <v>251</v>
      </c>
      <c r="E7" s="46"/>
      <c r="F7" s="58">
        <v>1</v>
      </c>
      <c r="G7" s="91"/>
      <c r="H7" s="58">
        <v>1</v>
      </c>
    </row>
    <row r="8" spans="1:8">
      <c r="A8" s="70" t="s">
        <v>245</v>
      </c>
      <c r="B8" s="46"/>
      <c r="C8" s="46"/>
      <c r="D8" s="46" t="str">
        <f>D7</f>
        <v>[here, are, a, bunch, of, words]</v>
      </c>
      <c r="E8" s="46">
        <v>0</v>
      </c>
      <c r="F8" s="58">
        <v>1</v>
      </c>
      <c r="G8" s="91"/>
      <c r="H8" s="58">
        <v>1</v>
      </c>
    </row>
    <row r="9" spans="1:8">
      <c r="A9" s="61" t="s">
        <v>254</v>
      </c>
      <c r="B9" s="46"/>
      <c r="C9" s="46"/>
      <c r="D9" s="46"/>
      <c r="E9" s="46">
        <v>0</v>
      </c>
      <c r="F9" s="58">
        <v>1</v>
      </c>
      <c r="G9" s="91"/>
      <c r="H9" s="58">
        <v>1</v>
      </c>
    </row>
    <row r="10" spans="1:8">
      <c r="A10" s="46" t="s">
        <v>246</v>
      </c>
      <c r="B10" s="46"/>
      <c r="C10" s="46" t="s">
        <v>255</v>
      </c>
      <c r="D10" s="46" t="s">
        <v>251</v>
      </c>
      <c r="E10" s="46">
        <v>0</v>
      </c>
      <c r="F10" s="58">
        <v>3</v>
      </c>
      <c r="G10" s="91">
        <v>2</v>
      </c>
      <c r="H10" s="58">
        <f>1+Synthesis!$C$7+Synthesis!$C$7</f>
        <v>2.4</v>
      </c>
    </row>
    <row r="11" spans="1:8">
      <c r="A11" s="70" t="s">
        <v>245</v>
      </c>
      <c r="B11" s="46"/>
      <c r="C11" s="46"/>
      <c r="D11" s="46" t="str">
        <f>D10</f>
        <v>[here, are, a, bunch, of, words]</v>
      </c>
      <c r="E11" s="46">
        <v>1</v>
      </c>
      <c r="F11" s="58">
        <f>F8*Synthesis!$C$4</f>
        <v>0.4</v>
      </c>
      <c r="G11" s="91"/>
      <c r="H11" s="58">
        <f>(Synthesis!$C$7^2)*Synthesis!$C$4</f>
        <v>0.19599999999999998</v>
      </c>
    </row>
    <row r="12" spans="1:8">
      <c r="A12" s="61" t="s">
        <v>252</v>
      </c>
      <c r="B12" s="46"/>
      <c r="C12" s="46"/>
      <c r="D12" s="46"/>
      <c r="E12" s="46">
        <v>1</v>
      </c>
      <c r="F12" s="58">
        <f>F9*Synthesis!$C$4</f>
        <v>0.4</v>
      </c>
      <c r="G12" s="91"/>
      <c r="H12" s="58">
        <f>Synthesis!$C$4</f>
        <v>0.4</v>
      </c>
    </row>
    <row r="13" spans="1:8">
      <c r="A13" s="61" t="s">
        <v>253</v>
      </c>
      <c r="B13" s="46"/>
      <c r="C13" s="46" t="s">
        <v>256</v>
      </c>
      <c r="D13" s="46"/>
      <c r="E13" s="46"/>
      <c r="F13" s="58">
        <v>1</v>
      </c>
      <c r="G13" s="91"/>
      <c r="H13" s="58">
        <f>1</f>
        <v>1</v>
      </c>
    </row>
    <row r="14" spans="1:8">
      <c r="A14" s="46" t="s">
        <v>246</v>
      </c>
      <c r="B14" s="46"/>
      <c r="C14" s="46" t="s">
        <v>257</v>
      </c>
      <c r="D14" s="46" t="s">
        <v>251</v>
      </c>
      <c r="E14" s="46">
        <v>1</v>
      </c>
      <c r="F14" s="58">
        <f>F10*Synthesis!$C$4</f>
        <v>1.2000000000000002</v>
      </c>
      <c r="G14" s="91">
        <f>G10*Synthesis!$C$4</f>
        <v>0.8</v>
      </c>
      <c r="H14" s="58">
        <f>(Synthesis!$C$7^3+Synthesis!$C$7)*Synthesis!$C$4</f>
        <v>0.41720000000000002</v>
      </c>
    </row>
    <row r="15" spans="1:8">
      <c r="A15" s="70" t="s">
        <v>245</v>
      </c>
      <c r="B15" s="46"/>
      <c r="C15" s="46"/>
      <c r="D15" s="46" t="str">
        <f>D14</f>
        <v>[here, are, a, bunch, of, words]</v>
      </c>
      <c r="E15" s="46">
        <v>2</v>
      </c>
      <c r="F15" s="58">
        <f>F11*Synthesis!$C$4</f>
        <v>0.16000000000000003</v>
      </c>
      <c r="G15" s="91"/>
      <c r="H15" s="58">
        <f>(Synthesis!$C$7^4)*Synthesis!$C$4^2</f>
        <v>3.8415999999999999E-2</v>
      </c>
    </row>
    <row r="16" spans="1:8">
      <c r="A16" s="61" t="s">
        <v>252</v>
      </c>
      <c r="B16" s="46"/>
      <c r="C16" s="46"/>
      <c r="D16" s="46"/>
      <c r="E16" s="46">
        <v>2</v>
      </c>
      <c r="F16" s="58">
        <f>F12*Synthesis!$C$4</f>
        <v>0.16000000000000003</v>
      </c>
      <c r="G16" s="91"/>
      <c r="H16" s="58">
        <f>Synthesis!$C$4^2</f>
        <v>0.16000000000000003</v>
      </c>
    </row>
    <row r="17" spans="1:8">
      <c r="A17" s="61" t="s">
        <v>253</v>
      </c>
      <c r="B17" s="46"/>
      <c r="C17" s="46" t="s">
        <v>258</v>
      </c>
      <c r="D17" s="46"/>
      <c r="E17" s="46"/>
      <c r="F17" s="58">
        <f>F13*Synthesis!$C$4</f>
        <v>0.4</v>
      </c>
      <c r="G17" s="91"/>
      <c r="H17" s="58">
        <f>Synthesis!$C$7^2</f>
        <v>0.48999999999999994</v>
      </c>
    </row>
    <row r="18" spans="1:8">
      <c r="A18" s="46" t="s">
        <v>246</v>
      </c>
      <c r="B18" s="46"/>
      <c r="C18" s="46" t="s">
        <v>259</v>
      </c>
      <c r="D18" s="46" t="s">
        <v>251</v>
      </c>
      <c r="E18" s="46">
        <v>2</v>
      </c>
      <c r="F18" s="58">
        <f>F14*Synthesis!$C$4</f>
        <v>0.48000000000000009</v>
      </c>
      <c r="G18" s="91">
        <f>G14*Synthesis!$C$4</f>
        <v>0.32000000000000006</v>
      </c>
      <c r="H18" s="58">
        <f>(Synthesis!$C$7^5+Synthesis!$C$7)*Synthesis!$C$4^2</f>
        <v>0.13889120000000002</v>
      </c>
    </row>
    <row r="19" spans="1:8">
      <c r="A19" s="70" t="s">
        <v>245</v>
      </c>
      <c r="B19" s="46"/>
      <c r="C19" s="46"/>
      <c r="D19" s="46" t="str">
        <f>D18</f>
        <v>[here, are, a, bunch, of, words]</v>
      </c>
      <c r="E19" s="46">
        <v>3</v>
      </c>
      <c r="F19" s="58">
        <f>F15*Synthesis!$C$4</f>
        <v>6.4000000000000015E-2</v>
      </c>
      <c r="G19" s="91"/>
      <c r="H19" s="58">
        <f>(Synthesis!$C$7^6)*Synthesis!$C$4^3</f>
        <v>7.5295359999999981E-3</v>
      </c>
    </row>
    <row r="20" spans="1:8">
      <c r="A20" s="61" t="s">
        <v>252</v>
      </c>
      <c r="B20" s="46"/>
      <c r="C20" s="46"/>
      <c r="D20" s="46"/>
      <c r="E20" s="46">
        <v>3</v>
      </c>
      <c r="F20" s="58">
        <f>F16*Synthesis!$C$4</f>
        <v>6.4000000000000015E-2</v>
      </c>
      <c r="G20" s="91"/>
      <c r="H20" s="58">
        <f>Synthesis!$C$4^3</f>
        <v>6.4000000000000015E-2</v>
      </c>
    </row>
    <row r="21" spans="1:8">
      <c r="A21" s="61" t="s">
        <v>253</v>
      </c>
      <c r="B21" s="46"/>
      <c r="C21" s="46" t="s">
        <v>260</v>
      </c>
      <c r="D21" s="46"/>
      <c r="E21" s="46"/>
      <c r="F21" s="58">
        <f>F17*Synthesis!$C$4</f>
        <v>0.16000000000000003</v>
      </c>
      <c r="G21" s="91"/>
      <c r="H21" s="58">
        <f>Synthesis!$C$4^3</f>
        <v>6.4000000000000015E-2</v>
      </c>
    </row>
    <row r="22" spans="1:8">
      <c r="A22" s="46" t="s">
        <v>246</v>
      </c>
      <c r="B22" s="46"/>
      <c r="C22" s="46" t="s">
        <v>261</v>
      </c>
      <c r="D22" s="46" t="s">
        <v>251</v>
      </c>
      <c r="E22" s="46">
        <v>3</v>
      </c>
      <c r="F22" s="58">
        <f>F18*Synthesis!$C$4</f>
        <v>0.19200000000000006</v>
      </c>
      <c r="G22" s="91">
        <f>G18*Synthesis!$C$4</f>
        <v>0.12800000000000003</v>
      </c>
      <c r="H22" s="58">
        <f>(Synthesis!$C$7^8+1+Synthesis!$C$7)*Synthesis!$C$4^3</f>
        <v>0.11248947264000002</v>
      </c>
    </row>
    <row r="23" spans="1:8">
      <c r="A23" s="70" t="s">
        <v>245</v>
      </c>
      <c r="B23" s="46"/>
      <c r="C23" s="46"/>
      <c r="D23" s="46" t="str">
        <f>D22</f>
        <v>[here, are, a, bunch, of, words]</v>
      </c>
      <c r="E23" s="46">
        <v>4</v>
      </c>
      <c r="F23" s="58">
        <f>F19*Synthesis!$C$4</f>
        <v>2.5600000000000008E-2</v>
      </c>
      <c r="G23" s="91"/>
      <c r="H23" s="58">
        <f>(Synthesis!$C$7^8)*Synthesis!$C$4^4</f>
        <v>1.4757890559999997E-3</v>
      </c>
    </row>
    <row r="24" spans="1:8">
      <c r="A24" s="61" t="s">
        <v>252</v>
      </c>
      <c r="B24" s="46"/>
      <c r="C24" s="46"/>
      <c r="D24" s="46"/>
      <c r="E24" s="46">
        <v>4</v>
      </c>
      <c r="F24" s="58">
        <f>F20*Synthesis!$C$4</f>
        <v>2.5600000000000008E-2</v>
      </c>
      <c r="G24" s="91"/>
      <c r="H24" s="58">
        <f>Synthesis!$C$4^4</f>
        <v>2.5600000000000012E-2</v>
      </c>
    </row>
    <row r="25" spans="1:8">
      <c r="A25" s="61" t="s">
        <v>253</v>
      </c>
      <c r="B25" s="46"/>
      <c r="C25" s="46" t="s">
        <v>262</v>
      </c>
      <c r="D25" s="46"/>
      <c r="E25" s="46"/>
      <c r="F25" s="58">
        <f>F21*Synthesis!$C$4</f>
        <v>6.4000000000000015E-2</v>
      </c>
      <c r="G25" s="91"/>
      <c r="H25" s="58">
        <f>Synthesis!$C$4^4</f>
        <v>2.5600000000000012E-2</v>
      </c>
    </row>
    <row r="26" spans="1:8">
      <c r="A26" s="46" t="s">
        <v>246</v>
      </c>
      <c r="B26" s="46"/>
      <c r="C26" s="46" t="s">
        <v>263</v>
      </c>
      <c r="D26" s="46" t="s">
        <v>251</v>
      </c>
      <c r="E26" s="46">
        <v>4</v>
      </c>
      <c r="F26" s="58">
        <f>F22*Synthesis!$C$4</f>
        <v>7.6800000000000035E-2</v>
      </c>
      <c r="G26" s="91">
        <f>G22*Synthesis!$C$4</f>
        <v>5.1200000000000016E-2</v>
      </c>
      <c r="H26" s="58">
        <f>(Synthesis!$C$7^10+Synthesis!$C$7)*Synthesis!$C$7^5</f>
        <v>0.12239656150994294</v>
      </c>
    </row>
    <row r="27" spans="1:8">
      <c r="A27" s="70" t="s">
        <v>245</v>
      </c>
      <c r="B27" s="46"/>
      <c r="C27" s="46"/>
      <c r="D27" s="46" t="str">
        <f>D26</f>
        <v>[here, are, a, bunch, of, words]</v>
      </c>
      <c r="E27" s="46">
        <v>5</v>
      </c>
      <c r="F27" s="58">
        <f>F23*Synthesis!$C$4</f>
        <v>1.0240000000000004E-2</v>
      </c>
      <c r="G27" s="91"/>
      <c r="H27" s="58">
        <f>(Synthesis!$C$7^11)*Synthesis!$C$4^5</f>
        <v>2.0247825848319995E-4</v>
      </c>
    </row>
    <row r="28" spans="1:8">
      <c r="A28" s="61" t="s">
        <v>252</v>
      </c>
      <c r="B28" s="46"/>
      <c r="C28" s="46"/>
      <c r="D28" s="46"/>
      <c r="E28" s="46">
        <v>5</v>
      </c>
      <c r="F28" s="58">
        <f>F24*Synthesis!$C$4</f>
        <v>1.0240000000000004E-2</v>
      </c>
      <c r="G28" s="91"/>
      <c r="H28" s="58">
        <f>Synthesis!$C$4^5</f>
        <v>1.0240000000000006E-2</v>
      </c>
    </row>
    <row r="29" spans="1:8">
      <c r="A29" s="61" t="s">
        <v>253</v>
      </c>
      <c r="B29" s="46"/>
      <c r="C29" s="46" t="s">
        <v>264</v>
      </c>
      <c r="D29" s="46"/>
      <c r="E29" s="46"/>
      <c r="F29" s="58">
        <f>F25*Synthesis!$C$4</f>
        <v>2.5600000000000008E-2</v>
      </c>
      <c r="G29" s="91"/>
      <c r="H29" s="58">
        <f>Synthesis!$C$4^5</f>
        <v>1.0240000000000006E-2</v>
      </c>
    </row>
    <row r="30" spans="1:8">
      <c r="A30" s="46" t="s">
        <v>246</v>
      </c>
      <c r="B30" s="46"/>
      <c r="C30" s="46" t="s">
        <v>265</v>
      </c>
      <c r="D30" s="46" t="s">
        <v>251</v>
      </c>
      <c r="E30" s="46">
        <v>5</v>
      </c>
      <c r="F30" s="58">
        <f>F26*Synthesis!$C$4</f>
        <v>3.0720000000000015E-2</v>
      </c>
      <c r="G30" s="91">
        <f>G26*Synthesis!$C$4</f>
        <v>2.0480000000000009E-2</v>
      </c>
      <c r="H30" s="58">
        <f>(Synthesis!$C$7^12+Synthesis!$C$7)*Synthesis!$C$4^5</f>
        <v>7.3097347809382438E-3</v>
      </c>
    </row>
    <row r="31" spans="1:8">
      <c r="A31" s="61" t="s">
        <v>116</v>
      </c>
      <c r="B31" s="46"/>
      <c r="C31" s="46" t="s">
        <v>265</v>
      </c>
      <c r="D31" s="46"/>
      <c r="E31" s="46"/>
      <c r="F31" s="58"/>
      <c r="G31" s="91"/>
      <c r="H31" s="58"/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G19"/>
  <sheetViews>
    <sheetView workbookViewId="0">
      <selection activeCell="E9" sqref="E9"/>
    </sheetView>
  </sheetViews>
  <sheetFormatPr baseColWidth="10" defaultRowHeight="16"/>
  <cols>
    <col min="1" max="1" width="33.6640625" customWidth="1"/>
    <col min="3" max="4" width="10.83203125" style="18"/>
  </cols>
  <sheetData>
    <row r="1" spans="1:7" ht="19">
      <c r="A1" s="44" t="s">
        <v>267</v>
      </c>
      <c r="B1" s="44"/>
      <c r="C1" s="44"/>
      <c r="D1" s="44"/>
      <c r="E1" s="44"/>
    </row>
    <row r="3" spans="1:7">
      <c r="B3" s="18"/>
      <c r="E3" s="48">
        <f>SUM(E5:E19)</f>
        <v>7.5440000000000014</v>
      </c>
      <c r="F3" s="32" t="e">
        <f>E3+SUM(F5:F200)*Synthesis!#REF!</f>
        <v>#REF!</v>
      </c>
      <c r="G3" s="32">
        <f>SUM(G5:G19)</f>
        <v>6.4580000000000011</v>
      </c>
    </row>
    <row r="4" spans="1:7">
      <c r="B4" s="67" t="s">
        <v>109</v>
      </c>
      <c r="C4" s="73" t="s">
        <v>97</v>
      </c>
      <c r="D4" s="73" t="s">
        <v>479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8" t="s">
        <v>268</v>
      </c>
      <c r="B5" s="21">
        <v>4</v>
      </c>
      <c r="C5" s="72"/>
      <c r="D5" s="72"/>
      <c r="E5" s="30"/>
      <c r="F5" s="90"/>
      <c r="G5" s="30"/>
    </row>
    <row r="6" spans="1:7">
      <c r="A6" s="68" t="s">
        <v>270</v>
      </c>
      <c r="B6" s="21"/>
      <c r="C6" s="74" t="s">
        <v>276</v>
      </c>
      <c r="D6" s="74"/>
      <c r="E6" s="30"/>
      <c r="F6" s="90"/>
      <c r="G6" s="30"/>
    </row>
    <row r="7" spans="1:7">
      <c r="A7" s="75" t="s">
        <v>271</v>
      </c>
      <c r="B7" s="21">
        <v>4</v>
      </c>
      <c r="C7" s="72"/>
      <c r="D7" s="72"/>
      <c r="E7" s="30">
        <v>1</v>
      </c>
      <c r="F7" s="90"/>
      <c r="G7" s="30">
        <v>1</v>
      </c>
    </row>
    <row r="8" spans="1:7">
      <c r="A8" s="69" t="s">
        <v>272</v>
      </c>
      <c r="B8" s="21">
        <v>4</v>
      </c>
      <c r="C8" s="72"/>
      <c r="D8" s="72" t="s">
        <v>328</v>
      </c>
      <c r="E8" s="30">
        <f>Synthesis!C6</f>
        <v>1.4</v>
      </c>
      <c r="F8" s="90"/>
      <c r="G8" s="30">
        <f>Synthesis!$C$7+Synthesis!C6</f>
        <v>2.0999999999999996</v>
      </c>
    </row>
    <row r="9" spans="1:7">
      <c r="A9" s="68" t="s">
        <v>273</v>
      </c>
      <c r="B9" s="21"/>
      <c r="C9" s="72">
        <v>0</v>
      </c>
      <c r="D9" s="72"/>
      <c r="E9" s="30">
        <v>1</v>
      </c>
      <c r="F9" s="90"/>
      <c r="G9" s="30">
        <v>1</v>
      </c>
    </row>
    <row r="10" spans="1:7">
      <c r="A10" s="68" t="s">
        <v>275</v>
      </c>
      <c r="B10" s="21">
        <v>2</v>
      </c>
      <c r="C10" s="72"/>
      <c r="D10" s="72"/>
      <c r="E10" s="30">
        <v>1</v>
      </c>
      <c r="F10" s="90"/>
      <c r="G10" s="30">
        <f>Synthesis!$C$7^2</f>
        <v>0.48999999999999994</v>
      </c>
    </row>
    <row r="11" spans="1:7">
      <c r="A11" s="75" t="s">
        <v>271</v>
      </c>
      <c r="B11" s="21">
        <v>2</v>
      </c>
      <c r="C11" s="72"/>
      <c r="D11" s="72"/>
      <c r="E11" s="30">
        <f>E7*Synthesis!$C$4</f>
        <v>0.4</v>
      </c>
      <c r="F11" s="90"/>
      <c r="G11" s="30">
        <f>Synthesis!$C$4</f>
        <v>0.4</v>
      </c>
    </row>
    <row r="12" spans="1:7">
      <c r="A12" s="68" t="s">
        <v>272</v>
      </c>
      <c r="B12" s="21">
        <v>2</v>
      </c>
      <c r="C12" s="72"/>
      <c r="D12" s="72"/>
      <c r="E12" s="30">
        <f>E8*Synthesis!$C$4</f>
        <v>0.55999999999999994</v>
      </c>
      <c r="F12" s="90"/>
      <c r="G12" s="30">
        <f>(Synthesis!$C$7)*Synthesis!$C$4</f>
        <v>0.27999999999999997</v>
      </c>
    </row>
    <row r="13" spans="1:7">
      <c r="A13" s="68" t="s">
        <v>273</v>
      </c>
      <c r="B13" s="21"/>
      <c r="C13" s="72" t="s">
        <v>277</v>
      </c>
      <c r="D13" s="72"/>
      <c r="E13" s="30">
        <f>E9*Synthesis!$C$4</f>
        <v>0.4</v>
      </c>
      <c r="F13" s="90"/>
      <c r="G13" s="30">
        <f>Synthesis!$C$4</f>
        <v>0.4</v>
      </c>
    </row>
    <row r="14" spans="1:7">
      <c r="A14" s="68" t="s">
        <v>275</v>
      </c>
      <c r="B14" s="21">
        <v>1</v>
      </c>
      <c r="C14" s="72"/>
      <c r="D14" s="72"/>
      <c r="E14" s="30">
        <f>E10*Synthesis!$C$4</f>
        <v>0.4</v>
      </c>
      <c r="F14" s="90"/>
      <c r="G14" s="30">
        <f>(Synthesis!$C$7^2)*Synthesis!$C$4</f>
        <v>0.19599999999999998</v>
      </c>
    </row>
    <row r="15" spans="1:7">
      <c r="A15" s="75" t="s">
        <v>271</v>
      </c>
      <c r="B15" s="21">
        <v>1</v>
      </c>
      <c r="C15" s="72"/>
      <c r="D15" s="72"/>
      <c r="E15" s="30">
        <f>E11*Synthesis!$C$4</f>
        <v>0.16000000000000003</v>
      </c>
      <c r="F15" s="90"/>
      <c r="G15" s="30">
        <f>Synthesis!$C$4^2</f>
        <v>0.16000000000000003</v>
      </c>
    </row>
    <row r="16" spans="1:7">
      <c r="A16" s="68" t="s">
        <v>272</v>
      </c>
      <c r="B16" s="21">
        <v>1</v>
      </c>
      <c r="C16" s="72"/>
      <c r="D16" s="72"/>
      <c r="E16" s="30">
        <f>E12*Synthesis!$C$4</f>
        <v>0.22399999999999998</v>
      </c>
      <c r="F16" s="90"/>
      <c r="G16" s="30">
        <f>Synthesis!$C$4^2</f>
        <v>0.16000000000000003</v>
      </c>
    </row>
    <row r="17" spans="1:7">
      <c r="A17" s="68" t="s">
        <v>269</v>
      </c>
      <c r="B17" s="21"/>
      <c r="C17" s="72"/>
      <c r="D17" s="72"/>
      <c r="E17" s="30"/>
      <c r="F17" s="90"/>
      <c r="G17" s="30">
        <f>Synthesis!$C$7*Synthesis!$C$4^2</f>
        <v>0.11200000000000002</v>
      </c>
    </row>
    <row r="18" spans="1:7">
      <c r="A18" s="68" t="s">
        <v>274</v>
      </c>
      <c r="B18" s="21"/>
      <c r="C18" s="72" t="s">
        <v>278</v>
      </c>
      <c r="D18" s="72"/>
      <c r="E18" s="30">
        <v>1</v>
      </c>
      <c r="F18" s="90"/>
      <c r="G18" s="30">
        <f>Synthesis!$C$4^2</f>
        <v>0.16000000000000003</v>
      </c>
    </row>
    <row r="19" spans="1:7">
      <c r="A19" s="68" t="s">
        <v>116</v>
      </c>
      <c r="B19" s="21"/>
      <c r="C19" s="72"/>
      <c r="D19" s="72"/>
      <c r="E19" s="30"/>
      <c r="F19" s="90"/>
      <c r="G19" s="30"/>
    </row>
  </sheetData>
  <mergeCells count="1">
    <mergeCell ref="A1:E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G17"/>
  <sheetViews>
    <sheetView workbookViewId="0">
      <selection activeCell="G9" sqref="G9"/>
    </sheetView>
  </sheetViews>
  <sheetFormatPr baseColWidth="10" defaultRowHeight="16"/>
  <cols>
    <col min="1" max="1" width="54.83203125" style="10" customWidth="1"/>
    <col min="2" max="16384" width="10.83203125" style="10"/>
  </cols>
  <sheetData>
    <row r="1" spans="1:7" ht="19">
      <c r="A1" s="44" t="s">
        <v>280</v>
      </c>
      <c r="B1" s="44"/>
      <c r="C1" s="44"/>
      <c r="D1" s="44"/>
      <c r="E1" s="44"/>
    </row>
    <row r="3" spans="1:7">
      <c r="E3" s="48">
        <f>SUM(E5:E15)</f>
        <v>6.6240000000000006</v>
      </c>
      <c r="F3" s="32" t="e">
        <f>E3+SUM(F5:F200)*Synthesis!#REF!</f>
        <v>#REF!</v>
      </c>
      <c r="G3" s="32">
        <f>SUM(G5:G15)</f>
        <v>6.1128912</v>
      </c>
    </row>
    <row r="4" spans="1:7">
      <c r="B4" s="51" t="s">
        <v>117</v>
      </c>
      <c r="C4" s="51" t="s">
        <v>109</v>
      </c>
      <c r="D4" s="51" t="s">
        <v>288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1" t="s">
        <v>282</v>
      </c>
      <c r="B5" s="46" t="s">
        <v>289</v>
      </c>
      <c r="C5" s="46"/>
      <c r="D5" s="46"/>
      <c r="E5" s="58"/>
      <c r="F5" s="91"/>
      <c r="G5" s="58"/>
    </row>
    <row r="6" spans="1:7">
      <c r="A6" s="97" t="s">
        <v>283</v>
      </c>
      <c r="B6" s="46" t="s">
        <v>289</v>
      </c>
      <c r="C6" s="46">
        <v>0</v>
      </c>
      <c r="D6" s="46"/>
      <c r="E6" s="58">
        <v>1</v>
      </c>
      <c r="F6" s="91"/>
      <c r="G6" s="58">
        <v>1</v>
      </c>
    </row>
    <row r="7" spans="1:7">
      <c r="A7" s="61" t="s">
        <v>284</v>
      </c>
      <c r="B7" s="46" t="s">
        <v>289</v>
      </c>
      <c r="C7" s="46">
        <v>0</v>
      </c>
      <c r="D7" s="46">
        <v>4</v>
      </c>
      <c r="E7" s="58">
        <v>2</v>
      </c>
      <c r="F7" s="91">
        <v>1</v>
      </c>
      <c r="G7" s="58">
        <f>Synthesis!$C$7+1</f>
        <v>1.7</v>
      </c>
    </row>
    <row r="8" spans="1:7">
      <c r="A8" s="61" t="s">
        <v>285</v>
      </c>
      <c r="B8" s="46" t="s">
        <v>290</v>
      </c>
      <c r="C8" s="46">
        <v>0</v>
      </c>
      <c r="D8" s="46"/>
      <c r="E8" s="58">
        <v>2</v>
      </c>
      <c r="F8" s="91">
        <v>2</v>
      </c>
      <c r="G8" s="58">
        <f>Synthesis!$C$7^2+Synthesis!$C$7</f>
        <v>1.19</v>
      </c>
    </row>
    <row r="9" spans="1:7">
      <c r="A9" s="61" t="s">
        <v>286</v>
      </c>
      <c r="B9" s="46" t="s">
        <v>291</v>
      </c>
      <c r="C9" s="46">
        <v>0</v>
      </c>
      <c r="D9" s="46">
        <v>4</v>
      </c>
      <c r="E9" s="58">
        <v>1</v>
      </c>
      <c r="F9" s="91">
        <v>1</v>
      </c>
      <c r="G9" s="58">
        <v>1</v>
      </c>
    </row>
    <row r="10" spans="1:7">
      <c r="A10" s="70" t="s">
        <v>281</v>
      </c>
      <c r="B10" s="46" t="s">
        <v>291</v>
      </c>
      <c r="C10" s="46">
        <v>0</v>
      </c>
      <c r="D10" s="46"/>
      <c r="E10" s="58">
        <f>E6*Synthesis!$C$4</f>
        <v>0.4</v>
      </c>
      <c r="F10" s="91"/>
      <c r="G10" s="58">
        <v>1</v>
      </c>
    </row>
    <row r="11" spans="1:7">
      <c r="A11" s="61" t="s">
        <v>287</v>
      </c>
      <c r="B11" s="46" t="s">
        <v>291</v>
      </c>
      <c r="C11" s="46">
        <v>0</v>
      </c>
      <c r="D11" s="46"/>
      <c r="E11" s="58"/>
      <c r="F11" s="91">
        <v>1</v>
      </c>
      <c r="G11" s="58"/>
    </row>
    <row r="12" spans="1:7">
      <c r="A12" s="70" t="s">
        <v>281</v>
      </c>
      <c r="B12" s="46" t="s">
        <v>291</v>
      </c>
      <c r="C12" s="46">
        <v>1</v>
      </c>
      <c r="D12" s="46"/>
      <c r="E12" s="58">
        <f>E10*Synthesis!$C$4</f>
        <v>0.16000000000000003</v>
      </c>
      <c r="F12" s="91"/>
      <c r="G12" s="58">
        <f>Synthesis!$C$7^2*Synthesis!$C$4</f>
        <v>0.19599999999999998</v>
      </c>
    </row>
    <row r="13" spans="1:7">
      <c r="A13" s="61" t="s">
        <v>287</v>
      </c>
      <c r="B13" s="46" t="s">
        <v>291</v>
      </c>
      <c r="C13" s="46">
        <v>1</v>
      </c>
      <c r="D13" s="46"/>
      <c r="E13" s="58"/>
      <c r="F13" s="91">
        <f>F11*Synthesis!$C$4</f>
        <v>0.4</v>
      </c>
      <c r="G13" s="58"/>
    </row>
    <row r="14" spans="1:7">
      <c r="A14" s="70" t="s">
        <v>281</v>
      </c>
      <c r="B14" s="46" t="s">
        <v>291</v>
      </c>
      <c r="C14" s="46">
        <v>2</v>
      </c>
      <c r="D14" s="46"/>
      <c r="E14" s="58">
        <f>E12*Synthesis!$C$4</f>
        <v>6.4000000000000015E-2</v>
      </c>
      <c r="F14" s="91"/>
      <c r="G14" s="58">
        <f>(Synthesis!$C$7^5)*Synthesis!$C$4^2</f>
        <v>2.6891199999999997E-2</v>
      </c>
    </row>
    <row r="15" spans="1:7">
      <c r="A15" s="61" t="s">
        <v>287</v>
      </c>
      <c r="B15" s="46" t="s">
        <v>291</v>
      </c>
      <c r="C15" s="46">
        <v>2</v>
      </c>
      <c r="D15" s="46"/>
      <c r="E15" s="58"/>
      <c r="F15" s="91">
        <f>F13*Synthesis!$C$4</f>
        <v>0.16000000000000003</v>
      </c>
      <c r="G15" s="58"/>
    </row>
    <row r="16" spans="1:7">
      <c r="A16" s="59"/>
    </row>
    <row r="17" spans="1:1">
      <c r="A17" s="59"/>
    </row>
  </sheetData>
  <mergeCells count="1">
    <mergeCell ref="A1:E1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292</v>
      </c>
    </row>
    <row r="3" spans="1:11">
      <c r="A3" s="19" t="s">
        <v>293</v>
      </c>
      <c r="K3" t="s">
        <v>323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F36"/>
  <sheetViews>
    <sheetView workbookViewId="0">
      <selection activeCell="F25" sqref="F25"/>
    </sheetView>
  </sheetViews>
  <sheetFormatPr baseColWidth="10" defaultRowHeight="16"/>
  <cols>
    <col min="1" max="1" width="56.6640625" customWidth="1"/>
    <col min="2" max="2" width="13.83203125" customWidth="1"/>
    <col min="6" max="6" width="11.1640625" bestFit="1" customWidth="1"/>
  </cols>
  <sheetData>
    <row r="1" spans="1:6" ht="19">
      <c r="A1" s="44" t="s">
        <v>294</v>
      </c>
      <c r="B1" s="44"/>
      <c r="C1" s="44"/>
      <c r="D1" s="44"/>
    </row>
    <row r="2" spans="1:6" s="10" customFormat="1"/>
    <row r="3" spans="1:6" s="10" customFormat="1">
      <c r="D3" s="48">
        <f>SUM(D5:D25)</f>
        <v>6.5984000000000007</v>
      </c>
      <c r="E3" s="32" t="e">
        <f>D3+SUM(E5:E200)*Synthesis!#REF!</f>
        <v>#REF!</v>
      </c>
      <c r="F3" s="32">
        <f>SUM(F5:F25)</f>
        <v>5.7813413250560011</v>
      </c>
    </row>
    <row r="4" spans="1:6" s="10" customFormat="1">
      <c r="B4" s="51" t="s">
        <v>117</v>
      </c>
      <c r="C4" s="51" t="s">
        <v>109</v>
      </c>
      <c r="D4" s="49" t="str">
        <f>data!$H$3</f>
        <v>diff_id</v>
      </c>
      <c r="E4" s="49" t="str">
        <f>data!I$3</f>
        <v>arrays</v>
      </c>
      <c r="F4" s="49" t="str">
        <f>data!J$3</f>
        <v>reuse</v>
      </c>
    </row>
    <row r="5" spans="1:6" s="10" customFormat="1">
      <c r="A5" s="61" t="s">
        <v>295</v>
      </c>
      <c r="B5" s="46" t="s">
        <v>299</v>
      </c>
      <c r="C5" s="46"/>
      <c r="D5" s="58"/>
      <c r="E5" s="91"/>
      <c r="F5" s="58"/>
    </row>
    <row r="6" spans="1:6" s="10" customFormat="1">
      <c r="A6" s="70" t="s">
        <v>296</v>
      </c>
      <c r="B6" s="46" t="s">
        <v>299</v>
      </c>
      <c r="C6" s="46">
        <v>0</v>
      </c>
      <c r="D6" s="58">
        <v>1</v>
      </c>
      <c r="E6" s="91"/>
      <c r="F6" s="58">
        <v>1</v>
      </c>
    </row>
    <row r="7" spans="1:6" s="10" customFormat="1">
      <c r="A7" s="61" t="s">
        <v>297</v>
      </c>
      <c r="B7" s="46" t="s">
        <v>300</v>
      </c>
      <c r="C7" s="46">
        <v>0</v>
      </c>
      <c r="D7" s="58">
        <v>2</v>
      </c>
      <c r="E7" s="91">
        <v>2</v>
      </c>
      <c r="F7" s="58">
        <f>Synthesis!$C$7+1</f>
        <v>1.7</v>
      </c>
    </row>
    <row r="8" spans="1:6" s="10" customFormat="1">
      <c r="A8" s="70" t="s">
        <v>296</v>
      </c>
      <c r="B8" s="46" t="s">
        <v>300</v>
      </c>
      <c r="C8" s="46">
        <v>1</v>
      </c>
      <c r="D8" s="58">
        <f>D6*Synthesis!$C$4</f>
        <v>0.4</v>
      </c>
      <c r="E8" s="91"/>
      <c r="F8" s="58">
        <f>Synthesis!$C$4</f>
        <v>0.4</v>
      </c>
    </row>
    <row r="9" spans="1:6" s="10" customFormat="1">
      <c r="A9" s="61" t="s">
        <v>297</v>
      </c>
      <c r="B9" s="46" t="s">
        <v>301</v>
      </c>
      <c r="C9" s="46">
        <v>1</v>
      </c>
      <c r="D9" s="58">
        <f>D7*Synthesis!$C$4</f>
        <v>0.8</v>
      </c>
      <c r="E9" s="91">
        <f>E7*Synthesis!$C$4</f>
        <v>0.8</v>
      </c>
      <c r="F9" s="58">
        <f>(Synthesis!$C$7+1)*Synthesis!$C$4</f>
        <v>0.68</v>
      </c>
    </row>
    <row r="10" spans="1:6" s="10" customFormat="1">
      <c r="A10" s="70" t="s">
        <v>296</v>
      </c>
      <c r="B10" s="46" t="s">
        <v>301</v>
      </c>
      <c r="C10" s="46">
        <v>2</v>
      </c>
      <c r="D10" s="58">
        <f>D8*Synthesis!$C$4</f>
        <v>0.16000000000000003</v>
      </c>
      <c r="E10" s="91"/>
      <c r="F10" s="58">
        <f>Synthesis!$C$4^2</f>
        <v>0.16000000000000003</v>
      </c>
    </row>
    <row r="11" spans="1:6" s="10" customFormat="1">
      <c r="A11" s="61" t="s">
        <v>297</v>
      </c>
      <c r="B11" s="46" t="s">
        <v>302</v>
      </c>
      <c r="C11" s="46">
        <v>2</v>
      </c>
      <c r="D11" s="58">
        <f>D9*Synthesis!$C$4</f>
        <v>0.32000000000000006</v>
      </c>
      <c r="E11" s="91">
        <f>E9*Synthesis!$C$4</f>
        <v>0.32000000000000006</v>
      </c>
      <c r="F11" s="58">
        <f>(Synthesis!$C$7+1)*Synthesis!$C$4^2</f>
        <v>0.27200000000000002</v>
      </c>
    </row>
    <row r="12" spans="1:6" s="10" customFormat="1">
      <c r="A12" s="70" t="s">
        <v>296</v>
      </c>
      <c r="B12" s="46" t="s">
        <v>302</v>
      </c>
      <c r="C12" s="46">
        <v>3</v>
      </c>
      <c r="D12" s="58">
        <f>D10*Synthesis!$C$4</f>
        <v>6.4000000000000015E-2</v>
      </c>
      <c r="E12" s="91"/>
      <c r="F12" s="58">
        <f>Synthesis!$C$4^3</f>
        <v>6.4000000000000015E-2</v>
      </c>
    </row>
    <row r="13" spans="1:6" s="10" customFormat="1">
      <c r="A13" s="61" t="s">
        <v>297</v>
      </c>
      <c r="B13" s="46" t="s">
        <v>303</v>
      </c>
      <c r="C13" s="46">
        <v>3</v>
      </c>
      <c r="D13" s="58">
        <f>D11*Synthesis!$C$4</f>
        <v>0.12800000000000003</v>
      </c>
      <c r="E13" s="91">
        <f>E11*Synthesis!$C$4</f>
        <v>0.12800000000000003</v>
      </c>
      <c r="F13" s="58">
        <f>(Synthesis!$C$7+1)*Synthesis!$C$4^3</f>
        <v>0.10880000000000002</v>
      </c>
    </row>
    <row r="14" spans="1:6" s="10" customFormat="1">
      <c r="A14" s="70" t="s">
        <v>296</v>
      </c>
      <c r="B14" s="46" t="s">
        <v>303</v>
      </c>
      <c r="C14" s="46">
        <v>4</v>
      </c>
      <c r="D14" s="58">
        <f>D12*Synthesis!$C$4</f>
        <v>2.5600000000000008E-2</v>
      </c>
      <c r="E14" s="91"/>
      <c r="F14" s="58">
        <f>Synthesis!$C$4^4</f>
        <v>2.5600000000000012E-2</v>
      </c>
    </row>
    <row r="15" spans="1:6" s="10" customFormat="1">
      <c r="A15" s="61" t="s">
        <v>297</v>
      </c>
      <c r="B15" s="46" t="s">
        <v>304</v>
      </c>
      <c r="C15" s="46">
        <v>4</v>
      </c>
      <c r="D15" s="58">
        <f>D13*Synthesis!$C$4</f>
        <v>5.1200000000000016E-2</v>
      </c>
      <c r="E15" s="91">
        <f>E13*Synthesis!$C$4</f>
        <v>5.1200000000000016E-2</v>
      </c>
      <c r="F15" s="58">
        <f>(Synthesis!$C$7+1)*Synthesis!$C$4^4</f>
        <v>4.3520000000000017E-2</v>
      </c>
    </row>
    <row r="16" spans="1:6" s="10" customFormat="1">
      <c r="A16" s="76" t="s">
        <v>281</v>
      </c>
      <c r="B16" s="46" t="s">
        <v>304</v>
      </c>
      <c r="C16" s="46">
        <v>0</v>
      </c>
      <c r="D16" s="58">
        <v>1</v>
      </c>
      <c r="E16" s="91"/>
      <c r="F16" s="58">
        <v>1</v>
      </c>
    </row>
    <row r="17" spans="1:6" s="10" customFormat="1">
      <c r="A17" s="46" t="s">
        <v>298</v>
      </c>
      <c r="B17" s="46" t="s">
        <v>304</v>
      </c>
      <c r="C17" s="46">
        <v>0</v>
      </c>
      <c r="D17" s="58"/>
      <c r="E17" s="91">
        <v>1</v>
      </c>
      <c r="F17" s="58"/>
    </row>
    <row r="18" spans="1:6" s="10" customFormat="1">
      <c r="A18" s="76" t="s">
        <v>281</v>
      </c>
      <c r="B18" s="46" t="s">
        <v>304</v>
      </c>
      <c r="C18" s="46">
        <v>1</v>
      </c>
      <c r="D18" s="58">
        <f>D16*Synthesis!$C$4</f>
        <v>0.4</v>
      </c>
      <c r="E18" s="91"/>
      <c r="F18" s="58">
        <f>Synthesis!$C$7*Synthesis!$C$4</f>
        <v>0.27999999999999997</v>
      </c>
    </row>
    <row r="19" spans="1:6" s="10" customFormat="1">
      <c r="A19" s="46" t="s">
        <v>298</v>
      </c>
      <c r="B19" s="46" t="s">
        <v>304</v>
      </c>
      <c r="C19" s="46">
        <v>1</v>
      </c>
      <c r="D19" s="58"/>
      <c r="E19" s="91">
        <f>E17*Synthesis!$C$4</f>
        <v>0.4</v>
      </c>
      <c r="F19" s="58"/>
    </row>
    <row r="20" spans="1:6" s="10" customFormat="1">
      <c r="A20" s="76" t="s">
        <v>281</v>
      </c>
      <c r="B20" s="46" t="s">
        <v>304</v>
      </c>
      <c r="C20" s="46">
        <v>2</v>
      </c>
      <c r="D20" s="58">
        <f>D18*Synthesis!$C$4</f>
        <v>0.16000000000000003</v>
      </c>
      <c r="E20" s="91"/>
      <c r="F20" s="58">
        <f>(Synthesis!$C$7^4)*Synthesis!$C$4^2</f>
        <v>3.8415999999999999E-2</v>
      </c>
    </row>
    <row r="21" spans="1:6" s="10" customFormat="1">
      <c r="A21" s="46" t="s">
        <v>298</v>
      </c>
      <c r="B21" s="46" t="s">
        <v>304</v>
      </c>
      <c r="C21" s="46">
        <v>2</v>
      </c>
      <c r="D21" s="58"/>
      <c r="E21" s="91">
        <f>E19*Synthesis!$C$4</f>
        <v>0.16000000000000003</v>
      </c>
      <c r="F21" s="58"/>
    </row>
    <row r="22" spans="1:6" s="10" customFormat="1">
      <c r="A22" s="76" t="s">
        <v>281</v>
      </c>
      <c r="B22" s="46" t="s">
        <v>304</v>
      </c>
      <c r="C22" s="46">
        <v>3</v>
      </c>
      <c r="D22" s="58">
        <f>D20*Synthesis!$C$4</f>
        <v>6.4000000000000015E-2</v>
      </c>
      <c r="E22" s="91"/>
      <c r="F22" s="58">
        <f>(Synthesis!$C$7^6)*Synthesis!$C$4^3</f>
        <v>7.5295359999999981E-3</v>
      </c>
    </row>
    <row r="23" spans="1:6" s="10" customFormat="1">
      <c r="A23" s="46" t="s">
        <v>298</v>
      </c>
      <c r="B23" s="46" t="s">
        <v>304</v>
      </c>
      <c r="C23" s="46">
        <v>3</v>
      </c>
      <c r="D23" s="58"/>
      <c r="E23" s="91">
        <f>E21*Synthesis!$C$4</f>
        <v>6.4000000000000015E-2</v>
      </c>
      <c r="F23" s="58"/>
    </row>
    <row r="24" spans="1:6" s="10" customFormat="1">
      <c r="A24" s="77" t="s">
        <v>281</v>
      </c>
      <c r="B24" s="66" t="s">
        <v>304</v>
      </c>
      <c r="C24" s="66">
        <v>4</v>
      </c>
      <c r="D24" s="58">
        <f>D22*Synthesis!$C$4</f>
        <v>2.5600000000000008E-2</v>
      </c>
      <c r="E24" s="91"/>
      <c r="F24" s="58">
        <f>(Synthesis!$C$7^8)*Synthesis!$C$4^4</f>
        <v>1.4757890559999997E-3</v>
      </c>
    </row>
    <row r="25" spans="1:6" s="10" customFormat="1">
      <c r="A25" s="66" t="s">
        <v>298</v>
      </c>
      <c r="B25" s="66" t="s">
        <v>304</v>
      </c>
      <c r="C25" s="66">
        <v>4</v>
      </c>
      <c r="D25" s="58"/>
      <c r="E25" s="91">
        <f>E23*Synthesis!$C$4</f>
        <v>2.5600000000000008E-2</v>
      </c>
      <c r="F25" s="58"/>
    </row>
    <row r="26" spans="1:6" s="10" customFormat="1"/>
    <row r="27" spans="1:6" s="10" customFormat="1"/>
    <row r="28" spans="1:6" s="10" customFormat="1"/>
    <row r="29" spans="1:6" s="10" customFormat="1"/>
    <row r="30" spans="1:6" s="10" customFormat="1"/>
    <row r="31" spans="1:6" s="10" customFormat="1"/>
    <row r="32" spans="1:6" s="10" customFormat="1"/>
    <row r="33" s="10" customFormat="1"/>
    <row r="34" s="10" customFormat="1"/>
    <row r="35" s="10" customFormat="1"/>
    <row r="36" s="10" customFormat="1"/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sheetPr codeName="Feuil64"/>
  <dimension ref="B1:G27"/>
  <sheetViews>
    <sheetView showGridLines="0" workbookViewId="0">
      <selection activeCell="P26" sqref="P26"/>
    </sheetView>
  </sheetViews>
  <sheetFormatPr baseColWidth="10" defaultRowHeight="16"/>
  <cols>
    <col min="1" max="1" width="10.83203125" style="1"/>
    <col min="2" max="2" width="21.83203125" style="25" customWidth="1"/>
    <col min="3" max="3" width="13.33203125" style="1" customWidth="1"/>
    <col min="4" max="4" width="10.1640625" style="1" hidden="1" customWidth="1"/>
    <col min="5" max="5" width="0" style="1" hidden="1" customWidth="1"/>
    <col min="6" max="6" width="10.83203125" style="1" hidden="1" customWidth="1"/>
    <col min="7" max="7" width="10.83203125" style="1" customWidth="1"/>
    <col min="8" max="16384" width="10.83203125" style="1"/>
  </cols>
  <sheetData>
    <row r="1" spans="2:7" ht="19">
      <c r="B1" s="50" t="s">
        <v>476</v>
      </c>
      <c r="C1" s="50"/>
      <c r="D1" s="50"/>
      <c r="E1" s="50"/>
      <c r="F1" s="50"/>
    </row>
    <row r="3" spans="2:7">
      <c r="B3" s="79" t="s">
        <v>507</v>
      </c>
      <c r="C3" s="79" t="s">
        <v>1</v>
      </c>
      <c r="D3" s="79" t="s">
        <v>2</v>
      </c>
      <c r="E3" s="79" t="s">
        <v>3</v>
      </c>
      <c r="F3" s="79" t="str">
        <f>data!H3</f>
        <v>diff_id</v>
      </c>
      <c r="G3" s="79" t="s">
        <v>508</v>
      </c>
    </row>
    <row r="4" spans="2:7">
      <c r="B4" s="78" t="s">
        <v>9</v>
      </c>
      <c r="C4" s="41">
        <v>41.24</v>
      </c>
      <c r="D4" s="42">
        <v>1</v>
      </c>
      <c r="E4" s="42">
        <v>6.9</v>
      </c>
      <c r="F4" s="80">
        <f>ArrAvg!F3</f>
        <v>11.744000000000002</v>
      </c>
      <c r="G4" s="80">
        <f>ArrAvg!H3</f>
        <v>9.2853393034880014</v>
      </c>
    </row>
    <row r="5" spans="2:7">
      <c r="B5" s="78" t="s">
        <v>10</v>
      </c>
      <c r="C5" s="41">
        <v>33.33</v>
      </c>
      <c r="D5" s="42">
        <v>14</v>
      </c>
      <c r="E5" s="42">
        <v>24.9</v>
      </c>
      <c r="F5" s="80">
        <f>CountSubstr!G3</f>
        <v>18.183487999999997</v>
      </c>
      <c r="G5" s="80">
        <f>CountSubstr!I3</f>
        <v>11.530927025310637</v>
      </c>
    </row>
    <row r="6" spans="2:7">
      <c r="B6" s="78" t="s">
        <v>11</v>
      </c>
      <c r="C6" s="41">
        <v>26.95</v>
      </c>
      <c r="D6" s="42">
        <v>6</v>
      </c>
      <c r="E6" s="42">
        <v>13.1</v>
      </c>
      <c r="F6" s="80">
        <f>CountVwls!H3</f>
        <v>11.699563093333332</v>
      </c>
      <c r="G6" s="80">
        <f>CountVwls!J3</f>
        <v>9.3711639868234222</v>
      </c>
    </row>
    <row r="7" spans="2:7">
      <c r="B7" s="78" t="s">
        <v>12</v>
      </c>
      <c r="C7" s="41">
        <v>37.869999999999997</v>
      </c>
      <c r="D7" s="42">
        <v>5</v>
      </c>
      <c r="E7" s="42">
        <v>20.3</v>
      </c>
      <c r="F7" s="80">
        <f>DumbSort!H3</f>
        <v>19</v>
      </c>
      <c r="G7" s="80">
        <f>DumbSort!J3</f>
        <v>14.16</v>
      </c>
    </row>
    <row r="8" spans="2:7">
      <c r="B8" s="114" t="s">
        <v>13</v>
      </c>
      <c r="C8" s="115">
        <v>41.82</v>
      </c>
      <c r="D8" s="42">
        <v>5</v>
      </c>
      <c r="E8" s="42">
        <v>11.9</v>
      </c>
      <c r="F8" s="80">
        <f>GrCoDiv!F3</f>
        <v>14.360000000000001</v>
      </c>
      <c r="G8" s="80">
        <f>GrCoDiv!H3</f>
        <v>9.9460000000000015</v>
      </c>
    </row>
    <row r="9" spans="2:7">
      <c r="B9" s="114" t="s">
        <v>14</v>
      </c>
      <c r="C9" s="115">
        <v>40.78</v>
      </c>
      <c r="D9" s="42">
        <v>4</v>
      </c>
      <c r="E9" s="42">
        <v>11</v>
      </c>
      <c r="F9" s="80">
        <f>hIndex!G3</f>
        <v>14.160000000000004</v>
      </c>
      <c r="G9" s="80">
        <f>hIndex!I3</f>
        <v>8.9761231999999982</v>
      </c>
    </row>
    <row r="10" spans="2:7">
      <c r="B10" s="114" t="s">
        <v>15</v>
      </c>
      <c r="C10" s="115">
        <v>21.52</v>
      </c>
      <c r="D10" s="42">
        <v>6</v>
      </c>
      <c r="E10" s="42">
        <v>11.9</v>
      </c>
      <c r="F10" s="80">
        <f>isHur!D3</f>
        <v>4</v>
      </c>
      <c r="G10" s="80">
        <f>isHur!F3</f>
        <v>2.5329999999999999</v>
      </c>
    </row>
    <row r="11" spans="2:7">
      <c r="B11" s="114" t="s">
        <v>16</v>
      </c>
      <c r="C11" s="115">
        <v>34.869999999999997</v>
      </c>
      <c r="D11" s="42">
        <v>3</v>
      </c>
      <c r="E11" s="42">
        <v>12.3</v>
      </c>
      <c r="F11" s="80">
        <f>isPalind!F3</f>
        <v>7.8000000000000007</v>
      </c>
      <c r="G11" s="80">
        <f>isPalind!H3</f>
        <v>5.9126238298449598</v>
      </c>
    </row>
    <row r="12" spans="2:7">
      <c r="B12" s="114" t="s">
        <v>17</v>
      </c>
      <c r="C12" s="115">
        <v>37.65</v>
      </c>
      <c r="D12" s="42">
        <v>10</v>
      </c>
      <c r="E12" s="42">
        <v>18.3</v>
      </c>
      <c r="F12" s="80">
        <f>lgthLastWd!G3</f>
        <v>9.2889600000000012</v>
      </c>
      <c r="G12" s="80">
        <f>lgthLastWd!I3</f>
        <v>10.90676270550866</v>
      </c>
    </row>
    <row r="13" spans="2:7">
      <c r="B13" s="114" t="s">
        <v>18</v>
      </c>
      <c r="C13" s="115">
        <v>36.979999999999997</v>
      </c>
      <c r="D13" s="42">
        <v>2</v>
      </c>
      <c r="E13" s="42">
        <v>11.9</v>
      </c>
      <c r="F13" s="80">
        <f>binToDec!E3</f>
        <v>9.36</v>
      </c>
      <c r="G13" s="80">
        <f>binToDec!G3</f>
        <v>6.7590000000000003</v>
      </c>
    </row>
    <row r="14" spans="2:7">
      <c r="B14" s="114" t="s">
        <v>19</v>
      </c>
      <c r="C14" s="115">
        <v>24.25</v>
      </c>
      <c r="D14" s="42">
        <v>1</v>
      </c>
      <c r="E14" s="42">
        <v>6.2</v>
      </c>
      <c r="F14" s="80">
        <f>crosSum!E3</f>
        <v>6.3591999999999995</v>
      </c>
      <c r="G14" s="80">
        <f>crosSum!G3</f>
        <v>6.6677599999999995</v>
      </c>
    </row>
    <row r="15" spans="2:7">
      <c r="B15" s="114" t="s">
        <v>20</v>
      </c>
      <c r="C15" s="115">
        <v>21.25</v>
      </c>
      <c r="D15" s="42">
        <v>1</v>
      </c>
      <c r="E15" s="42">
        <v>5.9</v>
      </c>
      <c r="F15" s="80">
        <f>'n!'!D3</f>
        <v>3.9640000000000004</v>
      </c>
      <c r="G15" s="80">
        <f>'n!'!F3</f>
        <v>4.2604000000000006</v>
      </c>
    </row>
    <row r="16" spans="2:7">
      <c r="B16" s="114" t="s">
        <v>21</v>
      </c>
      <c r="C16" s="115">
        <v>31.74</v>
      </c>
      <c r="D16" s="42">
        <v>1</v>
      </c>
      <c r="E16" s="42">
        <v>7.2</v>
      </c>
      <c r="F16" s="80">
        <f>fibonacci!D3</f>
        <v>4.4496000000000002</v>
      </c>
      <c r="G16" s="80">
        <f>fibonacci!F3</f>
        <v>4.7540000000000004</v>
      </c>
    </row>
    <row r="17" spans="2:7">
      <c r="B17" s="114" t="s">
        <v>22</v>
      </c>
      <c r="C17" s="115">
        <v>28.54</v>
      </c>
      <c r="D17" s="42">
        <v>2</v>
      </c>
      <c r="E17" s="42">
        <v>9.1</v>
      </c>
      <c r="F17" s="80">
        <f>power!E3</f>
        <v>6.4600000000000009</v>
      </c>
      <c r="G17" s="80">
        <f>power!G3</f>
        <v>5.8592400000000007</v>
      </c>
    </row>
    <row r="18" spans="2:7">
      <c r="B18" s="78" t="s">
        <v>23</v>
      </c>
      <c r="C18" s="41">
        <v>34.83</v>
      </c>
      <c r="D18" s="42">
        <v>6</v>
      </c>
      <c r="E18" s="42">
        <v>15.6</v>
      </c>
      <c r="F18" s="80">
        <f>sqrt!E3</f>
        <v>12.368000000000004</v>
      </c>
      <c r="G18" s="80">
        <f>sqrt!G3</f>
        <v>7.9318737209704704</v>
      </c>
    </row>
    <row r="19" spans="2:7">
      <c r="B19" s="78" t="s">
        <v>46</v>
      </c>
      <c r="C19" s="41">
        <v>24.05</v>
      </c>
      <c r="D19" s="42">
        <v>4</v>
      </c>
      <c r="E19" s="42">
        <v>14.5</v>
      </c>
      <c r="F19" s="80">
        <f>yesNo!C3</f>
        <v>5</v>
      </c>
      <c r="G19" s="80">
        <f>yesNo!E3</f>
        <v>2.7730999999999999</v>
      </c>
    </row>
    <row r="20" spans="2:7">
      <c r="C20" s="81" t="s">
        <v>326</v>
      </c>
      <c r="D20" s="81">
        <f>PEARSON($C4:$C19,D4:D19)</f>
        <v>0.15173973938279028</v>
      </c>
      <c r="E20" s="81">
        <f>PEARSON($C4:$C19,E4:E19)</f>
        <v>0.2658114364451421</v>
      </c>
      <c r="F20" s="81">
        <f>PEARSON($C4:$C19,F4:F19)</f>
        <v>0.68430126449805984</v>
      </c>
      <c r="G20" s="81">
        <f>PEARSON($C4:$C19,G4:G19)</f>
        <v>0.68740594006032374</v>
      </c>
    </row>
    <row r="23" spans="2:7">
      <c r="B23" s="1"/>
      <c r="C23" s="1" t="s">
        <v>472</v>
      </c>
      <c r="D23" s="1">
        <v>0.4</v>
      </c>
    </row>
    <row r="24" spans="2:7">
      <c r="B24"/>
      <c r="C24" t="s">
        <v>473</v>
      </c>
      <c r="D24" s="1">
        <v>0.5</v>
      </c>
    </row>
    <row r="25" spans="2:7">
      <c r="B25"/>
      <c r="C25" t="s">
        <v>478</v>
      </c>
      <c r="D25" s="1">
        <v>1.3</v>
      </c>
    </row>
    <row r="26" spans="2:7">
      <c r="B26" s="1"/>
      <c r="C26" s="1" t="s">
        <v>480</v>
      </c>
      <c r="D26" s="1">
        <v>0</v>
      </c>
    </row>
    <row r="27" spans="2:7">
      <c r="B27" s="1"/>
      <c r="C27" s="1" t="s">
        <v>487</v>
      </c>
      <c r="D27" s="1">
        <v>0.7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F8BC-B3FE-D347-BA43-5B066A763C3E}">
  <sheetPr codeName="Feuil65"/>
  <dimension ref="B1:I7"/>
  <sheetViews>
    <sheetView showGridLines="0" tabSelected="1" workbookViewId="0">
      <selection activeCell="J19" sqref="J19"/>
    </sheetView>
  </sheetViews>
  <sheetFormatPr baseColWidth="10" defaultRowHeight="16"/>
  <cols>
    <col min="1" max="2" width="10.83203125" style="1"/>
    <col min="3" max="3" width="5.83203125" style="1" customWidth="1"/>
    <col min="4" max="4" width="10.83203125" style="1" hidden="1" customWidth="1"/>
    <col min="5" max="5" width="6.5" style="1" customWidth="1"/>
    <col min="6" max="6" width="15.5" style="1" customWidth="1"/>
    <col min="7" max="7" width="15.5" style="14" customWidth="1"/>
    <col min="8" max="8" width="0" style="1" hidden="1" customWidth="1"/>
    <col min="10" max="16384" width="10.83203125" style="1"/>
  </cols>
  <sheetData>
    <row r="1" spans="2:9" ht="19">
      <c r="B1" s="50" t="s">
        <v>506</v>
      </c>
      <c r="C1" s="50"/>
      <c r="D1" s="50"/>
      <c r="E1" s="50"/>
      <c r="F1" s="50"/>
      <c r="G1" s="50"/>
      <c r="H1" s="50"/>
      <c r="I1" s="50"/>
    </row>
    <row r="3" spans="2:9">
      <c r="B3" s="101" t="s">
        <v>471</v>
      </c>
      <c r="C3" s="101"/>
      <c r="F3" s="79" t="s">
        <v>482</v>
      </c>
      <c r="G3" s="79" t="s">
        <v>505</v>
      </c>
      <c r="H3" s="101" t="s">
        <v>326</v>
      </c>
      <c r="I3" s="101"/>
    </row>
    <row r="4" spans="2:9">
      <c r="B4" s="80" t="s">
        <v>472</v>
      </c>
      <c r="C4" s="80">
        <v>0.4</v>
      </c>
      <c r="D4" s="113">
        <v>0.4</v>
      </c>
      <c r="F4" s="80" t="s">
        <v>483</v>
      </c>
      <c r="G4" s="42">
        <f>ROWS(siegmund2012!B31:B49)</f>
        <v>19</v>
      </c>
      <c r="H4" s="80">
        <f>siegmund2012!F50</f>
        <v>0.88388713486703019</v>
      </c>
      <c r="I4" s="80">
        <f>siegmund2012!G50</f>
        <v>0.93180506545250352</v>
      </c>
    </row>
    <row r="5" spans="2:9">
      <c r="B5" s="80" t="s">
        <v>473</v>
      </c>
      <c r="C5" s="80">
        <v>0.5</v>
      </c>
      <c r="D5" s="113">
        <v>1.3</v>
      </c>
      <c r="F5" s="80" t="s">
        <v>484</v>
      </c>
      <c r="G5" s="42">
        <f>ROWS(peitek2021!B4:B19)</f>
        <v>16</v>
      </c>
      <c r="H5" s="80">
        <f>peitek2021!F20</f>
        <v>0.68430126449805984</v>
      </c>
      <c r="I5" s="80">
        <f>peitek2021!G20</f>
        <v>0.68740594006032374</v>
      </c>
    </row>
    <row r="6" spans="2:9">
      <c r="B6" s="80" t="s">
        <v>478</v>
      </c>
      <c r="C6" s="80">
        <v>1.4</v>
      </c>
      <c r="D6" s="113">
        <v>1.3</v>
      </c>
      <c r="G6" s="43" t="s">
        <v>485</v>
      </c>
      <c r="H6" s="81">
        <f>(H4*$G4+H5*$G5)/SUM($G4:$G5)</f>
        <v>0.79264787984121521</v>
      </c>
      <c r="I6" s="81">
        <f t="shared" ref="I6" si="0">(I4*$G4+I5*$G5)/SUM($G4:$G5)</f>
        <v>0.82007975098750718</v>
      </c>
    </row>
    <row r="7" spans="2:9">
      <c r="B7" s="80" t="s">
        <v>487</v>
      </c>
      <c r="C7" s="80">
        <v>0.7</v>
      </c>
      <c r="D7" s="113">
        <v>0.7</v>
      </c>
    </row>
  </sheetData>
  <mergeCells count="3">
    <mergeCell ref="H3:I3"/>
    <mergeCell ref="B1:I1"/>
    <mergeCell ref="B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sheetPr codeName="Feuil66"/>
  <dimension ref="A1:K21"/>
  <sheetViews>
    <sheetView workbookViewId="0">
      <selection activeCell="H21" sqref="H21"/>
    </sheetView>
  </sheetViews>
  <sheetFormatPr baseColWidth="10" defaultRowHeight="16"/>
  <cols>
    <col min="1" max="1" width="44.33203125" style="10" customWidth="1"/>
    <col min="2" max="16384" width="10.83203125" style="10"/>
  </cols>
  <sheetData>
    <row r="1" spans="1:11" ht="19">
      <c r="A1" s="34" t="s">
        <v>9</v>
      </c>
      <c r="B1" s="34"/>
      <c r="C1" s="34"/>
      <c r="D1" s="34"/>
      <c r="E1" s="34"/>
      <c r="F1" s="34"/>
    </row>
    <row r="3" spans="1:11">
      <c r="B3" s="85"/>
      <c r="F3" s="32">
        <f>SUM(F5:F100)</f>
        <v>11.744000000000002</v>
      </c>
      <c r="G3" s="32" t="e">
        <f>SUM(G5:G100)</f>
        <v>#REF!</v>
      </c>
      <c r="H3" s="32">
        <f>SUM(H5:H21)</f>
        <v>9.2853393034880014</v>
      </c>
    </row>
    <row r="4" spans="1:11">
      <c r="B4" s="84" t="s">
        <v>339</v>
      </c>
      <c r="C4" s="49" t="s">
        <v>235</v>
      </c>
      <c r="D4" s="49" t="s">
        <v>236</v>
      </c>
      <c r="E4" s="49" t="s">
        <v>97</v>
      </c>
      <c r="F4" s="49" t="str">
        <f>data!$H$3</f>
        <v>diff_id</v>
      </c>
      <c r="G4" s="49" t="str">
        <f>data!$I$3</f>
        <v>arrays</v>
      </c>
      <c r="H4" s="49" t="str">
        <f>data!J$3</f>
        <v>reuse</v>
      </c>
      <c r="K4"/>
    </row>
    <row r="5" spans="1:11">
      <c r="A5" s="45" t="s">
        <v>331</v>
      </c>
      <c r="B5" s="46" t="s">
        <v>340</v>
      </c>
      <c r="C5" s="46"/>
      <c r="D5" s="46"/>
      <c r="E5" s="46"/>
      <c r="F5" s="30"/>
      <c r="G5" s="30"/>
      <c r="H5" s="30"/>
      <c r="K5"/>
    </row>
    <row r="6" spans="1:11">
      <c r="A6" s="45" t="s">
        <v>332</v>
      </c>
      <c r="B6" s="46"/>
      <c r="C6" s="46">
        <v>0</v>
      </c>
      <c r="D6" s="46">
        <v>0</v>
      </c>
      <c r="E6" s="46"/>
      <c r="F6" s="30"/>
      <c r="G6" s="30"/>
      <c r="H6" s="30"/>
    </row>
    <row r="7" spans="1:11">
      <c r="A7" s="45" t="s">
        <v>333</v>
      </c>
      <c r="B7" s="46"/>
      <c r="C7" s="46"/>
      <c r="D7" s="46"/>
      <c r="E7" s="46"/>
      <c r="F7" s="30"/>
      <c r="G7" s="30"/>
      <c r="H7" s="30"/>
    </row>
    <row r="8" spans="1:11">
      <c r="A8" s="103" t="s">
        <v>334</v>
      </c>
      <c r="B8" s="46" t="s">
        <v>340</v>
      </c>
      <c r="C8" s="46">
        <v>0</v>
      </c>
      <c r="D8" s="46"/>
      <c r="E8" s="46"/>
      <c r="F8" s="30">
        <v>2</v>
      </c>
      <c r="G8" s="30">
        <v>2</v>
      </c>
      <c r="H8" s="30">
        <v>2</v>
      </c>
    </row>
    <row r="9" spans="1:11">
      <c r="A9" s="45" t="s">
        <v>335</v>
      </c>
      <c r="B9" s="46" t="s">
        <v>340</v>
      </c>
      <c r="C9" s="46">
        <v>0</v>
      </c>
      <c r="D9" s="46">
        <v>2</v>
      </c>
      <c r="E9" s="46"/>
      <c r="F9" s="30">
        <v>3</v>
      </c>
      <c r="G9" s="30" t="e">
        <f>3+Synthesis!#REF!</f>
        <v>#REF!</v>
      </c>
      <c r="H9" s="30">
        <f>Synthesis!$C$7+Synthesis!$C$7+1</f>
        <v>2.4</v>
      </c>
    </row>
    <row r="10" spans="1:11">
      <c r="A10" s="45" t="s">
        <v>336</v>
      </c>
      <c r="B10" s="46"/>
      <c r="C10" s="46">
        <v>1</v>
      </c>
      <c r="D10" s="46"/>
      <c r="E10" s="46"/>
      <c r="F10" s="30">
        <v>1</v>
      </c>
      <c r="G10" s="30">
        <v>1</v>
      </c>
      <c r="H10" s="30">
        <f>Synthesis!$C$7^2</f>
        <v>0.48999999999999994</v>
      </c>
    </row>
    <row r="11" spans="1:11">
      <c r="A11" s="103" t="s">
        <v>334</v>
      </c>
      <c r="B11" s="46" t="s">
        <v>340</v>
      </c>
      <c r="C11" s="46">
        <v>1</v>
      </c>
      <c r="D11" s="46"/>
      <c r="E11" s="46"/>
      <c r="F11" s="30">
        <f>F8*Synthesis!$C$4</f>
        <v>0.8</v>
      </c>
      <c r="G11" s="30">
        <f>G8*Synthesis!$C$4</f>
        <v>0.8</v>
      </c>
      <c r="H11" s="30">
        <f>(Synthesis!$C$7^2+1)*Synthesis!$C$4</f>
        <v>0.59599999999999997</v>
      </c>
    </row>
    <row r="12" spans="1:11">
      <c r="A12" s="45" t="s">
        <v>335</v>
      </c>
      <c r="B12" s="46" t="s">
        <v>340</v>
      </c>
      <c r="C12" s="46">
        <v>1</v>
      </c>
      <c r="D12" s="46">
        <v>6</v>
      </c>
      <c r="E12" s="46"/>
      <c r="F12" s="30">
        <f>F9*Synthesis!$C$4</f>
        <v>1.2000000000000002</v>
      </c>
      <c r="G12" s="30" t="e">
        <f>G9*Synthesis!$C$4</f>
        <v>#REF!</v>
      </c>
      <c r="H12" s="30">
        <f>(Synthesis!$C$7^3+Synthesis!$C$7+1)*Synthesis!$C$4</f>
        <v>0.81720000000000015</v>
      </c>
    </row>
    <row r="13" spans="1:11">
      <c r="A13" s="45" t="s">
        <v>336</v>
      </c>
      <c r="B13" s="46"/>
      <c r="C13" s="46">
        <v>2</v>
      </c>
      <c r="D13" s="46"/>
      <c r="E13" s="46"/>
      <c r="F13" s="30">
        <f>F10*Synthesis!$C$4</f>
        <v>0.4</v>
      </c>
      <c r="G13" s="30">
        <f>G10*Synthesis!$C$4</f>
        <v>0.4</v>
      </c>
      <c r="H13" s="30">
        <f>(Synthesis!$C$7^2)*Synthesis!$C$4</f>
        <v>0.19599999999999998</v>
      </c>
    </row>
    <row r="14" spans="1:11">
      <c r="A14" s="103" t="s">
        <v>334</v>
      </c>
      <c r="B14" s="46" t="s">
        <v>340</v>
      </c>
      <c r="C14" s="46">
        <v>2</v>
      </c>
      <c r="D14" s="46"/>
      <c r="E14" s="46"/>
      <c r="F14" s="30">
        <f>F11*Synthesis!$C$4</f>
        <v>0.32000000000000006</v>
      </c>
      <c r="G14" s="30">
        <f>G11*Synthesis!$C$4</f>
        <v>0.32000000000000006</v>
      </c>
      <c r="H14" s="30">
        <f>(Synthesis!$C$7^4+1)*Synthesis!$C$4^2</f>
        <v>0.19841600000000004</v>
      </c>
    </row>
    <row r="15" spans="1:11">
      <c r="A15" s="45" t="s">
        <v>335</v>
      </c>
      <c r="B15" s="46" t="s">
        <v>340</v>
      </c>
      <c r="C15" s="46">
        <v>2</v>
      </c>
      <c r="D15" s="46">
        <v>7</v>
      </c>
      <c r="E15" s="46"/>
      <c r="F15" s="30">
        <f>F12*Synthesis!$C$4</f>
        <v>0.48000000000000009</v>
      </c>
      <c r="G15" s="30" t="e">
        <f>G12*Synthesis!$C$4</f>
        <v>#REF!</v>
      </c>
      <c r="H15" s="30">
        <f>(Synthesis!$C$7^5+Synthesis!$C$7+1)*Synthesis!$C$4^2</f>
        <v>0.29889120000000002</v>
      </c>
    </row>
    <row r="16" spans="1:11">
      <c r="A16" s="45" t="s">
        <v>336</v>
      </c>
      <c r="B16" s="46"/>
      <c r="C16" s="46">
        <v>3</v>
      </c>
      <c r="D16" s="46"/>
      <c r="E16" s="46"/>
      <c r="F16" s="30">
        <f>F13*Synthesis!$C$4</f>
        <v>0.16000000000000003</v>
      </c>
      <c r="G16" s="30">
        <f>G13*Synthesis!$C$4</f>
        <v>0.16000000000000003</v>
      </c>
      <c r="H16" s="30">
        <f>(Synthesis!$C$7^2)*Synthesis!$C$4^2</f>
        <v>7.8400000000000011E-2</v>
      </c>
    </row>
    <row r="17" spans="1:8">
      <c r="A17" s="99" t="s">
        <v>334</v>
      </c>
      <c r="B17" s="46" t="s">
        <v>340</v>
      </c>
      <c r="C17" s="46">
        <v>3</v>
      </c>
      <c r="D17" s="46"/>
      <c r="E17" s="46"/>
      <c r="F17" s="30">
        <f>F14*Synthesis!$C$4</f>
        <v>0.12800000000000003</v>
      </c>
      <c r="G17" s="30">
        <f>G14*Synthesis!$C$4</f>
        <v>0.12800000000000003</v>
      </c>
      <c r="H17" s="30">
        <f>(Synthesis!$C$7^8 + 1)*Synthesis!$C$4^3</f>
        <v>6.7689472640000012E-2</v>
      </c>
    </row>
    <row r="18" spans="1:8">
      <c r="A18" s="46" t="s">
        <v>335</v>
      </c>
      <c r="B18" s="46" t="s">
        <v>340</v>
      </c>
      <c r="C18" s="46">
        <v>3</v>
      </c>
      <c r="D18" s="46">
        <v>16</v>
      </c>
      <c r="E18" s="46"/>
      <c r="F18" s="30">
        <f>F15*Synthesis!$C$4</f>
        <v>0.19200000000000006</v>
      </c>
      <c r="G18" s="30" t="e">
        <f>G15*Synthesis!$C$4</f>
        <v>#REF!</v>
      </c>
      <c r="H18" s="30">
        <f>(Synthesis!$C$7^9+Synthesis!$C$7+1)*Synthesis!$C$4^3</f>
        <v>0.11138263084800001</v>
      </c>
    </row>
    <row r="19" spans="1:8">
      <c r="A19" s="46" t="s">
        <v>336</v>
      </c>
      <c r="B19" s="46"/>
      <c r="C19" s="46">
        <v>4</v>
      </c>
      <c r="D19" s="46"/>
      <c r="E19" s="46"/>
      <c r="F19" s="30">
        <f>F16*Synthesis!$C$4</f>
        <v>6.4000000000000015E-2</v>
      </c>
      <c r="G19" s="30">
        <f>G16*Synthesis!$C$4</f>
        <v>6.4000000000000015E-2</v>
      </c>
      <c r="H19" s="30">
        <f>(Synthesis!$C$7^2)*Synthesis!$C$4^3</f>
        <v>3.1360000000000006E-2</v>
      </c>
    </row>
    <row r="20" spans="1:8">
      <c r="A20" s="46" t="s">
        <v>337</v>
      </c>
      <c r="B20" s="46"/>
      <c r="C20" s="46">
        <v>4</v>
      </c>
      <c r="D20" s="46">
        <v>16</v>
      </c>
      <c r="E20" s="46">
        <v>4</v>
      </c>
      <c r="F20" s="30">
        <v>2</v>
      </c>
      <c r="G20" s="30">
        <v>2</v>
      </c>
      <c r="H20" s="30">
        <v>2</v>
      </c>
    </row>
    <row r="21" spans="1:8">
      <c r="A21" s="46" t="s">
        <v>338</v>
      </c>
      <c r="B21" s="46"/>
      <c r="C21" s="46"/>
      <c r="D21" s="46"/>
      <c r="E21" s="46"/>
      <c r="F21" s="30"/>
      <c r="G21" s="30"/>
      <c r="H21" s="30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sheetPr codeName="Feuil67"/>
  <dimension ref="A1:I51"/>
  <sheetViews>
    <sheetView workbookViewId="0">
      <selection activeCell="H21" sqref="H21"/>
    </sheetView>
  </sheetViews>
  <sheetFormatPr baseColWidth="10" defaultRowHeight="16"/>
  <cols>
    <col min="1" max="1" width="44.83203125" style="24" customWidth="1"/>
    <col min="2" max="8" width="10.83203125" style="24"/>
    <col min="9" max="9" width="12.1640625" style="24" bestFit="1" customWidth="1"/>
    <col min="10" max="16384" width="10.83203125" style="24"/>
  </cols>
  <sheetData>
    <row r="1" spans="1:9" ht="19">
      <c r="A1" s="29" t="s">
        <v>10</v>
      </c>
      <c r="B1" s="29"/>
      <c r="C1" s="29"/>
      <c r="D1" s="29"/>
      <c r="E1" s="29"/>
      <c r="F1" s="29"/>
      <c r="G1" s="29"/>
      <c r="H1" s="29"/>
    </row>
    <row r="3" spans="1:9">
      <c r="G3" s="32">
        <f>SUM(G5:G51)</f>
        <v>18.183487999999997</v>
      </c>
      <c r="H3" s="32">
        <f>SUM(H5:H100)</f>
        <v>18.183487999999997</v>
      </c>
      <c r="I3" s="32">
        <f>SUM(I5:I51)</f>
        <v>11.530927025310637</v>
      </c>
    </row>
    <row r="4" spans="1:9">
      <c r="B4" s="38" t="s">
        <v>351</v>
      </c>
      <c r="C4" s="38" t="s">
        <v>352</v>
      </c>
      <c r="D4" s="38" t="s">
        <v>97</v>
      </c>
      <c r="E4" s="38" t="s">
        <v>109</v>
      </c>
      <c r="F4" s="38" t="s">
        <v>175</v>
      </c>
      <c r="G4" s="49" t="str">
        <f>data!$H$3</f>
        <v>diff_id</v>
      </c>
      <c r="H4" s="49" t="str">
        <f>data!I$3</f>
        <v>arrays</v>
      </c>
      <c r="I4" s="49" t="str">
        <f>data!J$3</f>
        <v>reuse</v>
      </c>
    </row>
    <row r="5" spans="1:9">
      <c r="A5" s="27" t="s">
        <v>341</v>
      </c>
      <c r="B5" s="27" t="s">
        <v>102</v>
      </c>
      <c r="C5" s="27"/>
      <c r="D5" s="27"/>
      <c r="E5" s="27"/>
      <c r="F5" s="27"/>
      <c r="G5" s="31"/>
      <c r="H5" s="86"/>
      <c r="I5" s="31"/>
    </row>
    <row r="6" spans="1:9">
      <c r="A6" s="33" t="s">
        <v>342</v>
      </c>
      <c r="B6" s="27"/>
      <c r="C6" s="27" t="s">
        <v>353</v>
      </c>
      <c r="D6" s="27"/>
      <c r="E6" s="27"/>
      <c r="F6" s="27"/>
      <c r="G6" s="31"/>
      <c r="H6" s="86"/>
      <c r="I6" s="31"/>
    </row>
    <row r="7" spans="1:9">
      <c r="A7" s="33" t="s">
        <v>343</v>
      </c>
      <c r="B7" s="27"/>
      <c r="C7" s="27"/>
      <c r="D7" s="27" t="s">
        <v>354</v>
      </c>
      <c r="E7" s="27"/>
      <c r="F7" s="27"/>
      <c r="G7" s="31"/>
      <c r="H7" s="86"/>
      <c r="I7" s="31"/>
    </row>
    <row r="8" spans="1:9">
      <c r="A8" s="104" t="s">
        <v>344</v>
      </c>
      <c r="B8" s="27" t="s">
        <v>102</v>
      </c>
      <c r="C8" s="27"/>
      <c r="D8" s="27"/>
      <c r="E8" s="27">
        <v>0</v>
      </c>
      <c r="F8" s="27"/>
      <c r="G8" s="31">
        <v>1</v>
      </c>
      <c r="H8" s="86">
        <v>1</v>
      </c>
      <c r="I8" s="31">
        <v>1</v>
      </c>
    </row>
    <row r="9" spans="1:9">
      <c r="A9" s="105" t="s">
        <v>345</v>
      </c>
      <c r="B9" s="27"/>
      <c r="C9" s="27" t="s">
        <v>353</v>
      </c>
      <c r="D9" s="27"/>
      <c r="E9" s="27"/>
      <c r="F9" s="27">
        <v>0</v>
      </c>
      <c r="G9" s="31">
        <v>1</v>
      </c>
      <c r="H9" s="86">
        <v>1</v>
      </c>
      <c r="I9" s="31">
        <v>1</v>
      </c>
    </row>
    <row r="10" spans="1:9">
      <c r="A10" s="33" t="s">
        <v>346</v>
      </c>
      <c r="B10" s="27" t="s">
        <v>102</v>
      </c>
      <c r="C10" s="27"/>
      <c r="D10" s="27"/>
      <c r="E10" s="27">
        <v>0</v>
      </c>
      <c r="F10" s="27">
        <v>0</v>
      </c>
      <c r="G10" s="31">
        <v>3</v>
      </c>
      <c r="H10" s="86">
        <f t="shared" ref="H9:I11" si="0">G10</f>
        <v>3</v>
      </c>
      <c r="I10" s="31">
        <f>Synthesis!$C$7+1+1</f>
        <v>2.7</v>
      </c>
    </row>
    <row r="11" spans="1:9">
      <c r="A11" s="33" t="s">
        <v>348</v>
      </c>
      <c r="B11" s="27" t="s">
        <v>102</v>
      </c>
      <c r="C11" s="27" t="s">
        <v>353</v>
      </c>
      <c r="D11" s="27"/>
      <c r="E11" s="27">
        <v>0</v>
      </c>
      <c r="F11" s="27">
        <v>0</v>
      </c>
      <c r="G11" s="31">
        <v>4</v>
      </c>
      <c r="H11" s="86">
        <v>4</v>
      </c>
      <c r="I11" s="31">
        <f>Synthesis!$C$7^2+Synthesis!$C$7+Synthesis!$C$7+Synthesis!$C$7</f>
        <v>2.59</v>
      </c>
    </row>
    <row r="12" spans="1:9">
      <c r="A12" s="27" t="s">
        <v>347</v>
      </c>
      <c r="B12" s="27"/>
      <c r="C12" s="27"/>
      <c r="D12" s="27"/>
      <c r="E12" s="27"/>
      <c r="F12" s="27"/>
      <c r="G12" s="31"/>
      <c r="H12" s="86"/>
      <c r="I12" s="31"/>
    </row>
    <row r="13" spans="1:9">
      <c r="A13" s="27"/>
      <c r="B13" s="27"/>
      <c r="C13" s="27"/>
      <c r="D13" s="27"/>
      <c r="E13" s="27"/>
      <c r="F13" s="27"/>
      <c r="G13" s="31"/>
      <c r="H13" s="86"/>
      <c r="I13" s="31"/>
    </row>
    <row r="14" spans="1:9">
      <c r="A14" s="104" t="s">
        <v>344</v>
      </c>
      <c r="B14" s="27" t="s">
        <v>102</v>
      </c>
      <c r="C14" s="27"/>
      <c r="D14" s="27"/>
      <c r="E14" s="27">
        <v>1</v>
      </c>
      <c r="F14" s="27"/>
      <c r="G14" s="31">
        <f>G8*Synthesis!$C$4</f>
        <v>0.4</v>
      </c>
      <c r="H14" s="86">
        <f>H8*Synthesis!$C$4</f>
        <v>0.4</v>
      </c>
      <c r="I14" s="31">
        <f>(Synthesis!$C$7^3+1)*Synthesis!$C$4</f>
        <v>0.53720000000000001</v>
      </c>
    </row>
    <row r="15" spans="1:9">
      <c r="A15" s="105" t="s">
        <v>345</v>
      </c>
      <c r="B15" s="27"/>
      <c r="C15" s="27" t="s">
        <v>353</v>
      </c>
      <c r="D15" s="27"/>
      <c r="E15" s="27"/>
      <c r="F15" s="27">
        <v>0</v>
      </c>
      <c r="G15" s="31">
        <f>G9*Synthesis!$C$4</f>
        <v>0.4</v>
      </c>
      <c r="H15" s="86">
        <f>H9*Synthesis!$C$4</f>
        <v>0.4</v>
      </c>
      <c r="I15" s="31">
        <f>(Synthesis!$C$7^2)*Synthesis!$C$4</f>
        <v>0.19599999999999998</v>
      </c>
    </row>
    <row r="16" spans="1:9">
      <c r="A16" s="33" t="s">
        <v>346</v>
      </c>
      <c r="B16" s="27" t="s">
        <v>102</v>
      </c>
      <c r="C16" s="27"/>
      <c r="D16" s="27"/>
      <c r="E16" s="27">
        <v>1</v>
      </c>
      <c r="F16" s="27">
        <v>0</v>
      </c>
      <c r="G16" s="31">
        <f>G10*Synthesis!$C$4</f>
        <v>1.2000000000000002</v>
      </c>
      <c r="H16" s="86">
        <f>H10*Synthesis!$C$4</f>
        <v>1.2000000000000002</v>
      </c>
      <c r="I16" s="31">
        <f>(Synthesis!$C$7^4+1+1)*Synthesis!$C$4</f>
        <v>0.89604000000000006</v>
      </c>
    </row>
    <row r="17" spans="1:9">
      <c r="A17" s="33" t="s">
        <v>348</v>
      </c>
      <c r="B17" s="27" t="s">
        <v>102</v>
      </c>
      <c r="C17" s="27" t="s">
        <v>353</v>
      </c>
      <c r="D17" s="27"/>
      <c r="E17" s="27">
        <v>1</v>
      </c>
      <c r="F17" s="27">
        <v>0</v>
      </c>
      <c r="G17" s="31">
        <f>G11*Synthesis!$C$4</f>
        <v>1.6</v>
      </c>
      <c r="H17" s="86">
        <f>H11*Synthesis!$C$4</f>
        <v>1.6</v>
      </c>
      <c r="I17" s="31">
        <f>(Synthesis!$C$7^5+Synthesis!$C$7^3+Synthesis!$C$7+Synthesis!$C$7)*Synthesis!$C$4</f>
        <v>0.764428</v>
      </c>
    </row>
    <row r="18" spans="1:9">
      <c r="A18" s="27" t="s">
        <v>347</v>
      </c>
      <c r="B18" s="27"/>
      <c r="C18" s="27"/>
      <c r="D18" s="27"/>
      <c r="E18" s="27"/>
      <c r="F18" s="27"/>
      <c r="G18" s="31"/>
      <c r="H18" s="86"/>
      <c r="I18" s="31"/>
    </row>
    <row r="19" spans="1:9">
      <c r="A19" s="27"/>
      <c r="B19" s="27"/>
      <c r="C19" s="27"/>
      <c r="D19" s="27"/>
      <c r="E19" s="27"/>
      <c r="F19" s="27"/>
      <c r="G19" s="31"/>
      <c r="H19" s="86"/>
      <c r="I19" s="31"/>
    </row>
    <row r="20" spans="1:9">
      <c r="A20" s="104" t="s">
        <v>344</v>
      </c>
      <c r="B20" s="27" t="s">
        <v>102</v>
      </c>
      <c r="C20" s="27"/>
      <c r="D20" s="27"/>
      <c r="E20" s="27">
        <v>2</v>
      </c>
      <c r="F20" s="27"/>
      <c r="G20" s="31">
        <f>G14*Synthesis!$C$4</f>
        <v>0.16000000000000003</v>
      </c>
      <c r="H20" s="86">
        <f>H14*Synthesis!$C$4</f>
        <v>0.16000000000000003</v>
      </c>
      <c r="I20" s="31">
        <f>(Synthesis!$C$7^6)*Synthesis!$C$4^2</f>
        <v>1.8823839999999994E-2</v>
      </c>
    </row>
    <row r="21" spans="1:9">
      <c r="A21" s="105" t="s">
        <v>345</v>
      </c>
      <c r="B21" s="27"/>
      <c r="C21" s="27" t="s">
        <v>353</v>
      </c>
      <c r="D21" s="27"/>
      <c r="E21" s="27"/>
      <c r="F21" s="27">
        <v>0</v>
      </c>
      <c r="G21" s="31">
        <f>G15*Synthesis!$C$4</f>
        <v>0.16000000000000003</v>
      </c>
      <c r="H21" s="86">
        <f>H15*Synthesis!$C$4</f>
        <v>0.16000000000000003</v>
      </c>
      <c r="I21" s="31">
        <f>(Synthesis!$C$7^4)*Synthesis!$C$4^2</f>
        <v>3.8415999999999999E-2</v>
      </c>
    </row>
    <row r="22" spans="1:9">
      <c r="A22" s="33" t="s">
        <v>346</v>
      </c>
      <c r="B22" s="27" t="s">
        <v>102</v>
      </c>
      <c r="C22" s="27"/>
      <c r="D22" s="27"/>
      <c r="E22" s="27">
        <v>2</v>
      </c>
      <c r="F22" s="27">
        <v>0</v>
      </c>
      <c r="G22" s="31">
        <f>G16*Synthesis!$C$4</f>
        <v>0.48000000000000009</v>
      </c>
      <c r="H22" s="86">
        <f>H16*Synthesis!$C$4</f>
        <v>0.48000000000000009</v>
      </c>
      <c r="I22" s="31">
        <f>(Synthesis!$C$7^7+1+1)*Synthesis!$C$4^2</f>
        <v>0.33317668800000005</v>
      </c>
    </row>
    <row r="23" spans="1:9">
      <c r="A23" s="33" t="s">
        <v>348</v>
      </c>
      <c r="B23" s="27" t="s">
        <v>102</v>
      </c>
      <c r="C23" s="27" t="s">
        <v>353</v>
      </c>
      <c r="D23" s="27"/>
      <c r="E23" s="27">
        <v>2</v>
      </c>
      <c r="F23" s="27">
        <v>0</v>
      </c>
      <c r="G23" s="31">
        <f>G17*Synthesis!$C$4</f>
        <v>0.64000000000000012</v>
      </c>
      <c r="H23" s="86">
        <f>H17*Synthesis!$C$4</f>
        <v>0.64000000000000012</v>
      </c>
      <c r="I23" s="31">
        <f>(Synthesis!$C$7^8+Synthesis!$C$7^5+Synthesis!$C$7+Synthesis!$C$7)*Synthesis!$C$4^2</f>
        <v>0.26011488160000001</v>
      </c>
    </row>
    <row r="24" spans="1:9">
      <c r="A24" s="27" t="s">
        <v>347</v>
      </c>
      <c r="B24" s="27"/>
      <c r="C24" s="27"/>
      <c r="D24" s="27"/>
      <c r="E24" s="27"/>
      <c r="F24" s="27"/>
      <c r="G24" s="31"/>
      <c r="H24" s="86"/>
      <c r="I24" s="31"/>
    </row>
    <row r="25" spans="1:9">
      <c r="A25" s="27"/>
      <c r="B25" s="27"/>
      <c r="C25" s="27"/>
      <c r="D25" s="27"/>
      <c r="E25" s="27"/>
      <c r="F25" s="27"/>
      <c r="G25" s="31"/>
      <c r="H25" s="86"/>
      <c r="I25" s="31"/>
    </row>
    <row r="26" spans="1:9">
      <c r="A26" s="104" t="s">
        <v>344</v>
      </c>
      <c r="B26" s="27" t="s">
        <v>102</v>
      </c>
      <c r="C26" s="27"/>
      <c r="D26" s="27"/>
      <c r="E26" s="27">
        <v>3</v>
      </c>
      <c r="F26" s="27"/>
      <c r="G26" s="31">
        <f>G20*Synthesis!$C$4</f>
        <v>6.4000000000000015E-2</v>
      </c>
      <c r="H26" s="86">
        <f>H20*Synthesis!$C$4</f>
        <v>6.4000000000000015E-2</v>
      </c>
      <c r="I26" s="31">
        <f>(Synthesis!$C$7^9)*Synthesis!$C$4^3</f>
        <v>2.5826308479999986E-3</v>
      </c>
    </row>
    <row r="27" spans="1:9">
      <c r="A27" s="105" t="s">
        <v>345</v>
      </c>
      <c r="B27" s="27"/>
      <c r="C27" s="27" t="s">
        <v>353</v>
      </c>
      <c r="D27" s="27"/>
      <c r="E27" s="27"/>
      <c r="F27" s="27">
        <v>0</v>
      </c>
      <c r="G27" s="31">
        <f>G21*Synthesis!$C$4</f>
        <v>6.4000000000000015E-2</v>
      </c>
      <c r="H27" s="86">
        <f>H21*Synthesis!$C$4</f>
        <v>6.4000000000000015E-2</v>
      </c>
      <c r="I27" s="31">
        <f>(Synthesis!$C$7^6)*Synthesis!$C$4^3</f>
        <v>7.5295359999999981E-3</v>
      </c>
    </row>
    <row r="28" spans="1:9">
      <c r="A28" s="33" t="s">
        <v>346</v>
      </c>
      <c r="B28" s="27" t="s">
        <v>102</v>
      </c>
      <c r="C28" s="27"/>
      <c r="D28" s="27"/>
      <c r="E28" s="27">
        <v>3</v>
      </c>
      <c r="F28" s="27">
        <v>0</v>
      </c>
      <c r="G28" s="31">
        <f>G22*Synthesis!$C$4</f>
        <v>0.19200000000000006</v>
      </c>
      <c r="H28" s="86">
        <f>H22*Synthesis!$C$4</f>
        <v>0.19200000000000006</v>
      </c>
      <c r="I28" s="31">
        <f>(Synthesis!$C$7^10+1+1)*Synthesis!$C$4^3</f>
        <v>0.12980784159360004</v>
      </c>
    </row>
    <row r="29" spans="1:9">
      <c r="A29" s="33" t="s">
        <v>348</v>
      </c>
      <c r="B29" s="27" t="s">
        <v>102</v>
      </c>
      <c r="C29" s="27" t="s">
        <v>353</v>
      </c>
      <c r="D29" s="27"/>
      <c r="E29" s="27">
        <v>3</v>
      </c>
      <c r="F29" s="27">
        <v>0</v>
      </c>
      <c r="G29" s="31">
        <f>G23*Synthesis!$C$4</f>
        <v>0.25600000000000006</v>
      </c>
      <c r="H29" s="86">
        <f>H23*Synthesis!$C$4</f>
        <v>0.25600000000000006</v>
      </c>
      <c r="I29" s="31">
        <f>(Synthesis!$C$7^11+Synthesis!$C$7^7+Synthesis!$C$7+Synthesis!$C$7)*Synthesis!$C$4^3</f>
        <v>9.6136164315520009E-2</v>
      </c>
    </row>
    <row r="30" spans="1:9">
      <c r="A30" s="27" t="s">
        <v>349</v>
      </c>
      <c r="B30" s="27"/>
      <c r="C30" s="27"/>
      <c r="D30" s="27"/>
      <c r="E30" s="27"/>
      <c r="F30" s="27"/>
      <c r="G30" s="31"/>
      <c r="H30" s="86"/>
      <c r="I30" s="31"/>
    </row>
    <row r="31" spans="1:9">
      <c r="A31" s="27" t="s">
        <v>350</v>
      </c>
      <c r="B31" s="27"/>
      <c r="C31" s="27" t="s">
        <v>353</v>
      </c>
      <c r="D31" s="27"/>
      <c r="E31" s="27"/>
      <c r="F31" s="27">
        <v>0</v>
      </c>
      <c r="G31" s="31">
        <v>2</v>
      </c>
      <c r="H31" s="86">
        <v>2</v>
      </c>
      <c r="I31" s="31">
        <f>Synthesis!$C$7^8+Synthesis!$C$7^2</f>
        <v>0.54764800999999985</v>
      </c>
    </row>
    <row r="32" spans="1:9">
      <c r="A32" s="27"/>
      <c r="B32" s="27"/>
      <c r="C32" s="27"/>
      <c r="D32" s="27"/>
      <c r="E32" s="27"/>
      <c r="F32" s="27"/>
      <c r="G32" s="31"/>
      <c r="H32" s="86"/>
      <c r="I32" s="31"/>
    </row>
    <row r="33" spans="1:9">
      <c r="A33" s="105" t="s">
        <v>345</v>
      </c>
      <c r="B33" s="27"/>
      <c r="C33" s="27" t="s">
        <v>353</v>
      </c>
      <c r="D33" s="27"/>
      <c r="E33" s="27"/>
      <c r="F33" s="27">
        <v>1</v>
      </c>
      <c r="G33" s="31">
        <f>G27*Synthesis!$C$4</f>
        <v>2.5600000000000008E-2</v>
      </c>
      <c r="H33" s="86">
        <f>H27*Synthesis!$C$4</f>
        <v>2.5600000000000008E-2</v>
      </c>
      <c r="I33" s="31">
        <f>(Synthesis!$C$7^9)*Synthesis!$C$4^4</f>
        <v>1.0330523391999997E-3</v>
      </c>
    </row>
    <row r="34" spans="1:9">
      <c r="A34" s="33" t="s">
        <v>346</v>
      </c>
      <c r="B34" s="27" t="s">
        <v>102</v>
      </c>
      <c r="C34" s="27"/>
      <c r="D34" s="27"/>
      <c r="E34" s="27">
        <v>3</v>
      </c>
      <c r="F34" s="27">
        <v>1</v>
      </c>
      <c r="G34" s="31">
        <f>G28*Synthesis!$C$4</f>
        <v>7.6800000000000035E-2</v>
      </c>
      <c r="H34" s="86">
        <f>H28*Synthesis!$C$4</f>
        <v>7.6800000000000035E-2</v>
      </c>
      <c r="I34" s="31">
        <f>(Synthesis!$C$7^12+Synthesis!$C$7^2+1)*Synthesis!$C$4^4</f>
        <v>3.8498336952345613E-2</v>
      </c>
    </row>
    <row r="35" spans="1:9">
      <c r="A35" s="33" t="s">
        <v>348</v>
      </c>
      <c r="B35" s="27" t="s">
        <v>102</v>
      </c>
      <c r="C35" s="27" t="s">
        <v>353</v>
      </c>
      <c r="D35" s="27"/>
      <c r="E35" s="27">
        <v>3</v>
      </c>
      <c r="F35" s="27">
        <v>1</v>
      </c>
      <c r="G35" s="31">
        <f>G29*Synthesis!$C$4</f>
        <v>0.10240000000000003</v>
      </c>
      <c r="H35" s="86">
        <f>H29*Synthesis!$C$4</f>
        <v>0.10240000000000003</v>
      </c>
      <c r="I35" s="31">
        <f>(Synthesis!$C$7^13+Synthesis!$C$7^10+Synthesis!$C$7^3+Synthesis!$C$7)*Synthesis!$C$4^4</f>
        <v>2.7671972504081932E-2</v>
      </c>
    </row>
    <row r="36" spans="1:9">
      <c r="A36" s="27" t="s">
        <v>349</v>
      </c>
      <c r="B36" s="27"/>
      <c r="C36" s="27"/>
      <c r="D36" s="27"/>
      <c r="E36" s="27"/>
      <c r="F36" s="27"/>
      <c r="G36" s="31"/>
      <c r="H36" s="86"/>
      <c r="I36" s="31"/>
    </row>
    <row r="37" spans="1:9">
      <c r="A37" s="27" t="s">
        <v>350</v>
      </c>
      <c r="B37" s="27"/>
      <c r="C37" s="27" t="s">
        <v>353</v>
      </c>
      <c r="D37" s="27"/>
      <c r="E37" s="27"/>
      <c r="F37" s="27">
        <v>1</v>
      </c>
      <c r="G37" s="31">
        <f>G31*Synthesis!$C$4</f>
        <v>0.8</v>
      </c>
      <c r="H37" s="86">
        <f>H31*Synthesis!$C$4</f>
        <v>0.8</v>
      </c>
      <c r="I37" s="31">
        <f>(Synthesis!$C$7^11+Synthesis!$C$7^2)*Synthesis!$C$4</f>
        <v>0.20390930697199999</v>
      </c>
    </row>
    <row r="38" spans="1:9">
      <c r="A38" s="27"/>
      <c r="B38" s="27"/>
      <c r="C38" s="27"/>
      <c r="D38" s="27"/>
      <c r="E38" s="27"/>
      <c r="F38" s="27"/>
      <c r="G38" s="31"/>
      <c r="H38" s="86"/>
      <c r="I38" s="31"/>
    </row>
    <row r="39" spans="1:9">
      <c r="A39" s="105" t="s">
        <v>345</v>
      </c>
      <c r="B39" s="27"/>
      <c r="C39" s="27" t="s">
        <v>353</v>
      </c>
      <c r="D39" s="27"/>
      <c r="E39" s="27"/>
      <c r="F39" s="27">
        <v>2</v>
      </c>
      <c r="G39" s="31">
        <f>G33*Synthesis!$C$4</f>
        <v>1.0240000000000004E-2</v>
      </c>
      <c r="H39" s="86">
        <f>H33*Synthesis!$C$4</f>
        <v>1.0240000000000004E-2</v>
      </c>
      <c r="I39" s="31">
        <f>(Synthesis!$C$7^12)*Synthesis!$C$4^5</f>
        <v>1.4173478093823993E-4</v>
      </c>
    </row>
    <row r="40" spans="1:9">
      <c r="A40" s="33" t="s">
        <v>346</v>
      </c>
      <c r="B40" s="27" t="s">
        <v>102</v>
      </c>
      <c r="C40" s="27"/>
      <c r="D40" s="27"/>
      <c r="E40" s="27">
        <v>3</v>
      </c>
      <c r="F40" s="27">
        <v>2</v>
      </c>
      <c r="G40" s="31">
        <f>G34*Synthesis!$C$4</f>
        <v>3.0720000000000015E-2</v>
      </c>
      <c r="H40" s="86">
        <f>H34*Synthesis!$C$4</f>
        <v>3.0720000000000015E-2</v>
      </c>
      <c r="I40" s="31">
        <f>(Synthesis!$C$7^14+Synthesis!$C$7^4+1)*Synthesis!$C$4^5</f>
        <v>1.2768074042659745E-2</v>
      </c>
    </row>
    <row r="41" spans="1:9">
      <c r="A41" s="33" t="s">
        <v>348</v>
      </c>
      <c r="B41" s="27" t="s">
        <v>102</v>
      </c>
      <c r="C41" s="27" t="s">
        <v>353</v>
      </c>
      <c r="D41" s="27"/>
      <c r="E41" s="27">
        <v>3</v>
      </c>
      <c r="F41" s="27">
        <v>2</v>
      </c>
      <c r="G41" s="31">
        <f>G35*Synthesis!$C$4</f>
        <v>4.0960000000000017E-2</v>
      </c>
      <c r="H41" s="86">
        <f>H35*Synthesis!$C$4</f>
        <v>4.0960000000000017E-2</v>
      </c>
      <c r="I41" s="31">
        <f>(Synthesis!$C$7^13+Synthesis!$C$7^5+Synthesis!$C$7)*Synthesis!$C$4^5</f>
        <v>8.9882511466567727E-3</v>
      </c>
    </row>
    <row r="42" spans="1:9">
      <c r="A42" s="27" t="s">
        <v>349</v>
      </c>
      <c r="B42" s="27"/>
      <c r="C42" s="27"/>
      <c r="D42" s="27"/>
      <c r="E42" s="27"/>
      <c r="F42" s="27"/>
      <c r="G42" s="31"/>
      <c r="H42" s="86"/>
      <c r="I42" s="31"/>
    </row>
    <row r="43" spans="1:9">
      <c r="A43" s="27" t="s">
        <v>350</v>
      </c>
      <c r="B43" s="27"/>
      <c r="C43" s="27" t="s">
        <v>353</v>
      </c>
      <c r="D43" s="27"/>
      <c r="E43" s="27"/>
      <c r="F43" s="27">
        <v>2</v>
      </c>
      <c r="G43" s="31">
        <f>G37*Synthesis!$C$4</f>
        <v>0.32000000000000006</v>
      </c>
      <c r="H43" s="86">
        <f>H37*Synthesis!$C$4</f>
        <v>0.32000000000000006</v>
      </c>
      <c r="I43" s="31">
        <f>(Synthesis!$C$7^14+Synthesis!$C$7^2)*Synthesis!$C$4^2</f>
        <v>7.94851569165584E-2</v>
      </c>
    </row>
    <row r="44" spans="1:9">
      <c r="A44" s="27"/>
      <c r="B44" s="27"/>
      <c r="C44" s="27"/>
      <c r="D44" s="27"/>
      <c r="E44" s="27"/>
      <c r="F44" s="27"/>
      <c r="G44" s="31"/>
      <c r="H44" s="86"/>
      <c r="I44" s="31"/>
    </row>
    <row r="45" spans="1:9">
      <c r="A45" s="105" t="s">
        <v>345</v>
      </c>
      <c r="B45" s="27"/>
      <c r="C45" s="27" t="s">
        <v>353</v>
      </c>
      <c r="D45" s="27"/>
      <c r="E45" s="27"/>
      <c r="F45" s="27">
        <v>3</v>
      </c>
      <c r="G45" s="31">
        <f>G39*Synthesis!$C$4</f>
        <v>4.0960000000000015E-3</v>
      </c>
      <c r="H45" s="86">
        <f>H39*Synthesis!$C$4</f>
        <v>4.0960000000000015E-3</v>
      </c>
      <c r="I45" s="31">
        <f>(Synthesis!$C$7^15)*Synthesis!$C$4^6</f>
        <v>1.9446011944726515E-5</v>
      </c>
    </row>
    <row r="46" spans="1:9">
      <c r="A46" s="33" t="s">
        <v>346</v>
      </c>
      <c r="B46" s="27" t="s">
        <v>102</v>
      </c>
      <c r="C46" s="27"/>
      <c r="D46" s="27"/>
      <c r="E46" s="27">
        <v>3</v>
      </c>
      <c r="F46" s="27">
        <v>3</v>
      </c>
      <c r="G46" s="31">
        <f>G40*Synthesis!$C$4</f>
        <v>1.2288000000000007E-2</v>
      </c>
      <c r="H46" s="86">
        <f>H40*Synthesis!$C$4</f>
        <v>1.2288000000000007E-2</v>
      </c>
      <c r="I46" s="31">
        <f>(Synthesis!$C$7^16+Synthesis!$C$7^6+1)*Synthesis!$C$4^6</f>
        <v>4.5915025123613113E-3</v>
      </c>
    </row>
    <row r="47" spans="1:9">
      <c r="A47" s="33" t="s">
        <v>348</v>
      </c>
      <c r="B47" s="27" t="s">
        <v>102</v>
      </c>
      <c r="C47" s="27" t="s">
        <v>353</v>
      </c>
      <c r="D47" s="27"/>
      <c r="E47" s="27">
        <v>3</v>
      </c>
      <c r="F47" s="27">
        <v>3</v>
      </c>
      <c r="G47" s="31">
        <f>G41*Synthesis!$C$4</f>
        <v>1.6384000000000006E-2</v>
      </c>
      <c r="H47" s="86">
        <f>H41*Synthesis!$C$4</f>
        <v>1.6384000000000006E-2</v>
      </c>
      <c r="I47" s="31">
        <f>(Synthesis!$C$7^17+Synthesis!$C$7^17+Synthesis!$C$7^7+1)*Synthesis!$C$4^6</f>
        <v>4.4523803045058343E-3</v>
      </c>
    </row>
    <row r="48" spans="1:9">
      <c r="A48" s="27" t="s">
        <v>349</v>
      </c>
      <c r="B48" s="27"/>
      <c r="C48" s="27"/>
      <c r="D48" s="27"/>
      <c r="E48" s="27"/>
      <c r="F48" s="27"/>
      <c r="G48" s="31"/>
      <c r="H48" s="86"/>
      <c r="I48" s="31"/>
    </row>
    <row r="49" spans="1:9">
      <c r="A49" s="27" t="s">
        <v>350</v>
      </c>
      <c r="B49" s="27"/>
      <c r="C49" s="27" t="s">
        <v>353</v>
      </c>
      <c r="D49" s="27"/>
      <c r="E49" s="27"/>
      <c r="F49" s="27">
        <v>3</v>
      </c>
      <c r="G49" s="31">
        <f>G43*Synthesis!$C$4</f>
        <v>0.12800000000000003</v>
      </c>
      <c r="H49" s="86">
        <f>H43*Synthesis!$C$4</f>
        <v>0.12800000000000003</v>
      </c>
      <c r="I49" s="31">
        <f>(Synthesis!$C$7^18+Synthesis!$C$7^2)*Synthesis!$C$4^3</f>
        <v>3.1464218470266272E-2</v>
      </c>
    </row>
    <row r="50" spans="1:9">
      <c r="A50" s="27" t="s">
        <v>355</v>
      </c>
      <c r="B50" s="27"/>
      <c r="C50" s="27"/>
      <c r="D50" s="27"/>
      <c r="E50" s="27"/>
      <c r="F50" s="27"/>
      <c r="G50" s="31"/>
      <c r="H50" s="86"/>
      <c r="I50" s="31"/>
    </row>
    <row r="51" spans="1:9">
      <c r="A51" s="27" t="s">
        <v>338</v>
      </c>
      <c r="B51" s="27"/>
      <c r="C51" s="27"/>
      <c r="D51" s="27"/>
      <c r="E51" s="27"/>
      <c r="F51" s="27"/>
      <c r="G51" s="31"/>
      <c r="H51" s="86"/>
      <c r="I51" s="31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sheetPr codeName="Feuil68"/>
  <dimension ref="A1:J119"/>
  <sheetViews>
    <sheetView workbookViewId="0">
      <selection activeCell="H21" sqref="H21"/>
    </sheetView>
  </sheetViews>
  <sheetFormatPr baseColWidth="10" defaultRowHeight="16"/>
  <cols>
    <col min="1" max="1" width="39.83203125" customWidth="1"/>
    <col min="8" max="8" width="12.1640625" bestFit="1" customWidth="1"/>
    <col min="9" max="9" width="12.1640625" customWidth="1"/>
    <col min="10" max="10" width="12.1640625" bestFit="1" customWidth="1"/>
  </cols>
  <sheetData>
    <row r="1" spans="1:10" ht="19">
      <c r="A1" s="29" t="s">
        <v>11</v>
      </c>
      <c r="B1" s="29"/>
      <c r="C1" s="29"/>
      <c r="D1" s="29"/>
      <c r="E1" s="29"/>
      <c r="F1" s="29"/>
      <c r="G1" s="29"/>
      <c r="H1" s="29"/>
    </row>
    <row r="2" spans="1:10">
      <c r="C2" s="24"/>
      <c r="D2" s="24"/>
      <c r="E2" s="24"/>
      <c r="F2" s="24"/>
    </row>
    <row r="3" spans="1:10">
      <c r="A3" s="24"/>
      <c r="D3" s="24"/>
      <c r="E3" s="24"/>
      <c r="F3" s="24"/>
      <c r="H3" s="32">
        <f>SUM(H5:H119)</f>
        <v>11.699563093333332</v>
      </c>
      <c r="I3" s="28" t="e">
        <f>SUM(I5:I200)</f>
        <v>#REF!</v>
      </c>
      <c r="J3" s="28">
        <f>SUM(J5:J119)</f>
        <v>9.3711639868234222</v>
      </c>
    </row>
    <row r="4" spans="1:10">
      <c r="A4" s="24"/>
      <c r="B4" s="27" t="s">
        <v>172</v>
      </c>
      <c r="C4" s="27" t="s">
        <v>362</v>
      </c>
      <c r="D4" s="27" t="s">
        <v>97</v>
      </c>
      <c r="E4" s="27" t="s">
        <v>109</v>
      </c>
      <c r="F4" s="27" t="s">
        <v>175</v>
      </c>
      <c r="G4" s="21"/>
      <c r="H4" s="49" t="str">
        <f>data!$H$3</f>
        <v>diff_id</v>
      </c>
      <c r="I4" s="49" t="str">
        <f>data!I$3</f>
        <v>arrays</v>
      </c>
      <c r="J4" s="49" t="str">
        <f>data!J$3</f>
        <v>reuse</v>
      </c>
    </row>
    <row r="5" spans="1:10">
      <c r="A5" s="27" t="s">
        <v>356</v>
      </c>
      <c r="B5" s="27" t="s">
        <v>101</v>
      </c>
      <c r="C5" s="27"/>
      <c r="D5" s="27"/>
      <c r="E5" s="27"/>
      <c r="F5" s="27"/>
      <c r="G5" s="21"/>
      <c r="H5" s="30"/>
      <c r="I5" s="90"/>
      <c r="J5" s="30"/>
    </row>
    <row r="6" spans="1:10">
      <c r="A6" s="33" t="s">
        <v>357</v>
      </c>
      <c r="B6" s="27"/>
      <c r="C6" s="27" t="s">
        <v>363</v>
      </c>
      <c r="D6" s="27"/>
      <c r="E6" s="27"/>
      <c r="F6" s="27"/>
      <c r="G6" s="21"/>
      <c r="H6" s="30"/>
      <c r="I6" s="90"/>
      <c r="J6" s="30"/>
    </row>
    <row r="7" spans="1:10">
      <c r="A7" s="33" t="s">
        <v>358</v>
      </c>
      <c r="B7" s="27"/>
      <c r="C7" s="27"/>
      <c r="D7" s="27">
        <v>0</v>
      </c>
      <c r="E7" s="27"/>
      <c r="F7" s="27"/>
      <c r="G7" s="21"/>
      <c r="H7" s="30"/>
      <c r="I7" s="90"/>
      <c r="J7" s="30"/>
    </row>
    <row r="8" spans="1:10">
      <c r="A8" s="104" t="s">
        <v>359</v>
      </c>
      <c r="B8" s="27" t="str">
        <f>B5</f>
        <v>Magdeburg</v>
      </c>
      <c r="C8" s="27"/>
      <c r="D8" s="27"/>
      <c r="E8" s="27">
        <v>0</v>
      </c>
      <c r="F8" s="27"/>
      <c r="G8" s="21"/>
      <c r="H8" s="30">
        <v>1</v>
      </c>
      <c r="I8" s="90">
        <v>1</v>
      </c>
      <c r="J8" s="30">
        <v>1</v>
      </c>
    </row>
    <row r="9" spans="1:10">
      <c r="A9" s="105" t="s">
        <v>360</v>
      </c>
      <c r="B9" s="27"/>
      <c r="C9" s="27" t="s">
        <v>363</v>
      </c>
      <c r="D9" s="27"/>
      <c r="E9" s="27"/>
      <c r="F9" s="27">
        <v>0</v>
      </c>
      <c r="G9" s="21"/>
      <c r="H9" s="30">
        <v>1</v>
      </c>
      <c r="I9" s="90">
        <v>1</v>
      </c>
      <c r="J9" s="30">
        <v>1</v>
      </c>
    </row>
    <row r="10" spans="1:10">
      <c r="A10" s="33" t="s">
        <v>361</v>
      </c>
      <c r="B10" s="27" t="s">
        <v>101</v>
      </c>
      <c r="C10" s="27" t="s">
        <v>363</v>
      </c>
      <c r="D10" s="27"/>
      <c r="E10" s="27">
        <f>E8</f>
        <v>0</v>
      </c>
      <c r="F10" s="27">
        <v>0</v>
      </c>
      <c r="G10" s="21"/>
      <c r="H10" s="30">
        <v>4</v>
      </c>
      <c r="I10" s="90" t="e">
        <f>3+Synthesis!#REF!</f>
        <v>#REF!</v>
      </c>
      <c r="J10" s="30">
        <f>Synthesis!$C$7+Synthesis!$C$7+1+1</f>
        <v>3.4</v>
      </c>
    </row>
    <row r="11" spans="1:10">
      <c r="A11" s="105" t="s">
        <v>360</v>
      </c>
      <c r="B11" s="27"/>
      <c r="C11" s="27" t="s">
        <v>363</v>
      </c>
      <c r="D11" s="27"/>
      <c r="E11" s="27"/>
      <c r="F11" s="27">
        <v>1</v>
      </c>
      <c r="G11" s="21"/>
      <c r="H11" s="30">
        <f>H9*Synthesis!$C$4</f>
        <v>0.4</v>
      </c>
      <c r="I11" s="90">
        <f>I9*Synthesis!$C$4</f>
        <v>0.4</v>
      </c>
      <c r="J11" s="30">
        <f>(Synthesis!$C$7^2+Synthesis!$C$7)*Synthesis!$C$4</f>
        <v>0.47599999999999998</v>
      </c>
    </row>
    <row r="12" spans="1:10">
      <c r="A12" s="33" t="s">
        <v>361</v>
      </c>
      <c r="B12" s="27" t="s">
        <v>101</v>
      </c>
      <c r="C12" s="27" t="s">
        <v>363</v>
      </c>
      <c r="D12" s="27"/>
      <c r="E12" s="27">
        <f>E10</f>
        <v>0</v>
      </c>
      <c r="F12" s="27">
        <v>1</v>
      </c>
      <c r="G12" s="21"/>
      <c r="H12" s="30">
        <f>H10*Synthesis!$C$4</f>
        <v>1.6</v>
      </c>
      <c r="I12" s="90" t="e">
        <f>I10*Synthesis!$C$4</f>
        <v>#REF!</v>
      </c>
      <c r="J12" s="30">
        <f>(Synthesis!$C$7^2+Synthesis!$C$7^3+Synthesis!$C$7+1)*Synthesis!$C$4</f>
        <v>1.0132000000000001</v>
      </c>
    </row>
    <row r="13" spans="1:10">
      <c r="A13" s="105" t="s">
        <v>360</v>
      </c>
      <c r="B13" s="27"/>
      <c r="C13" s="27" t="s">
        <v>363</v>
      </c>
      <c r="D13" s="27"/>
      <c r="E13" s="27"/>
      <c r="F13" s="27">
        <v>2</v>
      </c>
      <c r="G13" s="21"/>
      <c r="H13" s="30">
        <f>H11*Synthesis!$C$4</f>
        <v>0.16000000000000003</v>
      </c>
      <c r="I13" s="90">
        <f>I11*Synthesis!$C$4</f>
        <v>0.16000000000000003</v>
      </c>
      <c r="J13" s="30">
        <f>(Synthesis!$C$7^4)*Synthesis!$C$4^2</f>
        <v>3.8415999999999999E-2</v>
      </c>
    </row>
    <row r="14" spans="1:10">
      <c r="A14" s="33" t="s">
        <v>361</v>
      </c>
      <c r="B14" s="27" t="s">
        <v>101</v>
      </c>
      <c r="C14" s="27" t="s">
        <v>363</v>
      </c>
      <c r="D14" s="27"/>
      <c r="E14" s="27">
        <f>E12</f>
        <v>0</v>
      </c>
      <c r="F14" s="27">
        <v>2</v>
      </c>
      <c r="G14" s="21"/>
      <c r="H14" s="30">
        <f>H12*Synthesis!$C$4</f>
        <v>0.64000000000000012</v>
      </c>
      <c r="I14" s="90" t="e">
        <f>I12*Synthesis!$C$4</f>
        <v>#REF!</v>
      </c>
      <c r="J14" s="30">
        <f>(Synthesis!$C$7^4+Synthesis!$C$7^5+Synthesis!$C$7^2+1)*Synthesis!$C$4^2</f>
        <v>0.30370720000000007</v>
      </c>
    </row>
    <row r="15" spans="1:10">
      <c r="A15" s="105" t="s">
        <v>360</v>
      </c>
      <c r="B15" s="27"/>
      <c r="C15" s="27" t="s">
        <v>363</v>
      </c>
      <c r="D15" s="27"/>
      <c r="E15" s="27"/>
      <c r="F15" s="27">
        <v>3</v>
      </c>
      <c r="G15" s="21"/>
      <c r="H15" s="30">
        <f>H13*Synthesis!$C$4</f>
        <v>6.4000000000000015E-2</v>
      </c>
      <c r="I15" s="90">
        <f>I13*Synthesis!$C$4</f>
        <v>6.4000000000000015E-2</v>
      </c>
      <c r="J15" s="30">
        <f>(Synthesis!$C$7^6)*Synthesis!$C$4^3</f>
        <v>7.5295359999999981E-3</v>
      </c>
    </row>
    <row r="16" spans="1:10">
      <c r="A16" s="33" t="s">
        <v>361</v>
      </c>
      <c r="B16" s="27" t="s">
        <v>101</v>
      </c>
      <c r="C16" s="27" t="s">
        <v>363</v>
      </c>
      <c r="D16" s="27"/>
      <c r="E16" s="27">
        <f>E14</f>
        <v>0</v>
      </c>
      <c r="F16" s="27">
        <v>3</v>
      </c>
      <c r="G16" s="21"/>
      <c r="H16" s="30">
        <f>H14*Synthesis!$C$4</f>
        <v>0.25600000000000006</v>
      </c>
      <c r="I16" s="90" t="e">
        <f>I14*Synthesis!$C$4</f>
        <v>#REF!</v>
      </c>
      <c r="J16" s="30">
        <f>(Synthesis!$C$7^4+Synthesis!$C$7^7+Synthesis!$C$7^3+1)*Synthesis!$C$4^3</f>
        <v>0.10658907520000001</v>
      </c>
    </row>
    <row r="17" spans="1:10">
      <c r="A17" s="105" t="s">
        <v>360</v>
      </c>
      <c r="B17" s="27"/>
      <c r="C17" s="27" t="s">
        <v>363</v>
      </c>
      <c r="D17" s="27"/>
      <c r="E17" s="27"/>
      <c r="F17" s="27">
        <v>4</v>
      </c>
      <c r="G17" s="21"/>
      <c r="H17" s="30">
        <f>H15*Synthesis!$C$4</f>
        <v>2.5600000000000008E-2</v>
      </c>
      <c r="I17" s="90">
        <f>I15*Synthesis!$C$4</f>
        <v>2.5600000000000008E-2</v>
      </c>
      <c r="J17" s="30">
        <f>(Synthesis!$C$7^8)*Synthesis!$C$4^4</f>
        <v>1.4757890559999997E-3</v>
      </c>
    </row>
    <row r="18" spans="1:10">
      <c r="A18" s="33" t="s">
        <v>361</v>
      </c>
      <c r="B18" s="27" t="s">
        <v>101</v>
      </c>
      <c r="C18" s="27" t="s">
        <v>363</v>
      </c>
      <c r="D18" s="27"/>
      <c r="E18" s="27">
        <f>E16</f>
        <v>0</v>
      </c>
      <c r="F18" s="27">
        <v>4</v>
      </c>
      <c r="G18" s="21"/>
      <c r="H18" s="30">
        <f>H16*Synthesis!$C$4</f>
        <v>0.10240000000000003</v>
      </c>
      <c r="I18" s="90" t="e">
        <f>I16*Synthesis!$C$4</f>
        <v>#REF!</v>
      </c>
      <c r="J18" s="30">
        <f>(Synthesis!$C$7^5+Synthesis!$C$7^9+Synthesis!$C$7^4+1)*Synthesis!$C$4^4</f>
        <v>3.7082204339200009E-2</v>
      </c>
    </row>
    <row r="19" spans="1:10">
      <c r="A19" s="21"/>
      <c r="B19" s="21"/>
      <c r="C19" s="21"/>
      <c r="D19" s="21"/>
      <c r="E19" s="21"/>
      <c r="F19" s="21"/>
      <c r="G19" s="21"/>
      <c r="H19" s="30"/>
      <c r="I19" s="90"/>
      <c r="J19" s="30"/>
    </row>
    <row r="20" spans="1:10">
      <c r="A20" s="104" t="s">
        <v>359</v>
      </c>
      <c r="B20" s="27" t="s">
        <v>101</v>
      </c>
      <c r="C20" s="27"/>
      <c r="D20" s="27"/>
      <c r="E20" s="27">
        <v>1</v>
      </c>
      <c r="F20" s="27"/>
      <c r="G20" s="21"/>
      <c r="H20" s="30">
        <f>H8*Synthesis!$C$4</f>
        <v>0.4</v>
      </c>
      <c r="I20" s="90">
        <f>I8*Synthesis!$C$4</f>
        <v>0.4</v>
      </c>
      <c r="J20" s="30">
        <f>(Synthesis!$C$7^6)*Synthesis!$C$4</f>
        <v>4.7059599999999979E-2</v>
      </c>
    </row>
    <row r="21" spans="1:10">
      <c r="A21" s="105" t="s">
        <v>360</v>
      </c>
      <c r="B21" s="27"/>
      <c r="C21" s="27" t="s">
        <v>363</v>
      </c>
      <c r="D21" s="27"/>
      <c r="E21" s="27"/>
      <c r="F21" s="27">
        <v>0</v>
      </c>
      <c r="G21" s="21"/>
      <c r="H21" s="30">
        <f>H17*Synthesis!$C$4</f>
        <v>1.0240000000000004E-2</v>
      </c>
      <c r="I21" s="90">
        <f>I17*Synthesis!$C$4</f>
        <v>1.0240000000000004E-2</v>
      </c>
      <c r="J21" s="30">
        <f>(Synthesis!$C$7^10)*Synthesis!$C$4^5</f>
        <v>2.8925465497599994E-4</v>
      </c>
    </row>
    <row r="22" spans="1:10">
      <c r="A22" s="33" t="s">
        <v>361</v>
      </c>
      <c r="B22" s="27" t="s">
        <v>101</v>
      </c>
      <c r="C22" s="27" t="s">
        <v>363</v>
      </c>
      <c r="D22" s="27"/>
      <c r="E22" s="27">
        <f>E20</f>
        <v>1</v>
      </c>
      <c r="F22" s="27">
        <v>0</v>
      </c>
      <c r="G22" s="21"/>
      <c r="H22" s="30">
        <f>H18*Synthesis!$C$4</f>
        <v>4.0960000000000017E-2</v>
      </c>
      <c r="I22" s="90" t="e">
        <f>I18*Synthesis!$C$4</f>
        <v>#REF!</v>
      </c>
      <c r="J22" s="30">
        <f>(Synthesis!$C$7^7+Synthesis!$C$7^11+1+1)*Synthesis!$C$4^5</f>
        <v>2.1525786290483215E-2</v>
      </c>
    </row>
    <row r="23" spans="1:10">
      <c r="A23" s="105" t="s">
        <v>360</v>
      </c>
      <c r="B23" s="27"/>
      <c r="C23" s="27" t="s">
        <v>363</v>
      </c>
      <c r="D23" s="27"/>
      <c r="E23" s="27"/>
      <c r="F23" s="27">
        <v>1</v>
      </c>
      <c r="G23" s="21"/>
      <c r="H23" s="30">
        <f>H21*Synthesis!$C$4</f>
        <v>4.0960000000000015E-3</v>
      </c>
      <c r="I23" s="90">
        <f>I21*Synthesis!$C$4</f>
        <v>4.0960000000000015E-3</v>
      </c>
      <c r="J23" s="30">
        <f>(Synthesis!$C$7^8+Synthesis!$C$7^12+Synthesis!$C$7)*Synthesis!$C$4^6</f>
        <v>3.1600201613352975E-3</v>
      </c>
    </row>
    <row r="24" spans="1:10">
      <c r="A24" s="33" t="s">
        <v>361</v>
      </c>
      <c r="B24" s="27" t="s">
        <v>101</v>
      </c>
      <c r="C24" s="27" t="s">
        <v>363</v>
      </c>
      <c r="D24" s="27"/>
      <c r="E24" s="27">
        <f>E22</f>
        <v>1</v>
      </c>
      <c r="F24" s="27">
        <v>1</v>
      </c>
      <c r="G24" s="21"/>
      <c r="H24" s="30">
        <f>H22*Synthesis!$C$4</f>
        <v>1.6384000000000006E-2</v>
      </c>
      <c r="I24" s="90" t="e">
        <f>I22*Synthesis!$C$4</f>
        <v>#REF!</v>
      </c>
      <c r="J24" s="30">
        <f>(Synthesis!$C$7^8+Synthesis!$C$7^13+Synthesis!$C$7+1)*Synthesis!$C$4^5</f>
        <v>1.809752996905678E-2</v>
      </c>
    </row>
    <row r="25" spans="1:10">
      <c r="A25" s="33" t="s">
        <v>364</v>
      </c>
      <c r="B25" s="27"/>
      <c r="C25" s="27"/>
      <c r="D25" s="27">
        <v>1</v>
      </c>
      <c r="E25" s="27"/>
      <c r="F25" s="27"/>
      <c r="G25" s="21"/>
      <c r="H25" s="30">
        <v>1</v>
      </c>
      <c r="I25" s="90">
        <v>1</v>
      </c>
      <c r="J25" s="30">
        <v>1</v>
      </c>
    </row>
    <row r="26" spans="1:10">
      <c r="A26" s="105" t="s">
        <v>360</v>
      </c>
      <c r="B26" s="27"/>
      <c r="C26" s="27" t="s">
        <v>363</v>
      </c>
      <c r="D26" s="27"/>
      <c r="E26" s="27"/>
      <c r="F26" s="27">
        <v>2</v>
      </c>
      <c r="G26" s="21"/>
      <c r="H26" s="30">
        <f>H23*Synthesis!$C$4</f>
        <v>1.6384000000000008E-3</v>
      </c>
      <c r="I26" s="90">
        <f>I23*Synthesis!$C$4</f>
        <v>1.6384000000000008E-3</v>
      </c>
      <c r="J26" s="30">
        <f>(Synthesis!$C$7^14)*Synthesis!$C$7^7</f>
        <v>5.5854586408328303E-4</v>
      </c>
    </row>
    <row r="27" spans="1:10">
      <c r="A27" s="33" t="s">
        <v>361</v>
      </c>
      <c r="B27" s="27" t="s">
        <v>101</v>
      </c>
      <c r="C27" s="27" t="s">
        <v>363</v>
      </c>
      <c r="D27" s="27"/>
      <c r="E27" s="27">
        <f>E24</f>
        <v>1</v>
      </c>
      <c r="F27" s="27">
        <v>2</v>
      </c>
      <c r="G27" s="21"/>
      <c r="H27" s="30">
        <f>H24*Synthesis!$C$4</f>
        <v>6.5536000000000032E-3</v>
      </c>
      <c r="I27" s="90" t="e">
        <f>I24*Synthesis!$C$4</f>
        <v>#REF!</v>
      </c>
      <c r="J27" s="30">
        <f>(Synthesis!$C$7^9+Synthesis!$C$7^15+Synthesis!$C$7^2+1)*Synthesis!$C$4^7</f>
        <v>2.5151097544866925E-3</v>
      </c>
    </row>
    <row r="28" spans="1:10">
      <c r="A28" s="105" t="s">
        <v>360</v>
      </c>
      <c r="B28" s="27"/>
      <c r="C28" s="27" t="s">
        <v>363</v>
      </c>
      <c r="D28" s="27"/>
      <c r="E28" s="27"/>
      <c r="F28" s="27">
        <v>3</v>
      </c>
      <c r="G28" s="21"/>
      <c r="H28" s="30">
        <f>H26*Synthesis!$C$4</f>
        <v>6.5536000000000034E-4</v>
      </c>
      <c r="I28" s="90">
        <f>I26*Synthesis!$C$4</f>
        <v>6.5536000000000034E-4</v>
      </c>
      <c r="J28" s="30">
        <f>(Synthesis!$C$7^15)*Synthesis!$C$7^8</f>
        <v>2.7368747340080868E-4</v>
      </c>
    </row>
    <row r="29" spans="1:10">
      <c r="A29" s="33" t="s">
        <v>361</v>
      </c>
      <c r="B29" s="27" t="s">
        <v>101</v>
      </c>
      <c r="C29" s="27" t="s">
        <v>363</v>
      </c>
      <c r="D29" s="27"/>
      <c r="E29" s="27">
        <f>E27</f>
        <v>1</v>
      </c>
      <c r="F29" s="27">
        <v>3</v>
      </c>
      <c r="G29" s="21"/>
      <c r="H29" s="30">
        <f>H27*Synthesis!$C$4</f>
        <v>2.6214400000000014E-3</v>
      </c>
      <c r="I29" s="90" t="e">
        <f>I27*Synthesis!$C$4</f>
        <v>#REF!</v>
      </c>
      <c r="J29" s="30">
        <f>(Synthesis!$C$7^10+Synthesis!$C$7^16+Synthesis!$C$7^3+1)*Synthesis!$C$4^8</f>
        <v>9.0083873125627412E-4</v>
      </c>
    </row>
    <row r="30" spans="1:10">
      <c r="A30" s="105" t="s">
        <v>360</v>
      </c>
      <c r="B30" s="27"/>
      <c r="C30" s="27" t="s">
        <v>363</v>
      </c>
      <c r="D30" s="27"/>
      <c r="E30" s="27"/>
      <c r="F30" s="27">
        <v>4</v>
      </c>
      <c r="G30" s="21"/>
      <c r="H30" s="30">
        <f>H28*Synthesis!$C$4</f>
        <v>2.6214400000000012E-4</v>
      </c>
      <c r="I30" s="90">
        <f>I28*Synthesis!$C$4</f>
        <v>2.6214400000000012E-4</v>
      </c>
      <c r="J30" s="30">
        <f>(Synthesis!$C$7^16)*Synthesis!$C$7^9</f>
        <v>1.3410686196639623E-4</v>
      </c>
    </row>
    <row r="31" spans="1:10">
      <c r="A31" s="33" t="s">
        <v>361</v>
      </c>
      <c r="B31" s="27" t="s">
        <v>101</v>
      </c>
      <c r="C31" s="27" t="s">
        <v>363</v>
      </c>
      <c r="D31" s="27"/>
      <c r="E31" s="27">
        <f>E29</f>
        <v>1</v>
      </c>
      <c r="F31" s="27">
        <v>4</v>
      </c>
      <c r="G31" s="21"/>
      <c r="H31" s="30">
        <f>H29*Synthesis!$C$4</f>
        <v>1.0485760000000005E-3</v>
      </c>
      <c r="I31" s="90" t="e">
        <f>I29*Synthesis!$C$4</f>
        <v>#REF!</v>
      </c>
      <c r="J31" s="30">
        <f>(Synthesis!$C$7^11+Synthesis!$C$7^17+Synthesis!$C$7^4+1)*Synthesis!$C$4^9</f>
        <v>3.3087804475175682E-4</v>
      </c>
    </row>
    <row r="32" spans="1:10">
      <c r="A32" s="33"/>
      <c r="B32" s="27"/>
      <c r="C32" s="27"/>
      <c r="D32" s="27"/>
      <c r="E32" s="27"/>
      <c r="F32" s="27"/>
      <c r="G32" s="21"/>
      <c r="H32" s="30"/>
      <c r="I32" s="90"/>
      <c r="J32" s="30"/>
    </row>
    <row r="33" spans="1:10">
      <c r="A33" s="104" t="s">
        <v>359</v>
      </c>
      <c r="B33" s="27" t="s">
        <v>101</v>
      </c>
      <c r="C33" s="27"/>
      <c r="D33" s="27"/>
      <c r="E33" s="27">
        <v>2</v>
      </c>
      <c r="F33" s="27"/>
      <c r="G33" s="21"/>
      <c r="H33" s="30">
        <f>H20*Synthesis!$C$4</f>
        <v>0.16000000000000003</v>
      </c>
      <c r="I33" s="90">
        <f>I20*Synthesis!$C$4</f>
        <v>0.16000000000000003</v>
      </c>
      <c r="J33" s="30">
        <f>(Synthesis!$C$7^12)*Synthesis!$C$4^2</f>
        <v>2.2146059521599981E-3</v>
      </c>
    </row>
    <row r="34" spans="1:10">
      <c r="A34" s="105" t="s">
        <v>360</v>
      </c>
      <c r="B34" s="27"/>
      <c r="C34" s="27" t="s">
        <v>363</v>
      </c>
      <c r="D34" s="27"/>
      <c r="E34" s="27"/>
      <c r="F34" s="27">
        <v>0</v>
      </c>
      <c r="G34" s="21"/>
      <c r="H34" s="30">
        <f>H30*Synthesis!$C$4</f>
        <v>1.0485760000000006E-4</v>
      </c>
      <c r="I34" s="90">
        <f>I30*Synthesis!$C$4</f>
        <v>1.0485760000000006E-4</v>
      </c>
      <c r="J34" s="106">
        <v>0</v>
      </c>
    </row>
    <row r="35" spans="1:10">
      <c r="A35" s="33" t="s">
        <v>361</v>
      </c>
      <c r="B35" s="27" t="s">
        <v>101</v>
      </c>
      <c r="C35" s="27" t="s">
        <v>363</v>
      </c>
      <c r="D35" s="27"/>
      <c r="E35" s="27">
        <f>E33</f>
        <v>2</v>
      </c>
      <c r="F35" s="27">
        <v>0</v>
      </c>
      <c r="G35" s="21"/>
      <c r="H35" s="30">
        <f>H31*Synthesis!$C$4</f>
        <v>4.1943040000000023E-4</v>
      </c>
      <c r="I35" s="90" t="e">
        <f>I31*Synthesis!$C$4</f>
        <v>#REF!</v>
      </c>
      <c r="J35" s="106">
        <v>0</v>
      </c>
    </row>
    <row r="36" spans="1:10">
      <c r="A36" s="105" t="s">
        <v>360</v>
      </c>
      <c r="B36" s="27"/>
      <c r="C36" s="27" t="s">
        <v>363</v>
      </c>
      <c r="D36" s="27"/>
      <c r="E36" s="27"/>
      <c r="F36" s="27">
        <v>1</v>
      </c>
      <c r="G36" s="21"/>
      <c r="H36" s="30">
        <f>H34*Synthesis!$C$4</f>
        <v>4.1943040000000025E-5</v>
      </c>
      <c r="I36" s="90">
        <f>I34*Synthesis!$C$4</f>
        <v>4.1943040000000025E-5</v>
      </c>
      <c r="J36" s="106">
        <v>0</v>
      </c>
    </row>
    <row r="37" spans="1:10">
      <c r="A37" s="33" t="s">
        <v>361</v>
      </c>
      <c r="B37" s="27" t="s">
        <v>101</v>
      </c>
      <c r="C37" s="27" t="s">
        <v>363</v>
      </c>
      <c r="D37" s="27"/>
      <c r="E37" s="27">
        <f>E35</f>
        <v>2</v>
      </c>
      <c r="F37" s="27">
        <v>1</v>
      </c>
      <c r="G37" s="21"/>
      <c r="H37" s="30">
        <f>H35*Synthesis!$C$4</f>
        <v>1.677721600000001E-4</v>
      </c>
      <c r="I37" s="90" t="e">
        <f>I35*Synthesis!$C$4</f>
        <v>#REF!</v>
      </c>
      <c r="J37" s="106">
        <v>0</v>
      </c>
    </row>
    <row r="38" spans="1:10">
      <c r="A38" s="105" t="s">
        <v>360</v>
      </c>
      <c r="B38" s="27"/>
      <c r="C38" s="27" t="s">
        <v>363</v>
      </c>
      <c r="D38" s="27"/>
      <c r="E38" s="27"/>
      <c r="F38" s="27">
        <v>2</v>
      </c>
      <c r="G38" s="21"/>
      <c r="H38" s="30">
        <f>H36*Synthesis!$C$4</f>
        <v>1.677721600000001E-5</v>
      </c>
      <c r="I38" s="90">
        <f>I36*Synthesis!$C$4</f>
        <v>1.677721600000001E-5</v>
      </c>
      <c r="J38" s="106">
        <v>0</v>
      </c>
    </row>
    <row r="39" spans="1:10">
      <c r="A39" s="33" t="s">
        <v>361</v>
      </c>
      <c r="B39" s="27" t="s">
        <v>101</v>
      </c>
      <c r="C39" s="27" t="s">
        <v>363</v>
      </c>
      <c r="D39" s="27"/>
      <c r="E39" s="27">
        <f>E37</f>
        <v>2</v>
      </c>
      <c r="F39" s="27">
        <v>2</v>
      </c>
      <c r="G39" s="21"/>
      <c r="H39" s="30">
        <f>H37*Synthesis!$C$4</f>
        <v>6.7108864000000039E-5</v>
      </c>
      <c r="I39" s="90" t="e">
        <f>I37*Synthesis!$C$4</f>
        <v>#REF!</v>
      </c>
      <c r="J39" s="106">
        <v>0</v>
      </c>
    </row>
    <row r="40" spans="1:10">
      <c r="A40" s="105" t="s">
        <v>360</v>
      </c>
      <c r="B40" s="27"/>
      <c r="C40" s="27" t="s">
        <v>363</v>
      </c>
      <c r="D40" s="27"/>
      <c r="E40" s="27"/>
      <c r="F40" s="27">
        <v>3</v>
      </c>
      <c r="G40" s="21"/>
      <c r="H40" s="30">
        <f>H38*Synthesis!$C$4</f>
        <v>6.7108864000000044E-6</v>
      </c>
      <c r="I40" s="90">
        <f>I38*Synthesis!$C$4</f>
        <v>6.7108864000000044E-6</v>
      </c>
      <c r="J40" s="106">
        <v>0</v>
      </c>
    </row>
    <row r="41" spans="1:10">
      <c r="A41" s="33" t="s">
        <v>361</v>
      </c>
      <c r="B41" s="27" t="s">
        <v>101</v>
      </c>
      <c r="C41" s="27" t="s">
        <v>363</v>
      </c>
      <c r="D41" s="27"/>
      <c r="E41" s="27">
        <f>E39</f>
        <v>2</v>
      </c>
      <c r="F41" s="27">
        <v>3</v>
      </c>
      <c r="G41" s="21"/>
      <c r="H41" s="30">
        <f>H39*Synthesis!$C$4</f>
        <v>2.6843545600000018E-5</v>
      </c>
      <c r="I41" s="90" t="e">
        <f>I39*Synthesis!$C$4</f>
        <v>#REF!</v>
      </c>
      <c r="J41" s="106">
        <v>0</v>
      </c>
    </row>
    <row r="42" spans="1:10">
      <c r="A42" s="105" t="s">
        <v>360</v>
      </c>
      <c r="B42" s="27"/>
      <c r="C42" s="27" t="s">
        <v>363</v>
      </c>
      <c r="D42" s="27"/>
      <c r="E42" s="27"/>
      <c r="F42" s="27">
        <v>4</v>
      </c>
      <c r="G42" s="21"/>
      <c r="H42" s="30">
        <f>H40*Synthesis!$C$4</f>
        <v>2.6843545600000021E-6</v>
      </c>
      <c r="I42" s="90">
        <f>I40*Synthesis!$C$4</f>
        <v>2.6843545600000021E-6</v>
      </c>
      <c r="J42" s="106">
        <v>0</v>
      </c>
    </row>
    <row r="43" spans="1:10">
      <c r="A43" s="33" t="s">
        <v>361</v>
      </c>
      <c r="B43" s="27" t="s">
        <v>101</v>
      </c>
      <c r="C43" s="27" t="s">
        <v>363</v>
      </c>
      <c r="D43" s="27"/>
      <c r="E43" s="27">
        <f>E41</f>
        <v>2</v>
      </c>
      <c r="F43" s="27">
        <v>4</v>
      </c>
      <c r="G43" s="21"/>
      <c r="H43" s="30">
        <f>H41*Synthesis!$C$4</f>
        <v>1.0737418240000008E-5</v>
      </c>
      <c r="I43" s="90" t="e">
        <f>I41*Synthesis!$C$4</f>
        <v>#REF!</v>
      </c>
      <c r="J43" s="106">
        <v>0</v>
      </c>
    </row>
    <row r="44" spans="1:10">
      <c r="A44" s="21"/>
      <c r="B44" s="21"/>
      <c r="C44" s="21"/>
      <c r="D44" s="21"/>
      <c r="E44" s="21"/>
      <c r="F44" s="21"/>
      <c r="G44" s="21"/>
      <c r="H44" s="30"/>
      <c r="I44" s="90"/>
      <c r="J44" s="30"/>
    </row>
    <row r="45" spans="1:10">
      <c r="A45" s="104" t="s">
        <v>359</v>
      </c>
      <c r="B45" s="27" t="s">
        <v>101</v>
      </c>
      <c r="C45" s="27"/>
      <c r="D45" s="27"/>
      <c r="E45" s="27">
        <v>3</v>
      </c>
      <c r="F45" s="27"/>
      <c r="G45" s="21"/>
      <c r="H45" s="30">
        <f>H33*Synthesis!$C$4</f>
        <v>6.4000000000000015E-2</v>
      </c>
      <c r="I45" s="90">
        <f>I33*Synthesis!$C$4</f>
        <v>6.4000000000000015E-2</v>
      </c>
      <c r="J45" s="30">
        <f>(Synthesis!$C$7^18)*Synthesis!$C$4^3</f>
        <v>1.0421847026626862E-4</v>
      </c>
    </row>
    <row r="46" spans="1:10">
      <c r="A46" s="105" t="s">
        <v>360</v>
      </c>
      <c r="B46" s="27"/>
      <c r="C46" s="27" t="s">
        <v>363</v>
      </c>
      <c r="D46" s="27"/>
      <c r="E46" s="27"/>
      <c r="F46" s="27">
        <v>0</v>
      </c>
      <c r="G46" s="21"/>
      <c r="H46" s="30">
        <f>H42*Synthesis!$C$4</f>
        <v>1.0737418240000009E-6</v>
      </c>
      <c r="I46" s="90">
        <f>I42*Synthesis!$C$4</f>
        <v>1.0737418240000009E-6</v>
      </c>
      <c r="J46" s="106">
        <v>0</v>
      </c>
    </row>
    <row r="47" spans="1:10">
      <c r="A47" s="33" t="s">
        <v>361</v>
      </c>
      <c r="B47" s="27" t="s">
        <v>101</v>
      </c>
      <c r="C47" s="27" t="s">
        <v>363</v>
      </c>
      <c r="D47" s="27"/>
      <c r="E47" s="27">
        <f>E45</f>
        <v>3</v>
      </c>
      <c r="F47" s="27">
        <v>0</v>
      </c>
      <c r="G47" s="21"/>
      <c r="H47" s="30">
        <f>H43*Synthesis!$C$4</f>
        <v>4.2949672960000037E-6</v>
      </c>
      <c r="I47" s="90" t="e">
        <f>I43*Synthesis!$C$4</f>
        <v>#REF!</v>
      </c>
      <c r="J47" s="106">
        <v>0</v>
      </c>
    </row>
    <row r="48" spans="1:10">
      <c r="A48" s="105" t="s">
        <v>360</v>
      </c>
      <c r="B48" s="27"/>
      <c r="C48" s="27" t="s">
        <v>363</v>
      </c>
      <c r="D48" s="27"/>
      <c r="E48" s="27"/>
      <c r="F48" s="27">
        <v>1</v>
      </c>
      <c r="G48" s="21"/>
      <c r="H48" s="30">
        <f>H46*Synthesis!$C$4</f>
        <v>4.2949672960000041E-7</v>
      </c>
      <c r="I48" s="90">
        <f>I46*Synthesis!$C$4</f>
        <v>4.2949672960000041E-7</v>
      </c>
      <c r="J48" s="106">
        <v>0</v>
      </c>
    </row>
    <row r="49" spans="1:10">
      <c r="A49" s="33" t="s">
        <v>361</v>
      </c>
      <c r="B49" s="27" t="s">
        <v>101</v>
      </c>
      <c r="C49" s="27" t="s">
        <v>363</v>
      </c>
      <c r="D49" s="27"/>
      <c r="E49" s="27">
        <f>E47</f>
        <v>3</v>
      </c>
      <c r="F49" s="27">
        <v>1</v>
      </c>
      <c r="G49" s="21"/>
      <c r="H49" s="30">
        <f>H47*Synthesis!$C$4</f>
        <v>1.7179869184000017E-6</v>
      </c>
      <c r="I49" s="90" t="e">
        <f>I47*Synthesis!$C$4</f>
        <v>#REF!</v>
      </c>
      <c r="J49" s="106">
        <v>0</v>
      </c>
    </row>
    <row r="50" spans="1:10">
      <c r="A50" s="105" t="s">
        <v>360</v>
      </c>
      <c r="B50" s="27"/>
      <c r="C50" s="27" t="s">
        <v>363</v>
      </c>
      <c r="D50" s="27"/>
      <c r="E50" s="27"/>
      <c r="F50" s="27">
        <v>2</v>
      </c>
      <c r="G50" s="21"/>
      <c r="H50" s="30">
        <f>H48*Synthesis!$C$4</f>
        <v>1.7179869184000017E-7</v>
      </c>
      <c r="I50" s="90">
        <f>I48*Synthesis!$C$4</f>
        <v>1.7179869184000017E-7</v>
      </c>
      <c r="J50" s="106">
        <v>0</v>
      </c>
    </row>
    <row r="51" spans="1:10">
      <c r="A51" s="33" t="s">
        <v>361</v>
      </c>
      <c r="B51" s="27" t="s">
        <v>101</v>
      </c>
      <c r="C51" s="27" t="s">
        <v>363</v>
      </c>
      <c r="D51" s="27"/>
      <c r="E51" s="27">
        <f>E49</f>
        <v>3</v>
      </c>
      <c r="F51" s="27">
        <v>2</v>
      </c>
      <c r="G51" s="21"/>
      <c r="H51" s="30">
        <f>H49*Synthesis!$C$4</f>
        <v>6.8719476736000068E-7</v>
      </c>
      <c r="I51" s="90" t="e">
        <f>I49*Synthesis!$C$4</f>
        <v>#REF!</v>
      </c>
      <c r="J51" s="106">
        <v>0</v>
      </c>
    </row>
    <row r="52" spans="1:10">
      <c r="A52" s="105" t="s">
        <v>360</v>
      </c>
      <c r="B52" s="27"/>
      <c r="C52" s="27" t="s">
        <v>363</v>
      </c>
      <c r="D52" s="27"/>
      <c r="E52" s="27"/>
      <c r="F52" s="27">
        <v>3</v>
      </c>
      <c r="G52" s="21"/>
      <c r="H52" s="30">
        <f>H50*Synthesis!$C$4</f>
        <v>6.8719476736000071E-8</v>
      </c>
      <c r="I52" s="90">
        <f>I50*Synthesis!$C$4</f>
        <v>6.8719476736000071E-8</v>
      </c>
      <c r="J52" s="106">
        <v>0</v>
      </c>
    </row>
    <row r="53" spans="1:10">
      <c r="A53" s="33" t="s">
        <v>361</v>
      </c>
      <c r="B53" s="27" t="s">
        <v>101</v>
      </c>
      <c r="C53" s="27" t="s">
        <v>363</v>
      </c>
      <c r="D53" s="27"/>
      <c r="E53" s="27">
        <f>E51</f>
        <v>3</v>
      </c>
      <c r="F53" s="27">
        <v>3</v>
      </c>
      <c r="G53" s="21"/>
      <c r="H53" s="30">
        <f>H51*Synthesis!$C$4</f>
        <v>2.7487790694400028E-7</v>
      </c>
      <c r="I53" s="90" t="e">
        <f>I51*Synthesis!$C$4</f>
        <v>#REF!</v>
      </c>
      <c r="J53" s="106">
        <v>0</v>
      </c>
    </row>
    <row r="54" spans="1:10">
      <c r="A54" s="105" t="s">
        <v>360</v>
      </c>
      <c r="B54" s="27"/>
      <c r="C54" s="27" t="s">
        <v>363</v>
      </c>
      <c r="D54" s="27"/>
      <c r="E54" s="27"/>
      <c r="F54" s="27">
        <v>4</v>
      </c>
      <c r="G54" s="21"/>
      <c r="H54" s="30">
        <f>H52*Synthesis!$C$4</f>
        <v>2.7487790694400029E-8</v>
      </c>
      <c r="I54" s="90">
        <f>I52*Synthesis!$C$4</f>
        <v>2.7487790694400029E-8</v>
      </c>
      <c r="J54" s="106">
        <v>0</v>
      </c>
    </row>
    <row r="55" spans="1:10">
      <c r="A55" s="33" t="s">
        <v>361</v>
      </c>
      <c r="B55" s="27" t="s">
        <v>101</v>
      </c>
      <c r="C55" s="27" t="s">
        <v>363</v>
      </c>
      <c r="D55" s="27"/>
      <c r="E55" s="27">
        <f>E53</f>
        <v>3</v>
      </c>
      <c r="F55" s="27">
        <v>4</v>
      </c>
      <c r="G55" s="21"/>
      <c r="H55" s="30">
        <f>H53*Synthesis!$C$4</f>
        <v>1.0995116277760012E-7</v>
      </c>
      <c r="I55" s="90" t="e">
        <f>I53*Synthesis!$C$4</f>
        <v>#REF!</v>
      </c>
      <c r="J55" s="106">
        <v>0</v>
      </c>
    </row>
    <row r="56" spans="1:10">
      <c r="A56" s="21"/>
      <c r="B56" s="21"/>
      <c r="C56" s="21"/>
      <c r="D56" s="21"/>
      <c r="E56" s="21"/>
      <c r="F56" s="21"/>
      <c r="G56" s="21"/>
      <c r="H56" s="30"/>
      <c r="I56" s="90"/>
      <c r="J56" s="106"/>
    </row>
    <row r="57" spans="1:10">
      <c r="A57" s="104" t="s">
        <v>359</v>
      </c>
      <c r="B57" s="27"/>
      <c r="C57" s="27"/>
      <c r="D57" s="27"/>
      <c r="E57" s="27">
        <v>4</v>
      </c>
      <c r="F57" s="27"/>
      <c r="G57" s="21"/>
      <c r="H57" s="30">
        <f>H45*Synthesis!$C$4</f>
        <v>2.5600000000000008E-2</v>
      </c>
      <c r="I57" s="90">
        <f>I45*Synthesis!$C$4</f>
        <v>2.5600000000000008E-2</v>
      </c>
      <c r="J57" s="106">
        <v>0</v>
      </c>
    </row>
    <row r="58" spans="1:10">
      <c r="A58" s="105" t="s">
        <v>360</v>
      </c>
      <c r="B58" s="27"/>
      <c r="C58" s="27" t="s">
        <v>363</v>
      </c>
      <c r="D58" s="27"/>
      <c r="E58" s="27"/>
      <c r="F58" s="27">
        <v>0</v>
      </c>
      <c r="G58" s="21"/>
      <c r="H58" s="30">
        <f>H54*Synthesis!$C$4</f>
        <v>1.0995116277760013E-8</v>
      </c>
      <c r="I58" s="90">
        <f>I54*Synthesis!$C$4</f>
        <v>1.0995116277760013E-8</v>
      </c>
      <c r="J58" s="106">
        <v>0</v>
      </c>
    </row>
    <row r="59" spans="1:10">
      <c r="A59" s="33" t="s">
        <v>361</v>
      </c>
      <c r="B59" s="27" t="s">
        <v>101</v>
      </c>
      <c r="C59" s="27" t="s">
        <v>363</v>
      </c>
      <c r="D59" s="27"/>
      <c r="E59" s="27">
        <f>E57</f>
        <v>4</v>
      </c>
      <c r="F59" s="27">
        <v>0</v>
      </c>
      <c r="G59" s="21"/>
      <c r="H59" s="30">
        <f>H55*Synthesis!$C$4</f>
        <v>4.3980465111040051E-8</v>
      </c>
      <c r="I59" s="90" t="e">
        <f>I55*Synthesis!$C$4</f>
        <v>#REF!</v>
      </c>
      <c r="J59" s="106">
        <v>0</v>
      </c>
    </row>
    <row r="60" spans="1:10">
      <c r="A60" s="105" t="s">
        <v>360</v>
      </c>
      <c r="B60" s="27"/>
      <c r="C60" s="27" t="s">
        <v>363</v>
      </c>
      <c r="D60" s="27"/>
      <c r="E60" s="27"/>
      <c r="F60" s="27">
        <v>1</v>
      </c>
      <c r="G60" s="21"/>
      <c r="H60" s="30">
        <f>H58*Synthesis!$C$4</f>
        <v>4.3980465111040054E-9</v>
      </c>
      <c r="I60" s="90">
        <f>I58*Synthesis!$C$4</f>
        <v>4.3980465111040054E-9</v>
      </c>
      <c r="J60" s="106">
        <v>0</v>
      </c>
    </row>
    <row r="61" spans="1:10">
      <c r="A61" s="33" t="s">
        <v>361</v>
      </c>
      <c r="B61" s="27" t="s">
        <v>101</v>
      </c>
      <c r="C61" s="27" t="s">
        <v>363</v>
      </c>
      <c r="D61" s="27"/>
      <c r="E61" s="27">
        <f>E59</f>
        <v>4</v>
      </c>
      <c r="F61" s="27">
        <v>1</v>
      </c>
      <c r="G61" s="21"/>
      <c r="H61" s="30">
        <f>H59*Synthesis!$C$4</f>
        <v>1.7592186044416022E-8</v>
      </c>
      <c r="I61" s="90" t="e">
        <f>I59*Synthesis!$C$4</f>
        <v>#REF!</v>
      </c>
      <c r="J61" s="106">
        <v>0</v>
      </c>
    </row>
    <row r="62" spans="1:10">
      <c r="A62" s="33" t="s">
        <v>364</v>
      </c>
      <c r="B62" s="27"/>
      <c r="C62" s="27"/>
      <c r="D62" s="27">
        <v>2</v>
      </c>
      <c r="E62" s="27"/>
      <c r="F62" s="27"/>
      <c r="G62" s="21"/>
      <c r="H62" s="30">
        <f>H25/2</f>
        <v>0.5</v>
      </c>
      <c r="I62" s="90">
        <f>I25/2</f>
        <v>0.5</v>
      </c>
      <c r="J62" s="58">
        <f>Synthesis!$C$4</f>
        <v>0.4</v>
      </c>
    </row>
    <row r="63" spans="1:10">
      <c r="A63" s="105" t="s">
        <v>360</v>
      </c>
      <c r="B63" s="27"/>
      <c r="C63" s="27" t="s">
        <v>363</v>
      </c>
      <c r="D63" s="27"/>
      <c r="E63" s="27"/>
      <c r="F63" s="27">
        <v>2</v>
      </c>
      <c r="G63" s="21"/>
      <c r="H63" s="30">
        <f>H60*Synthesis!$C$4</f>
        <v>1.7592186044416022E-9</v>
      </c>
      <c r="I63" s="90">
        <f>I60*Synthesis!$C$4</f>
        <v>1.7592186044416022E-9</v>
      </c>
      <c r="J63" s="106">
        <v>0</v>
      </c>
    </row>
    <row r="64" spans="1:10">
      <c r="A64" s="33" t="s">
        <v>361</v>
      </c>
      <c r="B64" s="27" t="s">
        <v>101</v>
      </c>
      <c r="C64" s="27" t="s">
        <v>363</v>
      </c>
      <c r="D64" s="27"/>
      <c r="E64" s="27">
        <f>E61</f>
        <v>4</v>
      </c>
      <c r="F64" s="27">
        <v>2</v>
      </c>
      <c r="G64" s="21"/>
      <c r="H64" s="30">
        <f>H61*Synthesis!$C$4</f>
        <v>7.0368744177664086E-9</v>
      </c>
      <c r="I64" s="90" t="e">
        <f>I61*Synthesis!$C$4</f>
        <v>#REF!</v>
      </c>
      <c r="J64" s="106">
        <v>0</v>
      </c>
    </row>
    <row r="65" spans="1:10">
      <c r="A65" s="105" t="s">
        <v>360</v>
      </c>
      <c r="B65" s="27"/>
      <c r="C65" s="27" t="s">
        <v>363</v>
      </c>
      <c r="D65" s="27"/>
      <c r="E65" s="27"/>
      <c r="F65" s="27">
        <v>3</v>
      </c>
      <c r="G65" s="21"/>
      <c r="H65" s="30">
        <f>H63*Synthesis!$C$4</f>
        <v>7.036874417766409E-10</v>
      </c>
      <c r="I65" s="90">
        <f>I63*Synthesis!$C$4</f>
        <v>7.036874417766409E-10</v>
      </c>
      <c r="J65" s="106">
        <v>0</v>
      </c>
    </row>
    <row r="66" spans="1:10">
      <c r="A66" s="33" t="s">
        <v>361</v>
      </c>
      <c r="B66" s="27" t="s">
        <v>101</v>
      </c>
      <c r="C66" s="27" t="s">
        <v>363</v>
      </c>
      <c r="D66" s="27"/>
      <c r="E66" s="27">
        <f>E64</f>
        <v>4</v>
      </c>
      <c r="F66" s="27">
        <v>3</v>
      </c>
      <c r="G66" s="21"/>
      <c r="H66" s="30">
        <f>H64*Synthesis!$C$4</f>
        <v>2.8147497671065636E-9</v>
      </c>
      <c r="I66" s="90" t="e">
        <f>I64*Synthesis!$C$4</f>
        <v>#REF!</v>
      </c>
      <c r="J66" s="106">
        <v>0</v>
      </c>
    </row>
    <row r="67" spans="1:10">
      <c r="A67" s="105" t="s">
        <v>360</v>
      </c>
      <c r="B67" s="27"/>
      <c r="C67" s="27" t="s">
        <v>363</v>
      </c>
      <c r="D67" s="27"/>
      <c r="E67" s="27"/>
      <c r="F67" s="27">
        <v>4</v>
      </c>
      <c r="G67" s="21"/>
      <c r="H67" s="30">
        <f>H65*Synthesis!$C$4</f>
        <v>2.8147497671065639E-10</v>
      </c>
      <c r="I67" s="90">
        <f>I65*Synthesis!$C$4</f>
        <v>2.8147497671065639E-10</v>
      </c>
      <c r="J67" s="106">
        <v>0</v>
      </c>
    </row>
    <row r="68" spans="1:10">
      <c r="A68" s="33" t="s">
        <v>361</v>
      </c>
      <c r="B68" s="27" t="s">
        <v>101</v>
      </c>
      <c r="C68" s="27" t="s">
        <v>363</v>
      </c>
      <c r="D68" s="27"/>
      <c r="E68" s="27">
        <f>E66</f>
        <v>4</v>
      </c>
      <c r="F68" s="27">
        <v>4</v>
      </c>
      <c r="G68" s="21"/>
      <c r="H68" s="30">
        <f>H66*Synthesis!$C$4</f>
        <v>1.1258999068426256E-9</v>
      </c>
      <c r="I68" s="90" t="e">
        <f>I66*Synthesis!$C$4</f>
        <v>#REF!</v>
      </c>
      <c r="J68" s="106">
        <v>0</v>
      </c>
    </row>
    <row r="69" spans="1:10">
      <c r="A69" s="21"/>
      <c r="B69" s="21"/>
      <c r="C69" s="21"/>
      <c r="D69" s="21"/>
      <c r="E69" s="21"/>
      <c r="F69" s="21"/>
      <c r="G69" s="21"/>
      <c r="H69" s="30"/>
      <c r="I69" s="90"/>
      <c r="J69" s="106"/>
    </row>
    <row r="70" spans="1:10">
      <c r="A70" s="104" t="s">
        <v>359</v>
      </c>
      <c r="B70" s="27"/>
      <c r="C70" s="27"/>
      <c r="D70" s="27"/>
      <c r="E70" s="27">
        <v>5</v>
      </c>
      <c r="F70" s="27"/>
      <c r="G70" s="21"/>
      <c r="H70" s="30">
        <f>H57*Synthesis!$C$4</f>
        <v>1.0240000000000004E-2</v>
      </c>
      <c r="I70" s="90">
        <f>I57*Synthesis!$C$4</f>
        <v>1.0240000000000004E-2</v>
      </c>
      <c r="J70" s="106">
        <v>0</v>
      </c>
    </row>
    <row r="71" spans="1:10">
      <c r="A71" s="105" t="s">
        <v>360</v>
      </c>
      <c r="B71" s="27"/>
      <c r="C71" s="27" t="s">
        <v>363</v>
      </c>
      <c r="D71" s="27"/>
      <c r="E71" s="27"/>
      <c r="F71" s="27">
        <v>0</v>
      </c>
      <c r="G71" s="21"/>
      <c r="H71" s="30">
        <f>H67*Synthesis!$C$4</f>
        <v>1.1258999068426256E-10</v>
      </c>
      <c r="I71" s="90">
        <f>I67*Synthesis!$C$4</f>
        <v>1.1258999068426256E-10</v>
      </c>
      <c r="J71" s="106">
        <v>0</v>
      </c>
    </row>
    <row r="72" spans="1:10">
      <c r="A72" s="33" t="s">
        <v>361</v>
      </c>
      <c r="B72" s="27" t="s">
        <v>101</v>
      </c>
      <c r="C72" s="27" t="s">
        <v>363</v>
      </c>
      <c r="D72" s="27"/>
      <c r="E72" s="27">
        <f>E70</f>
        <v>5</v>
      </c>
      <c r="F72" s="27">
        <v>0</v>
      </c>
      <c r="G72" s="21"/>
      <c r="H72" s="30">
        <f>H68*Synthesis!$C$4</f>
        <v>4.5035996273705024E-10</v>
      </c>
      <c r="I72" s="90" t="e">
        <f>I68*Synthesis!$C$4</f>
        <v>#REF!</v>
      </c>
      <c r="J72" s="106">
        <v>0</v>
      </c>
    </row>
    <row r="73" spans="1:10">
      <c r="A73" s="105" t="s">
        <v>360</v>
      </c>
      <c r="B73" s="27"/>
      <c r="C73" s="27" t="s">
        <v>363</v>
      </c>
      <c r="D73" s="27"/>
      <c r="E73" s="27"/>
      <c r="F73" s="27">
        <v>1</v>
      </c>
      <c r="G73" s="21"/>
      <c r="H73" s="30">
        <f>H71*Synthesis!$C$4</f>
        <v>4.5035996273705026E-11</v>
      </c>
      <c r="I73" s="90">
        <f>I71*Synthesis!$C$4</f>
        <v>4.5035996273705026E-11</v>
      </c>
      <c r="J73" s="106">
        <v>0</v>
      </c>
    </row>
    <row r="74" spans="1:10">
      <c r="A74" s="33" t="s">
        <v>361</v>
      </c>
      <c r="B74" s="27" t="s">
        <v>101</v>
      </c>
      <c r="C74" s="27" t="s">
        <v>363</v>
      </c>
      <c r="D74" s="27"/>
      <c r="E74" s="27">
        <f>E72</f>
        <v>5</v>
      </c>
      <c r="F74" s="27">
        <v>1</v>
      </c>
      <c r="G74" s="21"/>
      <c r="H74" s="30">
        <f>H72*Synthesis!$C$4</f>
        <v>1.8014398509482011E-10</v>
      </c>
      <c r="I74" s="90" t="e">
        <f>I72*Synthesis!$C$4</f>
        <v>#REF!</v>
      </c>
      <c r="J74" s="106">
        <v>0</v>
      </c>
    </row>
    <row r="75" spans="1:10">
      <c r="A75" s="105" t="s">
        <v>360</v>
      </c>
      <c r="B75" s="27"/>
      <c r="C75" s="27" t="s">
        <v>363</v>
      </c>
      <c r="D75" s="27"/>
      <c r="E75" s="27"/>
      <c r="F75" s="27">
        <v>2</v>
      </c>
      <c r="G75" s="21"/>
      <c r="H75" s="30">
        <f>H73*Synthesis!$C$4</f>
        <v>1.8014398509482011E-11</v>
      </c>
      <c r="I75" s="90">
        <f>I73*Synthesis!$C$4</f>
        <v>1.8014398509482011E-11</v>
      </c>
      <c r="J75" s="106">
        <v>0</v>
      </c>
    </row>
    <row r="76" spans="1:10">
      <c r="A76" s="33" t="s">
        <v>361</v>
      </c>
      <c r="B76" s="27" t="s">
        <v>101</v>
      </c>
      <c r="C76" s="27" t="s">
        <v>363</v>
      </c>
      <c r="D76" s="27"/>
      <c r="E76" s="27">
        <f>E74</f>
        <v>5</v>
      </c>
      <c r="F76" s="27">
        <v>2</v>
      </c>
      <c r="G76" s="21"/>
      <c r="H76" s="30">
        <f>H74*Synthesis!$C$4</f>
        <v>7.2057594037928042E-11</v>
      </c>
      <c r="I76" s="90" t="e">
        <f>I74*Synthesis!$C$4</f>
        <v>#REF!</v>
      </c>
      <c r="J76" s="106">
        <v>0</v>
      </c>
    </row>
    <row r="77" spans="1:10">
      <c r="A77" s="105" t="s">
        <v>360</v>
      </c>
      <c r="B77" s="27"/>
      <c r="C77" s="27" t="s">
        <v>363</v>
      </c>
      <c r="D77" s="27"/>
      <c r="E77" s="27"/>
      <c r="F77" s="27">
        <v>3</v>
      </c>
      <c r="G77" s="21"/>
      <c r="H77" s="30">
        <f>H75*Synthesis!$C$4</f>
        <v>7.2057594037928047E-12</v>
      </c>
      <c r="I77" s="90">
        <f>I75*Synthesis!$C$4</f>
        <v>7.2057594037928047E-12</v>
      </c>
      <c r="J77" s="106">
        <v>0</v>
      </c>
    </row>
    <row r="78" spans="1:10">
      <c r="A78" s="33" t="s">
        <v>361</v>
      </c>
      <c r="B78" s="27" t="s">
        <v>101</v>
      </c>
      <c r="C78" s="27" t="s">
        <v>363</v>
      </c>
      <c r="D78" s="27"/>
      <c r="E78" s="27">
        <f>E76</f>
        <v>5</v>
      </c>
      <c r="F78" s="27">
        <v>3</v>
      </c>
      <c r="G78" s="21"/>
      <c r="H78" s="30">
        <f>H76*Synthesis!$C$4</f>
        <v>2.8823037615171219E-11</v>
      </c>
      <c r="I78" s="90" t="e">
        <f>I76*Synthesis!$C$4</f>
        <v>#REF!</v>
      </c>
      <c r="J78" s="106">
        <v>0</v>
      </c>
    </row>
    <row r="79" spans="1:10">
      <c r="A79" s="105" t="s">
        <v>360</v>
      </c>
      <c r="B79" s="27"/>
      <c r="C79" s="27" t="s">
        <v>363</v>
      </c>
      <c r="D79" s="27"/>
      <c r="E79" s="27"/>
      <c r="F79" s="27">
        <v>4</v>
      </c>
      <c r="G79" s="21"/>
      <c r="H79" s="30">
        <f>H77*Synthesis!$C$4</f>
        <v>2.8823037615171221E-12</v>
      </c>
      <c r="I79" s="90">
        <f>I77*Synthesis!$C$4</f>
        <v>2.8823037615171221E-12</v>
      </c>
      <c r="J79" s="106">
        <v>0</v>
      </c>
    </row>
    <row r="80" spans="1:10">
      <c r="A80" s="33" t="s">
        <v>361</v>
      </c>
      <c r="B80" s="27" t="s">
        <v>101</v>
      </c>
      <c r="C80" s="27" t="s">
        <v>363</v>
      </c>
      <c r="D80" s="27"/>
      <c r="E80" s="27">
        <f>E78</f>
        <v>5</v>
      </c>
      <c r="F80" s="27">
        <v>4</v>
      </c>
      <c r="G80" s="21"/>
      <c r="H80" s="30">
        <f>H78*Synthesis!$C$4</f>
        <v>1.1529215046068488E-11</v>
      </c>
      <c r="I80" s="90" t="e">
        <f>I78*Synthesis!$C$4</f>
        <v>#REF!</v>
      </c>
      <c r="J80" s="106">
        <v>0</v>
      </c>
    </row>
    <row r="81" spans="1:10">
      <c r="A81" s="21"/>
      <c r="B81" s="21"/>
      <c r="C81" s="21"/>
      <c r="D81" s="21"/>
      <c r="E81" s="21"/>
      <c r="F81" s="21"/>
      <c r="G81" s="21"/>
      <c r="H81" s="30"/>
      <c r="I81" s="90"/>
      <c r="J81" s="106"/>
    </row>
    <row r="82" spans="1:10">
      <c r="A82" s="104" t="s">
        <v>359</v>
      </c>
      <c r="B82" s="27"/>
      <c r="C82" s="27"/>
      <c r="D82" s="27"/>
      <c r="E82" s="27">
        <v>6</v>
      </c>
      <c r="F82" s="27"/>
      <c r="G82" s="21"/>
      <c r="H82" s="30">
        <f>H70*Synthesis!$C$4</f>
        <v>4.0960000000000015E-3</v>
      </c>
      <c r="I82" s="90">
        <f>I70*Synthesis!$C$4</f>
        <v>4.0960000000000015E-3</v>
      </c>
      <c r="J82" s="106">
        <v>0</v>
      </c>
    </row>
    <row r="83" spans="1:10">
      <c r="A83" s="105" t="s">
        <v>360</v>
      </c>
      <c r="B83" s="27"/>
      <c r="C83" s="27" t="s">
        <v>363</v>
      </c>
      <c r="D83" s="27"/>
      <c r="E83" s="27"/>
      <c r="F83" s="27">
        <v>0</v>
      </c>
      <c r="G83" s="21"/>
      <c r="H83" s="30">
        <f>H79*Synthesis!$C$4</f>
        <v>1.1529215046068489E-12</v>
      </c>
      <c r="I83" s="90">
        <f>I79*Synthesis!$C$4</f>
        <v>1.1529215046068489E-12</v>
      </c>
      <c r="J83" s="106">
        <v>0</v>
      </c>
    </row>
    <row r="84" spans="1:10">
      <c r="A84" s="33" t="s">
        <v>361</v>
      </c>
      <c r="B84" s="27" t="s">
        <v>101</v>
      </c>
      <c r="C84" s="27" t="s">
        <v>363</v>
      </c>
      <c r="D84" s="27"/>
      <c r="E84" s="27">
        <f>E82</f>
        <v>6</v>
      </c>
      <c r="F84" s="27">
        <v>0</v>
      </c>
      <c r="G84" s="21"/>
      <c r="H84" s="30">
        <f>H80*Synthesis!$C$4</f>
        <v>4.6116860184273956E-12</v>
      </c>
      <c r="I84" s="90" t="e">
        <f>I80*Synthesis!$C$4</f>
        <v>#REF!</v>
      </c>
      <c r="J84" s="106">
        <v>0</v>
      </c>
    </row>
    <row r="85" spans="1:10">
      <c r="A85" s="105" t="s">
        <v>360</v>
      </c>
      <c r="B85" s="27"/>
      <c r="C85" s="27" t="s">
        <v>363</v>
      </c>
      <c r="D85" s="27"/>
      <c r="E85" s="27"/>
      <c r="F85" s="27">
        <v>1</v>
      </c>
      <c r="G85" s="21"/>
      <c r="H85" s="30">
        <f>H83*Synthesis!$C$4</f>
        <v>4.6116860184273954E-13</v>
      </c>
      <c r="I85" s="90">
        <f>I83*Synthesis!$C$4</f>
        <v>4.6116860184273954E-13</v>
      </c>
      <c r="J85" s="106">
        <v>0</v>
      </c>
    </row>
    <row r="86" spans="1:10">
      <c r="A86" s="33" t="s">
        <v>361</v>
      </c>
      <c r="B86" s="27" t="s">
        <v>101</v>
      </c>
      <c r="C86" s="27" t="s">
        <v>363</v>
      </c>
      <c r="D86" s="27"/>
      <c r="E86" s="27">
        <f>E84</f>
        <v>6</v>
      </c>
      <c r="F86" s="27">
        <v>1</v>
      </c>
      <c r="G86" s="21"/>
      <c r="H86" s="30">
        <f>H84*Synthesis!$C$4</f>
        <v>1.8446744073709581E-12</v>
      </c>
      <c r="I86" s="90" t="e">
        <f>I84*Synthesis!$C$4</f>
        <v>#REF!</v>
      </c>
      <c r="J86" s="106">
        <v>0</v>
      </c>
    </row>
    <row r="87" spans="1:10">
      <c r="A87" s="105" t="s">
        <v>360</v>
      </c>
      <c r="B87" s="27"/>
      <c r="C87" s="27" t="s">
        <v>363</v>
      </c>
      <c r="D87" s="27"/>
      <c r="E87" s="27"/>
      <c r="F87" s="27">
        <v>2</v>
      </c>
      <c r="G87" s="21"/>
      <c r="H87" s="30">
        <f>H85*Synthesis!$C$4</f>
        <v>1.8446744073709583E-13</v>
      </c>
      <c r="I87" s="90">
        <f>I85*Synthesis!$C$4</f>
        <v>1.8446744073709583E-13</v>
      </c>
      <c r="J87" s="106">
        <v>0</v>
      </c>
    </row>
    <row r="88" spans="1:10">
      <c r="A88" s="33" t="s">
        <v>361</v>
      </c>
      <c r="B88" s="27" t="s">
        <v>101</v>
      </c>
      <c r="C88" s="27" t="s">
        <v>363</v>
      </c>
      <c r="D88" s="27"/>
      <c r="E88" s="27">
        <f>E86</f>
        <v>6</v>
      </c>
      <c r="F88" s="27">
        <v>2</v>
      </c>
      <c r="G88" s="21"/>
      <c r="H88" s="30">
        <f>H86*Synthesis!$C$4</f>
        <v>7.3786976294838332E-13</v>
      </c>
      <c r="I88" s="90" t="e">
        <f>I86*Synthesis!$C$4</f>
        <v>#REF!</v>
      </c>
      <c r="J88" s="106">
        <v>0</v>
      </c>
    </row>
    <row r="89" spans="1:10">
      <c r="A89" s="105" t="s">
        <v>360</v>
      </c>
      <c r="B89" s="27"/>
      <c r="C89" s="27" t="s">
        <v>363</v>
      </c>
      <c r="D89" s="27"/>
      <c r="E89" s="27"/>
      <c r="F89" s="27">
        <v>3</v>
      </c>
      <c r="G89" s="21"/>
      <c r="H89" s="30">
        <f>H87*Synthesis!$C$4</f>
        <v>7.3786976294838337E-14</v>
      </c>
      <c r="I89" s="90">
        <f>I87*Synthesis!$C$4</f>
        <v>7.3786976294838337E-14</v>
      </c>
      <c r="J89" s="106">
        <v>0</v>
      </c>
    </row>
    <row r="90" spans="1:10">
      <c r="A90" s="33" t="s">
        <v>361</v>
      </c>
      <c r="B90" s="27" t="s">
        <v>101</v>
      </c>
      <c r="C90" s="27" t="s">
        <v>363</v>
      </c>
      <c r="D90" s="27"/>
      <c r="E90" s="27">
        <f>E88</f>
        <v>6</v>
      </c>
      <c r="F90" s="27">
        <v>3</v>
      </c>
      <c r="G90" s="21"/>
      <c r="H90" s="30">
        <f>H88*Synthesis!$C$4</f>
        <v>2.9514790517935335E-13</v>
      </c>
      <c r="I90" s="90" t="e">
        <f>I88*Synthesis!$C$4</f>
        <v>#REF!</v>
      </c>
      <c r="J90" s="106">
        <v>0</v>
      </c>
    </row>
    <row r="91" spans="1:10">
      <c r="A91" s="105" t="s">
        <v>360</v>
      </c>
      <c r="B91" s="27"/>
      <c r="C91" s="27" t="s">
        <v>363</v>
      </c>
      <c r="D91" s="27"/>
      <c r="E91" s="27"/>
      <c r="F91" s="27">
        <v>4</v>
      </c>
      <c r="G91" s="21"/>
      <c r="H91" s="30">
        <f>H89*Synthesis!$C$4</f>
        <v>2.9514790517935337E-14</v>
      </c>
      <c r="I91" s="90">
        <f>I89*Synthesis!$C$4</f>
        <v>2.9514790517935337E-14</v>
      </c>
      <c r="J91" s="106">
        <v>0</v>
      </c>
    </row>
    <row r="92" spans="1:10">
      <c r="A92" s="33" t="s">
        <v>361</v>
      </c>
      <c r="B92" s="27" t="s">
        <v>101</v>
      </c>
      <c r="C92" s="27" t="s">
        <v>363</v>
      </c>
      <c r="D92" s="27"/>
      <c r="E92" s="27">
        <f>E90</f>
        <v>6</v>
      </c>
      <c r="F92" s="27">
        <v>4</v>
      </c>
      <c r="G92" s="21"/>
      <c r="H92" s="30">
        <f>H90*Synthesis!$C$4</f>
        <v>1.1805916207174135E-13</v>
      </c>
      <c r="I92" s="90" t="e">
        <f>I90*Synthesis!$C$4</f>
        <v>#REF!</v>
      </c>
      <c r="J92" s="106">
        <v>0</v>
      </c>
    </row>
    <row r="93" spans="1:10">
      <c r="A93" s="33" t="s">
        <v>364</v>
      </c>
      <c r="B93" s="27"/>
      <c r="C93" s="27"/>
      <c r="D93" s="27">
        <v>3</v>
      </c>
      <c r="E93" s="27"/>
      <c r="F93" s="27"/>
      <c r="G93" s="21"/>
      <c r="H93" s="30">
        <f>H62*Synthesis!$C$4</f>
        <v>0.2</v>
      </c>
      <c r="I93" s="90">
        <f>I62*Synthesis!$C$4</f>
        <v>0.2</v>
      </c>
      <c r="J93" s="58">
        <f>Synthesis!$C$7^2</f>
        <v>0.48999999999999994</v>
      </c>
    </row>
    <row r="94" spans="1:10">
      <c r="A94" s="21"/>
      <c r="B94" s="21"/>
      <c r="C94" s="21"/>
      <c r="D94" s="21"/>
      <c r="E94" s="21"/>
      <c r="F94" s="21"/>
      <c r="G94" s="21"/>
      <c r="H94" s="30"/>
      <c r="I94" s="90"/>
      <c r="J94" s="106"/>
    </row>
    <row r="95" spans="1:10">
      <c r="A95" s="104" t="s">
        <v>359</v>
      </c>
      <c r="B95" s="27"/>
      <c r="C95" s="27"/>
      <c r="D95" s="27"/>
      <c r="E95" s="27">
        <v>7</v>
      </c>
      <c r="F95" s="27"/>
      <c r="G95" s="21"/>
      <c r="H95" s="30">
        <f>H82*Synthesis!$C$4</f>
        <v>1.6384000000000008E-3</v>
      </c>
      <c r="I95" s="90">
        <f>I82*Synthesis!$C$4</f>
        <v>1.6384000000000008E-3</v>
      </c>
      <c r="J95" s="106">
        <v>0</v>
      </c>
    </row>
    <row r="96" spans="1:10">
      <c r="A96" s="105" t="s">
        <v>360</v>
      </c>
      <c r="B96" s="27"/>
      <c r="C96" s="27" t="s">
        <v>363</v>
      </c>
      <c r="D96" s="27"/>
      <c r="E96" s="27"/>
      <c r="F96" s="27">
        <v>0</v>
      </c>
      <c r="G96" s="21"/>
      <c r="H96" s="30">
        <f>H91*Synthesis!$C$4</f>
        <v>1.1805916207174135E-14</v>
      </c>
      <c r="I96" s="90">
        <f>I91*Synthesis!$C$4</f>
        <v>1.1805916207174135E-14</v>
      </c>
      <c r="J96" s="106">
        <v>0</v>
      </c>
    </row>
    <row r="97" spans="1:10">
      <c r="A97" s="33" t="s">
        <v>361</v>
      </c>
      <c r="B97" s="27" t="s">
        <v>101</v>
      </c>
      <c r="C97" s="27" t="s">
        <v>363</v>
      </c>
      <c r="D97" s="27"/>
      <c r="E97" s="27">
        <f>E95</f>
        <v>7</v>
      </c>
      <c r="F97" s="27">
        <v>0</v>
      </c>
      <c r="G97" s="21"/>
      <c r="H97" s="30">
        <f>H92*Synthesis!$C$4</f>
        <v>4.7223664828696541E-14</v>
      </c>
      <c r="I97" s="90" t="e">
        <f>I92*Synthesis!$C$4</f>
        <v>#REF!</v>
      </c>
      <c r="J97" s="106">
        <v>0</v>
      </c>
    </row>
    <row r="98" spans="1:10">
      <c r="A98" s="105" t="s">
        <v>360</v>
      </c>
      <c r="B98" s="27"/>
      <c r="C98" s="27" t="s">
        <v>363</v>
      </c>
      <c r="D98" s="27"/>
      <c r="E98" s="27"/>
      <c r="F98" s="27">
        <v>1</v>
      </c>
      <c r="G98" s="21"/>
      <c r="H98" s="30">
        <f>H96*Synthesis!$C$4</f>
        <v>4.7223664828696544E-15</v>
      </c>
      <c r="I98" s="90">
        <f>I96*Synthesis!$C$4</f>
        <v>4.7223664828696544E-15</v>
      </c>
      <c r="J98" s="106">
        <v>0</v>
      </c>
    </row>
    <row r="99" spans="1:10">
      <c r="A99" s="33" t="s">
        <v>361</v>
      </c>
      <c r="B99" s="27" t="s">
        <v>101</v>
      </c>
      <c r="C99" s="27" t="s">
        <v>363</v>
      </c>
      <c r="D99" s="27"/>
      <c r="E99" s="27">
        <f>E97</f>
        <v>7</v>
      </c>
      <c r="F99" s="27">
        <v>1</v>
      </c>
      <c r="G99" s="21"/>
      <c r="H99" s="30">
        <f>H97*Synthesis!$C$4</f>
        <v>1.8889465931478618E-14</v>
      </c>
      <c r="I99" s="90" t="e">
        <f>I97*Synthesis!$C$4</f>
        <v>#REF!</v>
      </c>
      <c r="J99" s="106">
        <v>0</v>
      </c>
    </row>
    <row r="100" spans="1:10">
      <c r="A100" s="105" t="s">
        <v>360</v>
      </c>
      <c r="B100" s="27"/>
      <c r="C100" s="27" t="s">
        <v>363</v>
      </c>
      <c r="D100" s="27"/>
      <c r="E100" s="27"/>
      <c r="F100" s="27">
        <v>2</v>
      </c>
      <c r="G100" s="21"/>
      <c r="H100" s="30">
        <f>H98*Synthesis!$C$4</f>
        <v>1.8889465931478618E-15</v>
      </c>
      <c r="I100" s="90">
        <f>I98*Synthesis!$C$4</f>
        <v>1.8889465931478618E-15</v>
      </c>
      <c r="J100" s="106">
        <v>0</v>
      </c>
    </row>
    <row r="101" spans="1:10">
      <c r="A101" s="33" t="s">
        <v>361</v>
      </c>
      <c r="B101" s="27" t="s">
        <v>101</v>
      </c>
      <c r="C101" s="27" t="s">
        <v>363</v>
      </c>
      <c r="D101" s="27"/>
      <c r="E101" s="27">
        <f>E99</f>
        <v>7</v>
      </c>
      <c r="F101" s="27">
        <v>2</v>
      </c>
      <c r="G101" s="21"/>
      <c r="H101" s="30">
        <f>H99*Synthesis!$C$4</f>
        <v>7.555786372591447E-15</v>
      </c>
      <c r="I101" s="90" t="e">
        <f>I99*Synthesis!$C$4</f>
        <v>#REF!</v>
      </c>
      <c r="J101" s="106">
        <v>0</v>
      </c>
    </row>
    <row r="102" spans="1:10">
      <c r="A102" s="105" t="s">
        <v>360</v>
      </c>
      <c r="B102" s="27"/>
      <c r="C102" s="27" t="s">
        <v>363</v>
      </c>
      <c r="D102" s="27"/>
      <c r="E102" s="27"/>
      <c r="F102" s="27">
        <v>3</v>
      </c>
      <c r="G102" s="21"/>
      <c r="H102" s="30">
        <f>H100*Synthesis!$C$4</f>
        <v>7.5557863725914478E-16</v>
      </c>
      <c r="I102" s="90">
        <f>I100*Synthesis!$C$4</f>
        <v>7.5557863725914478E-16</v>
      </c>
      <c r="J102" s="106">
        <v>0</v>
      </c>
    </row>
    <row r="103" spans="1:10">
      <c r="A103" s="33" t="s">
        <v>361</v>
      </c>
      <c r="B103" s="27" t="s">
        <v>101</v>
      </c>
      <c r="C103" s="27" t="s">
        <v>363</v>
      </c>
      <c r="D103" s="27"/>
      <c r="E103" s="27">
        <f>E101</f>
        <v>7</v>
      </c>
      <c r="F103" s="27">
        <v>3</v>
      </c>
      <c r="G103" s="21"/>
      <c r="H103" s="30">
        <f>H101*Synthesis!$C$4</f>
        <v>3.0223145490365791E-15</v>
      </c>
      <c r="I103" s="90" t="e">
        <f>I101*Synthesis!$C$4</f>
        <v>#REF!</v>
      </c>
      <c r="J103" s="106">
        <v>0</v>
      </c>
    </row>
    <row r="104" spans="1:10">
      <c r="A104" s="105" t="s">
        <v>360</v>
      </c>
      <c r="B104" s="27"/>
      <c r="C104" s="27" t="s">
        <v>363</v>
      </c>
      <c r="D104" s="27"/>
      <c r="E104" s="27"/>
      <c r="F104" s="27">
        <v>4</v>
      </c>
      <c r="G104" s="21"/>
      <c r="H104" s="30">
        <f>H102*Synthesis!$C$4</f>
        <v>3.0223145490365791E-16</v>
      </c>
      <c r="I104" s="90">
        <f>I102*Synthesis!$C$4</f>
        <v>3.0223145490365791E-16</v>
      </c>
      <c r="J104" s="106">
        <v>0</v>
      </c>
    </row>
    <row r="105" spans="1:10">
      <c r="A105" s="33" t="s">
        <v>361</v>
      </c>
      <c r="B105" s="27" t="s">
        <v>101</v>
      </c>
      <c r="C105" s="27" t="s">
        <v>363</v>
      </c>
      <c r="D105" s="27"/>
      <c r="E105" s="27">
        <f>E103</f>
        <v>7</v>
      </c>
      <c r="F105" s="27">
        <v>4</v>
      </c>
      <c r="G105" s="21"/>
      <c r="H105" s="30">
        <f>H103*Synthesis!$C$4</f>
        <v>1.2089258196146317E-15</v>
      </c>
      <c r="I105" s="90" t="e">
        <f>I103*Synthesis!$C$4</f>
        <v>#REF!</v>
      </c>
      <c r="J105" s="106">
        <v>0</v>
      </c>
    </row>
    <row r="106" spans="1:10">
      <c r="A106" s="21"/>
      <c r="B106" s="21"/>
      <c r="C106" s="21"/>
      <c r="D106" s="21"/>
      <c r="E106" s="21"/>
      <c r="F106" s="21"/>
      <c r="G106" s="21"/>
      <c r="H106" s="30"/>
      <c r="I106" s="90"/>
      <c r="J106" s="106"/>
    </row>
    <row r="107" spans="1:10">
      <c r="A107" s="104" t="s">
        <v>359</v>
      </c>
      <c r="B107" s="27"/>
      <c r="C107" s="27"/>
      <c r="D107" s="27"/>
      <c r="E107" s="27">
        <v>8</v>
      </c>
      <c r="F107" s="27"/>
      <c r="G107" s="21"/>
      <c r="H107" s="30">
        <f>H95*Synthesis!$C$4</f>
        <v>6.5536000000000034E-4</v>
      </c>
      <c r="I107" s="90">
        <f>I95*Synthesis!$C$4</f>
        <v>6.5536000000000034E-4</v>
      </c>
      <c r="J107" s="106">
        <v>0</v>
      </c>
    </row>
    <row r="108" spans="1:10">
      <c r="A108" s="105" t="s">
        <v>360</v>
      </c>
      <c r="B108" s="27"/>
      <c r="C108" s="27" t="s">
        <v>363</v>
      </c>
      <c r="D108" s="27"/>
      <c r="E108" s="27"/>
      <c r="F108" s="27">
        <v>0</v>
      </c>
      <c r="G108" s="21"/>
      <c r="H108" s="30">
        <f>H104*Synthesis!$C$4</f>
        <v>1.2089258196146318E-16</v>
      </c>
      <c r="I108" s="90">
        <f>I104*Synthesis!$C$4</f>
        <v>1.2089258196146318E-16</v>
      </c>
      <c r="J108" s="106">
        <v>0</v>
      </c>
    </row>
    <row r="109" spans="1:10">
      <c r="A109" s="33" t="s">
        <v>361</v>
      </c>
      <c r="B109" s="27" t="s">
        <v>101</v>
      </c>
      <c r="C109" s="27" t="s">
        <v>363</v>
      </c>
      <c r="D109" s="27"/>
      <c r="E109" s="27">
        <f>E107</f>
        <v>8</v>
      </c>
      <c r="F109" s="27">
        <v>0</v>
      </c>
      <c r="G109" s="21"/>
      <c r="H109" s="30">
        <f>H105*Synthesis!$C$4</f>
        <v>4.8357032784585272E-16</v>
      </c>
      <c r="I109" s="90" t="e">
        <f>I105*Synthesis!$C$4</f>
        <v>#REF!</v>
      </c>
      <c r="J109" s="106">
        <v>0</v>
      </c>
    </row>
    <row r="110" spans="1:10">
      <c r="A110" s="105" t="s">
        <v>360</v>
      </c>
      <c r="B110" s="27"/>
      <c r="C110" s="27" t="s">
        <v>363</v>
      </c>
      <c r="D110" s="27"/>
      <c r="E110" s="27"/>
      <c r="F110" s="27">
        <v>1</v>
      </c>
      <c r="G110" s="21"/>
      <c r="H110" s="30">
        <f>H108*Synthesis!$C$4</f>
        <v>4.8357032784585272E-17</v>
      </c>
      <c r="I110" s="90">
        <f>I108*Synthesis!$C$4</f>
        <v>4.8357032784585272E-17</v>
      </c>
      <c r="J110" s="106">
        <v>0</v>
      </c>
    </row>
    <row r="111" spans="1:10">
      <c r="A111" s="33" t="s">
        <v>361</v>
      </c>
      <c r="B111" s="27" t="s">
        <v>101</v>
      </c>
      <c r="C111" s="27" t="s">
        <v>363</v>
      </c>
      <c r="D111" s="27"/>
      <c r="E111" s="27">
        <f>E109</f>
        <v>8</v>
      </c>
      <c r="F111" s="27">
        <v>1</v>
      </c>
      <c r="G111" s="21"/>
      <c r="H111" s="30">
        <f>H109*Synthesis!$C$4</f>
        <v>1.9342813113834109E-16</v>
      </c>
      <c r="I111" s="90" t="e">
        <f>I109*Synthesis!$C$4</f>
        <v>#REF!</v>
      </c>
      <c r="J111" s="106">
        <v>0</v>
      </c>
    </row>
    <row r="112" spans="1:10">
      <c r="A112" s="105" t="s">
        <v>360</v>
      </c>
      <c r="B112" s="27"/>
      <c r="C112" s="27" t="s">
        <v>363</v>
      </c>
      <c r="D112" s="27"/>
      <c r="E112" s="27"/>
      <c r="F112" s="27">
        <v>2</v>
      </c>
      <c r="G112" s="21"/>
      <c r="H112" s="30">
        <f>H110*Synthesis!$C$4</f>
        <v>1.9342813113834111E-17</v>
      </c>
      <c r="I112" s="90">
        <f>I110*Synthesis!$C$4</f>
        <v>1.9342813113834111E-17</v>
      </c>
      <c r="J112" s="106">
        <v>0</v>
      </c>
    </row>
    <row r="113" spans="1:10">
      <c r="A113" s="33" t="s">
        <v>361</v>
      </c>
      <c r="B113" s="27" t="s">
        <v>101</v>
      </c>
      <c r="C113" s="27" t="s">
        <v>363</v>
      </c>
      <c r="D113" s="27"/>
      <c r="E113" s="27">
        <f>E111</f>
        <v>8</v>
      </c>
      <c r="F113" s="27">
        <v>2</v>
      </c>
      <c r="G113" s="21"/>
      <c r="H113" s="30">
        <f>H111*Synthesis!$C$4</f>
        <v>7.7371252455336443E-17</v>
      </c>
      <c r="I113" s="90" t="e">
        <f>I111*Synthesis!$C$4</f>
        <v>#REF!</v>
      </c>
      <c r="J113" s="106">
        <v>0</v>
      </c>
    </row>
    <row r="114" spans="1:10">
      <c r="A114" s="105" t="s">
        <v>360</v>
      </c>
      <c r="B114" s="27"/>
      <c r="C114" s="27" t="s">
        <v>363</v>
      </c>
      <c r="D114" s="27"/>
      <c r="E114" s="27"/>
      <c r="F114" s="27">
        <v>3</v>
      </c>
      <c r="G114" s="21"/>
      <c r="H114" s="30">
        <f>H112*Synthesis!$C$4</f>
        <v>7.7371252455336443E-18</v>
      </c>
      <c r="I114" s="90">
        <f>I112*Synthesis!$C$4</f>
        <v>7.7371252455336443E-18</v>
      </c>
      <c r="J114" s="106">
        <v>0</v>
      </c>
    </row>
    <row r="115" spans="1:10">
      <c r="A115" s="33" t="s">
        <v>361</v>
      </c>
      <c r="B115" s="27" t="s">
        <v>101</v>
      </c>
      <c r="C115" s="27" t="s">
        <v>363</v>
      </c>
      <c r="D115" s="27"/>
      <c r="E115" s="27">
        <f>E113</f>
        <v>8</v>
      </c>
      <c r="F115" s="27">
        <v>3</v>
      </c>
      <c r="G115" s="21"/>
      <c r="H115" s="30">
        <f>H113*Synthesis!$C$4</f>
        <v>3.0948500982134577E-17</v>
      </c>
      <c r="I115" s="90" t="e">
        <f>I113*Synthesis!$C$4</f>
        <v>#REF!</v>
      </c>
      <c r="J115" s="106">
        <v>0</v>
      </c>
    </row>
    <row r="116" spans="1:10">
      <c r="A116" s="105" t="s">
        <v>360</v>
      </c>
      <c r="B116" s="27"/>
      <c r="C116" s="27" t="s">
        <v>363</v>
      </c>
      <c r="D116" s="27"/>
      <c r="E116" s="27"/>
      <c r="F116" s="27">
        <v>4</v>
      </c>
      <c r="G116" s="21"/>
      <c r="H116" s="30">
        <f>H114*Synthesis!$C$4</f>
        <v>3.0948500982134579E-18</v>
      </c>
      <c r="I116" s="90">
        <f>I114*Synthesis!$C$4</f>
        <v>3.0948500982134579E-18</v>
      </c>
      <c r="J116" s="106">
        <v>0</v>
      </c>
    </row>
    <row r="117" spans="1:10">
      <c r="A117" s="33" t="s">
        <v>361</v>
      </c>
      <c r="B117" s="27" t="s">
        <v>101</v>
      </c>
      <c r="C117" s="27" t="s">
        <v>363</v>
      </c>
      <c r="D117" s="27"/>
      <c r="E117" s="27">
        <f>E115</f>
        <v>8</v>
      </c>
      <c r="F117" s="27">
        <v>4</v>
      </c>
      <c r="G117" s="21"/>
      <c r="H117" s="30">
        <f>H115*Synthesis!$C$4</f>
        <v>1.2379400392853831E-17</v>
      </c>
      <c r="I117" s="90" t="e">
        <f>I115*Synthesis!$C$4</f>
        <v>#REF!</v>
      </c>
      <c r="J117" s="106">
        <v>0</v>
      </c>
    </row>
    <row r="118" spans="1:10">
      <c r="A118" s="21"/>
      <c r="B118" s="21"/>
      <c r="C118" s="21"/>
      <c r="D118" s="21"/>
      <c r="E118" s="21"/>
      <c r="F118" s="21"/>
      <c r="G118" s="21"/>
      <c r="H118" s="30"/>
      <c r="I118" s="90"/>
      <c r="J118" s="106">
        <v>0</v>
      </c>
    </row>
    <row r="119" spans="1:10">
      <c r="A119" s="33" t="s">
        <v>365</v>
      </c>
      <c r="B119" s="21"/>
      <c r="C119" s="21"/>
      <c r="D119" s="21"/>
      <c r="E119" s="21"/>
      <c r="F119" s="21"/>
      <c r="G119" s="21"/>
      <c r="H119" s="30"/>
      <c r="I119" s="90"/>
      <c r="J119" s="106"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data</vt:lpstr>
      <vt:lpstr>Feuil37</vt:lpstr>
      <vt:lpstr>me</vt:lpstr>
      <vt:lpstr>siegmund2012</vt:lpstr>
      <vt:lpstr>peitek2021</vt:lpstr>
      <vt:lpstr>Synthesis</vt:lpstr>
      <vt:lpstr>ArrAvg</vt:lpstr>
      <vt:lpstr>CountSubstr</vt:lpstr>
      <vt:lpstr>CountVwls</vt:lpstr>
      <vt:lpstr>DumbSort</vt:lpstr>
      <vt:lpstr>GrCoDiv</vt:lpstr>
      <vt:lpstr>hIndex</vt:lpstr>
      <vt:lpstr>isHur</vt:lpstr>
      <vt:lpstr>isPalind</vt:lpstr>
      <vt:lpstr>lgthLastWd</vt:lpstr>
      <vt:lpstr>binToDec</vt:lpstr>
      <vt:lpstr>crosSum</vt:lpstr>
      <vt:lpstr>n!</vt:lpstr>
      <vt:lpstr>fibonacci</vt:lpstr>
      <vt:lpstr>power</vt:lpstr>
      <vt:lpstr>sqrt</vt:lpstr>
      <vt:lpstr>yesNo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2021-07-29T15:37:48Z</dcterms:modified>
</cp:coreProperties>
</file>