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gillianbc/Downloads/"/>
    </mc:Choice>
  </mc:AlternateContent>
  <xr:revisionPtr revIDLastSave="0" documentId="8_{4B77C963-085E-EF40-A05F-3FAC2EBA1DBA}" xr6:coauthVersionLast="47" xr6:coauthVersionMax="47" xr10:uidLastSave="{00000000-0000-0000-0000-000000000000}"/>
  <bookViews>
    <workbookView xWindow="0" yWindow="720" windowWidth="29400" windowHeight="18400" xr2:uid="{FCD8FF93-1F4D-A742-939D-594AAD937879}"/>
  </bookViews>
  <sheets>
    <sheet name="Pensions New" sheetId="1" r:id="rId1"/>
  </sheets>
  <externalReferences>
    <externalReference r:id="rId2"/>
  </externalReferences>
  <definedNames>
    <definedName name="AlsoShow">'[1]Pension Options'!$G$17</definedName>
    <definedName name="exampleAmount">'[1]Fund Choices'!$I$4</definedName>
    <definedName name="growthPercentage">'[1]Pension Options'!$C$21</definedName>
    <definedName name="maxtaxfreedrawdown">'[1]Pension Options'!$C$20</definedName>
    <definedName name="monthlybills">'[1]In And Out'!#REF!</definedName>
    <definedName name="mortacs">[1]Nationwide!$T$3:$T$5</definedName>
    <definedName name="payday_float">'[1]In And Out'!$I$23</definedName>
    <definedName name="pensionStart">'[1]Pension Options'!$C$15</definedName>
    <definedName name="regulars">'[1]In And Out'!#REF!</definedName>
    <definedName name="Saleremainder">'[1]House Move'!$D$16</definedName>
    <definedName name="SavingsStart">'[1]Pension Options'!$C$16</definedName>
    <definedName name="Spendperyear">'[1]Pension Options'!$C$17</definedName>
    <definedName name="STANDARD_LIFE" localSheetId="0">'Pensions New'!$CH$2</definedName>
    <definedName name="statePension">'[1]Pension Options'!$F$13</definedName>
    <definedName name="TaxablePercentageDrawdown">'[1]Pension Options'!$C$22</definedName>
    <definedName name="taxBasicRate">'[1]Pension Options'!$C$19</definedName>
    <definedName name="taxThreshold">'[1]Pension Options'!$C$18</definedName>
    <definedName name="totalSipp2025">'[1]Monthly Summary'!$I$68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4" i="1" l="1"/>
  <c r="F145" i="1" s="1"/>
  <c r="F146" i="1" s="1"/>
  <c r="F147" i="1" s="1"/>
  <c r="F143" i="1"/>
  <c r="H131" i="1"/>
  <c r="H133" i="1" s="1"/>
  <c r="G131" i="1"/>
  <c r="K128" i="1"/>
  <c r="L128" i="1" s="1"/>
  <c r="J128" i="1"/>
  <c r="I128" i="1"/>
  <c r="H128" i="1"/>
  <c r="F127" i="1"/>
  <c r="G127" i="1" s="1"/>
  <c r="F126" i="1"/>
  <c r="G126" i="1" s="1"/>
  <c r="I125" i="1"/>
  <c r="F125" i="1"/>
  <c r="G125" i="1" s="1"/>
  <c r="H125" i="1" s="1"/>
  <c r="H124" i="1"/>
  <c r="I124" i="1" s="1"/>
  <c r="F124" i="1"/>
  <c r="G124" i="1" s="1"/>
  <c r="U117" i="1"/>
  <c r="U115" i="1"/>
  <c r="H109" i="1"/>
  <c r="I109" i="1" s="1"/>
  <c r="E109" i="1"/>
  <c r="E108" i="1"/>
  <c r="U107" i="1"/>
  <c r="U109" i="1" s="1"/>
  <c r="G107" i="1"/>
  <c r="F107" i="1"/>
  <c r="J106" i="1"/>
  <c r="H106" i="1"/>
  <c r="G106" i="1"/>
  <c r="F106" i="1"/>
  <c r="K105" i="1"/>
  <c r="M105" i="1" s="1"/>
  <c r="J105" i="1"/>
  <c r="H105" i="1"/>
  <c r="I105" i="1" s="1"/>
  <c r="G105" i="1"/>
  <c r="F105" i="1"/>
  <c r="J104" i="1"/>
  <c r="H104" i="1"/>
  <c r="I104" i="1" s="1"/>
  <c r="K104" i="1" s="1"/>
  <c r="G104" i="1"/>
  <c r="F104" i="1"/>
  <c r="K103" i="1"/>
  <c r="J103" i="1"/>
  <c r="H103" i="1"/>
  <c r="I103" i="1" s="1"/>
  <c r="G103" i="1"/>
  <c r="J102" i="1"/>
  <c r="I102" i="1"/>
  <c r="K102" i="1" s="1"/>
  <c r="H102" i="1"/>
  <c r="G102" i="1"/>
  <c r="H101" i="1"/>
  <c r="G101" i="1"/>
  <c r="U100" i="1"/>
  <c r="H100" i="1"/>
  <c r="G100" i="1"/>
  <c r="K99" i="1"/>
  <c r="J99" i="1"/>
  <c r="H99" i="1"/>
  <c r="I99" i="1" s="1"/>
  <c r="G99" i="1"/>
  <c r="U98" i="1"/>
  <c r="K98" i="1"/>
  <c r="M98" i="1" s="1"/>
  <c r="J98" i="1"/>
  <c r="I98" i="1"/>
  <c r="H98" i="1"/>
  <c r="G98" i="1"/>
  <c r="H97" i="1"/>
  <c r="J97" i="1" s="1"/>
  <c r="G97" i="1"/>
  <c r="F97" i="1"/>
  <c r="H107" i="1" s="1"/>
  <c r="I107" i="1" s="1"/>
  <c r="H96" i="1"/>
  <c r="G96" i="1"/>
  <c r="M95" i="1"/>
  <c r="J95" i="1"/>
  <c r="I95" i="1"/>
  <c r="K95" i="1" s="1"/>
  <c r="L95" i="1" s="1"/>
  <c r="H95" i="1"/>
  <c r="G95" i="1"/>
  <c r="I94" i="1"/>
  <c r="K94" i="1" s="1"/>
  <c r="H94" i="1"/>
  <c r="J94" i="1" s="1"/>
  <c r="G94" i="1"/>
  <c r="H93" i="1"/>
  <c r="G93" i="1"/>
  <c r="F93" i="1"/>
  <c r="H110" i="1" s="1"/>
  <c r="I110" i="1" s="1"/>
  <c r="U92" i="1"/>
  <c r="H92" i="1"/>
  <c r="G92" i="1"/>
  <c r="H91" i="1"/>
  <c r="G91" i="1"/>
  <c r="F91" i="1"/>
  <c r="H111" i="1" s="1"/>
  <c r="I111" i="1" s="1"/>
  <c r="U90" i="1"/>
  <c r="H90" i="1"/>
  <c r="G90" i="1"/>
  <c r="H89" i="1"/>
  <c r="G89" i="1"/>
  <c r="M88" i="1"/>
  <c r="L88" i="1"/>
  <c r="K88" i="1"/>
  <c r="J88" i="1"/>
  <c r="H88" i="1"/>
  <c r="I88" i="1" s="1"/>
  <c r="G88" i="1"/>
  <c r="J87" i="1"/>
  <c r="I87" i="1"/>
  <c r="K87" i="1" s="1"/>
  <c r="H87" i="1"/>
  <c r="G87" i="1"/>
  <c r="U86" i="1"/>
  <c r="J86" i="1"/>
  <c r="I86" i="1"/>
  <c r="K86" i="1" s="1"/>
  <c r="H86" i="1"/>
  <c r="G86" i="1"/>
  <c r="H85" i="1"/>
  <c r="J85" i="1" s="1"/>
  <c r="G85" i="1"/>
  <c r="J84" i="1"/>
  <c r="I84" i="1"/>
  <c r="K84" i="1" s="1"/>
  <c r="H84" i="1"/>
  <c r="G84" i="1"/>
  <c r="P83" i="1"/>
  <c r="J83" i="1"/>
  <c r="I83" i="1"/>
  <c r="K83" i="1" s="1"/>
  <c r="H83" i="1"/>
  <c r="G83" i="1"/>
  <c r="G82" i="1"/>
  <c r="AA81" i="1"/>
  <c r="AA83" i="1" s="1"/>
  <c r="G81" i="1"/>
  <c r="E81" i="1"/>
  <c r="P80" i="1"/>
  <c r="G80" i="1"/>
  <c r="E80" i="1"/>
  <c r="H80" i="1" s="1"/>
  <c r="P79" i="1"/>
  <c r="AB75" i="1"/>
  <c r="AB74" i="1"/>
  <c r="J68" i="1"/>
  <c r="K68" i="1" s="1"/>
  <c r="K67" i="1"/>
  <c r="J66" i="1"/>
  <c r="K66" i="1" s="1"/>
  <c r="K65" i="1"/>
  <c r="J65" i="1"/>
  <c r="BK58" i="1"/>
  <c r="BL58" i="1" s="1"/>
  <c r="BA58" i="1"/>
  <c r="BB58" i="1" s="1"/>
  <c r="AY58" i="1"/>
  <c r="AZ58" i="1" s="1"/>
  <c r="AW58" i="1"/>
  <c r="AR58" i="1"/>
  <c r="AP58" i="1"/>
  <c r="CM57" i="1"/>
  <c r="CN57" i="1" s="1"/>
  <c r="CL57" i="1"/>
  <c r="CK57" i="1"/>
  <c r="BK57" i="1"/>
  <c r="BJ57" i="1"/>
  <c r="BI57" i="1"/>
  <c r="BB57" i="1"/>
  <c r="BC57" i="1" s="1"/>
  <c r="BA57" i="1"/>
  <c r="AY57" i="1"/>
  <c r="AZ57" i="1" s="1"/>
  <c r="AW57" i="1"/>
  <c r="AW56" i="1" s="1"/>
  <c r="AS57" i="1"/>
  <c r="AR57" i="1"/>
  <c r="AP57" i="1"/>
  <c r="AQ57" i="1" s="1"/>
  <c r="CM56" i="1"/>
  <c r="CL56" i="1"/>
  <c r="CK56" i="1"/>
  <c r="CN56" i="1" s="1"/>
  <c r="BS56" i="1"/>
  <c r="BT56" i="1" s="1"/>
  <c r="BK56" i="1"/>
  <c r="BL56" i="1" s="1"/>
  <c r="BI56" i="1"/>
  <c r="BJ56" i="1" s="1"/>
  <c r="BB56" i="1"/>
  <c r="BC56" i="1" s="1"/>
  <c r="BA56" i="1"/>
  <c r="AZ56" i="1"/>
  <c r="AY56" i="1"/>
  <c r="AR56" i="1"/>
  <c r="AP56" i="1"/>
  <c r="CM55" i="1"/>
  <c r="CN55" i="1" s="1"/>
  <c r="CL55" i="1"/>
  <c r="CK55" i="1"/>
  <c r="BS55" i="1"/>
  <c r="BQ55" i="1"/>
  <c r="BT55" i="1" s="1"/>
  <c r="BK55" i="1"/>
  <c r="BL55" i="1" s="1"/>
  <c r="BJ55" i="1"/>
  <c r="BI55" i="1"/>
  <c r="BC55" i="1"/>
  <c r="BA55" i="1"/>
  <c r="BB55" i="1" s="1"/>
  <c r="AY55" i="1"/>
  <c r="AZ55" i="1" s="1"/>
  <c r="AW55" i="1"/>
  <c r="AR55" i="1"/>
  <c r="AP55" i="1"/>
  <c r="AS55" i="1" s="1"/>
  <c r="CM54" i="1"/>
  <c r="CK54" i="1"/>
  <c r="BS54" i="1"/>
  <c r="BQ54" i="1"/>
  <c r="BT54" i="1" s="1"/>
  <c r="BL54" i="1"/>
  <c r="BK54" i="1"/>
  <c r="BI54" i="1"/>
  <c r="BJ54" i="1" s="1"/>
  <c r="BA54" i="1"/>
  <c r="BB54" i="1" s="1"/>
  <c r="BC54" i="1" s="1"/>
  <c r="AZ54" i="1"/>
  <c r="AY54" i="1"/>
  <c r="AW54" i="1"/>
  <c r="AR54" i="1"/>
  <c r="AP54" i="1"/>
  <c r="AQ54" i="1" s="1"/>
  <c r="CM53" i="1"/>
  <c r="CN53" i="1" s="1"/>
  <c r="CL53" i="1"/>
  <c r="CK53" i="1"/>
  <c r="BS53" i="1"/>
  <c r="BP53" i="1"/>
  <c r="BQ53" i="1" s="1"/>
  <c r="BR53" i="1" s="1"/>
  <c r="BK53" i="1"/>
  <c r="BI53" i="1"/>
  <c r="BB53" i="1"/>
  <c r="BC53" i="1" s="1"/>
  <c r="BA53" i="1"/>
  <c r="AY53" i="1"/>
  <c r="AZ53" i="1" s="1"/>
  <c r="AW53" i="1"/>
  <c r="AR53" i="1"/>
  <c r="AP53" i="1"/>
  <c r="AQ53" i="1" s="1"/>
  <c r="CN52" i="1"/>
  <c r="CM52" i="1"/>
  <c r="CK52" i="1"/>
  <c r="CL52" i="1" s="1"/>
  <c r="BS52" i="1"/>
  <c r="BP52" i="1"/>
  <c r="BQ52" i="1" s="1"/>
  <c r="BL52" i="1"/>
  <c r="BK52" i="1"/>
  <c r="BI52" i="1"/>
  <c r="BJ52" i="1" s="1"/>
  <c r="BA52" i="1"/>
  <c r="BB52" i="1" s="1"/>
  <c r="BC52" i="1" s="1"/>
  <c r="AY52" i="1"/>
  <c r="AZ52" i="1" s="1"/>
  <c r="AW52" i="1"/>
  <c r="AR52" i="1"/>
  <c r="AP52" i="1"/>
  <c r="AQ52" i="1" s="1"/>
  <c r="CN51" i="1"/>
  <c r="CM51" i="1"/>
  <c r="CK51" i="1"/>
  <c r="CL51" i="1" s="1"/>
  <c r="BS51" i="1"/>
  <c r="BP51" i="1"/>
  <c r="BQ51" i="1" s="1"/>
  <c r="BR51" i="1" s="1"/>
  <c r="BL51" i="1"/>
  <c r="BK51" i="1"/>
  <c r="BI51" i="1"/>
  <c r="BJ51" i="1" s="1"/>
  <c r="BB51" i="1"/>
  <c r="BA51" i="1"/>
  <c r="AY51" i="1"/>
  <c r="AZ51" i="1" s="1"/>
  <c r="AW51" i="1"/>
  <c r="AW50" i="1" s="1"/>
  <c r="AW49" i="1" s="1"/>
  <c r="AW48" i="1" s="1"/>
  <c r="AW47" i="1" s="1"/>
  <c r="AW46" i="1" s="1"/>
  <c r="AW45" i="1" s="1"/>
  <c r="AW44" i="1" s="1"/>
  <c r="AW43" i="1" s="1"/>
  <c r="AW42" i="1" s="1"/>
  <c r="AW41" i="1" s="1"/>
  <c r="AW40" i="1" s="1"/>
  <c r="AW39" i="1" s="1"/>
  <c r="AW38" i="1" s="1"/>
  <c r="AW37" i="1" s="1"/>
  <c r="AW36" i="1" s="1"/>
  <c r="AW35" i="1" s="1"/>
  <c r="AW34" i="1" s="1"/>
  <c r="AW33" i="1" s="1"/>
  <c r="AW32" i="1" s="1"/>
  <c r="AW31" i="1" s="1"/>
  <c r="AW30" i="1" s="1"/>
  <c r="AS51" i="1"/>
  <c r="AR51" i="1"/>
  <c r="AP51" i="1"/>
  <c r="AQ51" i="1" s="1"/>
  <c r="CN50" i="1"/>
  <c r="CM50" i="1"/>
  <c r="CK50" i="1"/>
  <c r="CL50" i="1" s="1"/>
  <c r="BS50" i="1"/>
  <c r="BQ50" i="1"/>
  <c r="BP50" i="1"/>
  <c r="BL50" i="1"/>
  <c r="BK50" i="1"/>
  <c r="BI50" i="1"/>
  <c r="BJ50" i="1" s="1"/>
  <c r="BA50" i="1"/>
  <c r="BB50" i="1" s="1"/>
  <c r="BC50" i="1" s="1"/>
  <c r="AY50" i="1"/>
  <c r="AZ50" i="1" s="1"/>
  <c r="AR50" i="1"/>
  <c r="AP50" i="1"/>
  <c r="AQ50" i="1" s="1"/>
  <c r="J50" i="1"/>
  <c r="K50" i="1" s="1"/>
  <c r="I50" i="1"/>
  <c r="G50" i="1"/>
  <c r="B50" i="1"/>
  <c r="A50" i="1"/>
  <c r="CM49" i="1"/>
  <c r="CK49" i="1"/>
  <c r="CN49" i="1" s="1"/>
  <c r="BT49" i="1"/>
  <c r="BS49" i="1"/>
  <c r="BQ49" i="1"/>
  <c r="BR49" i="1" s="1"/>
  <c r="BK49" i="1"/>
  <c r="BI49" i="1"/>
  <c r="BL49" i="1" s="1"/>
  <c r="BA49" i="1"/>
  <c r="BB49" i="1" s="1"/>
  <c r="AY49" i="1"/>
  <c r="AZ49" i="1" s="1"/>
  <c r="AS49" i="1"/>
  <c r="AR49" i="1"/>
  <c r="AP49" i="1"/>
  <c r="AQ49" i="1" s="1"/>
  <c r="J49" i="1"/>
  <c r="K49" i="1" s="1"/>
  <c r="L49" i="1" s="1"/>
  <c r="H49" i="1"/>
  <c r="I49" i="1" s="1"/>
  <c r="G49" i="1"/>
  <c r="B49" i="1"/>
  <c r="A49" i="1"/>
  <c r="CN48" i="1"/>
  <c r="CM48" i="1"/>
  <c r="CK48" i="1"/>
  <c r="CL48" i="1" s="1"/>
  <c r="BT48" i="1"/>
  <c r="BS48" i="1"/>
  <c r="BR48" i="1"/>
  <c r="BQ48" i="1"/>
  <c r="BL48" i="1"/>
  <c r="BK48" i="1"/>
  <c r="BI48" i="1"/>
  <c r="BJ48" i="1" s="1"/>
  <c r="BA48" i="1"/>
  <c r="BB48" i="1" s="1"/>
  <c r="AZ48" i="1"/>
  <c r="AY48" i="1"/>
  <c r="AR48" i="1"/>
  <c r="AP48" i="1"/>
  <c r="J48" i="1"/>
  <c r="K48" i="1" s="1"/>
  <c r="L48" i="1" s="1"/>
  <c r="H48" i="1"/>
  <c r="I48" i="1" s="1"/>
  <c r="G48" i="1"/>
  <c r="B48" i="1"/>
  <c r="A48" i="1"/>
  <c r="CM47" i="1"/>
  <c r="CN47" i="1" s="1"/>
  <c r="CL47" i="1"/>
  <c r="CK47" i="1"/>
  <c r="BS47" i="1"/>
  <c r="BR47" i="1"/>
  <c r="BQ47" i="1"/>
  <c r="BT47" i="1" s="1"/>
  <c r="BK47" i="1"/>
  <c r="BL47" i="1" s="1"/>
  <c r="BJ47" i="1"/>
  <c r="BI47" i="1"/>
  <c r="BA47" i="1"/>
  <c r="BB47" i="1" s="1"/>
  <c r="AZ47" i="1"/>
  <c r="AY47" i="1"/>
  <c r="AS47" i="1"/>
  <c r="AR47" i="1"/>
  <c r="AP47" i="1"/>
  <c r="AQ47" i="1" s="1"/>
  <c r="J47" i="1"/>
  <c r="K47" i="1" s="1"/>
  <c r="L47" i="1" s="1"/>
  <c r="I47" i="1"/>
  <c r="H47" i="1"/>
  <c r="G47" i="1"/>
  <c r="B47" i="1"/>
  <c r="A47" i="1"/>
  <c r="CM46" i="1"/>
  <c r="CN46" i="1" s="1"/>
  <c r="CL46" i="1"/>
  <c r="CK46" i="1"/>
  <c r="BT46" i="1"/>
  <c r="BS46" i="1"/>
  <c r="BQ46" i="1"/>
  <c r="BR46" i="1" s="1"/>
  <c r="BK46" i="1"/>
  <c r="BI46" i="1"/>
  <c r="BA46" i="1"/>
  <c r="BB46" i="1" s="1"/>
  <c r="AY46" i="1"/>
  <c r="AZ46" i="1" s="1"/>
  <c r="AR46" i="1"/>
  <c r="AP46" i="1"/>
  <c r="AQ46" i="1" s="1"/>
  <c r="J46" i="1"/>
  <c r="K46" i="1" s="1"/>
  <c r="L46" i="1" s="1"/>
  <c r="I46" i="1"/>
  <c r="H46" i="1"/>
  <c r="G46" i="1"/>
  <c r="B46" i="1"/>
  <c r="A46" i="1"/>
  <c r="CM45" i="1"/>
  <c r="CK45" i="1"/>
  <c r="BT45" i="1"/>
  <c r="BS45" i="1"/>
  <c r="BR45" i="1"/>
  <c r="BQ45" i="1"/>
  <c r="BK45" i="1"/>
  <c r="BI45" i="1"/>
  <c r="BL45" i="1" s="1"/>
  <c r="BB45" i="1"/>
  <c r="BA45" i="1"/>
  <c r="AY45" i="1"/>
  <c r="AZ45" i="1" s="1"/>
  <c r="AR45" i="1"/>
  <c r="AP45" i="1"/>
  <c r="AQ45" i="1" s="1"/>
  <c r="L45" i="1"/>
  <c r="J45" i="1"/>
  <c r="K45" i="1" s="1"/>
  <c r="H45" i="1"/>
  <c r="I45" i="1" s="1"/>
  <c r="G45" i="1"/>
  <c r="B45" i="1"/>
  <c r="A45" i="1"/>
  <c r="CN44" i="1"/>
  <c r="CM44" i="1"/>
  <c r="CK44" i="1"/>
  <c r="CL44" i="1" s="1"/>
  <c r="BT44" i="1"/>
  <c r="BS44" i="1"/>
  <c r="BQ44" i="1"/>
  <c r="BR44" i="1" s="1"/>
  <c r="BL44" i="1"/>
  <c r="BK44" i="1"/>
  <c r="BI44" i="1"/>
  <c r="BJ44" i="1" s="1"/>
  <c r="BB44" i="1"/>
  <c r="BA44" i="1"/>
  <c r="AY44" i="1"/>
  <c r="AZ44" i="1" s="1"/>
  <c r="AR44" i="1"/>
  <c r="AP44" i="1"/>
  <c r="L44" i="1"/>
  <c r="K44" i="1"/>
  <c r="J44" i="1"/>
  <c r="H44" i="1"/>
  <c r="I44" i="1" s="1"/>
  <c r="G44" i="1"/>
  <c r="B44" i="1"/>
  <c r="A44" i="1"/>
  <c r="CM43" i="1"/>
  <c r="CN43" i="1" s="1"/>
  <c r="CL43" i="1"/>
  <c r="CK43" i="1"/>
  <c r="BS43" i="1"/>
  <c r="BQ43" i="1"/>
  <c r="BT43" i="1" s="1"/>
  <c r="BK43" i="1"/>
  <c r="BL43" i="1" s="1"/>
  <c r="BJ43" i="1"/>
  <c r="BI43" i="1"/>
  <c r="BA43" i="1"/>
  <c r="BB43" i="1" s="1"/>
  <c r="AY43" i="1"/>
  <c r="AZ43" i="1" s="1"/>
  <c r="AS43" i="1"/>
  <c r="AR43" i="1"/>
  <c r="AP43" i="1"/>
  <c r="AQ43" i="1" s="1"/>
  <c r="J43" i="1"/>
  <c r="K43" i="1" s="1"/>
  <c r="L43" i="1" s="1"/>
  <c r="H43" i="1"/>
  <c r="I43" i="1" s="1"/>
  <c r="G43" i="1"/>
  <c r="B43" i="1"/>
  <c r="A43" i="1"/>
  <c r="CN42" i="1"/>
  <c r="CM42" i="1"/>
  <c r="CK42" i="1"/>
  <c r="CL42" i="1" s="1"/>
  <c r="BT42" i="1"/>
  <c r="BS42" i="1"/>
  <c r="BQ42" i="1"/>
  <c r="BR42" i="1" s="1"/>
  <c r="BL42" i="1"/>
  <c r="BK42" i="1"/>
  <c r="BI42" i="1"/>
  <c r="BJ42" i="1" s="1"/>
  <c r="BA42" i="1"/>
  <c r="BB42" i="1" s="1"/>
  <c r="AY42" i="1"/>
  <c r="AZ42" i="1" s="1"/>
  <c r="AS42" i="1"/>
  <c r="AR42" i="1"/>
  <c r="AP42" i="1"/>
  <c r="AQ42" i="1" s="1"/>
  <c r="J42" i="1"/>
  <c r="K42" i="1" s="1"/>
  <c r="L42" i="1" s="1"/>
  <c r="H42" i="1"/>
  <c r="I42" i="1" s="1"/>
  <c r="G42" i="1"/>
  <c r="B42" i="1"/>
  <c r="A42" i="1"/>
  <c r="CM41" i="1"/>
  <c r="CK41" i="1"/>
  <c r="CN41" i="1" s="1"/>
  <c r="BT41" i="1"/>
  <c r="BS41" i="1"/>
  <c r="BR41" i="1"/>
  <c r="BQ41" i="1"/>
  <c r="BK41" i="1"/>
  <c r="BJ41" i="1"/>
  <c r="BI41" i="1"/>
  <c r="BL41" i="1" s="1"/>
  <c r="BA41" i="1"/>
  <c r="BB41" i="1" s="1"/>
  <c r="AY41" i="1"/>
  <c r="AZ41" i="1" s="1"/>
  <c r="AR41" i="1"/>
  <c r="AS41" i="1" s="1"/>
  <c r="AP41" i="1"/>
  <c r="AQ41" i="1" s="1"/>
  <c r="J41" i="1"/>
  <c r="K41" i="1" s="1"/>
  <c r="L41" i="1" s="1"/>
  <c r="H41" i="1"/>
  <c r="I41" i="1" s="1"/>
  <c r="G41" i="1"/>
  <c r="B41" i="1"/>
  <c r="A41" i="1"/>
  <c r="CN40" i="1"/>
  <c r="CK40" i="1"/>
  <c r="CL40" i="1" s="1"/>
  <c r="CH40" i="1"/>
  <c r="CM40" i="1" s="1"/>
  <c r="BQ40" i="1"/>
  <c r="BN40" i="1"/>
  <c r="BS39" i="1" s="1"/>
  <c r="BJ40" i="1"/>
  <c r="BI40" i="1"/>
  <c r="BF40" i="1"/>
  <c r="BB40" i="1"/>
  <c r="BA40" i="1"/>
  <c r="AY40" i="1"/>
  <c r="AZ40" i="1" s="1"/>
  <c r="AS40" i="1"/>
  <c r="AR40" i="1"/>
  <c r="AQ40" i="1"/>
  <c r="AP40" i="1"/>
  <c r="AM40" i="1"/>
  <c r="J40" i="1"/>
  <c r="H40" i="1"/>
  <c r="G40" i="1"/>
  <c r="I40" i="1" s="1"/>
  <c r="B40" i="1"/>
  <c r="CK39" i="1"/>
  <c r="CL39" i="1" s="1"/>
  <c r="CH39" i="1"/>
  <c r="CM38" i="1" s="1"/>
  <c r="BQ39" i="1"/>
  <c r="BI39" i="1"/>
  <c r="BJ39" i="1" s="1"/>
  <c r="BA39" i="1"/>
  <c r="BB39" i="1" s="1"/>
  <c r="AZ39" i="1"/>
  <c r="AY39" i="1"/>
  <c r="AX39" i="1"/>
  <c r="AR39" i="1"/>
  <c r="AQ39" i="1"/>
  <c r="AP39" i="1"/>
  <c r="J39" i="1"/>
  <c r="H39" i="1"/>
  <c r="G39" i="1"/>
  <c r="B39" i="1"/>
  <c r="CK38" i="1"/>
  <c r="CN38" i="1" s="1"/>
  <c r="BS38" i="1"/>
  <c r="BQ38" i="1"/>
  <c r="BL38" i="1"/>
  <c r="BK38" i="1"/>
  <c r="BJ38" i="1"/>
  <c r="BI38" i="1"/>
  <c r="BA38" i="1"/>
  <c r="BB38" i="1" s="1"/>
  <c r="AZ38" i="1"/>
  <c r="AY38" i="1"/>
  <c r="AS38" i="1"/>
  <c r="AR38" i="1"/>
  <c r="AP38" i="1"/>
  <c r="AQ38" i="1" s="1"/>
  <c r="J38" i="1"/>
  <c r="K38" i="1" s="1"/>
  <c r="L38" i="1" s="1"/>
  <c r="H38" i="1"/>
  <c r="I38" i="1" s="1"/>
  <c r="G38" i="1"/>
  <c r="B38" i="1"/>
  <c r="CM37" i="1"/>
  <c r="CK37" i="1"/>
  <c r="CH37" i="1"/>
  <c r="CM36" i="1" s="1"/>
  <c r="BS37" i="1"/>
  <c r="BT37" i="1" s="1"/>
  <c r="BQ37" i="1"/>
  <c r="BR37" i="1" s="1"/>
  <c r="BK37" i="1"/>
  <c r="BJ37" i="1"/>
  <c r="BI37" i="1"/>
  <c r="BL37" i="1" s="1"/>
  <c r="BA37" i="1"/>
  <c r="BB37" i="1" s="1"/>
  <c r="AU37" i="1"/>
  <c r="AY37" i="1" s="1"/>
  <c r="AZ37" i="1" s="1"/>
  <c r="AR37" i="1"/>
  <c r="AS37" i="1" s="1"/>
  <c r="AQ37" i="1"/>
  <c r="AP37" i="1"/>
  <c r="AM37" i="1"/>
  <c r="J37" i="1"/>
  <c r="K37" i="1" s="1"/>
  <c r="L37" i="1" s="1"/>
  <c r="H37" i="1"/>
  <c r="G37" i="1"/>
  <c r="I37" i="1" s="1"/>
  <c r="B37" i="1"/>
  <c r="CK36" i="1"/>
  <c r="BS36" i="1"/>
  <c r="BQ36" i="1"/>
  <c r="BR36" i="1" s="1"/>
  <c r="BK36" i="1"/>
  <c r="BI36" i="1"/>
  <c r="BL36" i="1" s="1"/>
  <c r="BA36" i="1"/>
  <c r="BB36" i="1" s="1"/>
  <c r="BC36" i="1" s="1"/>
  <c r="AR36" i="1"/>
  <c r="AP36" i="1"/>
  <c r="J36" i="1"/>
  <c r="K36" i="1" s="1"/>
  <c r="L36" i="1" s="1"/>
  <c r="H36" i="1"/>
  <c r="G36" i="1"/>
  <c r="I36" i="1" s="1"/>
  <c r="B36" i="1"/>
  <c r="CN35" i="1"/>
  <c r="CM35" i="1"/>
  <c r="CL35" i="1"/>
  <c r="CK35" i="1"/>
  <c r="BS35" i="1"/>
  <c r="BQ35" i="1"/>
  <c r="BK35" i="1"/>
  <c r="BI35" i="1"/>
  <c r="BA35" i="1"/>
  <c r="BB35" i="1" s="1"/>
  <c r="AZ35" i="1"/>
  <c r="AY35" i="1"/>
  <c r="AS35" i="1"/>
  <c r="AR35" i="1"/>
  <c r="AP35" i="1"/>
  <c r="AQ35" i="1" s="1"/>
  <c r="L35" i="1"/>
  <c r="J35" i="1"/>
  <c r="K35" i="1" s="1"/>
  <c r="H35" i="1"/>
  <c r="I35" i="1" s="1"/>
  <c r="G35" i="1"/>
  <c r="B35" i="1"/>
  <c r="CM34" i="1"/>
  <c r="CK34" i="1"/>
  <c r="BT34" i="1"/>
  <c r="BS34" i="1"/>
  <c r="BR34" i="1"/>
  <c r="BQ34" i="1"/>
  <c r="BK34" i="1"/>
  <c r="BI34" i="1"/>
  <c r="BB34" i="1"/>
  <c r="BA34" i="1"/>
  <c r="AY34" i="1"/>
  <c r="AZ34" i="1" s="1"/>
  <c r="AR34" i="1"/>
  <c r="AP34" i="1"/>
  <c r="AS34" i="1" s="1"/>
  <c r="J34" i="1"/>
  <c r="H34" i="1"/>
  <c r="G34" i="1"/>
  <c r="B34" i="1"/>
  <c r="CM33" i="1"/>
  <c r="CN33" i="1" s="1"/>
  <c r="CL33" i="1"/>
  <c r="CK33" i="1"/>
  <c r="BS33" i="1"/>
  <c r="BQ33" i="1"/>
  <c r="BK33" i="1"/>
  <c r="BL33" i="1" s="1"/>
  <c r="BJ33" i="1"/>
  <c r="BI33" i="1"/>
  <c r="BB33" i="1"/>
  <c r="BA33" i="1"/>
  <c r="AY33" i="1"/>
  <c r="AZ33" i="1" s="1"/>
  <c r="AR33" i="1"/>
  <c r="AP33" i="1"/>
  <c r="L33" i="1"/>
  <c r="K33" i="1"/>
  <c r="J33" i="1"/>
  <c r="H33" i="1"/>
  <c r="G33" i="1"/>
  <c r="I33" i="1" s="1"/>
  <c r="B33" i="1"/>
  <c r="CM32" i="1"/>
  <c r="CN32" i="1" s="1"/>
  <c r="CL32" i="1"/>
  <c r="CK32" i="1"/>
  <c r="BS32" i="1"/>
  <c r="BQ32" i="1"/>
  <c r="BK32" i="1"/>
  <c r="BI32" i="1"/>
  <c r="BL32" i="1" s="1"/>
  <c r="BB32" i="1"/>
  <c r="BA32" i="1"/>
  <c r="AY32" i="1"/>
  <c r="AZ32" i="1" s="1"/>
  <c r="AR32" i="1"/>
  <c r="AP32" i="1"/>
  <c r="AS32" i="1" s="1"/>
  <c r="J32" i="1"/>
  <c r="K32" i="1" s="1"/>
  <c r="L32" i="1" s="1"/>
  <c r="I32" i="1"/>
  <c r="H32" i="1"/>
  <c r="G32" i="1"/>
  <c r="B32" i="1"/>
  <c r="CM31" i="1"/>
  <c r="CK31" i="1"/>
  <c r="CN31" i="1" s="1"/>
  <c r="BT31" i="1"/>
  <c r="BS31" i="1"/>
  <c r="BR31" i="1"/>
  <c r="BQ31" i="1"/>
  <c r="BK31" i="1"/>
  <c r="BI31" i="1"/>
  <c r="BL31" i="1" s="1"/>
  <c r="BB31" i="1"/>
  <c r="BA31" i="1"/>
  <c r="AZ31" i="1"/>
  <c r="AY31" i="1"/>
  <c r="AR31" i="1"/>
  <c r="AP31" i="1"/>
  <c r="AQ31" i="1" s="1"/>
  <c r="L31" i="1"/>
  <c r="K31" i="1"/>
  <c r="J31" i="1"/>
  <c r="H31" i="1"/>
  <c r="I31" i="1" s="1"/>
  <c r="G31" i="1"/>
  <c r="B31" i="1"/>
  <c r="CM30" i="1"/>
  <c r="CN30" i="1" s="1"/>
  <c r="CL30" i="1"/>
  <c r="CK30" i="1"/>
  <c r="BS30" i="1"/>
  <c r="BQ30" i="1"/>
  <c r="BK30" i="1"/>
  <c r="BI30" i="1"/>
  <c r="BJ30" i="1" s="1"/>
  <c r="BA30" i="1"/>
  <c r="BB30" i="1" s="1"/>
  <c r="AZ30" i="1"/>
  <c r="AY30" i="1"/>
  <c r="AR30" i="1"/>
  <c r="AS30" i="1" s="1"/>
  <c r="AQ30" i="1"/>
  <c r="AP30" i="1"/>
  <c r="J30" i="1"/>
  <c r="K30" i="1" s="1"/>
  <c r="L30" i="1" s="1"/>
  <c r="H30" i="1"/>
  <c r="I30" i="1" s="1"/>
  <c r="G30" i="1"/>
  <c r="B30" i="1"/>
  <c r="CN29" i="1"/>
  <c r="CM29" i="1"/>
  <c r="CK29" i="1"/>
  <c r="CL29" i="1" s="1"/>
  <c r="BS29" i="1"/>
  <c r="BT29" i="1" s="1"/>
  <c r="BR29" i="1"/>
  <c r="BQ29" i="1"/>
  <c r="BL29" i="1"/>
  <c r="BK29" i="1"/>
  <c r="BI29" i="1"/>
  <c r="BJ29" i="1" s="1"/>
  <c r="BB29" i="1"/>
  <c r="BA29" i="1"/>
  <c r="AZ29" i="1"/>
  <c r="AY29" i="1"/>
  <c r="AR29" i="1"/>
  <c r="AS29" i="1" s="1"/>
  <c r="AQ29" i="1"/>
  <c r="AP29" i="1"/>
  <c r="J29" i="1"/>
  <c r="K29" i="1" s="1"/>
  <c r="L29" i="1" s="1"/>
  <c r="I29" i="1"/>
  <c r="H29" i="1"/>
  <c r="G29" i="1"/>
  <c r="B29" i="1"/>
  <c r="CM28" i="1"/>
  <c r="CK28" i="1"/>
  <c r="BS28" i="1"/>
  <c r="BT28" i="1" s="1"/>
  <c r="BR28" i="1"/>
  <c r="BQ28" i="1"/>
  <c r="BK28" i="1"/>
  <c r="BI28" i="1"/>
  <c r="BA28" i="1"/>
  <c r="BB28" i="1" s="1"/>
  <c r="AZ28" i="1"/>
  <c r="AY28" i="1"/>
  <c r="AR28" i="1"/>
  <c r="AP28" i="1"/>
  <c r="AS28" i="1" s="1"/>
  <c r="K28" i="1"/>
  <c r="L28" i="1" s="1"/>
  <c r="J28" i="1"/>
  <c r="H28" i="1"/>
  <c r="G28" i="1"/>
  <c r="I28" i="1" s="1"/>
  <c r="B28" i="1"/>
  <c r="CM27" i="1"/>
  <c r="CK27" i="1"/>
  <c r="BS27" i="1"/>
  <c r="BQ27" i="1"/>
  <c r="BT27" i="1" s="1"/>
  <c r="BK27" i="1"/>
  <c r="BI27" i="1"/>
  <c r="BL27" i="1" s="1"/>
  <c r="BB27" i="1"/>
  <c r="BC27" i="1" s="1"/>
  <c r="BA27" i="1"/>
  <c r="AY27" i="1"/>
  <c r="AZ27" i="1" s="1"/>
  <c r="AR27" i="1"/>
  <c r="AS27" i="1" s="1"/>
  <c r="AP27" i="1"/>
  <c r="AQ27" i="1" s="1"/>
  <c r="L27" i="1"/>
  <c r="K27" i="1"/>
  <c r="J27" i="1"/>
  <c r="H27" i="1"/>
  <c r="I27" i="1" s="1"/>
  <c r="G27" i="1"/>
  <c r="B27" i="1"/>
  <c r="CM26" i="1"/>
  <c r="CN26" i="1" s="1"/>
  <c r="CL26" i="1"/>
  <c r="CK26" i="1"/>
  <c r="BK26" i="1"/>
  <c r="BL26" i="1" s="1"/>
  <c r="BI26" i="1"/>
  <c r="BJ26" i="1" s="1"/>
  <c r="BB26" i="1"/>
  <c r="BC26" i="1" s="1"/>
  <c r="BA26" i="1"/>
  <c r="AY26" i="1"/>
  <c r="AZ26" i="1" s="1"/>
  <c r="AW26" i="1"/>
  <c r="AR26" i="1"/>
  <c r="AP26" i="1"/>
  <c r="J26" i="1"/>
  <c r="H26" i="1"/>
  <c r="G26" i="1"/>
  <c r="I26" i="1" s="1"/>
  <c r="B26" i="1"/>
  <c r="CN25" i="1"/>
  <c r="CM25" i="1"/>
  <c r="CL25" i="1"/>
  <c r="CK25" i="1"/>
  <c r="CH25" i="1"/>
  <c r="BI25" i="1"/>
  <c r="BF25" i="1"/>
  <c r="BK25" i="1" s="1"/>
  <c r="BA25" i="1"/>
  <c r="BB25" i="1" s="1"/>
  <c r="BC25" i="1" s="1"/>
  <c r="AW25" i="1"/>
  <c r="AU25" i="1"/>
  <c r="AY25" i="1" s="1"/>
  <c r="AZ25" i="1" s="1"/>
  <c r="AP25" i="1"/>
  <c r="AM25" i="1"/>
  <c r="AR25" i="1" s="1"/>
  <c r="J25" i="1"/>
  <c r="K25" i="1" s="1"/>
  <c r="L25" i="1" s="1"/>
  <c r="G25" i="1"/>
  <c r="D25" i="1"/>
  <c r="H25" i="1" s="1"/>
  <c r="B25" i="1"/>
  <c r="CN24" i="1"/>
  <c r="CM24" i="1"/>
  <c r="CL24" i="1"/>
  <c r="CK24" i="1"/>
  <c r="CH24" i="1"/>
  <c r="BK24" i="1"/>
  <c r="BL24" i="1" s="1"/>
  <c r="BJ24" i="1"/>
  <c r="BI24" i="1"/>
  <c r="BF24" i="1"/>
  <c r="BA24" i="1"/>
  <c r="BB24" i="1" s="1"/>
  <c r="AW24" i="1"/>
  <c r="AW23" i="1" s="1"/>
  <c r="AU24" i="1"/>
  <c r="AP24" i="1"/>
  <c r="AQ24" i="1" s="1"/>
  <c r="AM24" i="1"/>
  <c r="J24" i="1"/>
  <c r="G24" i="1"/>
  <c r="D24" i="1"/>
  <c r="B24" i="1"/>
  <c r="BK23" i="1"/>
  <c r="BL23" i="1" s="1"/>
  <c r="BJ23" i="1"/>
  <c r="BI23" i="1"/>
  <c r="BC23" i="1"/>
  <c r="BB23" i="1"/>
  <c r="BA23" i="1"/>
  <c r="AR23" i="1"/>
  <c r="AP23" i="1"/>
  <c r="AS23" i="1" s="1"/>
  <c r="AH23" i="1"/>
  <c r="AI23" i="1" s="1"/>
  <c r="AF23" i="1"/>
  <c r="AG23" i="1" s="1"/>
  <c r="AD23" i="1"/>
  <c r="AD22" i="1" s="1"/>
  <c r="L23" i="1"/>
  <c r="K23" i="1"/>
  <c r="J23" i="1"/>
  <c r="G23" i="1"/>
  <c r="B23" i="1"/>
  <c r="BK22" i="1"/>
  <c r="BL22" i="1" s="1"/>
  <c r="BJ22" i="1"/>
  <c r="BI22" i="1"/>
  <c r="BA22" i="1"/>
  <c r="BB22" i="1" s="1"/>
  <c r="AY22" i="1"/>
  <c r="AZ22" i="1" s="1"/>
  <c r="AW22" i="1"/>
  <c r="AW21" i="1" s="1"/>
  <c r="AS22" i="1"/>
  <c r="AR22" i="1"/>
  <c r="AP22" i="1"/>
  <c r="AQ22" i="1" s="1"/>
  <c r="AH22" i="1"/>
  <c r="AI22" i="1" s="1"/>
  <c r="AJ22" i="1" s="1"/>
  <c r="AG22" i="1"/>
  <c r="AF22" i="1"/>
  <c r="J22" i="1"/>
  <c r="H22" i="1"/>
  <c r="G22" i="1"/>
  <c r="B22" i="1"/>
  <c r="BL21" i="1"/>
  <c r="BK21" i="1"/>
  <c r="BI21" i="1"/>
  <c r="BJ21" i="1" s="1"/>
  <c r="BB21" i="1"/>
  <c r="BA21" i="1"/>
  <c r="AZ21" i="1"/>
  <c r="AY21" i="1"/>
  <c r="AR21" i="1"/>
  <c r="AP21" i="1"/>
  <c r="AH21" i="1"/>
  <c r="AF21" i="1"/>
  <c r="AE21" i="1"/>
  <c r="AG21" i="1" s="1"/>
  <c r="AD21" i="1"/>
  <c r="V21" i="1"/>
  <c r="X21" i="1" s="1"/>
  <c r="U21" i="1"/>
  <c r="S21" i="1"/>
  <c r="T21" i="1" s="1"/>
  <c r="J21" i="1"/>
  <c r="K21" i="1" s="1"/>
  <c r="L21" i="1" s="1"/>
  <c r="H21" i="1"/>
  <c r="I21" i="1" s="1"/>
  <c r="B21" i="1"/>
  <c r="CL19" i="1"/>
  <c r="CM19" i="1" s="1"/>
  <c r="CK19" i="1"/>
  <c r="AP19" i="1" s="1"/>
  <c r="CJ19" i="1"/>
  <c r="CI19" i="1"/>
  <c r="BK19" i="1"/>
  <c r="BJ19" i="1"/>
  <c r="AZ19" i="1"/>
  <c r="AY19" i="1"/>
  <c r="AW19" i="1"/>
  <c r="BH19" i="1" s="1"/>
  <c r="AO19" i="1"/>
  <c r="I19" i="1"/>
  <c r="CM18" i="1"/>
  <c r="CL18" i="1"/>
  <c r="CI18" i="1"/>
  <c r="CH18" i="1"/>
  <c r="BJ18" i="1"/>
  <c r="BK18" i="1" s="1"/>
  <c r="BG18" i="1"/>
  <c r="BF18" i="1"/>
  <c r="AZ18" i="1"/>
  <c r="AY18" i="1"/>
  <c r="AV18" i="1"/>
  <c r="AQ18" i="1"/>
  <c r="AR18" i="1" s="1"/>
  <c r="AN18" i="1"/>
  <c r="AM18" i="1"/>
  <c r="AU18" i="1" s="1"/>
  <c r="I18" i="1"/>
  <c r="BJ17" i="1"/>
  <c r="BK17" i="1" s="1"/>
  <c r="AY17" i="1"/>
  <c r="AZ17" i="1" s="1"/>
  <c r="AQ17" i="1"/>
  <c r="AR17" i="1" s="1"/>
  <c r="L14" i="1"/>
  <c r="CF4" i="1"/>
  <c r="CD4" i="1"/>
  <c r="CB4" i="1"/>
  <c r="CC4" i="1" s="1"/>
  <c r="CF3" i="1"/>
  <c r="CD3" i="1"/>
  <c r="CC3" i="1"/>
  <c r="CB3" i="1"/>
  <c r="AS36" i="1" l="1"/>
  <c r="AQ36" i="1"/>
  <c r="BR50" i="1"/>
  <c r="BT50" i="1"/>
  <c r="I24" i="1"/>
  <c r="AW29" i="1"/>
  <c r="BC28" i="1" s="1"/>
  <c r="BC29" i="1"/>
  <c r="K24" i="1"/>
  <c r="BC32" i="1"/>
  <c r="BC37" i="1"/>
  <c r="BJ46" i="1"/>
  <c r="BL46" i="1"/>
  <c r="CN54" i="1"/>
  <c r="CL54" i="1"/>
  <c r="J96" i="1"/>
  <c r="I96" i="1"/>
  <c r="K96" i="1" s="1"/>
  <c r="M87" i="1"/>
  <c r="L87" i="1"/>
  <c r="M94" i="1"/>
  <c r="L94" i="1"/>
  <c r="AN19" i="1"/>
  <c r="AX19" i="1"/>
  <c r="J124" i="1"/>
  <c r="K124" i="1" s="1"/>
  <c r="L124" i="1" s="1"/>
  <c r="AS21" i="1"/>
  <c r="AQ21" i="1"/>
  <c r="CN27" i="1"/>
  <c r="CL27" i="1"/>
  <c r="AJ23" i="1"/>
  <c r="AK23" i="1"/>
  <c r="AK22" i="1" s="1"/>
  <c r="AK21" i="1" s="1"/>
  <c r="W21" i="1"/>
  <c r="AY24" i="1"/>
  <c r="AZ24" i="1" s="1"/>
  <c r="AY23" i="1"/>
  <c r="AZ23" i="1" s="1"/>
  <c r="BC33" i="1"/>
  <c r="I39" i="1"/>
  <c r="K39" i="1"/>
  <c r="L39" i="1" s="1"/>
  <c r="BR52" i="1"/>
  <c r="BT52" i="1"/>
  <c r="AQ23" i="1"/>
  <c r="AQ25" i="1"/>
  <c r="AQ19" i="1"/>
  <c r="AR19" i="1" s="1"/>
  <c r="BC39" i="1"/>
  <c r="BC40" i="1"/>
  <c r="CN45" i="1"/>
  <c r="CL45" i="1"/>
  <c r="M86" i="1"/>
  <c r="L86" i="1"/>
  <c r="H135" i="1"/>
  <c r="H136" i="1" s="1"/>
  <c r="I23" i="1"/>
  <c r="BC30" i="1"/>
  <c r="K22" i="1"/>
  <c r="L22" i="1" s="1"/>
  <c r="AS25" i="1"/>
  <c r="AS26" i="1"/>
  <c r="AQ26" i="1"/>
  <c r="CL34" i="1"/>
  <c r="CN34" i="1"/>
  <c r="BC41" i="1"/>
  <c r="M99" i="1"/>
  <c r="L99" i="1"/>
  <c r="BJ25" i="1"/>
  <c r="BL25" i="1"/>
  <c r="L17" i="1"/>
  <c r="M17" i="1" s="1"/>
  <c r="I22" i="1"/>
  <c r="BL35" i="1"/>
  <c r="BJ35" i="1"/>
  <c r="M103" i="1"/>
  <c r="L103" i="1"/>
  <c r="BC21" i="1"/>
  <c r="BC22" i="1"/>
  <c r="BC31" i="1"/>
  <c r="BC34" i="1"/>
  <c r="BR39" i="1"/>
  <c r="BT39" i="1"/>
  <c r="BC48" i="1"/>
  <c r="L50" i="1"/>
  <c r="M50" i="1"/>
  <c r="M49" i="1" s="1"/>
  <c r="M48" i="1" s="1"/>
  <c r="M47" i="1" s="1"/>
  <c r="M46" i="1" s="1"/>
  <c r="M45" i="1" s="1"/>
  <c r="M44" i="1" s="1"/>
  <c r="M43" i="1" s="1"/>
  <c r="M42" i="1" s="1"/>
  <c r="M41" i="1" s="1"/>
  <c r="M40" i="1" s="1"/>
  <c r="M39" i="1" s="1"/>
  <c r="M38" i="1" s="1"/>
  <c r="M37" i="1" s="1"/>
  <c r="M36" i="1" s="1"/>
  <c r="M35" i="1" s="1"/>
  <c r="M34" i="1" s="1"/>
  <c r="M33" i="1" s="1"/>
  <c r="M32" i="1" s="1"/>
  <c r="M31" i="1" s="1"/>
  <c r="M30" i="1" s="1"/>
  <c r="M29" i="1" s="1"/>
  <c r="M28" i="1" s="1"/>
  <c r="M27" i="1" s="1"/>
  <c r="BJ53" i="1"/>
  <c r="BL53" i="1"/>
  <c r="M84" i="1"/>
  <c r="L84" i="1"/>
  <c r="M104" i="1"/>
  <c r="L104" i="1"/>
  <c r="H127" i="1"/>
  <c r="I127" i="1" s="1"/>
  <c r="F149" i="1"/>
  <c r="F148" i="1"/>
  <c r="BC47" i="1"/>
  <c r="CL49" i="1"/>
  <c r="BC42" i="1"/>
  <c r="AS46" i="1"/>
  <c r="AS53" i="1"/>
  <c r="L102" i="1"/>
  <c r="M102" i="1"/>
  <c r="AI21" i="1"/>
  <c r="AJ21" i="1" s="1"/>
  <c r="H23" i="1"/>
  <c r="H24" i="1"/>
  <c r="BC35" i="1"/>
  <c r="BC44" i="1"/>
  <c r="BC45" i="1"/>
  <c r="K69" i="1"/>
  <c r="I80" i="1"/>
  <c r="K80" i="1" s="1"/>
  <c r="J80" i="1"/>
  <c r="J101" i="1"/>
  <c r="I101" i="1"/>
  <c r="K101" i="1" s="1"/>
  <c r="H126" i="1"/>
  <c r="I126" i="1" s="1"/>
  <c r="AQ34" i="1"/>
  <c r="BT51" i="1"/>
  <c r="J91" i="1"/>
  <c r="I91" i="1"/>
  <c r="K91" i="1" s="1"/>
  <c r="L98" i="1"/>
  <c r="J100" i="1"/>
  <c r="I100" i="1"/>
  <c r="K100" i="1" s="1"/>
  <c r="I25" i="1"/>
  <c r="BJ27" i="1"/>
  <c r="CN28" i="1"/>
  <c r="CL28" i="1"/>
  <c r="AQ32" i="1"/>
  <c r="BT38" i="1"/>
  <c r="BR38" i="1"/>
  <c r="AS56" i="1"/>
  <c r="AQ56" i="1"/>
  <c r="BC24" i="1"/>
  <c r="AQ28" i="1"/>
  <c r="BL30" i="1"/>
  <c r="AS31" i="1"/>
  <c r="BT35" i="1"/>
  <c r="BR35" i="1"/>
  <c r="BS40" i="1"/>
  <c r="BR43" i="1"/>
  <c r="AS45" i="1"/>
  <c r="BJ49" i="1"/>
  <c r="BC51" i="1"/>
  <c r="BD58" i="1"/>
  <c r="BD57" i="1" s="1"/>
  <c r="BD56" i="1" s="1"/>
  <c r="BD55" i="1" s="1"/>
  <c r="BD54" i="1" s="1"/>
  <c r="BD53" i="1" s="1"/>
  <c r="BD52" i="1" s="1"/>
  <c r="BD51" i="1" s="1"/>
  <c r="BD50" i="1" s="1"/>
  <c r="BD49" i="1" s="1"/>
  <c r="BD48" i="1" s="1"/>
  <c r="BD47" i="1" s="1"/>
  <c r="BD46" i="1" s="1"/>
  <c r="BD45" i="1" s="1"/>
  <c r="BD44" i="1" s="1"/>
  <c r="BD43" i="1" s="1"/>
  <c r="BD42" i="1" s="1"/>
  <c r="BD41" i="1" s="1"/>
  <c r="BD40" i="1" s="1"/>
  <c r="BD39" i="1" s="1"/>
  <c r="BD38" i="1" s="1"/>
  <c r="BD37" i="1" s="1"/>
  <c r="BD36" i="1" s="1"/>
  <c r="BD35" i="1" s="1"/>
  <c r="BD34" i="1" s="1"/>
  <c r="BD33" i="1" s="1"/>
  <c r="BD32" i="1" s="1"/>
  <c r="BD31" i="1" s="1"/>
  <c r="BD30" i="1" s="1"/>
  <c r="BD29" i="1" s="1"/>
  <c r="BD28" i="1" s="1"/>
  <c r="BD27" i="1" s="1"/>
  <c r="BD26" i="1" s="1"/>
  <c r="BD25" i="1" s="1"/>
  <c r="BD24" i="1" s="1"/>
  <c r="BD23" i="1" s="1"/>
  <c r="BD22" i="1" s="1"/>
  <c r="BD21" i="1" s="1"/>
  <c r="BC58" i="1"/>
  <c r="I85" i="1"/>
  <c r="K85" i="1" s="1"/>
  <c r="I97" i="1"/>
  <c r="K97" i="1" s="1"/>
  <c r="L105" i="1"/>
  <c r="J125" i="1"/>
  <c r="K125" i="1" s="1"/>
  <c r="L125" i="1" s="1"/>
  <c r="BC49" i="1"/>
  <c r="BT40" i="1"/>
  <c r="BJ31" i="1"/>
  <c r="BJ32" i="1"/>
  <c r="AY36" i="1"/>
  <c r="AZ36" i="1" s="1"/>
  <c r="BR40" i="1"/>
  <c r="AR24" i="1"/>
  <c r="AS24" i="1" s="1"/>
  <c r="BR30" i="1"/>
  <c r="BT30" i="1"/>
  <c r="BT33" i="1"/>
  <c r="K34" i="1"/>
  <c r="L34" i="1" s="1"/>
  <c r="I34" i="1"/>
  <c r="BT36" i="1"/>
  <c r="BC38" i="1"/>
  <c r="CL38" i="1"/>
  <c r="AS39" i="1"/>
  <c r="AQ48" i="1"/>
  <c r="AS48" i="1"/>
  <c r="J90" i="1"/>
  <c r="CL31" i="1"/>
  <c r="AS33" i="1"/>
  <c r="AQ33" i="1"/>
  <c r="BJ34" i="1"/>
  <c r="BL34" i="1"/>
  <c r="AQ44" i="1"/>
  <c r="AS44" i="1"/>
  <c r="BJ45" i="1"/>
  <c r="H82" i="1"/>
  <c r="H81" i="1"/>
  <c r="AQ55" i="1"/>
  <c r="M83" i="1"/>
  <c r="L83" i="1"/>
  <c r="K26" i="1"/>
  <c r="L26" i="1" s="1"/>
  <c r="BR27" i="1"/>
  <c r="BR33" i="1"/>
  <c r="CN36" i="1"/>
  <c r="CL36" i="1"/>
  <c r="CL37" i="1"/>
  <c r="CN37" i="1"/>
  <c r="BK39" i="1"/>
  <c r="BL39" i="1" s="1"/>
  <c r="BK40" i="1"/>
  <c r="BL40" i="1" s="1"/>
  <c r="CL41" i="1"/>
  <c r="BC43" i="1"/>
  <c r="BC46" i="1"/>
  <c r="BT53" i="1"/>
  <c r="BR54" i="1"/>
  <c r="J69" i="1"/>
  <c r="P84" i="1"/>
  <c r="P82" i="1"/>
  <c r="I90" i="1"/>
  <c r="K90" i="1" s="1"/>
  <c r="H108" i="1"/>
  <c r="I108" i="1" s="1"/>
  <c r="K40" i="1"/>
  <c r="L40" i="1" s="1"/>
  <c r="J89" i="1"/>
  <c r="I89" i="1"/>
  <c r="K89" i="1" s="1"/>
  <c r="J93" i="1"/>
  <c r="I93" i="1"/>
  <c r="K93" i="1" s="1"/>
  <c r="BL28" i="1"/>
  <c r="BT32" i="1"/>
  <c r="BJ36" i="1"/>
  <c r="BR55" i="1"/>
  <c r="AS58" i="1"/>
  <c r="J92" i="1"/>
  <c r="BJ28" i="1"/>
  <c r="BR32" i="1"/>
  <c r="CM39" i="1"/>
  <c r="CN39" i="1" s="1"/>
  <c r="AS50" i="1"/>
  <c r="AS52" i="1"/>
  <c r="AS54" i="1"/>
  <c r="BL57" i="1"/>
  <c r="AQ58" i="1"/>
  <c r="I92" i="1"/>
  <c r="K92" i="1" s="1"/>
  <c r="I106" i="1"/>
  <c r="K106" i="1" s="1"/>
  <c r="J126" i="1" l="1"/>
  <c r="K126" i="1"/>
  <c r="L126" i="1" s="1"/>
  <c r="J127" i="1"/>
  <c r="K127" i="1"/>
  <c r="L127" i="1" s="1"/>
  <c r="M90" i="1"/>
  <c r="L90" i="1"/>
  <c r="M26" i="1"/>
  <c r="M25" i="1" s="1"/>
  <c r="M24" i="1" s="1"/>
  <c r="M23" i="1" s="1"/>
  <c r="M22" i="1" s="1"/>
  <c r="M21" i="1" s="1"/>
  <c r="L106" i="1"/>
  <c r="M106" i="1"/>
  <c r="L93" i="1"/>
  <c r="M93" i="1"/>
  <c r="BI19" i="1"/>
  <c r="BG19" i="1" s="1"/>
  <c r="AV19" i="1"/>
  <c r="L100" i="1"/>
  <c r="M100" i="1"/>
  <c r="L80" i="1"/>
  <c r="M80" i="1"/>
  <c r="L24" i="1"/>
  <c r="L19" i="1"/>
  <c r="M19" i="1" s="1"/>
  <c r="L18" i="1"/>
  <c r="M18" i="1" s="1"/>
  <c r="J81" i="1"/>
  <c r="I81" i="1"/>
  <c r="K81" i="1" s="1"/>
  <c r="M85" i="1"/>
  <c r="L85" i="1"/>
  <c r="L101" i="1"/>
  <c r="M101" i="1"/>
  <c r="M96" i="1"/>
  <c r="L96" i="1"/>
  <c r="L89" i="1"/>
  <c r="M89" i="1"/>
  <c r="M97" i="1"/>
  <c r="L97" i="1"/>
  <c r="I82" i="1"/>
  <c r="K82" i="1" s="1"/>
  <c r="J82" i="1"/>
  <c r="F150" i="1"/>
  <c r="F151" i="1" s="1"/>
  <c r="F152" i="1" s="1"/>
  <c r="F153" i="1" s="1"/>
  <c r="F154" i="1" s="1"/>
  <c r="L92" i="1"/>
  <c r="M92" i="1"/>
  <c r="M91" i="1"/>
  <c r="L91" i="1"/>
  <c r="L81" i="1" l="1"/>
  <c r="M81" i="1"/>
  <c r="M82" i="1"/>
  <c r="L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Hermione Dane</author>
    <author>Gillian Bladen-Clark</author>
  </authors>
  <commentList>
    <comment ref="BV2" authorId="0" shapeId="0" xr:uid="{A0FED6AB-A1E5-C74D-BAE9-591D20A52EBA}">
      <text>
        <r>
          <rPr>
            <b/>
            <sz val="9"/>
            <color rgb="FF000000"/>
            <rFont val="Tahoma"/>
            <family val="2"/>
          </rPr>
          <t>Hermione Dane:</t>
        </r>
        <r>
          <rPr>
            <sz val="9"/>
            <color rgb="FF000000"/>
            <rFont val="Tahoma"/>
            <family val="2"/>
          </rPr>
          <t xml:space="preserve">
</t>
        </r>
        <r>
          <rPr>
            <sz val="9"/>
            <color rgb="FF000000"/>
            <rFont val="Tahoma"/>
            <family val="2"/>
          </rPr>
          <t>started 2005</t>
        </r>
      </text>
    </comment>
    <comment ref="BV3" authorId="0" shapeId="0" xr:uid="{E57393D9-B2AA-824B-8B7F-947DAA28FA36}">
      <text>
        <r>
          <rPr>
            <b/>
            <sz val="9"/>
            <color rgb="FF000000"/>
            <rFont val="Tahoma"/>
            <family val="2"/>
          </rPr>
          <t>Hermione Dane:</t>
        </r>
        <r>
          <rPr>
            <sz val="9"/>
            <color rgb="FF000000"/>
            <rFont val="Tahoma"/>
            <family val="2"/>
          </rPr>
          <t xml:space="preserve">
</t>
        </r>
        <r>
          <rPr>
            <sz val="9"/>
            <color rgb="FF000000"/>
            <rFont val="Tahoma"/>
            <family val="2"/>
          </rPr>
          <t>started 2005</t>
        </r>
      </text>
    </comment>
    <comment ref="AU6" authorId="1" shapeId="0" xr:uid="{8A987125-CBF0-DF45-8B5C-84DE72FA7DB5}">
      <text>
        <r>
          <rPr>
            <b/>
            <sz val="9"/>
            <color rgb="FF000000"/>
            <rFont val="Tahoma"/>
            <family val="2"/>
          </rPr>
          <t>Gillian Bladen-Clark:</t>
        </r>
        <r>
          <rPr>
            <sz val="9"/>
            <color rgb="FF000000"/>
            <rFont val="Tahoma"/>
            <family val="2"/>
          </rPr>
          <t xml:space="preserve">
</t>
        </r>
        <r>
          <rPr>
            <sz val="9"/>
            <color rgb="FF000000"/>
            <rFont val="Tahoma"/>
            <family val="2"/>
          </rPr>
          <t>Use IE - errors in Chrome</t>
        </r>
      </text>
    </comment>
    <comment ref="F20" authorId="1" shapeId="0" xr:uid="{95AF560E-BFE1-A84B-B1B3-AEE783BE3932}">
      <text>
        <r>
          <rPr>
            <b/>
            <sz val="10"/>
            <color rgb="FF000000"/>
            <rFont val="Tahoma"/>
            <family val="2"/>
          </rPr>
          <t>Gillian Bladen-Clark:</t>
        </r>
        <r>
          <rPr>
            <sz val="10"/>
            <color rgb="FF000000"/>
            <rFont val="Tahoma"/>
            <family val="2"/>
          </rPr>
          <t xml:space="preserve">
</t>
        </r>
        <r>
          <rPr>
            <sz val="10"/>
            <color rgb="FF000000"/>
            <rFont val="Tahoma"/>
            <family val="2"/>
          </rPr>
          <t>Can get this from graph</t>
        </r>
      </text>
    </comment>
    <comment ref="G20" authorId="1" shapeId="0" xr:uid="{77CBD36C-AC5D-8D48-816E-18334499DF22}">
      <text>
        <r>
          <rPr>
            <b/>
            <sz val="10"/>
            <color rgb="FF000000"/>
            <rFont val="Tahoma"/>
            <family val="2"/>
          </rPr>
          <t>Gillian Bladen-Clark:</t>
        </r>
        <r>
          <rPr>
            <sz val="10"/>
            <color rgb="FF000000"/>
            <rFont val="Tahoma"/>
            <family val="2"/>
          </rPr>
          <t xml:space="preserve">
</t>
        </r>
        <r>
          <rPr>
            <sz val="10"/>
            <color rgb="FF000000"/>
            <rFont val="Tahoma"/>
            <family val="2"/>
          </rPr>
          <t>Can get this from graph</t>
        </r>
      </text>
    </comment>
    <comment ref="Q20" authorId="1" shapeId="0" xr:uid="{23EE2F79-C79F-A144-BAA6-9AB0CA5D544E}">
      <text>
        <r>
          <rPr>
            <b/>
            <sz val="10"/>
            <color rgb="FF000000"/>
            <rFont val="Tahoma"/>
            <family val="2"/>
          </rPr>
          <t>Gillian Bladen-Clark:</t>
        </r>
        <r>
          <rPr>
            <sz val="10"/>
            <color rgb="FF000000"/>
            <rFont val="Tahoma"/>
            <family val="2"/>
          </rPr>
          <t xml:space="preserve">
</t>
        </r>
        <r>
          <rPr>
            <sz val="10"/>
            <color rgb="FF000000"/>
            <rFont val="Tahoma"/>
            <family val="2"/>
          </rPr>
          <t>Can get this from graph</t>
        </r>
      </text>
    </comment>
    <comment ref="R20" authorId="1" shapeId="0" xr:uid="{ABF1E1F9-F43F-BB41-AF97-418D3ECA0417}">
      <text>
        <r>
          <rPr>
            <b/>
            <sz val="10"/>
            <color rgb="FF000000"/>
            <rFont val="Tahoma"/>
            <family val="2"/>
          </rPr>
          <t>Gillian Bladen-Clark:</t>
        </r>
        <r>
          <rPr>
            <sz val="10"/>
            <color rgb="FF000000"/>
            <rFont val="Tahoma"/>
            <family val="2"/>
          </rPr>
          <t xml:space="preserve">
</t>
        </r>
        <r>
          <rPr>
            <sz val="10"/>
            <color rgb="FF000000"/>
            <rFont val="Tahoma"/>
            <family val="2"/>
          </rPr>
          <t>Can get this from graph</t>
        </r>
      </text>
    </comment>
    <comment ref="AE20" authorId="1" shapeId="0" xr:uid="{24610A97-9AA8-914D-A4F5-3955B2C06441}">
      <text>
        <r>
          <rPr>
            <b/>
            <sz val="10"/>
            <color rgb="FF000000"/>
            <rFont val="Tahoma"/>
            <family val="2"/>
          </rPr>
          <t>AJBell claim the tax rebate a couple of months later.  Just log my contribution then log the tax rebates later when they arrive in the account</t>
        </r>
      </text>
    </comment>
    <comment ref="B21" authorId="1" shapeId="0" xr:uid="{59EEA12E-2504-4C40-A986-CC3BE0BD6BFE}">
      <text>
        <r>
          <rPr>
            <b/>
            <sz val="10"/>
            <color rgb="FF000000"/>
            <rFont val="Tahoma"/>
            <family val="2"/>
          </rPr>
          <t>Gillian Bladen-Clark:</t>
        </r>
        <r>
          <rPr>
            <sz val="10"/>
            <color rgb="FF000000"/>
            <rFont val="Tahoma"/>
            <family val="2"/>
          </rPr>
          <t xml:space="preserve">
</t>
        </r>
        <r>
          <rPr>
            <sz val="10"/>
            <color rgb="FF000000"/>
            <rFont val="Tahoma"/>
            <family val="2"/>
          </rPr>
          <t>Sum changed - SIPP opened and an old one closed</t>
        </r>
      </text>
    </comment>
    <comment ref="I21" authorId="1" shapeId="0" xr:uid="{D8BA4EB3-8E19-664D-99E7-EA726DB92044}">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T21" authorId="1" shapeId="0" xr:uid="{FE522A24-9F44-BD44-ADE5-071D0B018AAE}">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BB21" authorId="1" shapeId="0" xr:uid="{F7CCDB3E-62C7-1C42-90A5-C7909950BC2C}">
      <text>
        <r>
          <rPr>
            <b/>
            <sz val="10"/>
            <color rgb="FF000000"/>
            <rFont val="Tahoma"/>
            <family val="2"/>
          </rPr>
          <t>Gillian Bladen-Clark:</t>
        </r>
        <r>
          <rPr>
            <sz val="10"/>
            <color rgb="FF000000"/>
            <rFont val="Tahoma"/>
            <family val="2"/>
          </rPr>
          <t xml:space="preserve">
</t>
        </r>
        <r>
          <rPr>
            <sz val="10"/>
            <color rgb="FF000000"/>
            <rFont val="Tahoma"/>
            <family val="2"/>
          </rPr>
          <t>Really?  £8K in 19 days!</t>
        </r>
      </text>
    </comment>
    <comment ref="B22" authorId="1" shapeId="0" xr:uid="{AABFC2EF-57F6-9D47-A836-A3500284F1F0}">
      <text>
        <r>
          <rPr>
            <b/>
            <sz val="10"/>
            <color rgb="FF000000"/>
            <rFont val="Tahoma"/>
            <family val="2"/>
          </rPr>
          <t>Gillian Bladen-Clark:</t>
        </r>
        <r>
          <rPr>
            <sz val="10"/>
            <color rgb="FF000000"/>
            <rFont val="Tahoma"/>
            <family val="2"/>
          </rPr>
          <t xml:space="preserve">
</t>
        </r>
        <r>
          <rPr>
            <sz val="10"/>
            <color rgb="FF000000"/>
            <rFont val="Tahoma"/>
            <family val="2"/>
          </rPr>
          <t>Sum changed - SIPP opened and an old one closed</t>
        </r>
      </text>
    </comment>
    <comment ref="I22" authorId="1" shapeId="0" xr:uid="{3F99FBC9-BFED-0B44-997A-D2A57B9CC283}">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BB22" authorId="1" shapeId="0" xr:uid="{09EA29BD-3027-B940-BBD9-94E5BED7C2C3}">
      <text>
        <r>
          <rPr>
            <b/>
            <sz val="10"/>
            <color rgb="FF000000"/>
            <rFont val="Tahoma"/>
            <family val="2"/>
          </rPr>
          <t>Gillian Bladen-Clark:</t>
        </r>
        <r>
          <rPr>
            <sz val="10"/>
            <color rgb="FF000000"/>
            <rFont val="Tahoma"/>
            <family val="2"/>
          </rPr>
          <t xml:space="preserve">
</t>
        </r>
        <r>
          <rPr>
            <sz val="10"/>
            <color rgb="FF000000"/>
            <rFont val="Tahoma"/>
            <family val="2"/>
          </rPr>
          <t>Really?  £8K in 19 days!</t>
        </r>
      </text>
    </comment>
    <comment ref="B23" authorId="1" shapeId="0" xr:uid="{8821AC3B-94C5-504D-948A-82760D20F4C5}">
      <text>
        <r>
          <rPr>
            <b/>
            <sz val="10"/>
            <color rgb="FF000000"/>
            <rFont val="Tahoma"/>
            <family val="2"/>
          </rPr>
          <t>Gillian Bladen-Clark:</t>
        </r>
        <r>
          <rPr>
            <sz val="10"/>
            <color rgb="FF000000"/>
            <rFont val="Tahoma"/>
            <family val="2"/>
          </rPr>
          <t xml:space="preserve">
</t>
        </r>
        <r>
          <rPr>
            <sz val="10"/>
            <color rgb="FF000000"/>
            <rFont val="Tahoma"/>
            <family val="2"/>
          </rPr>
          <t>Sum changed - SIPP opened and an old one closed</t>
        </r>
      </text>
    </comment>
    <comment ref="I23" authorId="1" shapeId="0" xr:uid="{C74DE248-5646-5C4F-B691-9C5AFFE4AEB1}">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AE23" authorId="1" shapeId="0" xr:uid="{38C47684-DBEF-8F44-AA9F-6DB82B75B997}">
      <text>
        <r>
          <rPr>
            <b/>
            <sz val="10"/>
            <color rgb="FF000000"/>
            <rFont val="Tahoma"/>
            <family val="2"/>
          </rPr>
          <t>Gillian Bladen-Clark:</t>
        </r>
        <r>
          <rPr>
            <sz val="10"/>
            <color rgb="FF000000"/>
            <rFont val="Tahoma"/>
            <family val="2"/>
          </rPr>
          <t xml:space="preserve">
</t>
        </r>
        <r>
          <rPr>
            <sz val="10"/>
            <color rgb="FF000000"/>
            <rFont val="Tahoma"/>
            <family val="2"/>
          </rPr>
          <t>Contribution</t>
        </r>
      </text>
    </comment>
    <comment ref="BB23" authorId="1" shapeId="0" xr:uid="{1B870653-EBCD-7D49-A923-B2E00E0772C9}">
      <text>
        <r>
          <rPr>
            <b/>
            <sz val="10"/>
            <color rgb="FF000000"/>
            <rFont val="Tahoma"/>
            <family val="2"/>
          </rPr>
          <t>Gillian Bladen-Clark:</t>
        </r>
        <r>
          <rPr>
            <sz val="10"/>
            <color rgb="FF000000"/>
            <rFont val="Tahoma"/>
            <family val="2"/>
          </rPr>
          <t xml:space="preserve">
</t>
        </r>
        <r>
          <rPr>
            <sz val="10"/>
            <color rgb="FF000000"/>
            <rFont val="Tahoma"/>
            <family val="2"/>
          </rPr>
          <t>Really?  £8K in 19 days!</t>
        </r>
      </text>
    </comment>
    <comment ref="I24" authorId="1" shapeId="0" xr:uid="{72508E01-E88D-B14D-AC0E-6AE5979C20CB}">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AE24" authorId="1" shapeId="0" xr:uid="{0647427D-E6DF-7E49-BD97-308826B61A24}">
      <text>
        <r>
          <rPr>
            <b/>
            <sz val="10"/>
            <color rgb="FF000000"/>
            <rFont val="Tahoma"/>
            <family val="2"/>
          </rPr>
          <t>Gillian Bladen-Clark:</t>
        </r>
        <r>
          <rPr>
            <sz val="10"/>
            <color rgb="FF000000"/>
            <rFont val="Tahoma"/>
            <family val="2"/>
          </rPr>
          <t xml:space="preserve">
</t>
        </r>
        <r>
          <rPr>
            <sz val="10"/>
            <color rgb="FF000000"/>
            <rFont val="Tahoma"/>
            <family val="2"/>
          </rPr>
          <t>Transfer</t>
        </r>
      </text>
    </comment>
    <comment ref="I25" authorId="1" shapeId="0" xr:uid="{AE4EC84F-577E-5E48-9867-8DEE1DDA9A25}">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D26" authorId="1" shapeId="0" xr:uid="{52880864-C413-C04B-8B94-0FE9EE558FF5}">
      <text>
        <r>
          <rPr>
            <b/>
            <sz val="10"/>
            <color rgb="FF000000"/>
            <rFont val="Tahoma"/>
            <family val="2"/>
          </rPr>
          <t>Gillian Bladen-Clark:</t>
        </r>
        <r>
          <rPr>
            <sz val="10"/>
            <color rgb="FF000000"/>
            <rFont val="Tahoma"/>
            <family val="2"/>
          </rPr>
          <t xml:space="preserve">
</t>
        </r>
        <r>
          <rPr>
            <sz val="10"/>
            <color rgb="FF000000"/>
            <rFont val="Tahoma"/>
            <family val="2"/>
          </rPr>
          <t>Trump announcements upset global market</t>
        </r>
      </text>
    </comment>
    <comment ref="I26" authorId="1" shapeId="0" xr:uid="{D636BCF9-F2AD-914E-A494-ECC8EC2FDF65}">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AX26" authorId="1" shapeId="0" xr:uid="{9B457043-849D-7C41-A0DC-5C8E7306EC82}">
      <text>
        <r>
          <rPr>
            <b/>
            <sz val="10"/>
            <color rgb="FF000000"/>
            <rFont val="Tahoma"/>
            <family val="2"/>
          </rPr>
          <t>Gillian Bladen-Clark:</t>
        </r>
        <r>
          <rPr>
            <sz val="10"/>
            <color rgb="FF000000"/>
            <rFont val="Tahoma"/>
            <family val="2"/>
          </rPr>
          <t xml:space="preserve">
</t>
        </r>
        <r>
          <rPr>
            <sz val="10"/>
            <color rgb="FF000000"/>
            <rFont val="Tahoma"/>
            <family val="2"/>
          </rPr>
          <t>Transfer from Scottish Widows</t>
        </r>
      </text>
    </comment>
    <comment ref="I27" authorId="1" shapeId="0" xr:uid="{26806C08-6992-A64F-9AAD-732480629DF8}">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28" authorId="1" shapeId="0" xr:uid="{9ABDC491-40A9-5740-8FFE-E24C71C509D8}">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29" authorId="1" shapeId="0" xr:uid="{797C06CB-EEFC-C648-9094-8E09AE2BCB4F}">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30" authorId="1" shapeId="0" xr:uid="{66513EB9-21A8-E741-8833-FCBD0460E100}">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AX30" authorId="1" shapeId="0" xr:uid="{061693A1-88EC-DE4B-9B0F-50D5885A1C61}">
      <text>
        <r>
          <rPr>
            <b/>
            <sz val="10"/>
            <color rgb="FF000000"/>
            <rFont val="Tahoma"/>
            <family val="2"/>
          </rPr>
          <t>Gillian Bladen-Clark:</t>
        </r>
        <r>
          <rPr>
            <sz val="10"/>
            <color rgb="FF000000"/>
            <rFont val="Tahoma"/>
            <family val="2"/>
          </rPr>
          <t xml:space="preserve">
</t>
        </r>
        <r>
          <rPr>
            <sz val="10"/>
            <color rgb="FF000000"/>
            <rFont val="Tahoma"/>
            <family val="2"/>
          </rPr>
          <t>£2000 nett £2500 gross 20/09/2024</t>
        </r>
      </text>
    </comment>
    <comment ref="I31" authorId="1" shapeId="0" xr:uid="{EFB0F93C-3FAC-6B48-9A38-DACB39D2A028}">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32" authorId="1" shapeId="0" xr:uid="{09EAD597-1A90-DF42-B008-ECC54F90865A}">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33" authorId="1" shapeId="0" xr:uid="{A716A7A3-C6AC-4A4A-8E39-7F44066E927B}">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34" authorId="1" shapeId="0" xr:uid="{A2593C28-753B-ED4D-977E-475CEF1A10A5}">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AX34" authorId="1" shapeId="0" xr:uid="{3B7A4FCA-9642-D84A-8DF0-F6861D9D1369}">
      <text>
        <r>
          <rPr>
            <b/>
            <sz val="10"/>
            <color rgb="FF000000"/>
            <rFont val="Tahoma"/>
            <family val="2"/>
          </rPr>
          <t>Gillian Bladen-Clark:</t>
        </r>
        <r>
          <rPr>
            <sz val="10"/>
            <color rgb="FF000000"/>
            <rFont val="Tahoma"/>
            <family val="2"/>
          </rPr>
          <t xml:space="preserve">
</t>
        </r>
        <r>
          <rPr>
            <sz val="10"/>
            <color rgb="FF000000"/>
            <rFont val="Tahoma"/>
            <family val="2"/>
          </rPr>
          <t>18/03/24 2000 nett 2500 gross</t>
        </r>
      </text>
    </comment>
    <comment ref="I35" authorId="1" shapeId="0" xr:uid="{05054219-DDBE-874D-9A18-36369A43A662}">
      <text>
        <r>
          <rPr>
            <b/>
            <sz val="10"/>
            <color rgb="FF000000"/>
            <rFont val="Tahoma"/>
            <family val="2"/>
          </rPr>
          <t>Gillian Bladen-Clark:</t>
        </r>
        <r>
          <rPr>
            <sz val="10"/>
            <color rgb="FF000000"/>
            <rFont val="Tahoma"/>
            <family val="2"/>
          </rPr>
          <t xml:space="preserve">
</t>
        </r>
        <r>
          <rPr>
            <sz val="10"/>
            <color rgb="FF000000"/>
            <rFont val="Tahoma"/>
            <family val="2"/>
          </rPr>
          <t xml:space="preserve">Only working 4 days a week now.  Actual per day is £17.08
</t>
        </r>
      </text>
    </comment>
    <comment ref="I36" authorId="1" shapeId="0" xr:uid="{260D605D-197E-3244-8BFB-CA645FC93D8D}">
      <text>
        <r>
          <rPr>
            <b/>
            <sz val="10"/>
            <color rgb="FF000000"/>
            <rFont val="Tahoma"/>
            <family val="2"/>
          </rPr>
          <t>Gillian Bladen-Clark:</t>
        </r>
        <r>
          <rPr>
            <sz val="10"/>
            <color rgb="FF000000"/>
            <rFont val="Tahoma"/>
            <family val="2"/>
          </rPr>
          <t xml:space="preserve">
</t>
        </r>
        <r>
          <rPr>
            <sz val="10"/>
            <color rgb="FF000000"/>
            <rFont val="Tahoma"/>
            <family val="2"/>
          </rPr>
          <t xml:space="preserve">5 day week.  Actual is £21.07
</t>
        </r>
      </text>
    </comment>
    <comment ref="D38" authorId="1" shapeId="0" xr:uid="{31BFD019-4CA3-8349-ADDC-1D2C2B694A78}">
      <text>
        <r>
          <rPr>
            <b/>
            <sz val="10"/>
            <color rgb="FF000000"/>
            <rFont val="Tahoma"/>
            <family val="2"/>
          </rPr>
          <t>Gillian Bladen-Clark:</t>
        </r>
        <r>
          <rPr>
            <sz val="10"/>
            <color rgb="FF000000"/>
            <rFont val="Tahoma"/>
            <family val="2"/>
          </rPr>
          <t xml:space="preserve">
</t>
        </r>
        <r>
          <rPr>
            <sz val="10"/>
            <color rgb="FF000000"/>
            <rFont val="Tahoma"/>
            <family val="2"/>
          </rPr>
          <t>Kept same funds, but have changed all future payments to not go into the SL Property fund that has dipped 17%</t>
        </r>
      </text>
    </comment>
    <comment ref="AV38" authorId="1" shapeId="0" xr:uid="{74DC7DDD-9069-1449-94E0-EBEA3A6D4D27}">
      <text>
        <r>
          <rPr>
            <b/>
            <sz val="10"/>
            <color rgb="FF000000"/>
            <rFont val="Tahoma"/>
            <family val="2"/>
          </rPr>
          <t>Gillian Bladen-Clark:</t>
        </r>
        <r>
          <rPr>
            <sz val="10"/>
            <color rgb="FF000000"/>
            <rFont val="Tahoma"/>
            <family val="2"/>
          </rPr>
          <t xml:space="preserve">
</t>
        </r>
        <r>
          <rPr>
            <sz val="10"/>
            <color rgb="FF000000"/>
            <rFont val="Tahoma"/>
            <family val="2"/>
          </rPr>
          <t>Again, my main fund was property and doing badly so I have sold 50% and put that in my better fund</t>
        </r>
      </text>
    </comment>
    <comment ref="AX39" authorId="1" shapeId="0" xr:uid="{09BF466B-F05A-0C4C-B692-BE513E17EB48}">
      <text>
        <r>
          <rPr>
            <b/>
            <sz val="10"/>
            <color rgb="FF000000"/>
            <rFont val="Tahoma"/>
            <family val="2"/>
          </rPr>
          <t>Gillian Bladen-Clark:</t>
        </r>
        <r>
          <rPr>
            <sz val="10"/>
            <color rgb="FF000000"/>
            <rFont val="Tahoma"/>
            <family val="2"/>
          </rPr>
          <t xml:space="preserve">
</t>
        </r>
        <r>
          <rPr>
            <sz val="10"/>
            <color rgb="FF000000"/>
            <rFont val="Tahoma"/>
            <family val="2"/>
          </rPr>
          <t xml:space="preserve">Inc gov tax rebate
</t>
        </r>
        <r>
          <rPr>
            <sz val="10"/>
            <color rgb="FF000000"/>
            <rFont val="Tahoma"/>
            <family val="2"/>
          </rPr>
          <t xml:space="preserve">15/05/22	</t>
        </r>
      </text>
    </comment>
    <comment ref="BR53" authorId="1" shapeId="0" xr:uid="{30117620-E9E3-B24E-9A38-15CC2A4D31EE}">
      <text>
        <r>
          <rPr>
            <b/>
            <sz val="9"/>
            <color indexed="81"/>
            <rFont val="Tahoma"/>
            <family val="2"/>
          </rPr>
          <t>Gillian Bladen-Clark:</t>
        </r>
        <r>
          <rPr>
            <sz val="9"/>
            <color indexed="81"/>
            <rFont val="Tahoma"/>
            <family val="2"/>
          </rPr>
          <t xml:space="preserve">
Pretty good, stick with it, not a ful year yet</t>
        </r>
      </text>
    </comment>
    <comment ref="AM55" authorId="1" shapeId="0" xr:uid="{697434AC-D452-D246-9645-756C2657B75E}">
      <text>
        <r>
          <rPr>
            <b/>
            <sz val="9"/>
            <color rgb="FF000000"/>
            <rFont val="Tahoma"/>
            <family val="2"/>
          </rPr>
          <t>Gillian Bladen-Clark:</t>
        </r>
        <r>
          <rPr>
            <sz val="9"/>
            <color rgb="FF000000"/>
            <rFont val="Tahoma"/>
            <family val="2"/>
          </rPr>
          <t xml:space="preserve">
</t>
        </r>
        <r>
          <rPr>
            <sz val="9"/>
            <color rgb="FF000000"/>
            <rFont val="Tahoma"/>
            <family val="2"/>
          </rPr>
          <t>Rubbish - funds switched</t>
        </r>
      </text>
    </comment>
    <comment ref="AN55" authorId="1" shapeId="0" xr:uid="{F12A6397-5DE8-5E4E-856A-97F9B71FA173}">
      <text>
        <r>
          <rPr>
            <b/>
            <sz val="9"/>
            <color rgb="FF000000"/>
            <rFont val="Tahoma"/>
            <family val="2"/>
          </rPr>
          <t>Gillian Bladen-Clark:</t>
        </r>
        <r>
          <rPr>
            <sz val="9"/>
            <color rgb="FF000000"/>
            <rFont val="Tahoma"/>
            <family val="2"/>
          </rPr>
          <t xml:space="preserve">
</t>
        </r>
        <r>
          <rPr>
            <sz val="9"/>
            <color rgb="FF000000"/>
            <rFont val="Tahoma"/>
            <family val="2"/>
          </rPr>
          <t>Not sure - if I look back on website, this figure is 38606</t>
        </r>
      </text>
    </comment>
    <comment ref="H78" authorId="1" shapeId="0" xr:uid="{DEC7FE99-EE5D-864D-8BB1-E71251E51263}">
      <text>
        <r>
          <rPr>
            <b/>
            <sz val="10"/>
            <color rgb="FF000000"/>
            <rFont val="Tahoma"/>
            <family val="2"/>
          </rPr>
          <t>Gillian Bladen-Clark:</t>
        </r>
        <r>
          <rPr>
            <sz val="10"/>
            <color rgb="FF000000"/>
            <rFont val="Tahoma"/>
            <family val="2"/>
          </rPr>
          <t xml:space="preserve">
</t>
        </r>
        <r>
          <rPr>
            <sz val="10"/>
            <color rgb="FF000000"/>
            <rFont val="Tahoma"/>
            <family val="2"/>
          </rPr>
          <t xml:space="preserve">Investment gains plus paid in
</t>
        </r>
      </text>
    </comment>
    <comment ref="L78" authorId="1" shapeId="0" xr:uid="{C9A5B69D-7200-6244-A33A-1BB1B2D991BD}">
      <text>
        <r>
          <rPr>
            <b/>
            <sz val="10"/>
            <color rgb="FF000000"/>
            <rFont val="Tahoma"/>
            <family val="2"/>
          </rPr>
          <t>Gillian Bladen-Clark:</t>
        </r>
        <r>
          <rPr>
            <sz val="10"/>
            <color rgb="FF000000"/>
            <rFont val="Tahoma"/>
            <family val="2"/>
          </rPr>
          <t xml:space="preserve">
</t>
        </r>
        <r>
          <rPr>
            <sz val="10"/>
            <color rgb="FF000000"/>
            <rFont val="Tahoma"/>
            <family val="2"/>
          </rPr>
          <t>... if it was like this every day</t>
        </r>
      </text>
    </comment>
    <comment ref="M78" authorId="1" shapeId="0" xr:uid="{058EDFEA-948A-F044-85EA-32225FA41191}">
      <text>
        <r>
          <rPr>
            <b/>
            <sz val="10"/>
            <color rgb="FF000000"/>
            <rFont val="Tahoma"/>
            <family val="2"/>
          </rPr>
          <t>Gillian Bladen-Clark:</t>
        </r>
        <r>
          <rPr>
            <sz val="10"/>
            <color rgb="FF000000"/>
            <rFont val="Tahoma"/>
            <family val="2"/>
          </rPr>
          <t xml:space="preserve">
</t>
        </r>
        <r>
          <rPr>
            <sz val="10"/>
            <color rgb="FF000000"/>
            <rFont val="Tahoma"/>
            <family val="2"/>
          </rPr>
          <t>... if it was like this every day</t>
        </r>
      </text>
    </comment>
    <comment ref="H141" authorId="1" shapeId="0" xr:uid="{73754BFC-F039-0846-A172-5918F7E0AE9B}">
      <text>
        <r>
          <rPr>
            <b/>
            <sz val="10"/>
            <color rgb="FF000000"/>
            <rFont val="Tahoma"/>
            <family val="2"/>
          </rPr>
          <t>Gillian Bladen-Clark:</t>
        </r>
        <r>
          <rPr>
            <sz val="10"/>
            <color rgb="FF000000"/>
            <rFont val="Tahoma"/>
            <family val="2"/>
          </rPr>
          <t xml:space="preserve">
</t>
        </r>
        <r>
          <rPr>
            <sz val="10"/>
            <color rgb="FF000000"/>
            <rFont val="Tahoma"/>
            <family val="2"/>
          </rPr>
          <t>£2000 nett £2500 gross 20/09/2024</t>
        </r>
      </text>
    </comment>
    <comment ref="H145" authorId="1" shapeId="0" xr:uid="{A4B769E0-A20B-E042-B5D4-100FB6C9E62E}">
      <text>
        <r>
          <rPr>
            <b/>
            <sz val="10"/>
            <color rgb="FF000000"/>
            <rFont val="Tahoma"/>
            <family val="2"/>
          </rPr>
          <t>Gillian Bladen-Clark:</t>
        </r>
        <r>
          <rPr>
            <sz val="10"/>
            <color rgb="FF000000"/>
            <rFont val="Tahoma"/>
            <family val="2"/>
          </rPr>
          <t xml:space="preserve">
</t>
        </r>
        <r>
          <rPr>
            <sz val="10"/>
            <color rgb="FF000000"/>
            <rFont val="Tahoma"/>
            <family val="2"/>
          </rPr>
          <t>18/03/24 2000 nett 2500 gross</t>
        </r>
      </text>
    </comment>
    <comment ref="F149" authorId="1" shapeId="0" xr:uid="{A407F6BD-2000-5D43-B341-8DF5536175DA}">
      <text>
        <r>
          <rPr>
            <b/>
            <sz val="10"/>
            <color rgb="FF000000"/>
            <rFont val="Tahoma"/>
            <family val="2"/>
          </rPr>
          <t>Gillian Bladen-Clark:</t>
        </r>
        <r>
          <rPr>
            <sz val="10"/>
            <color rgb="FF000000"/>
            <rFont val="Tahoma"/>
            <family val="2"/>
          </rPr>
          <t xml:space="preserve">
</t>
        </r>
        <r>
          <rPr>
            <sz val="10"/>
            <color rgb="FF000000"/>
            <rFont val="Tahoma"/>
            <family val="2"/>
          </rPr>
          <t>Again, my main fund was property and doing badly so I have sold 50% and put that in my better fund</t>
        </r>
      </text>
    </comment>
    <comment ref="H150" authorId="1" shapeId="0" xr:uid="{382DEFC9-2695-AE4A-BE02-D06FE0A2A5DB}">
      <text>
        <r>
          <rPr>
            <b/>
            <sz val="10"/>
            <color rgb="FF000000"/>
            <rFont val="Tahoma"/>
            <family val="2"/>
          </rPr>
          <t>Gillian Bladen-Clark:</t>
        </r>
        <r>
          <rPr>
            <sz val="10"/>
            <color rgb="FF000000"/>
            <rFont val="Tahoma"/>
            <family val="2"/>
          </rPr>
          <t xml:space="preserve">
</t>
        </r>
        <r>
          <rPr>
            <sz val="10"/>
            <color rgb="FF000000"/>
            <rFont val="Tahoma"/>
            <family val="2"/>
          </rPr>
          <t xml:space="preserve">Inc gov tax rebate
</t>
        </r>
        <r>
          <rPr>
            <sz val="10"/>
            <color rgb="FF000000"/>
            <rFont val="Tahoma"/>
            <family val="2"/>
          </rPr>
          <t xml:space="preserve">15/05/22	</t>
        </r>
      </text>
    </comment>
  </commentList>
</comments>
</file>

<file path=xl/sharedStrings.xml><?xml version="1.0" encoding="utf-8"?>
<sst xmlns="http://schemas.openxmlformats.org/spreadsheetml/2006/main" count="309" uniqueCount="199">
  <si>
    <t>Emailed online to check "lifestyling" 11/01/2025</t>
  </si>
  <si>
    <t>Standard Life Old OLM</t>
  </si>
  <si>
    <t>Standard Life OLM (from Aug 2025)</t>
  </si>
  <si>
    <t>AJBell Sipp</t>
  </si>
  <si>
    <t>Aegon - Torex Kpos</t>
  </si>
  <si>
    <t>Aviva - divorce pot</t>
  </si>
  <si>
    <t xml:space="preserve">Aviva (was friends life) - Anite Public Sector GSH Plan No 1001812517 </t>
  </si>
  <si>
    <t>Scottish widows. Northgate,  scheme P000075084, Plan No 5843724</t>
  </si>
  <si>
    <t>Aegon - old anite?</t>
  </si>
  <si>
    <t>standard life old Anite</t>
  </si>
  <si>
    <t>Plan</t>
  </si>
  <si>
    <t>K1615471000</t>
  </si>
  <si>
    <t>D4745261000</t>
  </si>
  <si>
    <t>For letters see dropbox - My Documents - Finance</t>
  </si>
  <si>
    <t>Cust Id 12587321 Pin 8949</t>
  </si>
  <si>
    <t>PCM £ 525.41</t>
  </si>
  <si>
    <t>Transfer initiated 29-05-2015</t>
  </si>
  <si>
    <t>k2180833000</t>
  </si>
  <si>
    <t>Scheme</t>
  </si>
  <si>
    <t>J44580</t>
  </si>
  <si>
    <t>Switched to retiready func Nov 18 risk level 3</t>
  </si>
  <si>
    <t>Consider merging</t>
  </si>
  <si>
    <r>
      <rPr>
        <b/>
        <sz val="14"/>
        <color theme="1"/>
        <rFont val="Calibri (Body)"/>
      </rPr>
      <t xml:space="preserve">TL94080253 </t>
    </r>
    <r>
      <rPr>
        <sz val="11"/>
        <color theme="1"/>
        <rFont val="Calibri"/>
        <family val="2"/>
        <scheme val="minor"/>
      </rPr>
      <t>a.c. 279000154</t>
    </r>
  </si>
  <si>
    <t>Email Support</t>
  </si>
  <si>
    <t>Pin doesn't work - they’re sending another 14/07/2015</t>
  </si>
  <si>
    <t>TRANSFERRED TO FRIENDS LIFE</t>
  </si>
  <si>
    <t>ADDRESS CHANGED 01/11/21
Aug 2025 - TRANSFER REQUESTED TO INTERACTIVE INVESTOR SIPP</t>
  </si>
  <si>
    <t>Added in a US iShares fund</t>
  </si>
  <si>
    <t>From July 2025, pension scheme has changed:  Plan number: D4745261000
Group name: OLM SYSTEMS LIMITED, Group number: JQ3665</t>
  </si>
  <si>
    <t>They have limited func choices - leave a a year then consider moving to aviva</t>
  </si>
  <si>
    <t>This is set up as a payee in my lloyds AVIVA LIFE AND PENSIONS with the ref as the account, but better to do a debit card payment via website as there is a form to fill in for the allocation.  It can take up to 10 days to appear, but the account transaction is credited (i.e.backdated) to when they received the money</t>
  </si>
  <si>
    <r>
      <t xml:space="preserve">Don't seem to be able to switch funds online, prob cos this was originally friends life - consider merging with the other Aviva funds.  See Pension Funds tab for detailed performance, but over last year it's done OK.  However, I still have some in Property.  Switch to AJ Bell or to divorce pot? </t>
    </r>
    <r>
      <rPr>
        <b/>
        <sz val="14"/>
        <color rgb="FF00B050"/>
        <rFont val="Calibri (Body)"/>
      </rPr>
      <t xml:space="preserve"> But... it's recent growth is good - my best performer last 411 days</t>
    </r>
  </si>
  <si>
    <t>Received 23/07/2015 - Cust ID:</t>
  </si>
  <si>
    <t>https://online.standardlife.com/secure/customer-authentication-client/customer/login</t>
  </si>
  <si>
    <t>Jan 25 Switched funds from UK to US funds, SL Vanguard US Equity Pension Fund
SL BlackRock Ascent Life US, Equity Pension Fund
SL Blackrock ACS US Equity Tracker Pension Fund</t>
  </si>
  <si>
    <t>https://www.ajbell.co.uk/platform/overview</t>
  </si>
  <si>
    <t>ADDRESS CHANGED 01/11/21</t>
  </si>
  <si>
    <t>https://retiready.co.uk/secure/savings.html#</t>
  </si>
  <si>
    <t>https://www.direct.aviva.co.uk/MyPortfolio/Policies</t>
  </si>
  <si>
    <t>user: gszemeti@gmail.com   pwd: g1****bc</t>
  </si>
  <si>
    <t>Email enquiries:</t>
  </si>
  <si>
    <t>https://www.aviva.co.uk/help-and-support/contact-us/retirement-email-enquiries/retirement-general-enquiries/</t>
  </si>
  <si>
    <t>PIN</t>
  </si>
  <si>
    <t>Login as of 12/06/2016</t>
  </si>
  <si>
    <t>Easier to see the growth on the site</t>
  </si>
  <si>
    <t>Think this one is now Aegon Retiredy</t>
  </si>
  <si>
    <t>Password is in keychain</t>
  </si>
  <si>
    <t>Now moved to Aviva - contacted them for activation code.  17/10/2017</t>
  </si>
  <si>
    <t>http://www.scottishwidows.co.uk/global/log_in_or_register.html</t>
  </si>
  <si>
    <t>GillianBC1</t>
  </si>
  <si>
    <t>Switched funds May 2022 into safer options</t>
  </si>
  <si>
    <t>Plan No 71327443</t>
  </si>
  <si>
    <t>61053 ref Grp/stmts - 4227790</t>
  </si>
  <si>
    <t>Current fund allocation</t>
  </si>
  <si>
    <t>Allocation</t>
  </si>
  <si>
    <t>https://www.standardlife.co.uk/c1/login.page</t>
  </si>
  <si>
    <t>Fund "MIXED" SEDOL 782869 / SEPMX</t>
  </si>
  <si>
    <t>Aviva Pensions BlackRock US Equity Index Tracker S6</t>
  </si>
  <si>
    <t>Use this for new investments - riskiest but best performance</t>
  </si>
  <si>
    <t>Workplace or Personal Pension</t>
  </si>
  <si>
    <t>service_gp@standardlife.com</t>
  </si>
  <si>
    <t>See Monthly Summary Sheet for paid in details</t>
  </si>
  <si>
    <t>Aviva Pensions Property S2</t>
  </si>
  <si>
    <t>Go gardening with Patrick next time I'm at Carfield</t>
  </si>
  <si>
    <t xml:space="preserve">For email, see Finance in Outlook. </t>
  </si>
  <si>
    <t>2 pensions on same site</t>
  </si>
  <si>
    <t xml:space="preserve">Userid: </t>
  </si>
  <si>
    <t>GILLIANBC1</t>
  </si>
  <si>
    <t>Aviva Pensions Jupiter Merlin BalancedPortfolio S6</t>
  </si>
  <si>
    <t>04/08/2024 sold all of Aviva Pensions Propery S2 and bought Aviva Pensions Blackrock - about £29K</t>
  </si>
  <si>
    <t>gillianbc / g1****bc</t>
  </si>
  <si>
    <t>gillianbc</t>
  </si>
  <si>
    <t xml:space="preserve">Transferred in to new AJBell Sipp 04/07/2025.  </t>
  </si>
  <si>
    <t>Pwd:</t>
  </si>
  <si>
    <t>Aviva Pensions Diversified Assets Fund 2 S6</t>
  </si>
  <si>
    <t>https://my-plans.friendslife.co.uk/log/login.html</t>
  </si>
  <si>
    <t>g1****bc</t>
  </si>
  <si>
    <t>No graphs - difficult to manage</t>
  </si>
  <si>
    <t>TRANSFERRED TO AVIVA 11/01/2025</t>
  </si>
  <si>
    <t>GOOD</t>
  </si>
  <si>
    <t>Payments go in around the 19th of the month, so most accurate logs will be done just after that.  Graphs good for seeing how each fund is doing</t>
  </si>
  <si>
    <t>gszemeti@gmail.com</t>
  </si>
  <si>
    <t>QFXGUX</t>
  </si>
  <si>
    <t>Aviva Pensions Artemis US Select S6</t>
  </si>
  <si>
    <t>This is now on My Aviva as above</t>
  </si>
  <si>
    <t>https://www.direct.aviva.co.uk/MyPortfolio/</t>
  </si>
  <si>
    <t>02/02/2025 - no longer accessible on this site.  Can take 28 days to appear in Aviva</t>
  </si>
  <si>
    <t>2024 paying in 519 pcm</t>
  </si>
  <si>
    <t>per year</t>
  </si>
  <si>
    <t>Aviva Pensions With-Profit 2 S2</t>
  </si>
  <si>
    <t>Plan 1001812517</t>
  </si>
  <si>
    <t>Good</t>
  </si>
  <si>
    <t xml:space="preserve">This is a retiready fund - however, it's performance is steady so quite a safe bet.  </t>
  </si>
  <si>
    <t>V GOOD</t>
  </si>
  <si>
    <t>Aug 24 to Aug 25</t>
  </si>
  <si>
    <t>TOTALS</t>
  </si>
  <si>
    <t>Investment growth since/to:</t>
  </si>
  <si>
    <t>Date</t>
  </si>
  <si>
    <t>Total</t>
  </si>
  <si>
    <t>Paid in (cumulative)</t>
  </si>
  <si>
    <t>Paid in this period</t>
  </si>
  <si>
    <t>Period Days</t>
  </si>
  <si>
    <t>Paid in per day</t>
  </si>
  <si>
    <t>Change this period (investment growth plus paid in)</t>
  </si>
  <si>
    <t>Change this period (investment growth only)</t>
  </si>
  <si>
    <t>% Investment growth this period</t>
  </si>
  <si>
    <t>Investment Growth (cumulative)</t>
  </si>
  <si>
    <t>Paid in / transferred in (cumulative)</t>
  </si>
  <si>
    <t>Paid in</t>
  </si>
  <si>
    <t>Growth</t>
  </si>
  <si>
    <t>% Growth</t>
  </si>
  <si>
    <t>Growth Time in Days</t>
  </si>
  <si>
    <t>Growth Per Day</t>
  </si>
  <si>
    <t>Paid / Transferred In this period (gross)</t>
  </si>
  <si>
    <t>What I'll need to live on basically</t>
  </si>
  <si>
    <t>Per Year</t>
  </si>
  <si>
    <t>Per Month</t>
  </si>
  <si>
    <t>Bills - electric, oil, water, council tax, phone</t>
  </si>
  <si>
    <t>Weekly shopping</t>
  </si>
  <si>
    <t>Repairs</t>
  </si>
  <si>
    <t>Clothes and leisure</t>
  </si>
  <si>
    <t>Annually</t>
  </si>
  <si>
    <t>From 61 to 67 (6 years) I could:</t>
  </si>
  <si>
    <t>SNAPSHOT</t>
  </si>
  <si>
    <t>Bring all figures up to date - try to do this every 3 months or so</t>
  </si>
  <si>
    <t>Drawdown</t>
  </si>
  <si>
    <t>Savings</t>
  </si>
  <si>
    <t>Pot</t>
  </si>
  <si>
    <t>Paid In This Period (Inc Rebate)</t>
  </si>
  <si>
    <t>Days</t>
  </si>
  <si>
    <t>Total Growth</t>
  </si>
  <si>
    <t>Investment Growth</t>
  </si>
  <si>
    <t>Total Growth Per Day</t>
  </si>
  <si>
    <t>Investment Growth Per Day</t>
  </si>
  <si>
    <t>Investment Growth Per Month</t>
  </si>
  <si>
    <t>Investment Growth Per Year</t>
  </si>
  <si>
    <t>Calculator</t>
  </si>
  <si>
    <t>https://www.legalandgeneral.com/retirement/retirement-income-calculator/</t>
  </si>
  <si>
    <t>Age 67</t>
  </si>
  <si>
    <t>If I get made redundant, I'll get £21000</t>
  </si>
  <si>
    <t>Single life, no guarantee</t>
  </si>
  <si>
    <t>30 years</t>
  </si>
  <si>
    <t>State Per Year</t>
  </si>
  <si>
    <t>https://www.tax.service.gov.uk/check-your-state-pension/account</t>
  </si>
  <si>
    <t>Total Per Year</t>
  </si>
  <si>
    <t>State</t>
  </si>
  <si>
    <t>Total Per Month</t>
  </si>
  <si>
    <t>Tax free cash</t>
  </si>
  <si>
    <t>Guaranteed income for the rest of your life</t>
  </si>
  <si>
    <t>Plus State Pension</t>
  </si>
  <si>
    <t>Less Tax</t>
  </si>
  <si>
    <t>NETT</t>
  </si>
  <si>
    <t>Or</t>
  </si>
  <si>
    <r>
      <t xml:space="preserve">Guaranteed income for </t>
    </r>
    <r>
      <rPr>
        <b/>
        <sz val="11"/>
        <color theme="1"/>
        <rFont val="Calibri"/>
        <family val="2"/>
        <scheme val="minor"/>
      </rPr>
      <t>10 years</t>
    </r>
    <r>
      <rPr>
        <sz val="11"/>
        <color theme="1"/>
        <rFont val="Calibri"/>
        <family val="2"/>
        <scheme val="minor"/>
      </rPr>
      <t xml:space="preserve"> and lump sum at the end</t>
    </r>
  </si>
  <si>
    <t>Age 77</t>
  </si>
  <si>
    <t>Lump sum</t>
  </si>
  <si>
    <r>
      <t xml:space="preserve">Guaranteed income for </t>
    </r>
    <r>
      <rPr>
        <b/>
        <sz val="11"/>
        <color theme="1"/>
        <rFont val="Calibri"/>
        <family val="2"/>
        <scheme val="minor"/>
      </rPr>
      <t>15 years</t>
    </r>
    <r>
      <rPr>
        <sz val="11"/>
        <color theme="1"/>
        <rFont val="Calibri"/>
        <family val="2"/>
        <scheme val="minor"/>
      </rPr>
      <t xml:space="preserve"> and lump sum at the end</t>
    </r>
  </si>
  <si>
    <t>Age 82</t>
  </si>
  <si>
    <t>Note:  you cannot sum the period investment growths to make a bigger period investment growth</t>
  </si>
  <si>
    <t>2024 year (ish)</t>
  </si>
  <si>
    <t>2023 year (ish)</t>
  </si>
  <si>
    <r>
      <t xml:space="preserve">Guaranteed income for </t>
    </r>
    <r>
      <rPr>
        <b/>
        <sz val="11"/>
        <color theme="1"/>
        <rFont val="Calibri"/>
        <family val="2"/>
        <scheme val="minor"/>
      </rPr>
      <t>20 years</t>
    </r>
    <r>
      <rPr>
        <sz val="11"/>
        <color theme="1"/>
        <rFont val="Calibri"/>
        <family val="2"/>
        <scheme val="minor"/>
      </rPr>
      <t xml:space="preserve"> and lump sum at the end</t>
    </r>
  </si>
  <si>
    <t>Age 87</t>
  </si>
  <si>
    <t>GROSS</t>
  </si>
  <si>
    <t>Additional Contributions</t>
  </si>
  <si>
    <t>Note:  you can keep making contributions even after you're drawing a pension, but check the recycling rules</t>
  </si>
  <si>
    <t>For every £1 that I put in, the government puts in 1/4 of that i.e. 8 parts from me, 2 parts from gov (20%)</t>
  </si>
  <si>
    <t>i.e. the total amount is 4 parts from me, 1 part from gov i.e. 20% tax rebate</t>
  </si>
  <si>
    <t>However, when I withdraw it, I will then pay the 20% tax on 75% of it (tax free is 25%)</t>
  </si>
  <si>
    <t>https://www.gov.uk/hmrc-internal-manuals/pensions-tax-manual/ptm133850</t>
  </si>
  <si>
    <t>Increasing or level annuity?</t>
  </si>
  <si>
    <t>Me</t>
  </si>
  <si>
    <t>Gov</t>
  </si>
  <si>
    <t>Tax Free 25%</t>
  </si>
  <si>
    <t>Taxable</t>
  </si>
  <si>
    <t>Tax at 20%</t>
  </si>
  <si>
    <t>Nett</t>
  </si>
  <si>
    <t>Tax Free + Nett</t>
  </si>
  <si>
    <t>Level can often be better as it can take many years (or even decades of an increasing annuity to pay out the same amount as a level annuity</t>
  </si>
  <si>
    <t xml:space="preserve">So if I put in </t>
  </si>
  <si>
    <t>See https://www.gbnews.com/money/pension-retirement-income-planning-annuities</t>
  </si>
  <si>
    <t>The latest data shows a 65-year-old with a £100,000 pension pot can secure an annual income of up to £7,814 from a single life level annuity with a five-year guarantee. This compares to just £5,724 per year from an annuity that increases by three per cent annually.  A 65-year-old would need to wait until age 76 before the annual income from their inflation-linked annuity exceeds the £7,814 provided by a level annuity.
The total income comparison takes even longer to balance out. The same retiree would need to reach age 85 before the cumulative income from the inflation-linked option surpasses the total received from the level annuity.</t>
  </si>
  <si>
    <t>Example</t>
  </si>
  <si>
    <t>Additional Contribution</t>
  </si>
  <si>
    <t>and say that amount grows in my pension by this amount before I withdraw it</t>
  </si>
  <si>
    <t>Tax due</t>
  </si>
  <si>
    <t>Profit</t>
  </si>
  <si>
    <t>Profit %</t>
  </si>
  <si>
    <t>i.e. the profit is 6.25% plus 85% of profit on any growth</t>
  </si>
  <si>
    <t>I withdraw from pot A</t>
  </si>
  <si>
    <t>25% tax free</t>
  </si>
  <si>
    <t>75% taxable</t>
  </si>
  <si>
    <t>Balance</t>
  </si>
  <si>
    <t>Pay it into pension B</t>
  </si>
  <si>
    <t>Gov rebate</t>
  </si>
  <si>
    <t>Withdraw it from Pot B</t>
  </si>
  <si>
    <t>Drawdown - crystallised and non-crystallised funds</t>
  </si>
  <si>
    <t>https://chatgpt.com/s/t_6876cb6451708191a0a959347e010c3f</t>
  </si>
  <si>
    <t>Once you drawdown any taxable pension, even £1, from any fund, you are no longer able to pay in £60K per year.  It is reduced to £10K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</si>
</sst>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164" formatCode="_-&quot;£&quot;* #,##0.00_-;\-&quot;£&quot;* #,##0.00_-;_-&quot;£&quot;* &quot;-&quot;??_-;_-@_-"/>
    <numFmt numFmtId="165" formatCode="&quot;£&quot;#,##0.00;[Red]\-&quot;£&quot;#,##0.00"/>
    <numFmt numFmtId="166" formatCode="0.00_ ;[Red]\-0.00\ "/>
    <numFmt numFmtId="167" formatCode="0.0"/>
    <numFmt numFmtId="168" formatCode="dd/mm/yy"/>
    <numFmt numFmtId="169" formatCode="_-&quot;£&quot;* #,##0_-;\-&quot;£&quot;* #,##0_-;_-&quot;£&quot;* &quot;-&quot;??_-;_-@_-"/>
  </numFmts>
  <fonts count="37" x14ac:knownFonts="1">
    <font>
      <sz val="11"/>
      <color theme="1"/>
      <name val="Calibri"/>
      <family val="2"/>
      <scheme val="minor"/>
    </font>
    <font>
      <sz val="12"/>
      <color theme="1"/>
      <name val="Calibri"/>
      <family val="2"/>
      <scheme val="minor"/>
    </font>
    <font>
      <sz val="11"/>
      <color theme="1"/>
      <name val="Calibri"/>
      <family val="2"/>
      <scheme val="minor"/>
    </font>
    <font>
      <sz val="16"/>
      <color rgb="FFFF0000"/>
      <name val="Calibri"/>
      <family val="2"/>
      <scheme val="minor"/>
    </font>
    <font>
      <b/>
      <sz val="14"/>
      <color rgb="FFFFFF00"/>
      <name val="Calibri"/>
      <family val="2"/>
      <scheme val="minor"/>
    </font>
    <font>
      <b/>
      <sz val="11"/>
      <color theme="1"/>
      <name val="Calibri"/>
      <family val="2"/>
      <scheme val="minor"/>
    </font>
    <font>
      <sz val="11"/>
      <color rgb="FFFFFF00"/>
      <name val="Calibri"/>
      <family val="2"/>
      <scheme val="minor"/>
    </font>
    <font>
      <sz val="11"/>
      <color rgb="FFFF0000"/>
      <name val="Calibri"/>
      <family val="2"/>
      <scheme val="minor"/>
    </font>
    <font>
      <b/>
      <sz val="14"/>
      <color theme="1"/>
      <name val="Calibri (Body)"/>
    </font>
    <font>
      <u/>
      <sz val="11"/>
      <color theme="10"/>
      <name val="Calibri"/>
      <family val="2"/>
      <scheme val="minor"/>
    </font>
    <font>
      <b/>
      <sz val="11"/>
      <color rgb="FFFF0000"/>
      <name val="Calibri"/>
      <family val="2"/>
      <scheme val="minor"/>
    </font>
    <font>
      <b/>
      <sz val="14"/>
      <color rgb="FFFF0000"/>
      <name val="Calibri"/>
      <family val="2"/>
      <scheme val="minor"/>
    </font>
    <font>
      <b/>
      <sz val="14"/>
      <color rgb="FF00B050"/>
      <name val="Calibri (Body)"/>
    </font>
    <font>
      <b/>
      <u/>
      <sz val="11"/>
      <color theme="10"/>
      <name val="Calibri"/>
      <family val="2"/>
      <scheme val="minor"/>
    </font>
    <font>
      <b/>
      <u/>
      <sz val="12"/>
      <color theme="10"/>
      <name val="Calibri"/>
      <family val="2"/>
      <scheme val="minor"/>
    </font>
    <font>
      <b/>
      <sz val="11"/>
      <color rgb="FF00B050"/>
      <name val="Calibri"/>
      <family val="2"/>
      <scheme val="minor"/>
    </font>
    <font>
      <b/>
      <sz val="11"/>
      <color rgb="FFC00000"/>
      <name val="Calibri"/>
      <family val="2"/>
      <scheme val="minor"/>
    </font>
    <font>
      <sz val="11"/>
      <color rgb="FFC00000"/>
      <name val="Calibri"/>
      <family val="2"/>
      <scheme val="minor"/>
    </font>
    <font>
      <sz val="16"/>
      <color theme="1"/>
      <name val="Calibri"/>
      <family val="2"/>
      <scheme val="minor"/>
    </font>
    <font>
      <u/>
      <sz val="11"/>
      <color theme="0" tint="-0.14999847407452621"/>
      <name val="Calibri"/>
      <family val="2"/>
      <scheme val="minor"/>
    </font>
    <font>
      <b/>
      <sz val="11"/>
      <color theme="0"/>
      <name val="Calibri"/>
      <family val="2"/>
      <scheme val="minor"/>
    </font>
    <font>
      <b/>
      <sz val="16"/>
      <color rgb="FFFF0000"/>
      <name val="Calibri"/>
      <family val="2"/>
      <scheme val="minor"/>
    </font>
    <font>
      <sz val="16"/>
      <color theme="5" tint="-0.249977111117893"/>
      <name val="Calibri"/>
      <family val="2"/>
      <scheme val="minor"/>
    </font>
    <font>
      <sz val="11"/>
      <name val="Calibri"/>
      <family val="2"/>
      <scheme val="minor"/>
    </font>
    <font>
      <u/>
      <sz val="11"/>
      <color rgb="FFC00000"/>
      <name val="Calibri"/>
      <family val="2"/>
      <scheme val="minor"/>
    </font>
    <font>
      <b/>
      <sz val="11"/>
      <color theme="7" tint="-0.249977111117893"/>
      <name val="Calibri"/>
      <family val="2"/>
      <scheme val="minor"/>
    </font>
    <font>
      <sz val="11"/>
      <color theme="1" tint="0.499984740745262"/>
      <name val="Calibri"/>
      <family val="2"/>
      <scheme val="minor"/>
    </font>
    <font>
      <sz val="11"/>
      <color theme="0" tint="-4.9989318521683403E-2"/>
      <name val="Calibri"/>
      <family val="2"/>
      <scheme val="minor"/>
    </font>
    <font>
      <sz val="14"/>
      <color rgb="FF000044"/>
      <name val="Arial"/>
      <family val="2"/>
    </font>
    <font>
      <b/>
      <sz val="14"/>
      <color theme="1"/>
      <name val="Calibri"/>
      <family val="2"/>
      <scheme val="minor"/>
    </font>
    <font>
      <i/>
      <sz val="11"/>
      <color rgb="FFFF0000"/>
      <name val="Calibri"/>
      <family val="2"/>
      <scheme val="minor"/>
    </font>
    <font>
      <b/>
      <sz val="9"/>
      <color rgb="FF000000"/>
      <name val="Tahoma"/>
      <family val="2"/>
    </font>
    <font>
      <sz val="9"/>
      <color rgb="FF000000"/>
      <name val="Tahoma"/>
      <family val="2"/>
    </font>
    <font>
      <b/>
      <sz val="10"/>
      <color rgb="FF000000"/>
      <name val="Tahoma"/>
      <family val="2"/>
    </font>
    <font>
      <sz val="10"/>
      <color rgb="FF000000"/>
      <name val="Tahoma"/>
      <family val="2"/>
    </font>
    <font>
      <b/>
      <sz val="9"/>
      <color indexed="81"/>
      <name val="Tahoma"/>
      <family val="2"/>
    </font>
    <font>
      <sz val="9"/>
      <color indexed="81"/>
      <name val="Tahoma"/>
      <family val="2"/>
    </font>
  </fonts>
  <fills count="21">
    <fill>
      <patternFill patternType="none"/>
    </fill>
    <fill>
      <patternFill patternType="gray125"/>
    </fill>
    <fill>
      <patternFill patternType="solid">
        <fgColor theme="3" tint="0.39997558519241921"/>
        <bgColor indexed="64"/>
      </patternFill>
    </fill>
    <fill>
      <patternFill patternType="solid">
        <fgColor rgb="FFFF0000"/>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E2EA3D"/>
        <bgColor indexed="64"/>
      </patternFill>
    </fill>
    <fill>
      <patternFill patternType="solid">
        <fgColor rgb="FFFFC0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E697D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4">
    <xf numFmtId="0" fontId="0" fillId="0" borderId="0"/>
    <xf numFmtId="164" fontId="2" fillId="0" borderId="0" applyFont="0" applyFill="0" applyBorder="0" applyAlignment="0" applyProtection="0"/>
    <xf numFmtId="9" fontId="2" fillId="0" borderId="0" applyFont="0" applyFill="0" applyBorder="0" applyAlignment="0" applyProtection="0"/>
    <xf numFmtId="0" fontId="9" fillId="0" borderId="0" applyNumberFormat="0" applyFill="0" applyBorder="0" applyAlignment="0" applyProtection="0"/>
  </cellStyleXfs>
  <cellXfs count="136">
    <xf numFmtId="0" fontId="0" fillId="0" borderId="0" xfId="0"/>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0" xfId="0" applyFill="1"/>
    <xf numFmtId="0" fontId="0" fillId="3" borderId="0" xfId="0" applyFill="1"/>
    <xf numFmtId="0" fontId="4" fillId="4" borderId="0" xfId="0" applyFont="1" applyFill="1" applyAlignment="1">
      <alignment horizontal="center"/>
    </xf>
    <xf numFmtId="0" fontId="4" fillId="4" borderId="0" xfId="0" applyFont="1" applyFill="1" applyAlignment="1">
      <alignment horizontal="center"/>
    </xf>
    <xf numFmtId="0" fontId="0" fillId="5" borderId="0" xfId="0" applyFill="1"/>
    <xf numFmtId="0" fontId="0" fillId="0" borderId="0" xfId="0" applyAlignment="1">
      <alignment horizontal="left"/>
    </xf>
    <xf numFmtId="164" fontId="0" fillId="0" borderId="0" xfId="1" applyFont="1" applyFill="1"/>
    <xf numFmtId="0" fontId="5" fillId="0" borderId="0" xfId="0" applyFont="1"/>
    <xf numFmtId="0" fontId="4" fillId="0" borderId="0" xfId="0" applyFont="1"/>
    <xf numFmtId="0" fontId="6" fillId="0" borderId="0" xfId="0" applyFont="1"/>
    <xf numFmtId="14" fontId="0" fillId="0" borderId="0" xfId="0" applyNumberFormat="1"/>
    <xf numFmtId="165" fontId="0" fillId="0" borderId="0" xfId="0" applyNumberFormat="1"/>
    <xf numFmtId="0" fontId="0" fillId="6" borderId="0" xfId="0" applyFill="1"/>
    <xf numFmtId="0" fontId="0" fillId="6" borderId="0" xfId="0" applyFill="1" applyAlignment="1">
      <alignment horizontal="left"/>
    </xf>
    <xf numFmtId="14" fontId="0" fillId="6" borderId="0" xfId="0" applyNumberFormat="1" applyFill="1"/>
    <xf numFmtId="164" fontId="0" fillId="6" borderId="0" xfId="1" applyFont="1" applyFill="1"/>
    <xf numFmtId="164" fontId="7" fillId="6" borderId="0" xfId="0" applyNumberFormat="1" applyFont="1" applyFill="1"/>
    <xf numFmtId="2" fontId="0" fillId="6" borderId="0" xfId="0" applyNumberFormat="1" applyFill="1"/>
    <xf numFmtId="0" fontId="9" fillId="7" borderId="0" xfId="3" applyFill="1"/>
    <xf numFmtId="0" fontId="5" fillId="6" borderId="0" xfId="0" applyFont="1" applyFill="1"/>
    <xf numFmtId="0" fontId="10"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11" fillId="0" borderId="0" xfId="0" applyFont="1" applyAlignment="1">
      <alignment horizontal="left" vertical="top" wrapText="1"/>
    </xf>
    <xf numFmtId="0" fontId="13" fillId="0" borderId="0" xfId="3" applyFont="1"/>
    <xf numFmtId="0" fontId="14" fillId="0" borderId="0" xfId="3" applyFont="1"/>
    <xf numFmtId="0" fontId="9" fillId="0" borderId="0" xfId="3"/>
    <xf numFmtId="0" fontId="10" fillId="0" borderId="0" xfId="0" applyFont="1" applyAlignment="1">
      <alignment horizontal="left"/>
    </xf>
    <xf numFmtId="0" fontId="15" fillId="6" borderId="0" xfId="0" applyFont="1" applyFill="1"/>
    <xf numFmtId="0" fontId="9" fillId="0" borderId="0" xfId="3" applyAlignment="1">
      <alignment horizontal="left"/>
    </xf>
    <xf numFmtId="0" fontId="0" fillId="8" borderId="0" xfId="0" applyFill="1"/>
    <xf numFmtId="0" fontId="16" fillId="9" borderId="0" xfId="0" applyFont="1" applyFill="1" applyAlignment="1">
      <alignment horizontal="left"/>
    </xf>
    <xf numFmtId="0" fontId="17" fillId="9" borderId="0" xfId="0" applyFont="1" applyFill="1"/>
    <xf numFmtId="0" fontId="9" fillId="6" borderId="0" xfId="3" applyFill="1"/>
    <xf numFmtId="165" fontId="0" fillId="6" borderId="0" xfId="0" applyNumberFormat="1" applyFill="1"/>
    <xf numFmtId="166" fontId="0" fillId="6" borderId="0" xfId="0" applyNumberFormat="1" applyFill="1"/>
    <xf numFmtId="0" fontId="17" fillId="9" borderId="0" xfId="0" applyFont="1" applyFill="1" applyAlignment="1">
      <alignment horizontal="left"/>
    </xf>
    <xf numFmtId="0" fontId="0" fillId="8" borderId="0" xfId="0" applyFill="1" applyAlignment="1">
      <alignment horizontal="left" vertical="top" wrapText="1"/>
    </xf>
    <xf numFmtId="167" fontId="0" fillId="8" borderId="0" xfId="0" applyNumberFormat="1" applyFill="1"/>
    <xf numFmtId="0" fontId="0" fillId="0" borderId="0" xfId="0" applyAlignment="1">
      <alignment wrapText="1"/>
    </xf>
    <xf numFmtId="14" fontId="0" fillId="0" borderId="0" xfId="0" applyNumberFormat="1" applyAlignment="1">
      <alignment horizontal="left" vertical="top"/>
    </xf>
    <xf numFmtId="167" fontId="0" fillId="0" borderId="0" xfId="0" applyNumberFormat="1"/>
    <xf numFmtId="17" fontId="0" fillId="0" borderId="0" xfId="0" applyNumberFormat="1"/>
    <xf numFmtId="0" fontId="18" fillId="10" borderId="0" xfId="0" applyFont="1" applyFill="1" applyAlignment="1">
      <alignment horizontal="left" vertical="center" wrapText="1"/>
    </xf>
    <xf numFmtId="0" fontId="19" fillId="0" borderId="0" xfId="3" applyFont="1" applyFill="1"/>
    <xf numFmtId="0" fontId="20" fillId="6" borderId="0" xfId="0" applyFont="1" applyFill="1"/>
    <xf numFmtId="0" fontId="0" fillId="11" borderId="0" xfId="0" applyFill="1"/>
    <xf numFmtId="0" fontId="0" fillId="12" borderId="0" xfId="0" applyFill="1" applyAlignment="1">
      <alignment horizontal="left"/>
    </xf>
    <xf numFmtId="0" fontId="21" fillId="0" borderId="0" xfId="0" applyFont="1"/>
    <xf numFmtId="0" fontId="22" fillId="0" borderId="0" xfId="0" applyFont="1" applyAlignment="1">
      <alignment horizontal="left" vertical="top" wrapText="1"/>
    </xf>
    <xf numFmtId="14" fontId="10" fillId="6" borderId="0" xfId="0" applyNumberFormat="1" applyFont="1" applyFill="1" applyAlignment="1">
      <alignment horizontal="left"/>
    </xf>
    <xf numFmtId="0" fontId="0" fillId="7" borderId="0" xfId="0" applyFill="1" applyAlignment="1">
      <alignment horizontal="left"/>
    </xf>
    <xf numFmtId="14" fontId="9" fillId="7" borderId="0" xfId="3" applyNumberFormat="1" applyFill="1"/>
    <xf numFmtId="14" fontId="23" fillId="0" borderId="0" xfId="0" applyNumberFormat="1" applyFont="1" applyAlignment="1">
      <alignment horizontal="left" vertical="top"/>
    </xf>
    <xf numFmtId="0" fontId="15" fillId="0" borderId="0" xfId="0" applyFont="1"/>
    <xf numFmtId="14" fontId="10" fillId="0" borderId="0" xfId="0" applyNumberFormat="1" applyFont="1"/>
    <xf numFmtId="0" fontId="0" fillId="0" borderId="0" xfId="0" applyAlignment="1">
      <alignment horizontal="center" vertical="center"/>
    </xf>
    <xf numFmtId="0" fontId="0" fillId="12" borderId="0" xfId="0" applyFill="1"/>
    <xf numFmtId="0" fontId="10" fillId="0" borderId="0" xfId="0" applyFont="1"/>
    <xf numFmtId="0" fontId="24" fillId="0" borderId="0" xfId="3" applyFont="1" applyFill="1"/>
    <xf numFmtId="0" fontId="0" fillId="13" borderId="0" xfId="0" applyFill="1" applyAlignment="1">
      <alignment horizontal="left"/>
    </xf>
    <xf numFmtId="0" fontId="0" fillId="13" borderId="0" xfId="0" applyFill="1"/>
    <xf numFmtId="0" fontId="0" fillId="13" borderId="0" xfId="0" applyFill="1" applyAlignment="1">
      <alignment wrapText="1"/>
    </xf>
    <xf numFmtId="0" fontId="25" fillId="13" borderId="0" xfId="0" applyFont="1" applyFill="1" applyAlignment="1">
      <alignment vertical="center" wrapText="1"/>
    </xf>
    <xf numFmtId="0" fontId="25" fillId="13" borderId="0" xfId="0" applyFont="1" applyFill="1" applyAlignment="1">
      <alignment vertical="center"/>
    </xf>
    <xf numFmtId="168" fontId="25" fillId="13" borderId="0" xfId="0" applyNumberFormat="1" applyFont="1" applyFill="1" applyAlignment="1">
      <alignment vertical="center" wrapText="1"/>
    </xf>
    <xf numFmtId="44" fontId="25" fillId="13" borderId="0" xfId="0" applyNumberFormat="1" applyFont="1" applyFill="1" applyAlignment="1">
      <alignment vertical="center" wrapText="1"/>
    </xf>
    <xf numFmtId="10" fontId="25" fillId="13" borderId="0" xfId="2" applyNumberFormat="1" applyFont="1" applyFill="1" applyAlignment="1">
      <alignment vertical="center" wrapText="1"/>
    </xf>
    <xf numFmtId="0" fontId="0" fillId="6" borderId="0" xfId="0" applyFill="1" applyAlignment="1">
      <alignment wrapText="1"/>
    </xf>
    <xf numFmtId="0" fontId="20" fillId="14" borderId="0" xfId="0" applyFont="1" applyFill="1" applyAlignment="1">
      <alignment horizontal="left"/>
    </xf>
    <xf numFmtId="0" fontId="20" fillId="14" borderId="0" xfId="0" applyFont="1" applyFill="1"/>
    <xf numFmtId="0" fontId="20" fillId="14" borderId="0" xfId="0" applyFont="1" applyFill="1" applyAlignment="1">
      <alignment wrapText="1"/>
    </xf>
    <xf numFmtId="0" fontId="0" fillId="15" borderId="0" xfId="0" applyFill="1" applyAlignment="1">
      <alignment wrapText="1"/>
    </xf>
    <xf numFmtId="14" fontId="0" fillId="16" borderId="0" xfId="0" applyNumberFormat="1" applyFill="1" applyAlignment="1">
      <alignment horizontal="left"/>
    </xf>
    <xf numFmtId="44" fontId="0" fillId="0" borderId="0" xfId="0" applyNumberFormat="1"/>
    <xf numFmtId="14" fontId="0" fillId="0" borderId="0" xfId="0" applyNumberFormat="1" applyAlignment="1">
      <alignment horizontal="left"/>
    </xf>
    <xf numFmtId="4" fontId="0" fillId="0" borderId="0" xfId="0" applyNumberFormat="1"/>
    <xf numFmtId="8" fontId="0" fillId="0" borderId="0" xfId="0" applyNumberFormat="1"/>
    <xf numFmtId="44" fontId="0" fillId="0" borderId="0" xfId="0" applyNumberFormat="1" applyAlignment="1">
      <alignment wrapText="1"/>
    </xf>
    <xf numFmtId="164" fontId="0" fillId="0" borderId="0" xfId="1" applyFont="1"/>
    <xf numFmtId="39" fontId="0" fillId="0" borderId="0" xfId="0" applyNumberFormat="1"/>
    <xf numFmtId="14" fontId="23" fillId="0" borderId="0" xfId="0" applyNumberFormat="1" applyFont="1" applyAlignment="1">
      <alignment horizontal="left"/>
    </xf>
    <xf numFmtId="166" fontId="0" fillId="0" borderId="0" xfId="0" applyNumberFormat="1"/>
    <xf numFmtId="44" fontId="0" fillId="12" borderId="0" xfId="0" applyNumberFormat="1" applyFill="1"/>
    <xf numFmtId="14" fontId="0" fillId="17" borderId="0" xfId="0" applyNumberFormat="1" applyFill="1" applyAlignment="1">
      <alignment horizontal="left" vertical="top"/>
    </xf>
    <xf numFmtId="4" fontId="26" fillId="17" borderId="0" xfId="0" applyNumberFormat="1" applyFont="1" applyFill="1" applyAlignment="1">
      <alignment wrapText="1"/>
    </xf>
    <xf numFmtId="0" fontId="26" fillId="17" borderId="0" xfId="0" applyFont="1" applyFill="1"/>
    <xf numFmtId="166" fontId="26" fillId="17" borderId="0" xfId="0" applyNumberFormat="1" applyFont="1" applyFill="1"/>
    <xf numFmtId="0" fontId="26" fillId="17" borderId="0" xfId="0" applyFont="1" applyFill="1" applyAlignment="1">
      <alignment wrapText="1"/>
    </xf>
    <xf numFmtId="44" fontId="26" fillId="17" borderId="0" xfId="0" applyNumberFormat="1" applyFont="1" applyFill="1"/>
    <xf numFmtId="44" fontId="0" fillId="11" borderId="0" xfId="0" applyNumberFormat="1" applyFill="1"/>
    <xf numFmtId="4" fontId="26" fillId="0" borderId="0" xfId="0" applyNumberFormat="1" applyFont="1" applyAlignment="1">
      <alignment wrapText="1"/>
    </xf>
    <xf numFmtId="0" fontId="26" fillId="0" borderId="0" xfId="0" applyFont="1"/>
    <xf numFmtId="166" fontId="26" fillId="0" borderId="0" xfId="0" applyNumberFormat="1" applyFont="1"/>
    <xf numFmtId="0" fontId="26" fillId="0" borderId="0" xfId="0" applyFont="1" applyAlignment="1">
      <alignment wrapText="1"/>
    </xf>
    <xf numFmtId="44" fontId="26" fillId="12" borderId="0" xfId="0" applyNumberFormat="1" applyFont="1" applyFill="1"/>
    <xf numFmtId="4" fontId="0" fillId="0" borderId="0" xfId="0" applyNumberFormat="1" applyAlignment="1">
      <alignment wrapText="1"/>
    </xf>
    <xf numFmtId="14" fontId="27" fillId="0" borderId="0" xfId="0" applyNumberFormat="1" applyFont="1" applyAlignment="1">
      <alignment horizontal="left"/>
    </xf>
    <xf numFmtId="14" fontId="27" fillId="0" borderId="0" xfId="0" applyNumberFormat="1" applyFont="1" applyAlignment="1">
      <alignment horizontal="left" vertical="top"/>
    </xf>
    <xf numFmtId="164" fontId="0" fillId="0" borderId="0" xfId="0" applyNumberFormat="1"/>
    <xf numFmtId="2" fontId="0" fillId="0" borderId="0" xfId="0" applyNumberFormat="1"/>
    <xf numFmtId="164" fontId="5" fillId="0" borderId="0" xfId="1" applyFont="1"/>
    <xf numFmtId="0" fontId="5" fillId="0" borderId="0" xfId="0" applyFont="1" applyAlignment="1">
      <alignment horizontal="left"/>
    </xf>
    <xf numFmtId="0" fontId="5" fillId="0" borderId="0" xfId="0" applyFont="1" applyAlignment="1">
      <alignment wrapText="1"/>
    </xf>
    <xf numFmtId="0" fontId="5" fillId="2" borderId="0" xfId="0" applyFont="1" applyFill="1"/>
    <xf numFmtId="0" fontId="0" fillId="18" borderId="0" xfId="0" applyFill="1"/>
    <xf numFmtId="0" fontId="9" fillId="18" borderId="0" xfId="3" applyFill="1"/>
    <xf numFmtId="167" fontId="0" fillId="2" borderId="0" xfId="0" applyNumberFormat="1" applyFill="1"/>
    <xf numFmtId="164" fontId="2" fillId="15" borderId="0" xfId="1" applyFont="1" applyFill="1"/>
    <xf numFmtId="0" fontId="0" fillId="15" borderId="0" xfId="0" applyFill="1"/>
    <xf numFmtId="164" fontId="28" fillId="0" borderId="0" xfId="1" applyFont="1"/>
    <xf numFmtId="44" fontId="0" fillId="15" borderId="0" xfId="0" applyNumberFormat="1" applyFill="1"/>
    <xf numFmtId="164" fontId="0" fillId="15" borderId="0" xfId="1" applyFont="1" applyFill="1"/>
    <xf numFmtId="164" fontId="1" fillId="19" borderId="0" xfId="0" applyNumberFormat="1" applyFont="1" applyFill="1"/>
    <xf numFmtId="167" fontId="7" fillId="2" borderId="0" xfId="0" applyNumberFormat="1" applyFont="1" applyFill="1"/>
    <xf numFmtId="44" fontId="5" fillId="0" borderId="0" xfId="0" applyNumberFormat="1" applyFont="1"/>
    <xf numFmtId="44" fontId="0" fillId="19" borderId="0" xfId="0" applyNumberFormat="1" applyFill="1"/>
    <xf numFmtId="0" fontId="0" fillId="0" borderId="0" xfId="0" applyAlignment="1">
      <alignment horizontal="center" wrapText="1"/>
    </xf>
    <xf numFmtId="44" fontId="0" fillId="0" borderId="0" xfId="0" applyNumberFormat="1" applyAlignment="1">
      <alignment horizontal="left"/>
    </xf>
    <xf numFmtId="0" fontId="29" fillId="20" borderId="0" xfId="0" applyFont="1" applyFill="1"/>
    <xf numFmtId="0" fontId="0" fillId="20" borderId="0" xfId="0" applyFill="1"/>
    <xf numFmtId="0" fontId="0" fillId="0" borderId="0" xfId="0" applyAlignment="1">
      <alignment horizontal="left" wrapText="1"/>
    </xf>
    <xf numFmtId="0" fontId="30" fillId="0" borderId="0" xfId="0" applyFont="1" applyAlignment="1">
      <alignment horizontal="left"/>
    </xf>
    <xf numFmtId="0" fontId="5" fillId="20" borderId="0" xfId="0" applyFont="1" applyFill="1"/>
    <xf numFmtId="0" fontId="5" fillId="20" borderId="0" xfId="0" applyFont="1" applyFill="1" applyAlignment="1">
      <alignment wrapText="1"/>
    </xf>
    <xf numFmtId="169" fontId="0" fillId="20" borderId="0" xfId="1" applyNumberFormat="1" applyFont="1" applyFill="1"/>
    <xf numFmtId="169" fontId="0" fillId="20" borderId="0" xfId="0" applyNumberFormat="1" applyFill="1"/>
    <xf numFmtId="164" fontId="0" fillId="20" borderId="0" xfId="0" applyNumberFormat="1" applyFill="1"/>
    <xf numFmtId="0" fontId="0" fillId="0" borderId="0" xfId="0" applyAlignment="1">
      <alignment horizontal="left" vertical="center" wrapText="1"/>
    </xf>
    <xf numFmtId="169" fontId="0" fillId="0" borderId="0" xfId="0" applyNumberFormat="1"/>
    <xf numFmtId="14" fontId="29" fillId="0" borderId="0" xfId="0" applyNumberFormat="1" applyFont="1" applyAlignment="1">
      <alignment horizontal="left"/>
    </xf>
    <xf numFmtId="14" fontId="9" fillId="0" borderId="0" xfId="3" applyNumberFormat="1" applyAlignment="1">
      <alignment horizontal="left"/>
    </xf>
  </cellXfs>
  <cellStyles count="4">
    <cellStyle name="Currency" xfId="1" builtinId="4"/>
    <cellStyle name="Hyperlink" xfId="3"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'Pensions New'!$E$78</c:f>
              <c:strCache>
                <c:ptCount val="1"/>
                <c:pt idx="0">
                  <c:v>Pot</c:v>
                </c:pt>
              </c:strCache>
            </c:strRef>
          </c:tx>
          <c:spPr>
            <a:ln w="28575" cap="rnd">
              <a:solidFill>
                <a:schemeClr val="accent1"/>
              </a:solidFill>
              <a:round/>
            </a:ln>
            <a:effectLst/>
          </c:spPr>
          <c:marker>
            <c:symbol val="none"/>
          </c:marker>
          <c:trendline>
            <c:spPr>
              <a:ln w="22225" cap="rnd">
                <a:solidFill>
                  <a:srgbClr val="FF0000">
                    <a:alpha val="78165"/>
                  </a:srgbClr>
                </a:solidFill>
                <a:prstDash val="sysDot"/>
              </a:ln>
              <a:effectLst/>
            </c:spPr>
            <c:trendlineType val="linear"/>
            <c:dispRSqr val="0"/>
            <c:dispEq val="0"/>
          </c:trendline>
          <c:cat>
            <c:numRef>
              <c:f>'Pensions New'!$D$79:$D$103</c:f>
              <c:numCache>
                <c:formatCode>m/d/yy</c:formatCode>
                <c:ptCount val="25"/>
                <c:pt idx="0">
                  <c:v>42585</c:v>
                </c:pt>
                <c:pt idx="1">
                  <c:v>42686</c:v>
                </c:pt>
                <c:pt idx="2">
                  <c:v>42954</c:v>
                </c:pt>
                <c:pt idx="3">
                  <c:v>43025</c:v>
                </c:pt>
                <c:pt idx="4">
                  <c:v>43098</c:v>
                </c:pt>
                <c:pt idx="5">
                  <c:v>43242</c:v>
                </c:pt>
                <c:pt idx="6">
                  <c:v>43408</c:v>
                </c:pt>
                <c:pt idx="7">
                  <c:v>43519</c:v>
                </c:pt>
                <c:pt idx="8">
                  <c:v>43794</c:v>
                </c:pt>
                <c:pt idx="9">
                  <c:v>44405</c:v>
                </c:pt>
                <c:pt idx="10">
                  <c:v>44508</c:v>
                </c:pt>
                <c:pt idx="11">
                  <c:v>44608</c:v>
                </c:pt>
                <c:pt idx="12">
                  <c:v>45291</c:v>
                </c:pt>
                <c:pt idx="13">
                  <c:v>45367</c:v>
                </c:pt>
                <c:pt idx="14">
                  <c:v>45374</c:v>
                </c:pt>
                <c:pt idx="15">
                  <c:v>45424</c:v>
                </c:pt>
                <c:pt idx="16">
                  <c:v>45508</c:v>
                </c:pt>
                <c:pt idx="17">
                  <c:v>45550</c:v>
                </c:pt>
                <c:pt idx="18">
                  <c:v>45564</c:v>
                </c:pt>
                <c:pt idx="19">
                  <c:v>45599</c:v>
                </c:pt>
                <c:pt idx="20">
                  <c:v>45668</c:v>
                </c:pt>
                <c:pt idx="21">
                  <c:v>45690</c:v>
                </c:pt>
                <c:pt idx="22">
                  <c:v>45744</c:v>
                </c:pt>
                <c:pt idx="23">
                  <c:v>45799</c:v>
                </c:pt>
                <c:pt idx="24">
                  <c:v>45835</c:v>
                </c:pt>
              </c:numCache>
            </c:numRef>
          </c:cat>
          <c:val>
            <c:numRef>
              <c:f>'Pensions New'!$E$79:$E$103</c:f>
              <c:numCache>
                <c:formatCode>_("£"* #,##0.00_);_("£"* \(#,##0.00\);_("£"* "-"??_);_(@_)</c:formatCode>
                <c:ptCount val="25"/>
                <c:pt idx="0" formatCode="_-&quot;£&quot;* #,##0.00_-;\-&quot;£&quot;* #,##0.00_-;_-&quot;£&quot;* &quot;-&quot;??_-;_-@_-">
                  <c:v>178034.54</c:v>
                </c:pt>
                <c:pt idx="1">
                  <c:v>185133.31999999998</c:v>
                </c:pt>
                <c:pt idx="2">
                  <c:v>213766.66</c:v>
                </c:pt>
                <c:pt idx="3">
                  <c:v>218259.43000000002</c:v>
                </c:pt>
                <c:pt idx="4">
                  <c:v>225196.09</c:v>
                </c:pt>
                <c:pt idx="5">
                  <c:v>232554.53</c:v>
                </c:pt>
                <c:pt idx="6">
                  <c:v>230648.57</c:v>
                </c:pt>
                <c:pt idx="7">
                  <c:v>237183.31</c:v>
                </c:pt>
                <c:pt idx="8">
                  <c:v>257074.66</c:v>
                </c:pt>
                <c:pt idx="9">
                  <c:v>302044.46999999997</c:v>
                </c:pt>
                <c:pt idx="10">
                  <c:v>315837.31</c:v>
                </c:pt>
                <c:pt idx="11">
                  <c:v>308347.53999999998</c:v>
                </c:pt>
                <c:pt idx="12">
                  <c:v>328710.88</c:v>
                </c:pt>
                <c:pt idx="13">
                  <c:v>342627.06</c:v>
                </c:pt>
                <c:pt idx="14">
                  <c:v>350651.86</c:v>
                </c:pt>
                <c:pt idx="15">
                  <c:v>353984.25</c:v>
                </c:pt>
                <c:pt idx="16">
                  <c:v>361244.29</c:v>
                </c:pt>
                <c:pt idx="17">
                  <c:v>364060.39</c:v>
                </c:pt>
                <c:pt idx="18">
                  <c:v>370242.96</c:v>
                </c:pt>
                <c:pt idx="19">
                  <c:v>373801.69</c:v>
                </c:pt>
                <c:pt idx="20">
                  <c:v>393223.06</c:v>
                </c:pt>
                <c:pt idx="21">
                  <c:v>400034.48</c:v>
                </c:pt>
                <c:pt idx="22">
                  <c:v>377474.97</c:v>
                </c:pt>
                <c:pt idx="23">
                  <c:v>382737.35999999993</c:v>
                </c:pt>
                <c:pt idx="24">
                  <c:v>385986.03</c:v>
                </c:pt>
              </c:numCache>
            </c:numRef>
          </c:val>
          <c:smooth val="0"/>
          <c:extLst>
            <c:ext xmlns:c16="http://schemas.microsoft.com/office/drawing/2014/chart" uri="{C3380CC4-5D6E-409C-BE32-E72D297353CC}">
              <c16:uniqueId val="{00000001-8A37-264B-8B18-85E80A8C12FE}"/>
            </c:ext>
          </c:extLst>
        </c:ser>
        <c:dLbls>
          <c:showLegendKey val="0"/>
          <c:showVal val="0"/>
          <c:showCatName val="0"/>
          <c:showSerName val="0"/>
          <c:showPercent val="0"/>
          <c:showBubbleSize val="0"/>
        </c:dLbls>
        <c:smooth val="0"/>
        <c:axId val="1691519248"/>
        <c:axId val="1930534992"/>
      </c:lineChart>
      <c:dateAx>
        <c:axId val="1691519248"/>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534992"/>
        <c:crosses val="autoZero"/>
        <c:auto val="1"/>
        <c:lblOffset val="100"/>
        <c:baseTimeUnit val="months"/>
        <c:majorUnit val="3"/>
        <c:majorTimeUnit val="months"/>
      </c:dateAx>
      <c:valAx>
        <c:axId val="19305349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19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644236</xdr:colOff>
      <xdr:row>61</xdr:row>
      <xdr:rowOff>13856</xdr:rowOff>
    </xdr:from>
    <xdr:to>
      <xdr:col>12</xdr:col>
      <xdr:colOff>700618</xdr:colOff>
      <xdr:row>75</xdr:row>
      <xdr:rowOff>9238</xdr:rowOff>
    </xdr:to>
    <xdr:graphicFrame macro="">
      <xdr:nvGraphicFramePr>
        <xdr:cNvPr id="2" name="Chart 1">
          <a:extLst>
            <a:ext uri="{FF2B5EF4-FFF2-40B4-BE49-F238E27FC236}">
              <a16:creationId xmlns:a16="http://schemas.microsoft.com/office/drawing/2014/main" id="{8C5E4D32-A07E-404E-9414-B37305176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755650</xdr:colOff>
      <xdr:row>66</xdr:row>
      <xdr:rowOff>148167</xdr:rowOff>
    </xdr:from>
    <xdr:to>
      <xdr:col>22</xdr:col>
      <xdr:colOff>829733</xdr:colOff>
      <xdr:row>74</xdr:row>
      <xdr:rowOff>182734</xdr:rowOff>
    </xdr:to>
    <xdr:pic>
      <xdr:nvPicPr>
        <xdr:cNvPr id="3" name="Picture 2">
          <a:extLst>
            <a:ext uri="{FF2B5EF4-FFF2-40B4-BE49-F238E27FC236}">
              <a16:creationId xmlns:a16="http://schemas.microsoft.com/office/drawing/2014/main" id="{76D97965-E046-3F43-958A-34508C5B9ECB}"/>
            </a:ext>
          </a:extLst>
        </xdr:cNvPr>
        <xdr:cNvPicPr>
          <a:picLocks noChangeAspect="1"/>
        </xdr:cNvPicPr>
      </xdr:nvPicPr>
      <xdr:blipFill>
        <a:blip xmlns:r="http://schemas.openxmlformats.org/officeDocument/2006/relationships" r:embed="rId2"/>
        <a:stretch>
          <a:fillRect/>
        </a:stretch>
      </xdr:blipFill>
      <xdr:spPr>
        <a:xfrm>
          <a:off x="15894050" y="17483667"/>
          <a:ext cx="5090583" cy="1558567"/>
        </a:xfrm>
        <a:prstGeom prst="rect">
          <a:avLst/>
        </a:prstGeom>
      </xdr:spPr>
    </xdr:pic>
    <xdr:clientData/>
  </xdr:twoCellAnchor>
  <xdr:twoCellAnchor editAs="oneCell">
    <xdr:from>
      <xdr:col>3</xdr:col>
      <xdr:colOff>889000</xdr:colOff>
      <xdr:row>9</xdr:row>
      <xdr:rowOff>23091</xdr:rowOff>
    </xdr:from>
    <xdr:to>
      <xdr:col>11</xdr:col>
      <xdr:colOff>839355</xdr:colOff>
      <xdr:row>14</xdr:row>
      <xdr:rowOff>569576</xdr:rowOff>
    </xdr:to>
    <xdr:pic>
      <xdr:nvPicPr>
        <xdr:cNvPr id="4" name="Picture 3">
          <a:extLst>
            <a:ext uri="{FF2B5EF4-FFF2-40B4-BE49-F238E27FC236}">
              <a16:creationId xmlns:a16="http://schemas.microsoft.com/office/drawing/2014/main" id="{97C35ADF-6EAD-894E-A930-D73E89E23C75}"/>
            </a:ext>
          </a:extLst>
        </xdr:cNvPr>
        <xdr:cNvPicPr>
          <a:picLocks noChangeAspect="1"/>
        </xdr:cNvPicPr>
      </xdr:nvPicPr>
      <xdr:blipFill>
        <a:blip xmlns:r="http://schemas.openxmlformats.org/officeDocument/2006/relationships" r:embed="rId3"/>
        <a:stretch>
          <a:fillRect/>
        </a:stretch>
      </xdr:blipFill>
      <xdr:spPr>
        <a:xfrm>
          <a:off x="2984500" y="3998191"/>
          <a:ext cx="7773555" cy="15751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gillianbc/Library/Mobile%20Documents/com~apple~CloudDocs/My%20Documents/accounts.xlsx" TargetMode="External"/><Relationship Id="rId1" Type="http://schemas.openxmlformats.org/officeDocument/2006/relationships/externalLinkPath" Target="/Users/gillianbc/Library/Mobile%20Documents/com~apple~CloudDocs/My%20Documents/accou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y-July 11"/>
      <sheetName val="Transactions"/>
      <sheetName val="In And Out"/>
      <sheetName val="scrap"/>
      <sheetName val="Monthly Summary"/>
      <sheetName val="House Move"/>
      <sheetName val="Nationwide"/>
      <sheetName val="Mazda"/>
      <sheetName val="Premium Bonds"/>
      <sheetName val="Planning"/>
      <sheetName val="Pensions New"/>
      <sheetName val="Pension Options"/>
      <sheetName val="My Pension Funds"/>
      <sheetName val="Fund Choices"/>
      <sheetName val="Pensions Old"/>
      <sheetName val="Logins"/>
    </sheetNames>
    <sheetDataSet>
      <sheetData sheetId="0"/>
      <sheetData sheetId="1"/>
      <sheetData sheetId="2"/>
      <sheetData sheetId="3"/>
      <sheetData sheetId="4">
        <row r="68">
          <cell r="I68">
            <v>11250</v>
          </cell>
        </row>
      </sheetData>
      <sheetData sheetId="5">
        <row r="16">
          <cell r="D16">
            <v>430419.5</v>
          </cell>
        </row>
      </sheetData>
      <sheetData sheetId="6">
        <row r="3">
          <cell r="T3">
            <v>41721648998</v>
          </cell>
        </row>
        <row r="4">
          <cell r="T4">
            <v>60821253055</v>
          </cell>
        </row>
        <row r="5">
          <cell r="T5">
            <v>60821254058</v>
          </cell>
        </row>
      </sheetData>
      <sheetData sheetId="7"/>
      <sheetData sheetId="8"/>
      <sheetData sheetId="9"/>
      <sheetData sheetId="10">
        <row r="78">
          <cell r="E78" t="str">
            <v>Pot</v>
          </cell>
        </row>
        <row r="79">
          <cell r="D79">
            <v>42585</v>
          </cell>
          <cell r="E79">
            <v>178034.54</v>
          </cell>
        </row>
        <row r="80">
          <cell r="D80">
            <v>42686</v>
          </cell>
          <cell r="E80">
            <v>185133.31999999998</v>
          </cell>
        </row>
        <row r="81">
          <cell r="D81">
            <v>42954</v>
          </cell>
          <cell r="E81">
            <v>213766.66</v>
          </cell>
        </row>
        <row r="82">
          <cell r="D82">
            <v>43025</v>
          </cell>
          <cell r="E82">
            <v>218259.43000000002</v>
          </cell>
        </row>
        <row r="83">
          <cell r="D83">
            <v>43098</v>
          </cell>
          <cell r="E83">
            <v>225196.09</v>
          </cell>
        </row>
        <row r="84">
          <cell r="D84">
            <v>43242</v>
          </cell>
          <cell r="E84">
            <v>232554.53</v>
          </cell>
        </row>
        <row r="85">
          <cell r="D85">
            <v>43408</v>
          </cell>
          <cell r="E85">
            <v>230648.57</v>
          </cell>
        </row>
        <row r="86">
          <cell r="D86">
            <v>43519</v>
          </cell>
          <cell r="E86">
            <v>237183.31</v>
          </cell>
        </row>
        <row r="87">
          <cell r="D87">
            <v>43794</v>
          </cell>
          <cell r="E87">
            <v>257074.66</v>
          </cell>
        </row>
        <row r="88">
          <cell r="D88">
            <v>44405</v>
          </cell>
          <cell r="E88">
            <v>302044.46999999997</v>
          </cell>
        </row>
        <row r="89">
          <cell r="D89">
            <v>44508</v>
          </cell>
          <cell r="E89">
            <v>315837.31</v>
          </cell>
        </row>
        <row r="90">
          <cell r="D90">
            <v>44608</v>
          </cell>
          <cell r="E90">
            <v>308347.53999999998</v>
          </cell>
        </row>
        <row r="91">
          <cell r="D91">
            <v>45291</v>
          </cell>
          <cell r="E91">
            <v>328710.88</v>
          </cell>
        </row>
        <row r="92">
          <cell r="D92">
            <v>45367</v>
          </cell>
          <cell r="E92">
            <v>342627.06</v>
          </cell>
        </row>
        <row r="93">
          <cell r="D93">
            <v>45374</v>
          </cell>
          <cell r="E93">
            <v>350651.86</v>
          </cell>
        </row>
        <row r="94">
          <cell r="D94">
            <v>45424</v>
          </cell>
          <cell r="E94">
            <v>353984.25</v>
          </cell>
        </row>
        <row r="95">
          <cell r="D95">
            <v>45508</v>
          </cell>
          <cell r="E95">
            <v>361244.29</v>
          </cell>
        </row>
        <row r="96">
          <cell r="D96">
            <v>45550</v>
          </cell>
          <cell r="E96">
            <v>364060.39</v>
          </cell>
        </row>
        <row r="97">
          <cell r="D97">
            <v>45564</v>
          </cell>
          <cell r="E97">
            <v>370242.96</v>
          </cell>
        </row>
        <row r="98">
          <cell r="D98">
            <v>45599</v>
          </cell>
          <cell r="E98">
            <v>373801.69</v>
          </cell>
        </row>
        <row r="99">
          <cell r="D99">
            <v>45668</v>
          </cell>
          <cell r="E99">
            <v>393223.06</v>
          </cell>
        </row>
        <row r="100">
          <cell r="D100">
            <v>45690</v>
          </cell>
          <cell r="E100">
            <v>400034.48</v>
          </cell>
        </row>
        <row r="101">
          <cell r="D101">
            <v>45744</v>
          </cell>
          <cell r="E101">
            <v>377474.97</v>
          </cell>
        </row>
        <row r="102">
          <cell r="D102">
            <v>45799</v>
          </cell>
          <cell r="E102">
            <v>382737.35999999993</v>
          </cell>
        </row>
        <row r="103">
          <cell r="D103">
            <v>45835</v>
          </cell>
          <cell r="E103">
            <v>385986.03</v>
          </cell>
        </row>
      </sheetData>
      <sheetData sheetId="11">
        <row r="13">
          <cell r="F13">
            <v>11973</v>
          </cell>
        </row>
        <row r="15">
          <cell r="C15">
            <v>425000</v>
          </cell>
        </row>
        <row r="16">
          <cell r="C16">
            <v>74000</v>
          </cell>
        </row>
        <row r="17">
          <cell r="C17">
            <v>23000</v>
          </cell>
          <cell r="G17">
            <v>5000</v>
          </cell>
        </row>
        <row r="18">
          <cell r="C18">
            <v>12570</v>
          </cell>
        </row>
        <row r="19">
          <cell r="C19">
            <v>0.2</v>
          </cell>
        </row>
        <row r="20">
          <cell r="C20">
            <v>16760</v>
          </cell>
        </row>
        <row r="21">
          <cell r="C21">
            <v>0.04</v>
          </cell>
        </row>
        <row r="22">
          <cell r="C22">
            <v>0.75</v>
          </cell>
        </row>
      </sheetData>
      <sheetData sheetId="12"/>
      <sheetData sheetId="13">
        <row r="4">
          <cell r="I4">
            <v>10000</v>
          </cell>
        </row>
      </sheetData>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gszemeti@gmail.com" TargetMode="External"/><Relationship Id="rId13" Type="http://schemas.openxmlformats.org/officeDocument/2006/relationships/hyperlink" Target="https://www.aviva.co.uk/help-and-support/contact-us/retirement-email-enquiries/retirement-general-enquiries/" TargetMode="External"/><Relationship Id="rId18" Type="http://schemas.openxmlformats.org/officeDocument/2006/relationships/hyperlink" Target="https://online.standardlife.com/secure/customer-authentication-client/customer/login" TargetMode="External"/><Relationship Id="rId3" Type="http://schemas.openxmlformats.org/officeDocument/2006/relationships/hyperlink" Target="https://my-plans.friendslife.co.uk/log/login.html" TargetMode="External"/><Relationship Id="rId21" Type="http://schemas.openxmlformats.org/officeDocument/2006/relationships/vmlDrawing" Target="../drawings/vmlDrawing1.vml"/><Relationship Id="rId7" Type="http://schemas.openxmlformats.org/officeDocument/2006/relationships/hyperlink" Target="https://online.standardlife.com/secure/customer-authentication-client/customer/login" TargetMode="External"/><Relationship Id="rId12" Type="http://schemas.openxmlformats.org/officeDocument/2006/relationships/hyperlink" Target="https://www.aviva.co.uk/help-and-support/contact-us/retirement-email-enquiries/retirement-general-enquiries/" TargetMode="External"/><Relationship Id="rId17" Type="http://schemas.openxmlformats.org/officeDocument/2006/relationships/hyperlink" Target="https://www.ajbell.co.uk/platform/overview" TargetMode="External"/><Relationship Id="rId2" Type="http://schemas.openxmlformats.org/officeDocument/2006/relationships/hyperlink" Target="https://www.direct.aviva.co.uk/MyPortfolio/Policies" TargetMode="External"/><Relationship Id="rId16" Type="http://schemas.openxmlformats.org/officeDocument/2006/relationships/hyperlink" Target="https://www.aviva.co.uk/help-and-support/contact-us/retirement-email-enquiries/retirement-general-enquiries/" TargetMode="External"/><Relationship Id="rId20" Type="http://schemas.openxmlformats.org/officeDocument/2006/relationships/drawing" Target="../drawings/drawing1.xml"/><Relationship Id="rId1" Type="http://schemas.openxmlformats.org/officeDocument/2006/relationships/hyperlink" Target="mailto:service_gp@standardlife.com" TargetMode="External"/><Relationship Id="rId6" Type="http://schemas.openxmlformats.org/officeDocument/2006/relationships/hyperlink" Target="https://retiready.co.uk/secure/savings.html" TargetMode="External"/><Relationship Id="rId11" Type="http://schemas.openxmlformats.org/officeDocument/2006/relationships/hyperlink" Target="https://extranet.secure.aegon.co.uk/prweb/ContactUs/app/WEBFW_/Tw4fJytSK0iiHJGrOpTD1A*/!STANDARD" TargetMode="External"/><Relationship Id="rId5" Type="http://schemas.openxmlformats.org/officeDocument/2006/relationships/hyperlink" Target="https://www.standardlife.co.uk/c1/login.page" TargetMode="External"/><Relationship Id="rId15" Type="http://schemas.openxmlformats.org/officeDocument/2006/relationships/hyperlink" Target="https://chatgpt.com/s/t_6876cb6451708191a0a959347e010c3f" TargetMode="External"/><Relationship Id="rId10" Type="http://schemas.openxmlformats.org/officeDocument/2006/relationships/hyperlink" Target="https://www.tax.service.gov.uk/check-your-state-pension/account" TargetMode="External"/><Relationship Id="rId19" Type="http://schemas.openxmlformats.org/officeDocument/2006/relationships/printerSettings" Target="../printerSettings/printerSettings1.bin"/><Relationship Id="rId4" Type="http://schemas.openxmlformats.org/officeDocument/2006/relationships/hyperlink" Target="http://www.scottishwidows.co.uk/global/log_in_or_register.html" TargetMode="External"/><Relationship Id="rId9" Type="http://schemas.openxmlformats.org/officeDocument/2006/relationships/hyperlink" Target="https://www.legalandgeneral.com/retirement/retirement-income-calculator/" TargetMode="External"/><Relationship Id="rId14" Type="http://schemas.openxmlformats.org/officeDocument/2006/relationships/hyperlink" Target="https://online.standardlife.com/secure/customer-authentication-client/customer/login"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67DAC-C132-3F4A-8BC2-6053F897E210}">
  <sheetPr>
    <tabColor rgb="FF00B0F0"/>
  </sheetPr>
  <dimension ref="A1:CN171"/>
  <sheetViews>
    <sheetView tabSelected="1" zoomScaleNormal="100" workbookViewId="0">
      <selection activeCell="O25" sqref="O25"/>
    </sheetView>
  </sheetViews>
  <sheetFormatPr baseColWidth="10" defaultColWidth="8.83203125" defaultRowHeight="15" x14ac:dyDescent="0.2"/>
  <cols>
    <col min="1" max="1" width="10.5" bestFit="1" customWidth="1"/>
    <col min="2" max="2" width="12.6640625" customWidth="1"/>
    <col min="3" max="3" width="4.33203125" style="3" customWidth="1"/>
    <col min="4" max="4" width="11.83203125" style="8" customWidth="1"/>
    <col min="5" max="5" width="15.5" customWidth="1"/>
    <col min="6" max="6" width="13.1640625" customWidth="1"/>
    <col min="7" max="9" width="12.83203125" customWidth="1"/>
    <col min="10" max="10" width="12.5" bestFit="1" customWidth="1"/>
    <col min="11" max="11" width="11.1640625" customWidth="1"/>
    <col min="12" max="12" width="11.5" bestFit="1" customWidth="1"/>
    <col min="13" max="13" width="13.1640625" customWidth="1"/>
    <col min="14" max="14" width="4.33203125" style="3" customWidth="1"/>
    <col min="15" max="26" width="13.1640625" customWidth="1"/>
    <col min="27" max="27" width="4.33203125" style="3" customWidth="1"/>
    <col min="28" max="28" width="12" customWidth="1"/>
    <col min="29" max="32" width="15.5" customWidth="1"/>
    <col min="33" max="33" width="10.6640625" customWidth="1"/>
    <col min="34" max="34" width="14.33203125" customWidth="1"/>
    <col min="35" max="35" width="11.5" customWidth="1"/>
    <col min="36" max="36" width="8.83203125" customWidth="1"/>
    <col min="37" max="37" width="10.6640625" customWidth="1"/>
    <col min="38" max="38" width="4.33203125" style="3" customWidth="1"/>
    <col min="39" max="39" width="14.33203125" style="8" customWidth="1"/>
    <col min="40" max="40" width="18.6640625" bestFit="1" customWidth="1"/>
    <col min="41" max="41" width="15.1640625" customWidth="1"/>
    <col min="42" max="42" width="12.5" customWidth="1"/>
    <col min="43" max="43" width="10.6640625" bestFit="1" customWidth="1"/>
    <col min="44" max="44" width="9.33203125" customWidth="1"/>
    <col min="45" max="45" width="12" customWidth="1"/>
    <col min="46" max="46" width="4.33203125" style="3" customWidth="1"/>
    <col min="47" max="47" width="17.1640625" customWidth="1"/>
    <col min="48" max="48" width="12.5" customWidth="1"/>
    <col min="49" max="49" width="14" customWidth="1"/>
    <col min="50" max="50" width="12.33203125" customWidth="1"/>
    <col min="51" max="51" width="12.83203125" customWidth="1"/>
    <col min="52" max="52" width="10.5" customWidth="1"/>
    <col min="54" max="54" width="12.33203125" customWidth="1"/>
    <col min="55" max="55" width="9.6640625" customWidth="1"/>
    <col min="56" max="56" width="15.1640625" customWidth="1"/>
    <col min="57" max="57" width="4.33203125" style="3" customWidth="1"/>
    <col min="58" max="58" width="17.33203125" customWidth="1"/>
    <col min="59" max="59" width="13" customWidth="1"/>
    <col min="60" max="60" width="11.6640625" customWidth="1"/>
    <col min="61" max="61" width="10.33203125" customWidth="1"/>
    <col min="62" max="62" width="10.1640625" customWidth="1"/>
    <col min="65" max="65" width="4.33203125" style="3" customWidth="1"/>
    <col min="66" max="66" width="16.83203125" customWidth="1"/>
    <col min="67" max="67" width="12.33203125" customWidth="1"/>
    <col min="68" max="68" width="12.1640625" customWidth="1"/>
    <col min="73" max="73" width="4.33203125" style="3" customWidth="1"/>
    <col min="77" max="77" width="10.5" bestFit="1" customWidth="1"/>
    <col min="78" max="78" width="13" customWidth="1"/>
    <col min="87" max="87" width="12.1640625" customWidth="1"/>
  </cols>
  <sheetData>
    <row r="1" spans="1:92" ht="68"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2"/>
      <c r="AE1" s="2"/>
      <c r="AF1" s="2"/>
      <c r="AM1" s="4" t="s">
        <v>0</v>
      </c>
      <c r="AU1" s="4" t="s">
        <v>0</v>
      </c>
      <c r="BF1" s="4" t="s">
        <v>0</v>
      </c>
    </row>
    <row r="2" spans="1:92" ht="19" x14ac:dyDescent="0.25">
      <c r="D2" s="5" t="s">
        <v>1</v>
      </c>
      <c r="E2" s="5"/>
      <c r="F2" s="5"/>
      <c r="G2" s="5"/>
      <c r="H2" s="5"/>
      <c r="I2" s="5"/>
      <c r="J2" s="5"/>
      <c r="K2" s="5"/>
      <c r="L2" s="5"/>
      <c r="M2" s="5"/>
      <c r="O2" s="5" t="s">
        <v>2</v>
      </c>
      <c r="P2" s="5"/>
      <c r="Q2" s="5"/>
      <c r="R2" s="5"/>
      <c r="S2" s="5"/>
      <c r="T2" s="5"/>
      <c r="U2" s="5"/>
      <c r="V2" s="5"/>
      <c r="W2" s="5"/>
      <c r="X2" s="5"/>
      <c r="Y2" s="6"/>
      <c r="Z2" s="6"/>
      <c r="AB2" s="5" t="s">
        <v>3</v>
      </c>
      <c r="AC2" s="5"/>
      <c r="AD2" s="5"/>
      <c r="AE2" s="5"/>
      <c r="AF2" s="5"/>
      <c r="AG2" s="5"/>
      <c r="AH2" s="5"/>
      <c r="AI2" s="5"/>
      <c r="AJ2" s="5"/>
      <c r="AK2" s="5"/>
      <c r="AM2" s="5" t="s">
        <v>4</v>
      </c>
      <c r="AN2" s="5"/>
      <c r="AO2" s="5"/>
      <c r="AP2" s="5"/>
      <c r="AQ2" s="5"/>
      <c r="AR2" s="5"/>
      <c r="AS2" s="5"/>
      <c r="AU2" s="5" t="s">
        <v>5</v>
      </c>
      <c r="AV2" s="5"/>
      <c r="AW2" s="5"/>
      <c r="AX2" s="5"/>
      <c r="AY2" s="5"/>
      <c r="AZ2" s="5"/>
      <c r="BA2" s="5"/>
      <c r="BB2" s="5"/>
      <c r="BC2" s="5"/>
      <c r="BD2" s="5"/>
      <c r="BF2" s="5" t="s">
        <v>6</v>
      </c>
      <c r="BG2" s="5"/>
      <c r="BH2" s="5"/>
      <c r="BI2" s="5"/>
      <c r="BJ2" s="5"/>
      <c r="BK2" s="5"/>
      <c r="BL2" s="5"/>
      <c r="BN2" s="5" t="s">
        <v>7</v>
      </c>
      <c r="BO2" s="5"/>
      <c r="BP2" s="5"/>
      <c r="BQ2" s="5"/>
      <c r="BR2" s="5"/>
      <c r="BS2" s="5"/>
      <c r="BT2" s="5"/>
      <c r="BV2" s="5" t="s">
        <v>8</v>
      </c>
      <c r="BW2" s="5"/>
      <c r="BX2" s="5"/>
      <c r="BY2" s="5"/>
      <c r="BZ2" s="5"/>
      <c r="CA2" s="5"/>
      <c r="CB2" s="5"/>
      <c r="CC2" s="5"/>
      <c r="CD2" s="5"/>
      <c r="CE2" s="7"/>
      <c r="CF2" s="7"/>
      <c r="CG2" s="7"/>
      <c r="CH2" s="5" t="s">
        <v>9</v>
      </c>
      <c r="CI2" s="5"/>
      <c r="CJ2" s="5"/>
      <c r="CK2" s="5"/>
      <c r="CL2" s="5"/>
      <c r="CM2" s="5"/>
      <c r="CN2" s="5"/>
    </row>
    <row r="3" spans="1:92" ht="19" x14ac:dyDescent="0.25">
      <c r="D3" s="8" t="s">
        <v>10</v>
      </c>
      <c r="E3" t="s">
        <v>11</v>
      </c>
      <c r="H3" s="4" t="s">
        <v>0</v>
      </c>
      <c r="O3" s="8" t="s">
        <v>10</v>
      </c>
      <c r="P3" t="s">
        <v>12</v>
      </c>
      <c r="AM3" s="8" t="s">
        <v>13</v>
      </c>
      <c r="AQ3" s="9"/>
      <c r="AU3" s="10"/>
      <c r="BF3" s="11"/>
      <c r="BG3" s="12"/>
      <c r="BI3" s="13"/>
      <c r="BJ3" s="14"/>
      <c r="BN3" s="15" t="s">
        <v>14</v>
      </c>
      <c r="BO3" s="15" t="s">
        <v>15</v>
      </c>
      <c r="BP3" s="15"/>
      <c r="BQ3" s="15"/>
      <c r="BR3" s="15"/>
      <c r="BS3" s="15"/>
      <c r="BT3" s="15"/>
      <c r="BV3" s="15"/>
      <c r="BW3" s="16">
        <v>9152075</v>
      </c>
      <c r="BX3" s="16"/>
      <c r="BY3" s="17">
        <v>42153</v>
      </c>
      <c r="BZ3" s="18">
        <v>2834.8</v>
      </c>
      <c r="CA3" s="15">
        <v>0</v>
      </c>
      <c r="CB3" s="19">
        <f>BZ3-BZ4-CA3</f>
        <v>-10.369999999999891</v>
      </c>
      <c r="CC3" s="20">
        <f>100*CB3/BZ4</f>
        <v>-0.36447734230291656</v>
      </c>
      <c r="CD3" s="15">
        <f>BY3-BY4</f>
        <v>309</v>
      </c>
      <c r="CE3" s="15"/>
      <c r="CF3" s="15">
        <f>IF(CE3="Y",BZ3,0)</f>
        <v>0</v>
      </c>
      <c r="CG3" s="15" t="s">
        <v>16</v>
      </c>
      <c r="CH3" t="s">
        <v>9</v>
      </c>
      <c r="CI3" s="8" t="s">
        <v>17</v>
      </c>
      <c r="CJ3" s="8"/>
    </row>
    <row r="4" spans="1:92" ht="19" x14ac:dyDescent="0.25">
      <c r="D4" s="8" t="s">
        <v>18</v>
      </c>
      <c r="E4" t="s">
        <v>19</v>
      </c>
      <c r="O4" s="8" t="s">
        <v>18</v>
      </c>
      <c r="AM4" s="8" t="s">
        <v>20</v>
      </c>
      <c r="AP4" s="4" t="s">
        <v>21</v>
      </c>
      <c r="AU4" t="s">
        <v>22</v>
      </c>
      <c r="AX4" s="21" t="s">
        <v>23</v>
      </c>
      <c r="BF4" s="21" t="s">
        <v>23</v>
      </c>
      <c r="BN4" s="15" t="s">
        <v>24</v>
      </c>
      <c r="BO4" s="15"/>
      <c r="BP4" s="15"/>
      <c r="BQ4" s="15"/>
      <c r="BR4" s="15"/>
      <c r="BS4" s="15"/>
      <c r="BT4" s="15"/>
      <c r="BV4" s="22" t="s">
        <v>25</v>
      </c>
      <c r="BW4" s="15"/>
      <c r="BX4" s="15"/>
      <c r="BY4" s="17">
        <v>41844</v>
      </c>
      <c r="BZ4" s="18">
        <v>2845.17</v>
      </c>
      <c r="CA4" s="15">
        <v>0</v>
      </c>
      <c r="CB4" s="19">
        <f>BZ4-BZ5-CA4</f>
        <v>-13.480000000000018</v>
      </c>
      <c r="CC4" s="20">
        <f>100*CB4/BZ5</f>
        <v>-0.47155125671208498</v>
      </c>
      <c r="CD4" s="15">
        <f>BY4-BY5</f>
        <v>365</v>
      </c>
      <c r="CE4" s="15"/>
      <c r="CF4" s="15">
        <f>IF(CE4="Y",BZ4,0)</f>
        <v>0</v>
      </c>
      <c r="CG4" s="15" t="s">
        <v>13</v>
      </c>
      <c r="CH4" t="s">
        <v>13</v>
      </c>
      <c r="CI4" s="7"/>
      <c r="CK4" s="4" t="s">
        <v>0</v>
      </c>
    </row>
    <row r="5" spans="1:92" ht="128" customHeight="1" x14ac:dyDescent="0.2">
      <c r="D5" s="23" t="s">
        <v>26</v>
      </c>
      <c r="E5" s="23"/>
      <c r="F5" s="13">
        <v>45668</v>
      </c>
      <c r="G5" t="s">
        <v>27</v>
      </c>
      <c r="I5" s="24" t="s">
        <v>28</v>
      </c>
      <c r="J5" s="24"/>
      <c r="K5" s="24"/>
      <c r="L5" s="24"/>
      <c r="M5" s="24"/>
      <c r="O5" s="25"/>
      <c r="P5" s="25"/>
      <c r="Q5" s="25"/>
      <c r="R5" s="25"/>
      <c r="S5" s="25"/>
      <c r="T5" s="25"/>
      <c r="U5" s="25"/>
      <c r="V5" s="25"/>
      <c r="W5" s="25"/>
      <c r="X5" s="25"/>
      <c r="Y5" s="25"/>
      <c r="Z5" s="25"/>
      <c r="AM5" s="8" t="s">
        <v>29</v>
      </c>
      <c r="AU5" s="26" t="s">
        <v>30</v>
      </c>
      <c r="AV5" s="26"/>
      <c r="AW5" s="26"/>
      <c r="AX5" s="26"/>
      <c r="AY5" s="26"/>
      <c r="AZ5" s="26"/>
      <c r="BA5" s="26"/>
      <c r="BB5" s="26"/>
      <c r="BC5" s="26"/>
      <c r="BD5" s="26"/>
      <c r="BF5" s="27" t="s">
        <v>31</v>
      </c>
      <c r="BG5" s="27"/>
      <c r="BH5" s="27"/>
      <c r="BI5" s="27"/>
      <c r="BJ5" s="27"/>
      <c r="BK5" s="27"/>
      <c r="BN5" s="15" t="s">
        <v>32</v>
      </c>
      <c r="BO5" s="16">
        <v>12587321</v>
      </c>
      <c r="BP5" s="16"/>
      <c r="BQ5" s="15"/>
      <c r="BR5" s="15"/>
      <c r="BS5" s="15"/>
      <c r="BT5" s="15"/>
      <c r="BV5" s="15"/>
      <c r="BW5" s="15"/>
      <c r="BX5" s="15"/>
      <c r="BY5" s="17">
        <v>41479</v>
      </c>
      <c r="BZ5" s="18">
        <v>2858.65</v>
      </c>
      <c r="CA5" s="15"/>
      <c r="CB5" s="15"/>
      <c r="CC5" s="15"/>
      <c r="CD5" s="15"/>
      <c r="CE5" s="15"/>
      <c r="CF5" s="15"/>
      <c r="CG5" s="15"/>
      <c r="CH5" s="28" t="s">
        <v>33</v>
      </c>
    </row>
    <row r="6" spans="1:92" ht="15" customHeight="1" x14ac:dyDescent="0.2">
      <c r="D6" s="29" t="s">
        <v>33</v>
      </c>
      <c r="J6" s="24" t="s">
        <v>34</v>
      </c>
      <c r="K6" s="24"/>
      <c r="L6" s="24"/>
      <c r="M6" s="25"/>
      <c r="O6" s="29" t="s">
        <v>33</v>
      </c>
      <c r="P6" s="25"/>
      <c r="Q6" s="25"/>
      <c r="R6" s="25"/>
      <c r="S6" s="25"/>
      <c r="T6" s="25"/>
      <c r="U6" s="25"/>
      <c r="V6" s="25"/>
      <c r="W6" s="25"/>
      <c r="X6" s="25"/>
      <c r="Y6" s="25"/>
      <c r="Z6" s="25"/>
      <c r="AB6" s="30" t="s">
        <v>35</v>
      </c>
      <c r="AM6" s="31" t="s">
        <v>36</v>
      </c>
      <c r="AO6" s="21" t="s">
        <v>37</v>
      </c>
      <c r="AU6" s="21" t="s">
        <v>38</v>
      </c>
      <c r="AV6" t="s">
        <v>39</v>
      </c>
      <c r="AY6" t="s">
        <v>40</v>
      </c>
      <c r="BA6" s="30" t="s">
        <v>41</v>
      </c>
      <c r="BN6" s="32" t="s">
        <v>42</v>
      </c>
      <c r="BO6" s="16">
        <v>9535</v>
      </c>
      <c r="BP6" s="16"/>
      <c r="BQ6" s="15"/>
      <c r="BR6" s="15"/>
      <c r="BS6" s="15"/>
      <c r="BT6" s="15"/>
      <c r="CH6" t="s">
        <v>43</v>
      </c>
    </row>
    <row r="7" spans="1:92" x14ac:dyDescent="0.2">
      <c r="D7" s="33"/>
      <c r="E7" s="34" t="s">
        <v>44</v>
      </c>
      <c r="F7" s="34"/>
      <c r="G7" s="34"/>
      <c r="J7" s="24"/>
      <c r="K7" s="24"/>
      <c r="L7" s="24"/>
      <c r="M7" s="25"/>
      <c r="O7" s="25"/>
      <c r="P7" s="25"/>
      <c r="Q7" s="25"/>
      <c r="R7" s="25"/>
      <c r="S7" s="25"/>
      <c r="T7" s="25"/>
      <c r="U7" s="25"/>
      <c r="V7" s="25"/>
      <c r="W7" s="25"/>
      <c r="X7" s="25"/>
      <c r="Y7" s="25"/>
      <c r="Z7" s="25"/>
      <c r="AM7" s="35" t="s">
        <v>45</v>
      </c>
      <c r="AO7" s="36" t="s">
        <v>46</v>
      </c>
      <c r="BF7" s="10" t="s">
        <v>47</v>
      </c>
      <c r="BN7" s="37" t="s">
        <v>48</v>
      </c>
      <c r="BO7" s="15"/>
      <c r="BP7" s="15"/>
      <c r="BQ7" s="15"/>
      <c r="BR7" s="38"/>
      <c r="BS7" s="15"/>
      <c r="BT7" s="39"/>
      <c r="CH7" t="s">
        <v>49</v>
      </c>
    </row>
    <row r="8" spans="1:92" ht="15" customHeight="1" x14ac:dyDescent="0.2">
      <c r="E8" t="s">
        <v>50</v>
      </c>
      <c r="J8" s="24"/>
      <c r="K8" s="24"/>
      <c r="L8" s="24"/>
      <c r="M8" s="25"/>
      <c r="O8" s="25"/>
      <c r="P8" s="25"/>
      <c r="Q8" s="25"/>
      <c r="R8" s="25"/>
      <c r="S8" s="25"/>
      <c r="T8" s="25"/>
      <c r="U8" s="25"/>
      <c r="V8" s="25"/>
      <c r="W8" s="25"/>
      <c r="X8" s="25"/>
      <c r="Y8" s="25"/>
      <c r="Z8" s="25"/>
      <c r="AM8" s="40" t="s">
        <v>51</v>
      </c>
      <c r="AO8" t="s">
        <v>52</v>
      </c>
      <c r="AU8" t="s">
        <v>53</v>
      </c>
      <c r="AV8" s="25"/>
      <c r="AX8" t="s">
        <v>54</v>
      </c>
      <c r="BN8" s="15"/>
      <c r="BO8" s="15"/>
      <c r="BP8" s="15"/>
      <c r="BQ8" s="15"/>
      <c r="BR8" s="15"/>
      <c r="BS8" s="15"/>
      <c r="BT8" s="15"/>
      <c r="CH8" s="30" t="s">
        <v>55</v>
      </c>
    </row>
    <row r="9" spans="1:92" x14ac:dyDescent="0.2">
      <c r="D9"/>
      <c r="J9" s="24"/>
      <c r="K9" s="24"/>
      <c r="L9" s="24"/>
      <c r="M9" s="25"/>
      <c r="O9" s="25"/>
      <c r="P9" s="25"/>
      <c r="Q9" s="25"/>
      <c r="R9" s="25"/>
      <c r="S9" s="25"/>
      <c r="T9" s="25"/>
      <c r="U9" s="25"/>
      <c r="V9" s="25"/>
      <c r="W9" s="25"/>
      <c r="X9" s="25"/>
      <c r="Y9" s="25"/>
      <c r="Z9" s="25"/>
      <c r="AM9" s="8" t="s">
        <v>56</v>
      </c>
      <c r="AU9" s="34" t="s">
        <v>57</v>
      </c>
      <c r="AV9" s="41"/>
      <c r="AW9" s="34"/>
      <c r="AX9" s="42">
        <v>57.31172087330399</v>
      </c>
      <c r="AY9" s="34" t="s">
        <v>58</v>
      </c>
      <c r="AZ9" s="34"/>
      <c r="BA9" s="34"/>
      <c r="BB9" s="34"/>
      <c r="BC9" s="34"/>
      <c r="BN9" s="15" t="s">
        <v>59</v>
      </c>
      <c r="BO9" s="15"/>
      <c r="BP9" s="15"/>
      <c r="BQ9" s="15"/>
      <c r="BR9" s="15"/>
      <c r="BS9" s="15"/>
      <c r="BT9" s="15"/>
      <c r="CH9" s="30" t="s">
        <v>60</v>
      </c>
    </row>
    <row r="10" spans="1:92" x14ac:dyDescent="0.2">
      <c r="E10" s="43"/>
      <c r="F10" s="43"/>
      <c r="G10" s="43"/>
      <c r="J10" s="24"/>
      <c r="K10" s="24"/>
      <c r="L10" s="24"/>
      <c r="M10" s="25"/>
      <c r="O10" s="25"/>
      <c r="P10" s="25"/>
      <c r="Q10" s="25"/>
      <c r="R10" s="25"/>
      <c r="S10" s="25"/>
      <c r="T10" s="25"/>
      <c r="U10" s="25"/>
      <c r="V10" s="25"/>
      <c r="W10" s="25"/>
      <c r="X10" s="25"/>
      <c r="Y10" s="25"/>
      <c r="Z10" s="25"/>
      <c r="AB10" t="s">
        <v>61</v>
      </c>
      <c r="AU10" s="44" t="s">
        <v>62</v>
      </c>
      <c r="AV10" s="25"/>
      <c r="AX10" s="45">
        <v>27.763462875082698</v>
      </c>
      <c r="BF10" t="s">
        <v>63</v>
      </c>
      <c r="BN10" s="15"/>
      <c r="BO10" s="15"/>
      <c r="BP10" s="15"/>
      <c r="BQ10" s="15"/>
      <c r="BR10" s="15"/>
      <c r="BS10" s="15"/>
      <c r="BT10" s="15"/>
      <c r="CH10" t="s">
        <v>64</v>
      </c>
      <c r="CI10" s="8"/>
      <c r="CJ10" s="8"/>
    </row>
    <row r="11" spans="1:92" x14ac:dyDescent="0.2">
      <c r="D11" s="8" t="s">
        <v>65</v>
      </c>
      <c r="E11" s="43"/>
      <c r="F11" s="43"/>
      <c r="G11" s="43"/>
      <c r="H11" s="46">
        <v>45047</v>
      </c>
      <c r="I11" s="46"/>
      <c r="J11" s="24"/>
      <c r="K11" s="24"/>
      <c r="L11" s="24"/>
      <c r="M11" s="25"/>
      <c r="O11" s="25"/>
      <c r="P11" s="25"/>
      <c r="Q11" s="25"/>
      <c r="R11" s="25"/>
      <c r="S11" s="25"/>
      <c r="T11" s="25"/>
      <c r="U11" s="25"/>
      <c r="V11" s="25"/>
      <c r="W11" s="25"/>
      <c r="X11" s="25"/>
      <c r="Y11" s="25"/>
      <c r="Z11" s="25"/>
      <c r="AM11" s="8" t="s">
        <v>66</v>
      </c>
      <c r="AO11" t="s">
        <v>67</v>
      </c>
      <c r="AU11" s="44" t="s">
        <v>68</v>
      </c>
      <c r="AV11" s="25"/>
      <c r="AX11" s="45">
        <v>4.7199067524179643</v>
      </c>
      <c r="AZ11" s="24" t="s">
        <v>69</v>
      </c>
      <c r="BA11" s="24"/>
      <c r="BB11" s="24"/>
      <c r="BC11" s="24"/>
      <c r="BF11" t="s">
        <v>70</v>
      </c>
      <c r="BI11" s="8" t="s">
        <v>71</v>
      </c>
      <c r="BJ11" s="8"/>
      <c r="BN11" s="15"/>
      <c r="BO11" s="15"/>
      <c r="BP11" s="15"/>
      <c r="BQ11" s="15"/>
      <c r="BR11" s="15"/>
      <c r="BS11" s="15"/>
      <c r="BT11" s="15"/>
      <c r="CI11" s="47" t="s">
        <v>72</v>
      </c>
      <c r="CJ11" s="47"/>
      <c r="CK11" s="47"/>
      <c r="CL11" s="47"/>
      <c r="CM11" s="47"/>
    </row>
    <row r="12" spans="1:92" x14ac:dyDescent="0.2">
      <c r="J12" s="25"/>
      <c r="K12" s="25"/>
      <c r="L12" s="25"/>
      <c r="M12" s="25"/>
      <c r="O12" s="25"/>
      <c r="P12" s="25"/>
      <c r="Q12" s="25"/>
      <c r="R12" s="25"/>
      <c r="S12" s="25"/>
      <c r="T12" s="25"/>
      <c r="U12" s="25"/>
      <c r="V12" s="25"/>
      <c r="W12" s="25"/>
      <c r="X12" s="25"/>
      <c r="Y12" s="25"/>
      <c r="Z12" s="25"/>
      <c r="AM12" s="8" t="s">
        <v>73</v>
      </c>
      <c r="AU12" s="44" t="s">
        <v>74</v>
      </c>
      <c r="AV12" s="25"/>
      <c r="AX12" s="45">
        <v>3.9197511505766625</v>
      </c>
      <c r="AZ12" s="24"/>
      <c r="BA12" s="24"/>
      <c r="BB12" s="24"/>
      <c r="BC12" s="24"/>
      <c r="BF12" s="48" t="s">
        <v>75</v>
      </c>
      <c r="BI12" t="s">
        <v>76</v>
      </c>
      <c r="BN12" s="49" t="s">
        <v>77</v>
      </c>
      <c r="BO12" s="49"/>
      <c r="BP12" s="49" t="s">
        <v>78</v>
      </c>
      <c r="BQ12" s="49"/>
      <c r="BR12" s="49"/>
      <c r="BS12" s="49"/>
      <c r="BT12" s="15"/>
      <c r="CH12" s="50"/>
      <c r="CI12" s="47"/>
      <c r="CJ12" s="47"/>
      <c r="CK12" s="47"/>
      <c r="CL12" s="47"/>
      <c r="CM12" s="47"/>
    </row>
    <row r="13" spans="1:92" ht="21" x14ac:dyDescent="0.25">
      <c r="D13" s="51" t="s">
        <v>79</v>
      </c>
      <c r="E13" s="52"/>
      <c r="F13" s="53" t="s">
        <v>80</v>
      </c>
      <c r="G13" s="53"/>
      <c r="H13" s="53"/>
      <c r="I13" s="53"/>
      <c r="J13" s="25"/>
      <c r="K13" s="25"/>
      <c r="L13" s="25"/>
      <c r="M13" s="25"/>
      <c r="O13" s="25"/>
      <c r="P13" s="25"/>
      <c r="Q13" s="25"/>
      <c r="R13" s="25"/>
      <c r="S13" s="25"/>
      <c r="T13" s="25"/>
      <c r="U13" s="25"/>
      <c r="V13" s="25"/>
      <c r="W13" s="25"/>
      <c r="X13" s="25"/>
      <c r="Y13" s="25"/>
      <c r="Z13" s="25"/>
      <c r="AM13" s="33" t="s">
        <v>81</v>
      </c>
      <c r="AO13" t="s">
        <v>82</v>
      </c>
      <c r="AU13" s="44" t="s">
        <v>83</v>
      </c>
      <c r="AX13" s="45">
        <v>3.5652290808564802</v>
      </c>
      <c r="AZ13" s="24"/>
      <c r="BA13" s="24"/>
      <c r="BB13" s="24"/>
      <c r="BC13" s="24"/>
      <c r="BF13" t="s">
        <v>84</v>
      </c>
      <c r="BI13" t="s">
        <v>85</v>
      </c>
      <c r="BN13" s="54" t="s">
        <v>86</v>
      </c>
      <c r="BO13" s="15"/>
      <c r="BP13" s="15"/>
      <c r="BQ13" s="15"/>
      <c r="BR13" s="15"/>
      <c r="BS13" s="15"/>
      <c r="BT13" s="15"/>
      <c r="CI13" s="47"/>
      <c r="CJ13" s="47"/>
      <c r="CK13" s="47"/>
      <c r="CL13" s="47"/>
      <c r="CM13" s="47"/>
    </row>
    <row r="14" spans="1:92" ht="15" customHeight="1" x14ac:dyDescent="0.2">
      <c r="F14" s="53"/>
      <c r="G14" s="53"/>
      <c r="H14" s="53"/>
      <c r="I14" s="53"/>
      <c r="J14" t="s">
        <v>87</v>
      </c>
      <c r="L14">
        <f>12*519</f>
        <v>6228</v>
      </c>
      <c r="M14" t="s">
        <v>88</v>
      </c>
      <c r="AM14" s="55" t="s">
        <v>23</v>
      </c>
      <c r="AN14" s="56" t="s">
        <v>23</v>
      </c>
      <c r="AU14" s="57" t="s">
        <v>89</v>
      </c>
      <c r="AX14" s="45">
        <v>2.7199292677622182</v>
      </c>
      <c r="AZ14" s="24"/>
      <c r="BA14" s="24"/>
      <c r="BB14" s="24"/>
      <c r="BC14" s="24"/>
      <c r="BF14" s="58"/>
      <c r="BI14" s="8" t="s">
        <v>90</v>
      </c>
      <c r="BJ14" s="8"/>
      <c r="BN14" s="15"/>
      <c r="BO14" s="15"/>
      <c r="BP14" s="15"/>
      <c r="BQ14" s="15"/>
      <c r="BR14" s="15"/>
      <c r="BS14" s="15"/>
      <c r="BT14" s="15"/>
      <c r="CH14" s="59"/>
      <c r="CI14" s="47"/>
      <c r="CJ14" s="47"/>
      <c r="CK14" s="47"/>
      <c r="CL14" s="47"/>
      <c r="CM14" s="47"/>
    </row>
    <row r="15" spans="1:92" ht="75" customHeight="1" x14ac:dyDescent="0.2">
      <c r="F15" s="53"/>
      <c r="G15" s="53"/>
      <c r="H15" s="53"/>
      <c r="I15" s="53"/>
      <c r="AM15" s="51" t="s">
        <v>91</v>
      </c>
      <c r="AN15" s="60" t="s">
        <v>92</v>
      </c>
      <c r="AO15" s="60"/>
      <c r="AP15" s="60"/>
      <c r="AQ15" s="60"/>
      <c r="AR15" s="60"/>
      <c r="AS15" s="60"/>
      <c r="BF15" s="61" t="s">
        <v>93</v>
      </c>
      <c r="BN15" s="15" t="s">
        <v>79</v>
      </c>
      <c r="BO15" s="15"/>
      <c r="BP15" s="15"/>
      <c r="BQ15" s="15"/>
      <c r="BR15" s="15"/>
      <c r="BS15" s="15"/>
      <c r="BT15" s="15"/>
      <c r="CH15" s="62"/>
      <c r="CI15" s="47"/>
      <c r="CJ15" s="47"/>
      <c r="CK15" s="47"/>
      <c r="CL15" s="47"/>
      <c r="CM15" s="47"/>
    </row>
    <row r="16" spans="1:92" x14ac:dyDescent="0.2">
      <c r="AO16" s="63"/>
      <c r="AU16" s="61" t="s">
        <v>93</v>
      </c>
      <c r="BN16" s="15"/>
      <c r="BO16" s="15"/>
      <c r="BP16" s="15"/>
      <c r="BQ16" s="15"/>
      <c r="BR16" s="15"/>
      <c r="BS16" s="15"/>
      <c r="BT16" s="15"/>
    </row>
    <row r="17" spans="1:92" s="7" customFormat="1" ht="18" customHeight="1" x14ac:dyDescent="0.2">
      <c r="C17" s="3"/>
      <c r="D17" s="64"/>
      <c r="E17" s="65"/>
      <c r="F17" s="66"/>
      <c r="G17" s="66"/>
      <c r="H17" s="67"/>
      <c r="I17" s="68" t="s">
        <v>94</v>
      </c>
      <c r="J17" s="69">
        <v>45508</v>
      </c>
      <c r="K17" s="69">
        <v>45870</v>
      </c>
      <c r="L17" s="70">
        <f>E22-E32-SUM(G22:G32)</f>
        <v>3410.0299999999988</v>
      </c>
      <c r="M17" s="71">
        <f>L17/E32</f>
        <v>7.1134410728560138E-2</v>
      </c>
      <c r="N17" s="3"/>
      <c r="O17" s="71"/>
      <c r="P17" s="71"/>
      <c r="Q17" s="71"/>
      <c r="R17" s="71"/>
      <c r="S17" s="71"/>
      <c r="T17" s="71"/>
      <c r="U17" s="71"/>
      <c r="V17" s="71"/>
      <c r="W17" s="71"/>
      <c r="X17" s="71"/>
      <c r="Y17" s="71"/>
      <c r="Z17" s="71"/>
      <c r="AA17" s="3"/>
      <c r="AL17" s="3"/>
      <c r="AM17" s="67"/>
      <c r="AN17" s="68" t="s">
        <v>94</v>
      </c>
      <c r="AO17" s="69">
        <v>45508</v>
      </c>
      <c r="AP17" s="69">
        <v>45870</v>
      </c>
      <c r="AQ17" s="70">
        <f>AN22-AN32</f>
        <v>5237</v>
      </c>
      <c r="AR17" s="71">
        <f>AQ17/AN32</f>
        <v>7.850397241792835E-2</v>
      </c>
      <c r="AS17" s="66"/>
      <c r="AT17" s="3"/>
      <c r="AU17" s="67"/>
      <c r="AV17" s="68" t="s">
        <v>94</v>
      </c>
      <c r="AW17" s="69">
        <v>45508</v>
      </c>
      <c r="AX17" s="69">
        <v>45870</v>
      </c>
      <c r="AY17" s="70">
        <f>AV22-AV32-SUM(AX22:AX32)</f>
        <v>19358.009999999995</v>
      </c>
      <c r="AZ17" s="71">
        <f>AY17/AV32</f>
        <v>0.18088298284275611</v>
      </c>
      <c r="BA17" s="66"/>
      <c r="BB17" s="66"/>
      <c r="BC17" s="66"/>
      <c r="BD17" s="66"/>
      <c r="BE17" s="3"/>
      <c r="BF17" s="67"/>
      <c r="BG17" s="68" t="s">
        <v>94</v>
      </c>
      <c r="BH17" s="69">
        <v>45508</v>
      </c>
      <c r="BI17" s="69">
        <v>45870</v>
      </c>
      <c r="BJ17" s="70">
        <f>BG22-BG32</f>
        <v>5794.2099999999991</v>
      </c>
      <c r="BK17" s="71">
        <f>BJ17/BG32</f>
        <v>0.11251456869101402</v>
      </c>
      <c r="BL17" s="66"/>
      <c r="BM17" s="3"/>
      <c r="BN17" s="16"/>
      <c r="BO17" s="15"/>
      <c r="BP17" s="72"/>
      <c r="BQ17" s="15"/>
      <c r="BR17" s="15"/>
      <c r="BS17" s="72"/>
      <c r="BT17" s="72"/>
      <c r="BU17" s="3"/>
      <c r="BV17"/>
      <c r="BW17"/>
      <c r="BX17"/>
      <c r="BY17"/>
      <c r="BZ17"/>
      <c r="CA17"/>
      <c r="CB17"/>
      <c r="CC17"/>
      <c r="CD17"/>
      <c r="CE17"/>
      <c r="CF17"/>
      <c r="CG17"/>
      <c r="CH17" s="67"/>
      <c r="CI17" s="68"/>
      <c r="CJ17" s="69"/>
      <c r="CK17" s="69"/>
      <c r="CL17" s="70"/>
      <c r="CM17" s="71"/>
      <c r="CN17" s="66"/>
    </row>
    <row r="18" spans="1:92" s="7" customFormat="1" ht="46" customHeight="1" x14ac:dyDescent="0.2">
      <c r="A18" s="7" t="s">
        <v>95</v>
      </c>
      <c r="C18" s="3"/>
      <c r="D18" s="64"/>
      <c r="E18" s="65"/>
      <c r="F18" s="66"/>
      <c r="G18" s="66"/>
      <c r="H18" s="67" t="s">
        <v>96</v>
      </c>
      <c r="I18" s="68" t="str">
        <f>K18-J18 &amp;" days"</f>
        <v>411 days</v>
      </c>
      <c r="J18" s="69">
        <v>45424</v>
      </c>
      <c r="K18" s="69">
        <v>45835</v>
      </c>
      <c r="L18" s="70">
        <f>SUM(K24:K32)</f>
        <v>1964.9599999999991</v>
      </c>
      <c r="M18" s="71">
        <f>L18/E33</f>
        <v>4.2699191436866804E-2</v>
      </c>
      <c r="N18" s="3"/>
      <c r="O18" s="71"/>
      <c r="P18" s="71"/>
      <c r="Q18" s="71"/>
      <c r="R18" s="71"/>
      <c r="S18" s="71"/>
      <c r="T18" s="71"/>
      <c r="U18" s="71"/>
      <c r="V18" s="71"/>
      <c r="W18" s="71"/>
      <c r="X18" s="71"/>
      <c r="Y18" s="71"/>
      <c r="Z18" s="71"/>
      <c r="AA18" s="3"/>
      <c r="AL18" s="3"/>
      <c r="AM18" s="67" t="str">
        <f>CH18</f>
        <v>Investment growth since/to:</v>
      </c>
      <c r="AN18" s="68" t="str">
        <f>AP18-AO18 &amp;" days"</f>
        <v>411 days</v>
      </c>
      <c r="AO18" s="69">
        <v>45424</v>
      </c>
      <c r="AP18" s="69">
        <v>45835</v>
      </c>
      <c r="AQ18" s="70">
        <f>AN24-AN33</f>
        <v>3683</v>
      </c>
      <c r="AR18" s="71">
        <f>AQ18/AN33</f>
        <v>5.6417640661141834E-2</v>
      </c>
      <c r="AS18" s="66"/>
      <c r="AT18" s="3"/>
      <c r="AU18" s="67" t="str">
        <f>AM18</f>
        <v>Investment growth since/to:</v>
      </c>
      <c r="AV18" s="68" t="str">
        <f>AX18-AW18 &amp;" days"</f>
        <v>411 days</v>
      </c>
      <c r="AW18" s="69">
        <v>45424</v>
      </c>
      <c r="AX18" s="69">
        <v>45835</v>
      </c>
      <c r="AY18" s="70">
        <f>AV24-AV33-AX26-AX30</f>
        <v>6891.0399999999936</v>
      </c>
      <c r="AZ18" s="71">
        <f>AY18/AV33</f>
        <v>6.5186330985339866E-2</v>
      </c>
      <c r="BA18" s="66"/>
      <c r="BB18" s="66"/>
      <c r="BC18" s="66"/>
      <c r="BD18" s="66"/>
      <c r="BE18" s="3"/>
      <c r="BF18" s="67" t="str">
        <f>AU18</f>
        <v>Investment growth since/to:</v>
      </c>
      <c r="BG18" s="68" t="str">
        <f>BI18-BH18 &amp;" days"</f>
        <v>411 days</v>
      </c>
      <c r="BH18" s="69">
        <v>45424</v>
      </c>
      <c r="BI18" s="69">
        <v>45835</v>
      </c>
      <c r="BJ18" s="70">
        <f>BG24-BG33</f>
        <v>4044.6999999999971</v>
      </c>
      <c r="BK18" s="71">
        <f>BJ18/BG33</f>
        <v>8.0501554919766086E-2</v>
      </c>
      <c r="BL18" s="66"/>
      <c r="BM18" s="3"/>
      <c r="BN18" s="16"/>
      <c r="BO18" s="15"/>
      <c r="BP18" s="72"/>
      <c r="BQ18" s="15"/>
      <c r="BR18" s="15"/>
      <c r="BS18" s="72"/>
      <c r="BT18" s="72"/>
      <c r="BU18" s="3"/>
      <c r="BV18"/>
      <c r="BW18"/>
      <c r="BX18"/>
      <c r="BY18"/>
      <c r="BZ18"/>
      <c r="CA18"/>
      <c r="CB18"/>
      <c r="CC18"/>
      <c r="CD18"/>
      <c r="CE18"/>
      <c r="CF18"/>
      <c r="CG18"/>
      <c r="CH18" s="67" t="str">
        <f>H18</f>
        <v>Investment growth since/to:</v>
      </c>
      <c r="CI18" s="68" t="str">
        <f>"Last " &amp;CK18-CJ18 &amp;" days"</f>
        <v>Last 411 days</v>
      </c>
      <c r="CJ18" s="69">
        <v>45424</v>
      </c>
      <c r="CK18" s="69">
        <v>45835</v>
      </c>
      <c r="CL18" s="70">
        <f>CI24-CI33</f>
        <v>280.34000000000015</v>
      </c>
      <c r="CM18" s="71">
        <f>CL18/CI33</f>
        <v>2.4662619864520115E-2</v>
      </c>
      <c r="CN18" s="66"/>
    </row>
    <row r="19" spans="1:92" s="7" customFormat="1" x14ac:dyDescent="0.2">
      <c r="C19" s="3"/>
      <c r="D19" s="64"/>
      <c r="E19" s="65"/>
      <c r="F19" s="66"/>
      <c r="G19" s="66"/>
      <c r="H19" s="68"/>
      <c r="I19" s="68" t="str">
        <f>K19-J19 &amp;" days"</f>
        <v>91 days</v>
      </c>
      <c r="J19" s="69">
        <v>45744</v>
      </c>
      <c r="K19" s="69">
        <v>45835</v>
      </c>
      <c r="L19" s="70">
        <f>SUM(K24:K25)</f>
        <v>1192.9499999999971</v>
      </c>
      <c r="M19" s="71">
        <f>L19/E26</f>
        <v>2.272004418500561E-2</v>
      </c>
      <c r="N19" s="3"/>
      <c r="O19" s="71"/>
      <c r="P19" s="71"/>
      <c r="Q19" s="71"/>
      <c r="R19" s="71"/>
      <c r="S19" s="71"/>
      <c r="T19" s="71"/>
      <c r="U19" s="71"/>
      <c r="V19" s="71"/>
      <c r="W19" s="71"/>
      <c r="X19" s="71"/>
      <c r="Y19" s="71"/>
      <c r="Z19" s="71"/>
      <c r="AA19" s="3"/>
      <c r="AL19" s="3"/>
      <c r="AM19" s="68"/>
      <c r="AN19" s="68" t="str">
        <f>AP19-AO19 &amp;" days"</f>
        <v>91 days</v>
      </c>
      <c r="AO19" s="69">
        <f>CJ19</f>
        <v>45744</v>
      </c>
      <c r="AP19" s="69">
        <f>CK19</f>
        <v>45835</v>
      </c>
      <c r="AQ19" s="70">
        <f>SUM(AP24:AP25)</f>
        <v>1246</v>
      </c>
      <c r="AR19" s="71">
        <f>AQ19/AN26</f>
        <v>1.8399834608228239E-2</v>
      </c>
      <c r="AS19" s="66"/>
      <c r="AT19" s="3"/>
      <c r="AU19" s="68"/>
      <c r="AV19" s="68" t="str">
        <f>AX19-AW19 &amp;" days"</f>
        <v>91 days</v>
      </c>
      <c r="AW19" s="69">
        <f>AO19</f>
        <v>45744</v>
      </c>
      <c r="AX19" s="69">
        <f>AP19</f>
        <v>45835</v>
      </c>
      <c r="AY19" s="70">
        <f>AV24-AV26</f>
        <v>3411.070000000007</v>
      </c>
      <c r="AZ19" s="71">
        <f>AY19/AV26</f>
        <v>1.7727500594282679E-2</v>
      </c>
      <c r="BA19" s="66"/>
      <c r="BB19" s="66"/>
      <c r="BC19" s="66"/>
      <c r="BD19" s="66"/>
      <c r="BE19" s="3"/>
      <c r="BF19" s="68"/>
      <c r="BG19" s="68" t="str">
        <f>BI19-BH19 &amp;" days"</f>
        <v>91 days</v>
      </c>
      <c r="BH19" s="69">
        <f>AW19</f>
        <v>45744</v>
      </c>
      <c r="BI19" s="69">
        <f>AX19</f>
        <v>45835</v>
      </c>
      <c r="BJ19" s="70">
        <f>BG24-BG26</f>
        <v>968.55999999999767</v>
      </c>
      <c r="BK19" s="71">
        <f>BJ19/BG26</f>
        <v>1.8165078735158637E-2</v>
      </c>
      <c r="BL19" s="66"/>
      <c r="BM19" s="3"/>
      <c r="BN19" s="16"/>
      <c r="BO19" s="15"/>
      <c r="BP19" s="72"/>
      <c r="BQ19" s="15"/>
      <c r="BR19" s="15"/>
      <c r="BS19" s="72"/>
      <c r="BT19" s="72"/>
      <c r="BU19" s="3"/>
      <c r="BV19"/>
      <c r="BW19"/>
      <c r="BX19"/>
      <c r="BY19"/>
      <c r="BZ19"/>
      <c r="CA19"/>
      <c r="CB19"/>
      <c r="CC19"/>
      <c r="CD19"/>
      <c r="CE19"/>
      <c r="CF19"/>
      <c r="CG19"/>
      <c r="CH19" s="68"/>
      <c r="CI19" s="68" t="str">
        <f>"Last " &amp;CK19-CJ19 &amp;" days"</f>
        <v>Last 91 days</v>
      </c>
      <c r="CJ19" s="69">
        <f>J19</f>
        <v>45744</v>
      </c>
      <c r="CK19" s="69">
        <f>K19</f>
        <v>45835</v>
      </c>
      <c r="CL19" s="70">
        <f>SUM(CK24:CK25)</f>
        <v>133.6200000000008</v>
      </c>
      <c r="CM19" s="71">
        <f>CL19/CI26</f>
        <v>1.1605284825408365E-2</v>
      </c>
      <c r="CN19" s="66"/>
    </row>
    <row r="20" spans="1:92" s="7" customFormat="1" ht="112" x14ac:dyDescent="0.2">
      <c r="C20" s="3"/>
      <c r="D20" s="73" t="s">
        <v>97</v>
      </c>
      <c r="E20" s="74" t="s">
        <v>98</v>
      </c>
      <c r="F20" s="75" t="s">
        <v>99</v>
      </c>
      <c r="G20" s="76" t="s">
        <v>100</v>
      </c>
      <c r="H20" s="76" t="s">
        <v>101</v>
      </c>
      <c r="I20" s="76" t="s">
        <v>102</v>
      </c>
      <c r="J20" s="76" t="s">
        <v>103</v>
      </c>
      <c r="K20" s="76" t="s">
        <v>104</v>
      </c>
      <c r="L20" s="76" t="s">
        <v>105</v>
      </c>
      <c r="M20" s="76" t="s">
        <v>106</v>
      </c>
      <c r="N20" s="3"/>
      <c r="O20" s="73" t="s">
        <v>97</v>
      </c>
      <c r="P20" s="74" t="s">
        <v>98</v>
      </c>
      <c r="Q20" s="75" t="s">
        <v>99</v>
      </c>
      <c r="R20" s="76" t="s">
        <v>100</v>
      </c>
      <c r="S20" s="76" t="s">
        <v>101</v>
      </c>
      <c r="T20" s="76" t="s">
        <v>102</v>
      </c>
      <c r="U20" s="76" t="s">
        <v>103</v>
      </c>
      <c r="V20" s="76" t="s">
        <v>104</v>
      </c>
      <c r="W20" s="76" t="s">
        <v>105</v>
      </c>
      <c r="X20" s="76" t="s">
        <v>106</v>
      </c>
      <c r="Y20" s="76"/>
      <c r="Z20" s="76"/>
      <c r="AA20" s="3"/>
      <c r="AB20" s="73" t="s">
        <v>97</v>
      </c>
      <c r="AC20" s="74" t="s">
        <v>98</v>
      </c>
      <c r="AD20" s="75" t="s">
        <v>107</v>
      </c>
      <c r="AE20" s="76" t="s">
        <v>100</v>
      </c>
      <c r="AF20" s="76" t="s">
        <v>101</v>
      </c>
      <c r="AG20" s="76" t="s">
        <v>102</v>
      </c>
      <c r="AH20" s="76" t="s">
        <v>103</v>
      </c>
      <c r="AI20" s="76" t="s">
        <v>104</v>
      </c>
      <c r="AJ20" s="76" t="s">
        <v>105</v>
      </c>
      <c r="AK20" s="76" t="s">
        <v>106</v>
      </c>
      <c r="AL20" s="3"/>
      <c r="AM20" s="64" t="s">
        <v>97</v>
      </c>
      <c r="AN20" s="65" t="s">
        <v>98</v>
      </c>
      <c r="AO20" s="66" t="s">
        <v>108</v>
      </c>
      <c r="AP20" s="65" t="s">
        <v>109</v>
      </c>
      <c r="AQ20" s="65" t="s">
        <v>110</v>
      </c>
      <c r="AR20" s="66" t="s">
        <v>111</v>
      </c>
      <c r="AS20" s="66" t="s">
        <v>112</v>
      </c>
      <c r="AT20" s="3"/>
      <c r="AU20" s="73" t="s">
        <v>97</v>
      </c>
      <c r="AV20" s="74" t="s">
        <v>98</v>
      </c>
      <c r="AW20" s="76" t="s">
        <v>99</v>
      </c>
      <c r="AX20" s="75" t="s">
        <v>113</v>
      </c>
      <c r="AY20" s="76" t="s">
        <v>101</v>
      </c>
      <c r="AZ20" s="76" t="s">
        <v>102</v>
      </c>
      <c r="BA20" s="76" t="s">
        <v>103</v>
      </c>
      <c r="BB20" s="76" t="s">
        <v>104</v>
      </c>
      <c r="BC20" s="76" t="s">
        <v>105</v>
      </c>
      <c r="BD20" s="76" t="s">
        <v>106</v>
      </c>
      <c r="BE20" s="3"/>
      <c r="BF20" s="64" t="s">
        <v>97</v>
      </c>
      <c r="BG20" s="65" t="s">
        <v>98</v>
      </c>
      <c r="BH20" s="66" t="s">
        <v>108</v>
      </c>
      <c r="BI20" s="65" t="s">
        <v>109</v>
      </c>
      <c r="BJ20" s="65" t="s">
        <v>110</v>
      </c>
      <c r="BK20" s="66" t="s">
        <v>111</v>
      </c>
      <c r="BL20" s="66" t="s">
        <v>112</v>
      </c>
      <c r="BM20" s="3"/>
      <c r="BN20" s="16" t="s">
        <v>97</v>
      </c>
      <c r="BO20" s="15" t="s">
        <v>98</v>
      </c>
      <c r="BP20" s="72" t="s">
        <v>108</v>
      </c>
      <c r="BQ20" s="15" t="s">
        <v>109</v>
      </c>
      <c r="BR20" s="15" t="s">
        <v>110</v>
      </c>
      <c r="BS20" s="72" t="s">
        <v>111</v>
      </c>
      <c r="BT20" s="72" t="s">
        <v>112</v>
      </c>
      <c r="BU20" s="3"/>
      <c r="BV20"/>
      <c r="BW20"/>
      <c r="BX20"/>
      <c r="BY20"/>
      <c r="BZ20"/>
      <c r="CA20"/>
      <c r="CB20"/>
      <c r="CC20"/>
      <c r="CD20"/>
      <c r="CE20"/>
      <c r="CF20"/>
      <c r="CG20"/>
      <c r="CH20" s="64" t="s">
        <v>97</v>
      </c>
      <c r="CI20" s="65" t="s">
        <v>98</v>
      </c>
      <c r="CJ20" s="66" t="s">
        <v>108</v>
      </c>
      <c r="CK20" s="65" t="s">
        <v>109</v>
      </c>
      <c r="CL20" s="65" t="s">
        <v>110</v>
      </c>
      <c r="CM20" s="66" t="s">
        <v>111</v>
      </c>
      <c r="CN20" s="66" t="s">
        <v>112</v>
      </c>
    </row>
    <row r="21" spans="1:92" x14ac:dyDescent="0.2">
      <c r="A21" s="77">
        <v>45895</v>
      </c>
      <c r="B21" s="78">
        <f>E21+AC21+AN21+AV21+BG21+BO21</f>
        <v>416713.94</v>
      </c>
      <c r="D21" s="79">
        <v>45895</v>
      </c>
      <c r="E21" s="80">
        <v>58674.13</v>
      </c>
      <c r="F21" s="81">
        <v>54865.72</v>
      </c>
      <c r="G21" s="78">
        <v>0</v>
      </c>
      <c r="H21" s="43">
        <f t="shared" ref="H21:H49" si="0">D21-D22</f>
        <v>25</v>
      </c>
      <c r="I21" s="82">
        <f>G21/H21</f>
        <v>0</v>
      </c>
      <c r="J21" s="80">
        <f t="shared" ref="J21:J50" si="1">E21-E22</f>
        <v>-468.04000000000087</v>
      </c>
      <c r="K21" s="78">
        <f t="shared" ref="K21:K50" si="2">J21-G21</f>
        <v>-468.04000000000087</v>
      </c>
      <c r="L21" s="78">
        <f t="shared" ref="L21:L50" si="3">100*K21/F22</f>
        <v>-0.85306453647195524</v>
      </c>
      <c r="M21" s="78">
        <f t="shared" ref="M21:M49" si="4">M22+K21</f>
        <v>3808.4099999999962</v>
      </c>
      <c r="O21" s="13">
        <v>45895</v>
      </c>
      <c r="P21" s="78">
        <v>519.53</v>
      </c>
      <c r="Q21" s="78">
        <v>519.62</v>
      </c>
      <c r="R21" s="78">
        <v>519.62</v>
      </c>
      <c r="S21" s="43">
        <f t="shared" ref="S21" si="5">O21-O22</f>
        <v>7</v>
      </c>
      <c r="T21" s="82">
        <f>R21/S21</f>
        <v>74.231428571428566</v>
      </c>
      <c r="U21" s="80">
        <f t="shared" ref="U21" si="6">P21-P22</f>
        <v>519.53</v>
      </c>
      <c r="V21" s="78">
        <f t="shared" ref="V21" si="7">U21-R21</f>
        <v>-9.0000000000031832E-2</v>
      </c>
      <c r="W21" s="78" t="e">
        <f>100*V21/Q22</f>
        <v>#DIV/0!</v>
      </c>
      <c r="X21" s="78">
        <f t="shared" ref="X21" si="8">X22+V21</f>
        <v>-9.0000000000031832E-2</v>
      </c>
      <c r="Y21" s="78"/>
      <c r="Z21" s="78"/>
      <c r="AB21" s="13">
        <v>45895</v>
      </c>
      <c r="AC21" s="80">
        <v>21000.33</v>
      </c>
      <c r="AD21">
        <f>AD22+AE21</f>
        <v>20661.28</v>
      </c>
      <c r="AE21">
        <f>4000+3000</f>
        <v>7000</v>
      </c>
      <c r="AF21">
        <f>AB21-AB22</f>
        <v>25</v>
      </c>
      <c r="AG21" s="83">
        <f>AE21/AF21</f>
        <v>280</v>
      </c>
      <c r="AH21">
        <f>AC21-AC22</f>
        <v>6996.130000000001</v>
      </c>
      <c r="AI21">
        <f>AH21-AE21</f>
        <v>-3.8699999999989814</v>
      </c>
      <c r="AJ21" s="84">
        <f>100*AI21/AD22</f>
        <v>-2.8328238642345235E-2</v>
      </c>
      <c r="AK21" s="78">
        <f>AK22+AI21</f>
        <v>339.05000000000109</v>
      </c>
      <c r="AM21" s="85">
        <v>45895</v>
      </c>
      <c r="AN21" s="83">
        <v>71662</v>
      </c>
      <c r="AO21">
        <v>0</v>
      </c>
      <c r="AP21" s="86">
        <f t="shared" ref="AP21:AP58" si="9">AN21-AN22-AO21</f>
        <v>-285</v>
      </c>
      <c r="AQ21" s="86">
        <f t="shared" ref="AQ21:AQ58" si="10">100*AP21/AN22</f>
        <v>-0.39612492529222898</v>
      </c>
      <c r="AR21" s="43">
        <f t="shared" ref="AR21:AR58" si="11">AM21-AM22</f>
        <v>25</v>
      </c>
      <c r="AS21" s="87">
        <f t="shared" ref="AS21:AS58" si="12">AP21/AR21</f>
        <v>-11.4</v>
      </c>
      <c r="AU21" s="44">
        <v>45895</v>
      </c>
      <c r="AV21" s="83">
        <v>208764.03</v>
      </c>
      <c r="AW21" s="78">
        <f t="shared" ref="AW21:AW25" si="13">AW22+AX21</f>
        <v>132149.34</v>
      </c>
      <c r="AX21" s="80"/>
      <c r="AY21" s="43">
        <f t="shared" ref="AY21:AY58" si="14">AU21-AU22</f>
        <v>25</v>
      </c>
      <c r="AZ21" s="82">
        <f t="shared" ref="AZ21:AZ58" si="15">AX21/AY21</f>
        <v>0</v>
      </c>
      <c r="BA21" s="80">
        <f t="shared" ref="BA21:BA58" si="16">AV21-AV22</f>
        <v>-837.42999999999302</v>
      </c>
      <c r="BB21" s="78">
        <f t="shared" ref="BB21:BB58" si="17">BA21-AX21</f>
        <v>-837.42999999999302</v>
      </c>
      <c r="BC21" s="84">
        <f t="shared" ref="BC21:BC58" si="18">100*BB21/AW22</f>
        <v>-0.63369972184499224</v>
      </c>
      <c r="BD21" s="78">
        <f t="shared" ref="BD21:BD58" si="19">BD22+BB21</f>
        <v>76614.69</v>
      </c>
      <c r="BF21" s="79">
        <v>45895</v>
      </c>
      <c r="BG21" s="83">
        <v>56613.45</v>
      </c>
      <c r="BH21">
        <v>0</v>
      </c>
      <c r="BI21" s="86">
        <f t="shared" ref="BI21:BI57" si="20">BG21-BG22-BH21</f>
        <v>-678.18000000000029</v>
      </c>
      <c r="BJ21" s="86">
        <f t="shared" ref="BJ21:BJ57" si="21">100*BI21/BG22</f>
        <v>-1.1837331212255617</v>
      </c>
      <c r="BK21" s="43">
        <f>BF21-BF22</f>
        <v>25</v>
      </c>
      <c r="BL21" s="78">
        <f t="shared" ref="BL21:BL58" si="22">BI21/BK21</f>
        <v>-27.127200000000013</v>
      </c>
      <c r="BN21" s="88"/>
      <c r="BO21" s="89"/>
      <c r="BP21" s="90"/>
      <c r="BQ21" s="91"/>
      <c r="BR21" s="91"/>
      <c r="BS21" s="92"/>
      <c r="BT21" s="93"/>
      <c r="CH21" s="44"/>
      <c r="CI21" s="14"/>
      <c r="CK21" s="86"/>
      <c r="CL21" s="86"/>
      <c r="CM21" s="43"/>
      <c r="CN21" s="94"/>
    </row>
    <row r="22" spans="1:92" x14ac:dyDescent="0.2">
      <c r="A22" s="77">
        <v>45870</v>
      </c>
      <c r="B22" s="78">
        <f>E22+AC22+AN22+AV22+BG22+BO22</f>
        <v>411986.45999999996</v>
      </c>
      <c r="D22" s="79">
        <v>45870</v>
      </c>
      <c r="E22" s="80">
        <v>59142.17</v>
      </c>
      <c r="F22" s="81">
        <v>54865.72</v>
      </c>
      <c r="G22" s="78">
        <f t="shared" ref="G22:G50" si="23">F22-F23</f>
        <v>519.62000000000262</v>
      </c>
      <c r="H22" s="43">
        <f t="shared" si="0"/>
        <v>16</v>
      </c>
      <c r="I22" s="82">
        <f t="shared" ref="I22:I50" si="24">G22/H22</f>
        <v>32.476250000000164</v>
      </c>
      <c r="J22" s="80">
        <f t="shared" si="1"/>
        <v>2042.8399999999965</v>
      </c>
      <c r="K22" s="78">
        <f t="shared" si="2"/>
        <v>1523.2199999999939</v>
      </c>
      <c r="L22" s="78">
        <f t="shared" si="3"/>
        <v>2.8028138173668284</v>
      </c>
      <c r="M22" s="78">
        <f t="shared" si="4"/>
        <v>4276.4499999999971</v>
      </c>
      <c r="O22" s="13">
        <v>45888</v>
      </c>
      <c r="P22" s="78"/>
      <c r="Q22" s="78">
        <v>0</v>
      </c>
      <c r="R22" s="78"/>
      <c r="S22" s="78"/>
      <c r="T22" s="78"/>
      <c r="U22" s="78"/>
      <c r="V22" s="78"/>
      <c r="W22" s="78"/>
      <c r="X22" s="78"/>
      <c r="Y22" s="78"/>
      <c r="Z22" s="78"/>
      <c r="AB22" s="13">
        <v>45870</v>
      </c>
      <c r="AC22" s="80">
        <v>14004.2</v>
      </c>
      <c r="AD22">
        <f>AD23+AE22</f>
        <v>13661.28</v>
      </c>
      <c r="AE22">
        <v>0</v>
      </c>
      <c r="AF22">
        <f>AB22-AB23</f>
        <v>16</v>
      </c>
      <c r="AG22" s="83">
        <f>AE22/AF22</f>
        <v>0</v>
      </c>
      <c r="AH22">
        <f>AC22-AC23</f>
        <v>307.94000000000051</v>
      </c>
      <c r="AI22">
        <f>AH22-AE22</f>
        <v>307.94000000000051</v>
      </c>
      <c r="AJ22" s="84">
        <f>100*AI22/AD23</f>
        <v>2.2541079606010599</v>
      </c>
      <c r="AK22" s="78">
        <f>AK23+AI22</f>
        <v>342.92000000000007</v>
      </c>
      <c r="AM22" s="85">
        <v>45870</v>
      </c>
      <c r="AN22" s="83">
        <v>71947</v>
      </c>
      <c r="AO22">
        <v>0</v>
      </c>
      <c r="AP22" s="86">
        <f t="shared" si="9"/>
        <v>1570</v>
      </c>
      <c r="AQ22" s="86">
        <f t="shared" si="10"/>
        <v>2.2308424627364052</v>
      </c>
      <c r="AR22" s="43">
        <f t="shared" si="11"/>
        <v>16</v>
      </c>
      <c r="AS22" s="87">
        <f t="shared" si="12"/>
        <v>98.125</v>
      </c>
      <c r="AU22" s="44">
        <v>45870</v>
      </c>
      <c r="AV22" s="83">
        <v>209601.46</v>
      </c>
      <c r="AW22" s="78">
        <f t="shared" si="13"/>
        <v>132149.34</v>
      </c>
      <c r="AX22" s="80"/>
      <c r="AY22" s="43">
        <f t="shared" si="14"/>
        <v>16</v>
      </c>
      <c r="AZ22" s="82">
        <f t="shared" si="15"/>
        <v>0</v>
      </c>
      <c r="BA22" s="80">
        <f t="shared" si="16"/>
        <v>5475.3800000000047</v>
      </c>
      <c r="BB22" s="78">
        <f t="shared" si="17"/>
        <v>5475.3800000000047</v>
      </c>
      <c r="BC22" s="84">
        <f t="shared" si="18"/>
        <v>4.1433275414012698</v>
      </c>
      <c r="BD22" s="78">
        <f t="shared" si="19"/>
        <v>77452.12</v>
      </c>
      <c r="BF22" s="79">
        <v>45870</v>
      </c>
      <c r="BG22" s="83">
        <v>57291.63</v>
      </c>
      <c r="BH22">
        <v>0</v>
      </c>
      <c r="BI22" s="86">
        <f t="shared" si="20"/>
        <v>1628.7199999999939</v>
      </c>
      <c r="BJ22" s="86">
        <f t="shared" si="21"/>
        <v>2.9260417753940526</v>
      </c>
      <c r="BK22" s="43">
        <f>BF22-BF23</f>
        <v>16</v>
      </c>
      <c r="BL22" s="78">
        <f t="shared" si="22"/>
        <v>101.79499999999962</v>
      </c>
      <c r="BN22" s="88"/>
      <c r="BO22" s="89"/>
      <c r="BP22" s="90"/>
      <c r="BQ22" s="91"/>
      <c r="BR22" s="91"/>
      <c r="BS22" s="92"/>
      <c r="BT22" s="93"/>
      <c r="CH22" s="44"/>
      <c r="CI22" s="14"/>
      <c r="CK22" s="86"/>
      <c r="CL22" s="86"/>
      <c r="CM22" s="43"/>
      <c r="CN22" s="94"/>
    </row>
    <row r="23" spans="1:92" x14ac:dyDescent="0.2">
      <c r="A23" s="77">
        <v>45854</v>
      </c>
      <c r="B23" s="78">
        <f>E23+AC23+AN23+AV23+BG23+BO23</f>
        <v>400961.57999999996</v>
      </c>
      <c r="D23" s="79">
        <v>45854</v>
      </c>
      <c r="E23" s="80">
        <v>57099.33</v>
      </c>
      <c r="F23" s="81">
        <v>54346.1</v>
      </c>
      <c r="G23" s="78">
        <f t="shared" si="23"/>
        <v>0</v>
      </c>
      <c r="H23" s="43">
        <f t="shared" si="0"/>
        <v>19</v>
      </c>
      <c r="I23" s="82">
        <f t="shared" si="24"/>
        <v>0</v>
      </c>
      <c r="J23" s="80">
        <f t="shared" si="1"/>
        <v>1841.0200000000041</v>
      </c>
      <c r="K23" s="78">
        <f t="shared" si="2"/>
        <v>1841.0200000000041</v>
      </c>
      <c r="L23" s="78">
        <f t="shared" si="3"/>
        <v>3.387584389680224</v>
      </c>
      <c r="M23" s="78">
        <f t="shared" si="4"/>
        <v>2753.2300000000032</v>
      </c>
      <c r="O23" s="78"/>
      <c r="P23" s="78"/>
      <c r="Q23" s="78"/>
      <c r="R23" s="78"/>
      <c r="S23" s="78"/>
      <c r="T23" s="78"/>
      <c r="U23" s="78"/>
      <c r="V23" s="78"/>
      <c r="W23" s="78"/>
      <c r="X23" s="78"/>
      <c r="Y23" s="78"/>
      <c r="Z23" s="78"/>
      <c r="AB23" s="13">
        <v>45854</v>
      </c>
      <c r="AC23">
        <v>13696.26</v>
      </c>
      <c r="AD23">
        <f>AD24+AE23</f>
        <v>13661.28</v>
      </c>
      <c r="AE23">
        <v>2000</v>
      </c>
      <c r="AF23">
        <f>AB23-AB24</f>
        <v>6</v>
      </c>
      <c r="AG23" s="83">
        <f>AE23/AF23</f>
        <v>333.33333333333331</v>
      </c>
      <c r="AH23">
        <f>AC23-AC24</f>
        <v>2034.9799999999996</v>
      </c>
      <c r="AI23">
        <f>AH23-AE23</f>
        <v>34.979999999999563</v>
      </c>
      <c r="AJ23" s="84">
        <f>100*AI23/AD24</f>
        <v>0.29996707051026611</v>
      </c>
      <c r="AK23" s="78">
        <f>AK24+AI23</f>
        <v>34.979999999999563</v>
      </c>
      <c r="AM23" s="85">
        <v>45854</v>
      </c>
      <c r="AN23" s="83">
        <v>70377</v>
      </c>
      <c r="AO23">
        <v>0</v>
      </c>
      <c r="AP23" s="86">
        <f t="shared" si="9"/>
        <v>1413</v>
      </c>
      <c r="AQ23" s="86">
        <f t="shared" si="10"/>
        <v>2.0488950756916653</v>
      </c>
      <c r="AR23" s="43">
        <f t="shared" si="11"/>
        <v>19</v>
      </c>
      <c r="AS23" s="87">
        <f t="shared" si="12"/>
        <v>74.368421052631575</v>
      </c>
      <c r="AU23" s="44">
        <v>45854</v>
      </c>
      <c r="AV23" s="83">
        <v>204126.07999999999</v>
      </c>
      <c r="AW23" s="78">
        <f t="shared" si="13"/>
        <v>132149.34</v>
      </c>
      <c r="AX23" s="80"/>
      <c r="AY23" s="43">
        <f t="shared" si="14"/>
        <v>19</v>
      </c>
      <c r="AZ23" s="82">
        <f t="shared" si="15"/>
        <v>0</v>
      </c>
      <c r="BA23" s="80">
        <f t="shared" si="16"/>
        <v>8298.1499999999942</v>
      </c>
      <c r="BB23" s="78">
        <f t="shared" si="17"/>
        <v>8298.1499999999942</v>
      </c>
      <c r="BC23" s="84">
        <f t="shared" si="18"/>
        <v>6.2793730184350478</v>
      </c>
      <c r="BD23" s="78">
        <f t="shared" si="19"/>
        <v>71976.739999999991</v>
      </c>
      <c r="BF23" s="79">
        <v>45854</v>
      </c>
      <c r="BG23" s="83">
        <v>55662.91</v>
      </c>
      <c r="BH23">
        <v>0</v>
      </c>
      <c r="BI23" s="86">
        <f t="shared" si="20"/>
        <v>1374.4600000000064</v>
      </c>
      <c r="BJ23" s="86">
        <f t="shared" si="21"/>
        <v>2.5317724119955654</v>
      </c>
      <c r="BK23" s="43">
        <f>BF23-BF24</f>
        <v>19</v>
      </c>
      <c r="BL23" s="78">
        <f t="shared" si="22"/>
        <v>72.34000000000033</v>
      </c>
      <c r="BN23" s="88"/>
      <c r="BO23" s="89"/>
      <c r="BP23" s="90"/>
      <c r="BQ23" s="91"/>
      <c r="BR23" s="91"/>
      <c r="BS23" s="92"/>
      <c r="BT23" s="93"/>
      <c r="CH23" s="44"/>
      <c r="CI23" s="14"/>
      <c r="CK23" s="86"/>
      <c r="CL23" s="86"/>
      <c r="CM23" s="43"/>
      <c r="CN23" s="94"/>
    </row>
    <row r="24" spans="1:92" x14ac:dyDescent="0.2">
      <c r="A24" s="77">
        <v>45835</v>
      </c>
      <c r="B24" s="78">
        <f t="shared" ref="B24:B50" si="25">E24+AN24+AV24+BG24+BO24+CI24</f>
        <v>385986.03</v>
      </c>
      <c r="D24" s="79">
        <f>A24</f>
        <v>45835</v>
      </c>
      <c r="E24" s="80">
        <v>55258.31</v>
      </c>
      <c r="F24" s="78">
        <v>54346.1</v>
      </c>
      <c r="G24" s="78">
        <f t="shared" si="23"/>
        <v>519.61999999999534</v>
      </c>
      <c r="H24" s="43">
        <f t="shared" si="0"/>
        <v>36</v>
      </c>
      <c r="I24" s="82">
        <f t="shared" si="24"/>
        <v>14.43388888888876</v>
      </c>
      <c r="J24" s="80">
        <f t="shared" si="1"/>
        <v>1287.5999999999985</v>
      </c>
      <c r="K24" s="78">
        <f t="shared" si="2"/>
        <v>767.9800000000032</v>
      </c>
      <c r="L24" s="78">
        <f t="shared" si="3"/>
        <v>1.4267698723750897</v>
      </c>
      <c r="M24" s="78">
        <f t="shared" si="4"/>
        <v>912.20999999999913</v>
      </c>
      <c r="O24" s="78"/>
      <c r="P24" s="78"/>
      <c r="Q24" s="78"/>
      <c r="R24" s="78"/>
      <c r="S24" s="78"/>
      <c r="T24" s="78"/>
      <c r="U24" s="78"/>
      <c r="V24" s="78"/>
      <c r="W24" s="78"/>
      <c r="X24" s="78"/>
      <c r="Y24" s="78"/>
      <c r="Z24" s="78"/>
      <c r="AB24" s="13">
        <v>45848</v>
      </c>
      <c r="AC24">
        <v>11661.28</v>
      </c>
      <c r="AD24">
        <v>11661.28</v>
      </c>
      <c r="AE24">
        <v>11661.28</v>
      </c>
      <c r="AM24" s="85">
        <f>A24</f>
        <v>45835</v>
      </c>
      <c r="AN24" s="83">
        <v>68964</v>
      </c>
      <c r="AO24">
        <v>0</v>
      </c>
      <c r="AP24" s="86">
        <f t="shared" si="9"/>
        <v>431</v>
      </c>
      <c r="AQ24" s="86">
        <f t="shared" si="10"/>
        <v>0.62889410940714696</v>
      </c>
      <c r="AR24" s="43">
        <f t="shared" si="11"/>
        <v>36</v>
      </c>
      <c r="AS24" s="87">
        <f t="shared" si="12"/>
        <v>11.972222222222221</v>
      </c>
      <c r="AU24" s="44">
        <f>A24</f>
        <v>45835</v>
      </c>
      <c r="AV24" s="83">
        <v>195827.93</v>
      </c>
      <c r="AW24" s="78">
        <f t="shared" si="13"/>
        <v>132149.34</v>
      </c>
      <c r="AX24" s="80"/>
      <c r="AY24" s="43">
        <f t="shared" si="14"/>
        <v>36</v>
      </c>
      <c r="AZ24" s="82">
        <f t="shared" si="15"/>
        <v>0</v>
      </c>
      <c r="BA24" s="80">
        <f t="shared" si="16"/>
        <v>938.32000000000698</v>
      </c>
      <c r="BB24" s="78">
        <f t="shared" si="17"/>
        <v>938.32000000000698</v>
      </c>
      <c r="BC24" s="84">
        <f t="shared" si="18"/>
        <v>0.71004516556799069</v>
      </c>
      <c r="BD24" s="78">
        <f t="shared" si="19"/>
        <v>63678.59</v>
      </c>
      <c r="BF24" s="79">
        <f>A24</f>
        <v>45835</v>
      </c>
      <c r="BG24" s="83">
        <v>54288.45</v>
      </c>
      <c r="BH24">
        <v>0</v>
      </c>
      <c r="BI24" s="86">
        <f t="shared" si="20"/>
        <v>663.34999999999854</v>
      </c>
      <c r="BJ24" s="86">
        <f t="shared" si="21"/>
        <v>1.2370140102302813</v>
      </c>
      <c r="BK24" s="43">
        <f>BF24-BF25</f>
        <v>36</v>
      </c>
      <c r="BL24" s="78">
        <f t="shared" si="22"/>
        <v>18.426388888888848</v>
      </c>
      <c r="BN24" s="88"/>
      <c r="BO24" s="89"/>
      <c r="BP24" s="90"/>
      <c r="BQ24" s="91"/>
      <c r="BR24" s="91"/>
      <c r="BS24" s="92"/>
      <c r="BT24" s="93"/>
      <c r="CH24" s="44">
        <f>A24</f>
        <v>45835</v>
      </c>
      <c r="CI24" s="14">
        <v>11647.34</v>
      </c>
      <c r="CJ24">
        <v>0</v>
      </c>
      <c r="CK24" s="86">
        <f t="shared" ref="CK24:CK57" si="26">CI24-CI25-CJ24</f>
        <v>-71.600000000000364</v>
      </c>
      <c r="CL24" s="86">
        <f t="shared" ref="CL24:CL57" si="27">100*CK24/CI25</f>
        <v>-0.61097676069678963</v>
      </c>
      <c r="CM24" s="43">
        <f t="shared" ref="CM24:CM57" si="28">CH24-CH25</f>
        <v>36</v>
      </c>
      <c r="CN24" s="94">
        <f t="shared" ref="CN24:CN57" si="29">CK24/CM24</f>
        <v>-1.9888888888888989</v>
      </c>
    </row>
    <row r="25" spans="1:92" x14ac:dyDescent="0.2">
      <c r="A25" s="77">
        <v>45799</v>
      </c>
      <c r="B25" s="78">
        <f t="shared" si="25"/>
        <v>382737.35999999993</v>
      </c>
      <c r="D25" s="79">
        <f>A25</f>
        <v>45799</v>
      </c>
      <c r="E25" s="80">
        <v>53970.71</v>
      </c>
      <c r="F25" s="78">
        <v>53826.48</v>
      </c>
      <c r="G25" s="78">
        <f t="shared" si="23"/>
        <v>1039.2400000000052</v>
      </c>
      <c r="H25" s="43">
        <f t="shared" si="0"/>
        <v>55</v>
      </c>
      <c r="I25" s="82">
        <f t="shared" si="24"/>
        <v>18.895272727272822</v>
      </c>
      <c r="J25" s="80">
        <f t="shared" si="1"/>
        <v>1464.2099999999991</v>
      </c>
      <c r="K25" s="78">
        <f t="shared" si="2"/>
        <v>424.96999999999389</v>
      </c>
      <c r="L25" s="78">
        <f t="shared" si="3"/>
        <v>0.8050619808877939</v>
      </c>
      <c r="M25" s="78">
        <f t="shared" si="4"/>
        <v>144.22999999999593</v>
      </c>
      <c r="O25" s="78"/>
      <c r="P25" s="78"/>
      <c r="Q25" s="78"/>
      <c r="R25" s="78"/>
      <c r="S25" s="78"/>
      <c r="T25" s="78"/>
      <c r="U25" s="78"/>
      <c r="V25" s="78"/>
      <c r="W25" s="78"/>
      <c r="X25" s="78"/>
      <c r="Y25" s="78"/>
      <c r="Z25" s="78"/>
      <c r="AM25" s="85">
        <f>A25</f>
        <v>45799</v>
      </c>
      <c r="AN25" s="83">
        <v>68533</v>
      </c>
      <c r="AO25">
        <v>0</v>
      </c>
      <c r="AP25" s="86">
        <f t="shared" si="9"/>
        <v>815</v>
      </c>
      <c r="AQ25" s="86">
        <f t="shared" si="10"/>
        <v>1.2035204819988776</v>
      </c>
      <c r="AR25" s="43">
        <f t="shared" si="11"/>
        <v>55</v>
      </c>
      <c r="AS25" s="87">
        <f t="shared" si="12"/>
        <v>14.818181818181818</v>
      </c>
      <c r="AU25" s="44">
        <f>A25</f>
        <v>45799</v>
      </c>
      <c r="AV25" s="83">
        <v>194889.61</v>
      </c>
      <c r="AW25" s="78">
        <f t="shared" si="13"/>
        <v>132149.34</v>
      </c>
      <c r="AX25" s="80"/>
      <c r="AY25" s="43">
        <f t="shared" si="14"/>
        <v>55</v>
      </c>
      <c r="AZ25" s="82">
        <f t="shared" si="15"/>
        <v>0</v>
      </c>
      <c r="BA25" s="80">
        <f t="shared" si="16"/>
        <v>2472.75</v>
      </c>
      <c r="BB25" s="78">
        <f t="shared" si="17"/>
        <v>2472.75</v>
      </c>
      <c r="BC25" s="84">
        <f t="shared" si="18"/>
        <v>1.8711784712659179</v>
      </c>
      <c r="BD25" s="78">
        <f t="shared" si="19"/>
        <v>62740.26999999999</v>
      </c>
      <c r="BF25" s="79">
        <f>A25</f>
        <v>45799</v>
      </c>
      <c r="BG25" s="83">
        <v>53625.1</v>
      </c>
      <c r="BH25">
        <v>0</v>
      </c>
      <c r="BI25" s="86">
        <f t="shared" si="20"/>
        <v>305.20999999999913</v>
      </c>
      <c r="BJ25" s="86">
        <f t="shared" si="21"/>
        <v>0.57241303386034581</v>
      </c>
      <c r="BK25" s="43">
        <f t="shared" ref="BK25:BK58" si="30">BF25-BF26</f>
        <v>55</v>
      </c>
      <c r="BL25" s="78">
        <f t="shared" si="22"/>
        <v>5.5492727272727116</v>
      </c>
      <c r="BN25" s="88"/>
      <c r="BO25" s="89"/>
      <c r="BP25" s="90"/>
      <c r="BQ25" s="91"/>
      <c r="BR25" s="91"/>
      <c r="BS25" s="92"/>
      <c r="BT25" s="93"/>
      <c r="CH25" s="44">
        <f>A25</f>
        <v>45799</v>
      </c>
      <c r="CI25" s="14">
        <v>11718.94</v>
      </c>
      <c r="CJ25">
        <v>0</v>
      </c>
      <c r="CK25" s="86">
        <f t="shared" si="26"/>
        <v>205.22000000000116</v>
      </c>
      <c r="CL25" s="86">
        <f t="shared" si="27"/>
        <v>1.7823952640849454</v>
      </c>
      <c r="CM25" s="43">
        <f t="shared" si="28"/>
        <v>55</v>
      </c>
      <c r="CN25" s="94">
        <f t="shared" si="29"/>
        <v>3.7312727272727484</v>
      </c>
    </row>
    <row r="26" spans="1:92" x14ac:dyDescent="0.2">
      <c r="A26" s="77">
        <v>45744</v>
      </c>
      <c r="B26" s="78">
        <f t="shared" si="25"/>
        <v>377474.97</v>
      </c>
      <c r="D26" s="79">
        <v>45744</v>
      </c>
      <c r="E26" s="80">
        <v>52506.5</v>
      </c>
      <c r="F26" s="78">
        <v>52787.24</v>
      </c>
      <c r="G26" s="78">
        <f t="shared" si="23"/>
        <v>1039.239999999998</v>
      </c>
      <c r="H26" s="43">
        <f t="shared" si="0"/>
        <v>54</v>
      </c>
      <c r="I26" s="82">
        <f t="shared" si="24"/>
        <v>19.245185185185147</v>
      </c>
      <c r="J26" s="80">
        <f t="shared" si="1"/>
        <v>-1986.8499999999985</v>
      </c>
      <c r="K26" s="78">
        <f t="shared" si="2"/>
        <v>-3026.0899999999965</v>
      </c>
      <c r="L26" s="78">
        <f t="shared" si="3"/>
        <v>-5.8477429079384642</v>
      </c>
      <c r="M26" s="78">
        <f t="shared" si="4"/>
        <v>-280.73999999999796</v>
      </c>
      <c r="O26" s="78"/>
      <c r="P26" s="78"/>
      <c r="Q26" s="78"/>
      <c r="R26" s="78"/>
      <c r="S26" s="78"/>
      <c r="T26" s="78"/>
      <c r="U26" s="78"/>
      <c r="V26" s="78"/>
      <c r="W26" s="78"/>
      <c r="X26" s="78"/>
      <c r="Y26" s="78"/>
      <c r="Z26" s="78"/>
      <c r="AM26" s="85">
        <v>45744</v>
      </c>
      <c r="AN26" s="83">
        <v>67718</v>
      </c>
      <c r="AO26">
        <v>0</v>
      </c>
      <c r="AP26" s="86">
        <f t="shared" si="9"/>
        <v>-1719</v>
      </c>
      <c r="AQ26" s="86">
        <f t="shared" si="10"/>
        <v>-2.4756253870414908</v>
      </c>
      <c r="AR26" s="43">
        <f t="shared" si="11"/>
        <v>54</v>
      </c>
      <c r="AS26" s="87">
        <f t="shared" si="12"/>
        <v>-31.833333333333332</v>
      </c>
      <c r="AU26" s="44">
        <v>45744</v>
      </c>
      <c r="AV26" s="83">
        <v>192416.86</v>
      </c>
      <c r="AW26" s="78">
        <f>AW27+AX26</f>
        <v>132149.34</v>
      </c>
      <c r="AX26" s="80">
        <v>80723.929999999993</v>
      </c>
      <c r="AY26" s="43">
        <f t="shared" si="14"/>
        <v>54</v>
      </c>
      <c r="AZ26" s="82">
        <f t="shared" si="15"/>
        <v>1494.8875925925925</v>
      </c>
      <c r="BA26" s="80">
        <f t="shared" si="16"/>
        <v>64797.989999999991</v>
      </c>
      <c r="BB26" s="78">
        <f t="shared" si="17"/>
        <v>-15925.940000000002</v>
      </c>
      <c r="BC26" s="84">
        <f t="shared" si="18"/>
        <v>-30.969009289376597</v>
      </c>
      <c r="BD26" s="78">
        <f t="shared" si="19"/>
        <v>60267.51999999999</v>
      </c>
      <c r="BF26" s="79">
        <v>45744</v>
      </c>
      <c r="BG26" s="83">
        <v>53319.89</v>
      </c>
      <c r="BH26">
        <v>0</v>
      </c>
      <c r="BI26" s="86">
        <f t="shared" si="20"/>
        <v>-4186.9599999999991</v>
      </c>
      <c r="BJ26" s="86">
        <f t="shared" si="21"/>
        <v>-7.2808022000857271</v>
      </c>
      <c r="BK26" s="43">
        <f t="shared" si="30"/>
        <v>54</v>
      </c>
      <c r="BL26" s="78">
        <f t="shared" si="22"/>
        <v>-77.536296296296285</v>
      </c>
      <c r="BN26" s="88"/>
      <c r="BO26" s="89"/>
      <c r="BP26" s="90"/>
      <c r="BQ26" s="91"/>
      <c r="BR26" s="91"/>
      <c r="BS26" s="92"/>
      <c r="BT26" s="93"/>
      <c r="CH26" s="44">
        <v>45744</v>
      </c>
      <c r="CI26" s="14">
        <v>11513.72</v>
      </c>
      <c r="CJ26">
        <v>0</v>
      </c>
      <c r="CK26" s="86">
        <f t="shared" si="26"/>
        <v>-524.75</v>
      </c>
      <c r="CL26" s="86">
        <f t="shared" si="27"/>
        <v>-4.3589426231074215</v>
      </c>
      <c r="CM26" s="43">
        <f t="shared" si="28"/>
        <v>54</v>
      </c>
      <c r="CN26" s="94">
        <f t="shared" si="29"/>
        <v>-9.7175925925925934</v>
      </c>
    </row>
    <row r="27" spans="1:92" x14ac:dyDescent="0.2">
      <c r="A27" s="77">
        <v>45690</v>
      </c>
      <c r="B27" s="78">
        <f t="shared" si="25"/>
        <v>400034.48</v>
      </c>
      <c r="D27" s="79">
        <v>45690</v>
      </c>
      <c r="E27" s="80">
        <v>54493.35</v>
      </c>
      <c r="F27" s="78">
        <v>51748</v>
      </c>
      <c r="G27" s="78">
        <f t="shared" si="23"/>
        <v>519.62000000000262</v>
      </c>
      <c r="H27" s="43">
        <f t="shared" si="0"/>
        <v>22</v>
      </c>
      <c r="I27" s="82">
        <f t="shared" si="24"/>
        <v>23.619090909091028</v>
      </c>
      <c r="J27" s="80">
        <f t="shared" si="1"/>
        <v>1536.9300000000003</v>
      </c>
      <c r="K27" s="78">
        <f t="shared" si="2"/>
        <v>1017.3099999999977</v>
      </c>
      <c r="L27" s="78">
        <f t="shared" si="3"/>
        <v>1.9858328528054132</v>
      </c>
      <c r="M27" s="78">
        <f t="shared" si="4"/>
        <v>2745.3499999999985</v>
      </c>
      <c r="O27" s="78"/>
      <c r="P27" s="78"/>
      <c r="Q27" s="78"/>
      <c r="R27" s="78"/>
      <c r="S27" s="78"/>
      <c r="T27" s="78"/>
      <c r="U27" s="78"/>
      <c r="V27" s="78"/>
      <c r="W27" s="78"/>
      <c r="X27" s="78"/>
      <c r="Y27" s="78"/>
      <c r="Z27" s="78"/>
      <c r="AM27" s="85">
        <v>45690</v>
      </c>
      <c r="AN27" s="83">
        <v>69437</v>
      </c>
      <c r="AO27">
        <v>0</v>
      </c>
      <c r="AP27" s="86">
        <f t="shared" si="9"/>
        <v>1512</v>
      </c>
      <c r="AQ27" s="86">
        <f t="shared" si="10"/>
        <v>2.2259845417740154</v>
      </c>
      <c r="AR27" s="43">
        <f t="shared" si="11"/>
        <v>22</v>
      </c>
      <c r="AS27" s="87">
        <f t="shared" si="12"/>
        <v>68.727272727272734</v>
      </c>
      <c r="AU27" s="44">
        <v>45690</v>
      </c>
      <c r="AV27" s="83">
        <v>127618.87</v>
      </c>
      <c r="AW27" s="78">
        <v>51425.41</v>
      </c>
      <c r="AX27">
        <v>0</v>
      </c>
      <c r="AY27" s="43">
        <f t="shared" si="14"/>
        <v>22</v>
      </c>
      <c r="AZ27" s="82">
        <f t="shared" si="15"/>
        <v>0</v>
      </c>
      <c r="BA27" s="80">
        <f t="shared" si="16"/>
        <v>2325.7299999999959</v>
      </c>
      <c r="BB27" s="78">
        <f t="shared" si="17"/>
        <v>2325.7299999999959</v>
      </c>
      <c r="BC27" s="84">
        <f t="shared" si="18"/>
        <v>4.5225307877953638</v>
      </c>
      <c r="BD27" s="78">
        <f t="shared" si="19"/>
        <v>76193.459999999992</v>
      </c>
      <c r="BF27" s="79">
        <v>45690</v>
      </c>
      <c r="BG27" s="83">
        <v>57506.85</v>
      </c>
      <c r="BH27">
        <v>0</v>
      </c>
      <c r="BI27" s="86">
        <f t="shared" si="20"/>
        <v>811.88999999999942</v>
      </c>
      <c r="BJ27" s="86">
        <f t="shared" si="21"/>
        <v>1.4320320536428626</v>
      </c>
      <c r="BK27" s="43">
        <f t="shared" si="30"/>
        <v>22</v>
      </c>
      <c r="BL27" s="78">
        <f t="shared" si="22"/>
        <v>36.904090909090883</v>
      </c>
      <c r="BN27" s="44">
        <v>45690</v>
      </c>
      <c r="BO27" s="95">
        <v>78939.94</v>
      </c>
      <c r="BP27" s="96">
        <v>0</v>
      </c>
      <c r="BQ27" s="97">
        <f t="shared" ref="BQ27:BQ40" si="31">BO27-BO28</f>
        <v>0</v>
      </c>
      <c r="BR27" s="97">
        <f t="shared" ref="BR27:BR55" si="32">100*BQ27/BO28</f>
        <v>0</v>
      </c>
      <c r="BS27" s="98">
        <f t="shared" ref="BS27:BS56" si="33">BN27-BN28</f>
        <v>22</v>
      </c>
      <c r="BT27" s="99">
        <f t="shared" ref="BT27:BT56" si="34">BQ27/BS27</f>
        <v>0</v>
      </c>
      <c r="CH27" s="44">
        <v>45690</v>
      </c>
      <c r="CI27" s="14">
        <v>12038.47</v>
      </c>
      <c r="CJ27">
        <v>0</v>
      </c>
      <c r="CK27" s="86">
        <f t="shared" si="26"/>
        <v>624.86999999999898</v>
      </c>
      <c r="CL27" s="86">
        <f t="shared" si="27"/>
        <v>5.4747844676526158</v>
      </c>
      <c r="CM27" s="43">
        <f t="shared" si="28"/>
        <v>22</v>
      </c>
      <c r="CN27" s="94">
        <f t="shared" si="29"/>
        <v>28.403181818181771</v>
      </c>
    </row>
    <row r="28" spans="1:92" x14ac:dyDescent="0.2">
      <c r="A28" s="77">
        <v>45668</v>
      </c>
      <c r="B28" s="78">
        <f t="shared" si="25"/>
        <v>393223.06</v>
      </c>
      <c r="D28" s="79">
        <v>45668</v>
      </c>
      <c r="E28" s="80">
        <v>52956.42</v>
      </c>
      <c r="F28" s="78">
        <v>51228.38</v>
      </c>
      <c r="G28" s="78">
        <f t="shared" si="23"/>
        <v>1039.239999999998</v>
      </c>
      <c r="H28" s="43">
        <f t="shared" si="0"/>
        <v>69</v>
      </c>
      <c r="I28" s="82">
        <f t="shared" si="24"/>
        <v>15.061449275362289</v>
      </c>
      <c r="J28" s="80">
        <f t="shared" si="1"/>
        <v>2619.7900000000009</v>
      </c>
      <c r="K28" s="78">
        <f t="shared" si="2"/>
        <v>1580.5500000000029</v>
      </c>
      <c r="L28" s="78">
        <f t="shared" si="3"/>
        <v>3.1491872544538579</v>
      </c>
      <c r="M28" s="78">
        <f t="shared" si="4"/>
        <v>1728.0400000000009</v>
      </c>
      <c r="O28" s="78"/>
      <c r="P28" s="78"/>
      <c r="Q28" s="78"/>
      <c r="R28" s="78"/>
      <c r="S28" s="78"/>
      <c r="T28" s="78"/>
      <c r="U28" s="78"/>
      <c r="V28" s="78"/>
      <c r="W28" s="78"/>
      <c r="X28" s="78"/>
      <c r="Y28" s="78"/>
      <c r="Z28" s="78"/>
      <c r="AM28" s="85">
        <v>45668</v>
      </c>
      <c r="AN28" s="83">
        <v>67925</v>
      </c>
      <c r="AO28">
        <v>0</v>
      </c>
      <c r="AP28" s="86">
        <f t="shared" si="9"/>
        <v>1462</v>
      </c>
      <c r="AQ28" s="86">
        <f t="shared" si="10"/>
        <v>2.1997201450431065</v>
      </c>
      <c r="AR28" s="43">
        <f t="shared" si="11"/>
        <v>69</v>
      </c>
      <c r="AS28" s="87">
        <f t="shared" si="12"/>
        <v>21.188405797101449</v>
      </c>
      <c r="AU28" s="44">
        <v>45668</v>
      </c>
      <c r="AV28" s="83">
        <v>125293.14</v>
      </c>
      <c r="AW28" s="78">
        <v>51425.41</v>
      </c>
      <c r="AX28">
        <v>0</v>
      </c>
      <c r="AY28" s="43">
        <f t="shared" si="14"/>
        <v>69</v>
      </c>
      <c r="AZ28" s="82">
        <f t="shared" si="15"/>
        <v>0</v>
      </c>
      <c r="BA28" s="80">
        <f t="shared" si="16"/>
        <v>10229.039999999994</v>
      </c>
      <c r="BB28" s="78">
        <f t="shared" si="17"/>
        <v>10229.039999999994</v>
      </c>
      <c r="BC28" s="84">
        <f t="shared" si="18"/>
        <v>19.891022745370417</v>
      </c>
      <c r="BD28" s="78">
        <f t="shared" si="19"/>
        <v>73867.73</v>
      </c>
      <c r="BF28" s="79">
        <v>45668</v>
      </c>
      <c r="BG28" s="83">
        <v>56694.96</v>
      </c>
      <c r="BH28">
        <v>0</v>
      </c>
      <c r="BI28" s="86">
        <f t="shared" si="20"/>
        <v>3768.5599999999977</v>
      </c>
      <c r="BJ28" s="86">
        <f t="shared" si="21"/>
        <v>7.1203784878623857</v>
      </c>
      <c r="BK28" s="43">
        <f t="shared" si="30"/>
        <v>69</v>
      </c>
      <c r="BL28" s="78">
        <f t="shared" si="22"/>
        <v>54.616811594202865</v>
      </c>
      <c r="BN28" s="44">
        <v>45668</v>
      </c>
      <c r="BO28" s="100">
        <v>78939.94</v>
      </c>
      <c r="BP28">
        <v>0</v>
      </c>
      <c r="BQ28" s="86">
        <f t="shared" si="31"/>
        <v>1363.2200000000012</v>
      </c>
      <c r="BR28" s="86">
        <f t="shared" si="32"/>
        <v>1.7572539803178082</v>
      </c>
      <c r="BS28" s="43">
        <f t="shared" si="33"/>
        <v>69</v>
      </c>
      <c r="BT28" s="87">
        <f t="shared" si="34"/>
        <v>19.756811594202915</v>
      </c>
      <c r="CH28" s="44">
        <v>45668</v>
      </c>
      <c r="CI28" s="14">
        <v>11413.6</v>
      </c>
      <c r="CJ28">
        <v>0</v>
      </c>
      <c r="CK28" s="86">
        <f t="shared" si="26"/>
        <v>-21.239999999999782</v>
      </c>
      <c r="CL28" s="86">
        <f t="shared" si="27"/>
        <v>-0.18574811715773706</v>
      </c>
      <c r="CM28" s="43">
        <f t="shared" si="28"/>
        <v>69</v>
      </c>
      <c r="CN28" s="94">
        <f t="shared" si="29"/>
        <v>-0.30782608695651859</v>
      </c>
    </row>
    <row r="29" spans="1:92" x14ac:dyDescent="0.2">
      <c r="A29" s="77">
        <v>45599</v>
      </c>
      <c r="B29" s="78">
        <f t="shared" si="25"/>
        <v>373801.69</v>
      </c>
      <c r="D29" s="79">
        <v>45599</v>
      </c>
      <c r="E29" s="80">
        <v>50336.63</v>
      </c>
      <c r="F29" s="78">
        <v>50189.14</v>
      </c>
      <c r="G29" s="78">
        <f t="shared" si="23"/>
        <v>519.62000000000262</v>
      </c>
      <c r="H29" s="43">
        <f t="shared" si="0"/>
        <v>35</v>
      </c>
      <c r="I29" s="82">
        <f t="shared" si="24"/>
        <v>14.84628571428579</v>
      </c>
      <c r="J29" s="80">
        <f t="shared" si="1"/>
        <v>430.61999999999534</v>
      </c>
      <c r="K29" s="78">
        <f t="shared" si="2"/>
        <v>-89.000000000007276</v>
      </c>
      <c r="L29" s="78">
        <f t="shared" si="3"/>
        <v>-0.17918433679247814</v>
      </c>
      <c r="M29" s="78">
        <f t="shared" si="4"/>
        <v>147.48999999999796</v>
      </c>
      <c r="O29" s="78"/>
      <c r="P29" s="78"/>
      <c r="Q29" s="78"/>
      <c r="R29" s="78"/>
      <c r="S29" s="78"/>
      <c r="T29" s="78"/>
      <c r="U29" s="78"/>
      <c r="V29" s="78"/>
      <c r="W29" s="78"/>
      <c r="X29" s="78"/>
      <c r="Y29" s="78"/>
      <c r="Z29" s="78"/>
      <c r="AM29" s="85">
        <v>45599</v>
      </c>
      <c r="AN29" s="83">
        <v>66463</v>
      </c>
      <c r="AO29">
        <v>0</v>
      </c>
      <c r="AP29" s="86">
        <f t="shared" si="9"/>
        <v>-344</v>
      </c>
      <c r="AQ29" s="86">
        <f t="shared" si="10"/>
        <v>-0.51491610160611911</v>
      </c>
      <c r="AR29" s="43">
        <f t="shared" si="11"/>
        <v>35</v>
      </c>
      <c r="AS29" s="87">
        <f t="shared" si="12"/>
        <v>-9.8285714285714292</v>
      </c>
      <c r="AU29" s="44">
        <v>45599</v>
      </c>
      <c r="AV29" s="83">
        <v>115064.1</v>
      </c>
      <c r="AW29" s="78">
        <f t="shared" ref="AW29:AW56" si="35">AW30+AX29</f>
        <v>51425.41</v>
      </c>
      <c r="AX29">
        <v>0</v>
      </c>
      <c r="AY29" s="43">
        <f t="shared" si="14"/>
        <v>35</v>
      </c>
      <c r="AZ29" s="82">
        <f t="shared" si="15"/>
        <v>0</v>
      </c>
      <c r="BA29" s="80">
        <f t="shared" si="16"/>
        <v>2821.7200000000012</v>
      </c>
      <c r="BB29" s="78">
        <f t="shared" si="17"/>
        <v>2821.7200000000012</v>
      </c>
      <c r="BC29" s="84">
        <f t="shared" si="18"/>
        <v>5.4870150767879169</v>
      </c>
      <c r="BD29" s="78">
        <f t="shared" si="19"/>
        <v>63638.69</v>
      </c>
      <c r="BF29" s="79">
        <v>45599</v>
      </c>
      <c r="BG29" s="83">
        <v>52926.400000000001</v>
      </c>
      <c r="BH29">
        <v>0</v>
      </c>
      <c r="BI29" s="86">
        <f t="shared" si="20"/>
        <v>1163.9700000000012</v>
      </c>
      <c r="BJ29" s="86">
        <f t="shared" si="21"/>
        <v>2.2486772742315249</v>
      </c>
      <c r="BK29" s="43">
        <f t="shared" si="30"/>
        <v>35</v>
      </c>
      <c r="BL29" s="78">
        <f t="shared" si="22"/>
        <v>33.256285714285745</v>
      </c>
      <c r="BN29" s="44">
        <v>45599</v>
      </c>
      <c r="BO29" s="100">
        <v>77576.72</v>
      </c>
      <c r="BP29">
        <v>0</v>
      </c>
      <c r="BQ29" s="86">
        <f t="shared" si="31"/>
        <v>-298.24000000000524</v>
      </c>
      <c r="BR29" s="86">
        <f t="shared" si="32"/>
        <v>-0.38297290939219131</v>
      </c>
      <c r="BS29" s="43">
        <f t="shared" si="33"/>
        <v>35</v>
      </c>
      <c r="BT29" s="87">
        <f t="shared" si="34"/>
        <v>-8.5211428571430066</v>
      </c>
      <c r="CH29" s="44">
        <v>45599</v>
      </c>
      <c r="CI29" s="14">
        <v>11434.84</v>
      </c>
      <c r="CJ29">
        <v>0</v>
      </c>
      <c r="CK29" s="86">
        <f t="shared" si="26"/>
        <v>-215.34000000000015</v>
      </c>
      <c r="CL29" s="86">
        <f t="shared" si="27"/>
        <v>-1.8483834584530037</v>
      </c>
      <c r="CM29" s="43">
        <f t="shared" si="28"/>
        <v>35</v>
      </c>
      <c r="CN29" s="94">
        <f t="shared" si="29"/>
        <v>-6.1525714285714326</v>
      </c>
    </row>
    <row r="30" spans="1:92" x14ac:dyDescent="0.2">
      <c r="A30" s="77">
        <v>45564</v>
      </c>
      <c r="B30" s="78">
        <f t="shared" si="25"/>
        <v>370242.96</v>
      </c>
      <c r="D30" s="79">
        <v>45564</v>
      </c>
      <c r="E30" s="80">
        <v>49906.01</v>
      </c>
      <c r="F30" s="78">
        <v>49669.52</v>
      </c>
      <c r="G30" s="78">
        <f t="shared" si="23"/>
        <v>520.5199999999968</v>
      </c>
      <c r="H30" s="43">
        <f t="shared" si="0"/>
        <v>14</v>
      </c>
      <c r="I30" s="82">
        <f t="shared" si="24"/>
        <v>37.179999999999772</v>
      </c>
      <c r="J30" s="80">
        <f t="shared" si="1"/>
        <v>1031.5299999999988</v>
      </c>
      <c r="K30" s="78">
        <f t="shared" si="2"/>
        <v>511.01000000000204</v>
      </c>
      <c r="L30" s="78">
        <f t="shared" si="3"/>
        <v>1.0397159657368451</v>
      </c>
      <c r="M30" s="78">
        <f t="shared" si="4"/>
        <v>236.49000000000524</v>
      </c>
      <c r="O30" s="78"/>
      <c r="P30" s="78"/>
      <c r="Q30" s="78"/>
      <c r="R30" s="78"/>
      <c r="S30" s="78"/>
      <c r="T30" s="78"/>
      <c r="U30" s="78"/>
      <c r="V30" s="78"/>
      <c r="W30" s="78"/>
      <c r="X30" s="78"/>
      <c r="Y30" s="78"/>
      <c r="Z30" s="78"/>
      <c r="AM30" s="85">
        <v>45564</v>
      </c>
      <c r="AN30" s="83">
        <v>66807</v>
      </c>
      <c r="AO30">
        <v>0</v>
      </c>
      <c r="AP30" s="86">
        <f t="shared" si="9"/>
        <v>836</v>
      </c>
      <c r="AQ30" s="86">
        <f t="shared" si="10"/>
        <v>1.2672234769823103</v>
      </c>
      <c r="AR30" s="43">
        <f t="shared" si="11"/>
        <v>14</v>
      </c>
      <c r="AS30" s="87">
        <f t="shared" si="12"/>
        <v>59.714285714285715</v>
      </c>
      <c r="AU30" s="44">
        <v>45564</v>
      </c>
      <c r="AV30" s="83">
        <v>112242.38</v>
      </c>
      <c r="AW30" s="78">
        <f t="shared" si="35"/>
        <v>51425.41</v>
      </c>
      <c r="AX30">
        <v>2500</v>
      </c>
      <c r="AY30" s="43">
        <f t="shared" si="14"/>
        <v>14</v>
      </c>
      <c r="AZ30" s="82">
        <f t="shared" si="15"/>
        <v>178.57142857142858</v>
      </c>
      <c r="BA30" s="80">
        <f t="shared" si="16"/>
        <v>3201.1800000000076</v>
      </c>
      <c r="BB30" s="78">
        <f t="shared" si="17"/>
        <v>701.18000000000757</v>
      </c>
      <c r="BC30" s="84">
        <f t="shared" si="18"/>
        <v>1.433161214182993</v>
      </c>
      <c r="BD30" s="78">
        <f t="shared" si="19"/>
        <v>60816.97</v>
      </c>
      <c r="BF30" s="79">
        <v>45564</v>
      </c>
      <c r="BG30" s="83">
        <v>51762.43</v>
      </c>
      <c r="BH30">
        <v>0</v>
      </c>
      <c r="BI30" s="86">
        <f t="shared" si="20"/>
        <v>558.41000000000349</v>
      </c>
      <c r="BJ30" s="86">
        <f t="shared" si="21"/>
        <v>1.0905589053359552</v>
      </c>
      <c r="BK30" s="43">
        <f t="shared" si="30"/>
        <v>14</v>
      </c>
      <c r="BL30" s="78">
        <f t="shared" si="22"/>
        <v>39.886428571428823</v>
      </c>
      <c r="BN30" s="44">
        <v>45564</v>
      </c>
      <c r="BO30" s="100">
        <v>77874.960000000006</v>
      </c>
      <c r="BP30">
        <v>0</v>
      </c>
      <c r="BQ30" s="86">
        <f t="shared" si="31"/>
        <v>461.45000000001164</v>
      </c>
      <c r="BR30" s="86">
        <f t="shared" si="32"/>
        <v>0.59608458523584795</v>
      </c>
      <c r="BS30" s="43">
        <f t="shared" si="33"/>
        <v>14</v>
      </c>
      <c r="BT30" s="87">
        <f t="shared" si="34"/>
        <v>32.96071428571512</v>
      </c>
      <c r="CH30" s="44">
        <v>45564</v>
      </c>
      <c r="CI30" s="14">
        <v>11650.18</v>
      </c>
      <c r="CJ30">
        <v>0</v>
      </c>
      <c r="CK30" s="86">
        <f t="shared" si="26"/>
        <v>94</v>
      </c>
      <c r="CL30" s="86">
        <f t="shared" si="27"/>
        <v>0.81341758262678499</v>
      </c>
      <c r="CM30" s="43">
        <f t="shared" si="28"/>
        <v>14</v>
      </c>
      <c r="CN30" s="94">
        <f t="shared" si="29"/>
        <v>6.7142857142857144</v>
      </c>
    </row>
    <row r="31" spans="1:92" x14ac:dyDescent="0.2">
      <c r="A31" s="77">
        <v>45550</v>
      </c>
      <c r="B31" s="78">
        <f t="shared" si="25"/>
        <v>364060.39</v>
      </c>
      <c r="D31" s="79">
        <v>45550</v>
      </c>
      <c r="E31" s="80">
        <v>48874.48</v>
      </c>
      <c r="F31" s="78">
        <v>49149</v>
      </c>
      <c r="G31" s="78">
        <f t="shared" si="23"/>
        <v>518.72000000000116</v>
      </c>
      <c r="H31" s="43">
        <f t="shared" si="0"/>
        <v>42</v>
      </c>
      <c r="I31" s="82">
        <f t="shared" si="24"/>
        <v>12.350476190476218</v>
      </c>
      <c r="J31" s="80">
        <f t="shared" si="1"/>
        <v>936.64000000000669</v>
      </c>
      <c r="K31" s="78">
        <f t="shared" si="2"/>
        <v>417.92000000000553</v>
      </c>
      <c r="L31" s="78">
        <f t="shared" si="3"/>
        <v>0.85938226142231866</v>
      </c>
      <c r="M31" s="78">
        <f t="shared" si="4"/>
        <v>-274.5199999999968</v>
      </c>
      <c r="O31" s="78"/>
      <c r="P31" s="78"/>
      <c r="Q31" s="78"/>
      <c r="R31" s="78"/>
      <c r="S31" s="78"/>
      <c r="T31" s="78"/>
      <c r="U31" s="78"/>
      <c r="V31" s="78"/>
      <c r="W31" s="78"/>
      <c r="X31" s="78"/>
      <c r="Y31" s="78"/>
      <c r="Z31" s="78"/>
      <c r="AM31" s="85">
        <v>45550</v>
      </c>
      <c r="AN31" s="83">
        <v>65971</v>
      </c>
      <c r="AO31">
        <v>0</v>
      </c>
      <c r="AP31" s="86">
        <f t="shared" si="9"/>
        <v>-739</v>
      </c>
      <c r="AQ31" s="86">
        <f t="shared" si="10"/>
        <v>-1.1077799430370259</v>
      </c>
      <c r="AR31" s="43">
        <f t="shared" si="11"/>
        <v>42</v>
      </c>
      <c r="AS31" s="87">
        <f t="shared" si="12"/>
        <v>-17.595238095238095</v>
      </c>
      <c r="AU31" s="44">
        <v>45550</v>
      </c>
      <c r="AV31" s="83">
        <v>109041.2</v>
      </c>
      <c r="AW31" s="78">
        <f t="shared" si="35"/>
        <v>48925.41</v>
      </c>
      <c r="AX31">
        <v>0</v>
      </c>
      <c r="AY31" s="43">
        <f t="shared" si="14"/>
        <v>42</v>
      </c>
      <c r="AZ31" s="82">
        <f t="shared" si="15"/>
        <v>0</v>
      </c>
      <c r="BA31" s="80">
        <f t="shared" si="16"/>
        <v>2021.679999999993</v>
      </c>
      <c r="BB31" s="78">
        <f t="shared" si="17"/>
        <v>2021.679999999993</v>
      </c>
      <c r="BC31" s="84">
        <f t="shared" si="18"/>
        <v>4.1321677222531052</v>
      </c>
      <c r="BD31" s="78">
        <f t="shared" si="19"/>
        <v>60115.789999999994</v>
      </c>
      <c r="BF31" s="79">
        <v>45550</v>
      </c>
      <c r="BG31" s="83">
        <v>51204.02</v>
      </c>
      <c r="BH31">
        <v>0</v>
      </c>
      <c r="BI31" s="86">
        <f t="shared" si="20"/>
        <v>-293.40000000000146</v>
      </c>
      <c r="BJ31" s="86">
        <f t="shared" si="21"/>
        <v>-0.56973728004238167</v>
      </c>
      <c r="BK31" s="43">
        <f t="shared" si="30"/>
        <v>42</v>
      </c>
      <c r="BL31" s="78">
        <f t="shared" si="22"/>
        <v>-6.9857142857143204</v>
      </c>
      <c r="BN31" s="44">
        <v>45550</v>
      </c>
      <c r="BO31" s="100">
        <v>77413.509999999995</v>
      </c>
      <c r="BP31">
        <v>0</v>
      </c>
      <c r="BQ31" s="86">
        <f t="shared" si="31"/>
        <v>823.23999999999069</v>
      </c>
      <c r="BR31" s="86">
        <f t="shared" si="32"/>
        <v>1.0748623813442499</v>
      </c>
      <c r="BS31" s="43">
        <f t="shared" si="33"/>
        <v>42</v>
      </c>
      <c r="BT31" s="87">
        <f t="shared" si="34"/>
        <v>19.600952380952158</v>
      </c>
      <c r="CH31" s="44">
        <v>45550</v>
      </c>
      <c r="CI31" s="14">
        <v>11556.18</v>
      </c>
      <c r="CJ31">
        <v>0</v>
      </c>
      <c r="CK31" s="86">
        <f t="shared" si="26"/>
        <v>66.940000000000509</v>
      </c>
      <c r="CL31" s="86">
        <f t="shared" si="27"/>
        <v>0.58263209751037071</v>
      </c>
      <c r="CM31" s="43">
        <f t="shared" si="28"/>
        <v>42</v>
      </c>
      <c r="CN31" s="94">
        <f t="shared" si="29"/>
        <v>1.593809523809536</v>
      </c>
    </row>
    <row r="32" spans="1:92" x14ac:dyDescent="0.2">
      <c r="A32" s="77">
        <v>45508</v>
      </c>
      <c r="B32" s="78">
        <f t="shared" si="25"/>
        <v>361244.29</v>
      </c>
      <c r="D32" s="79">
        <v>45508</v>
      </c>
      <c r="E32" s="80">
        <v>47937.84</v>
      </c>
      <c r="F32" s="78">
        <v>48630.28</v>
      </c>
      <c r="G32" s="78">
        <f t="shared" si="23"/>
        <v>1558.8600000000006</v>
      </c>
      <c r="H32" s="43">
        <f t="shared" si="0"/>
        <v>84</v>
      </c>
      <c r="I32" s="82">
        <f t="shared" si="24"/>
        <v>18.557857142857149</v>
      </c>
      <c r="J32" s="80">
        <f t="shared" si="1"/>
        <v>1919.1699999999983</v>
      </c>
      <c r="K32" s="78">
        <f t="shared" si="2"/>
        <v>360.30999999999767</v>
      </c>
      <c r="L32" s="78">
        <f t="shared" si="3"/>
        <v>0.76545385713878544</v>
      </c>
      <c r="M32" s="78">
        <f t="shared" si="4"/>
        <v>-692.44000000000233</v>
      </c>
      <c r="O32" s="78"/>
      <c r="P32" s="78"/>
      <c r="Q32" s="78"/>
      <c r="R32" s="78"/>
      <c r="S32" s="78"/>
      <c r="T32" s="78"/>
      <c r="U32" s="78"/>
      <c r="V32" s="78"/>
      <c r="W32" s="78"/>
      <c r="X32" s="78"/>
      <c r="Y32" s="78"/>
      <c r="Z32" s="78"/>
      <c r="AM32" s="85">
        <v>45508</v>
      </c>
      <c r="AN32" s="83">
        <v>66710</v>
      </c>
      <c r="AO32">
        <v>0</v>
      </c>
      <c r="AP32" s="86">
        <f t="shared" si="9"/>
        <v>1429</v>
      </c>
      <c r="AQ32" s="86">
        <f t="shared" si="10"/>
        <v>2.1889983302951856</v>
      </c>
      <c r="AR32" s="43">
        <f t="shared" si="11"/>
        <v>84</v>
      </c>
      <c r="AS32" s="87">
        <f t="shared" si="12"/>
        <v>17.011904761904763</v>
      </c>
      <c r="AU32" s="44">
        <v>45508</v>
      </c>
      <c r="AV32" s="83">
        <v>107019.52</v>
      </c>
      <c r="AW32" s="78">
        <f t="shared" si="35"/>
        <v>48925.41</v>
      </c>
      <c r="AX32">
        <v>0</v>
      </c>
      <c r="AY32" s="43">
        <f t="shared" si="14"/>
        <v>84</v>
      </c>
      <c r="AZ32" s="82">
        <f t="shared" si="15"/>
        <v>0</v>
      </c>
      <c r="BA32" s="80">
        <f t="shared" si="16"/>
        <v>1306.5599999999977</v>
      </c>
      <c r="BB32" s="78">
        <f t="shared" si="17"/>
        <v>1306.5599999999977</v>
      </c>
      <c r="BC32" s="84">
        <f t="shared" si="18"/>
        <v>2.6705141561409453</v>
      </c>
      <c r="BD32" s="78">
        <f t="shared" si="19"/>
        <v>58094.11</v>
      </c>
      <c r="BF32" s="79">
        <v>45508</v>
      </c>
      <c r="BG32" s="83">
        <v>51497.42</v>
      </c>
      <c r="BH32">
        <v>0</v>
      </c>
      <c r="BI32" s="86">
        <f t="shared" si="20"/>
        <v>1253.6699999999983</v>
      </c>
      <c r="BJ32" s="86">
        <f t="shared" si="21"/>
        <v>2.4951760169175237</v>
      </c>
      <c r="BK32" s="43">
        <f t="shared" si="30"/>
        <v>84</v>
      </c>
      <c r="BL32" s="78">
        <f t="shared" si="22"/>
        <v>14.924642857142837</v>
      </c>
      <c r="BN32" s="44">
        <v>45508</v>
      </c>
      <c r="BO32" s="100">
        <v>76590.27</v>
      </c>
      <c r="BP32">
        <v>0</v>
      </c>
      <c r="BQ32" s="86">
        <f t="shared" si="31"/>
        <v>1229.4000000000087</v>
      </c>
      <c r="BR32" s="86">
        <f t="shared" si="32"/>
        <v>1.6313505934844021</v>
      </c>
      <c r="BS32" s="43">
        <f t="shared" si="33"/>
        <v>84</v>
      </c>
      <c r="BT32" s="87">
        <f t="shared" si="34"/>
        <v>14.635714285714389</v>
      </c>
      <c r="CH32" s="44">
        <v>45508</v>
      </c>
      <c r="CI32" s="14">
        <v>11489.24</v>
      </c>
      <c r="CJ32">
        <v>0</v>
      </c>
      <c r="CK32" s="86">
        <f t="shared" si="26"/>
        <v>122.23999999999978</v>
      </c>
      <c r="CL32" s="86">
        <f t="shared" si="27"/>
        <v>1.0753936834696911</v>
      </c>
      <c r="CM32" s="43">
        <f t="shared" si="28"/>
        <v>84</v>
      </c>
      <c r="CN32" s="94">
        <f t="shared" si="29"/>
        <v>1.4552380952380926</v>
      </c>
    </row>
    <row r="33" spans="1:92" x14ac:dyDescent="0.2">
      <c r="A33" s="77">
        <v>45424</v>
      </c>
      <c r="B33" s="78">
        <f t="shared" si="25"/>
        <v>353984.25</v>
      </c>
      <c r="D33" s="79">
        <v>45424</v>
      </c>
      <c r="E33" s="80">
        <v>46018.67</v>
      </c>
      <c r="F33" s="78">
        <v>47071.42</v>
      </c>
      <c r="G33" s="78">
        <f t="shared" si="23"/>
        <v>519.61999999999534</v>
      </c>
      <c r="H33" s="43">
        <f t="shared" si="0"/>
        <v>50</v>
      </c>
      <c r="I33" s="82">
        <f t="shared" si="24"/>
        <v>10.392399999999906</v>
      </c>
      <c r="J33" s="80">
        <f t="shared" si="1"/>
        <v>1277.5599999999977</v>
      </c>
      <c r="K33" s="78">
        <f t="shared" si="2"/>
        <v>757.94000000000233</v>
      </c>
      <c r="L33" s="78">
        <f t="shared" si="3"/>
        <v>1.6281647541018871</v>
      </c>
      <c r="M33" s="78">
        <f t="shared" si="4"/>
        <v>-1052.75</v>
      </c>
      <c r="O33" s="78"/>
      <c r="P33" s="78"/>
      <c r="Q33" s="78"/>
      <c r="R33" s="78"/>
      <c r="S33" s="78"/>
      <c r="T33" s="78"/>
      <c r="U33" s="78"/>
      <c r="V33" s="78"/>
      <c r="W33" s="78"/>
      <c r="X33" s="78"/>
      <c r="Y33" s="78"/>
      <c r="Z33" s="78"/>
      <c r="AM33" s="85">
        <v>45424</v>
      </c>
      <c r="AN33" s="83">
        <v>65281</v>
      </c>
      <c r="AO33">
        <v>0</v>
      </c>
      <c r="AP33" s="86">
        <f t="shared" si="9"/>
        <v>959</v>
      </c>
      <c r="AQ33" s="86">
        <f t="shared" si="10"/>
        <v>1.4909362271073661</v>
      </c>
      <c r="AR33" s="43">
        <f t="shared" si="11"/>
        <v>50</v>
      </c>
      <c r="AS33" s="87">
        <f t="shared" si="12"/>
        <v>19.18</v>
      </c>
      <c r="AU33" s="44">
        <v>45424</v>
      </c>
      <c r="AV33" s="83">
        <v>105712.96000000001</v>
      </c>
      <c r="AW33" s="78">
        <f t="shared" si="35"/>
        <v>48925.41</v>
      </c>
      <c r="AX33">
        <v>0</v>
      </c>
      <c r="AY33" s="43">
        <f t="shared" si="14"/>
        <v>50</v>
      </c>
      <c r="AZ33" s="82">
        <f t="shared" si="15"/>
        <v>0</v>
      </c>
      <c r="BA33" s="80">
        <f t="shared" si="16"/>
        <v>7.2800000000133878</v>
      </c>
      <c r="BB33" s="78">
        <f t="shared" si="17"/>
        <v>7.2800000000133878</v>
      </c>
      <c r="BC33" s="84">
        <f t="shared" si="18"/>
        <v>1.4879793546979754E-2</v>
      </c>
      <c r="BD33" s="78">
        <f t="shared" si="19"/>
        <v>56787.55</v>
      </c>
      <c r="BF33" s="79">
        <v>45424</v>
      </c>
      <c r="BG33" s="83">
        <v>50243.75</v>
      </c>
      <c r="BH33">
        <v>0</v>
      </c>
      <c r="BI33" s="86">
        <f t="shared" si="20"/>
        <v>322.31999999999971</v>
      </c>
      <c r="BJ33" s="86">
        <f t="shared" si="21"/>
        <v>0.6456545816095407</v>
      </c>
      <c r="BK33" s="43">
        <f t="shared" si="30"/>
        <v>50</v>
      </c>
      <c r="BL33" s="78">
        <f t="shared" si="22"/>
        <v>6.4463999999999944</v>
      </c>
      <c r="BN33" s="44">
        <v>45424</v>
      </c>
      <c r="BO33" s="100">
        <v>75360.87</v>
      </c>
      <c r="BP33">
        <v>0</v>
      </c>
      <c r="BQ33" s="86">
        <f t="shared" si="31"/>
        <v>290.20999999999185</v>
      </c>
      <c r="BR33" s="86">
        <f t="shared" si="32"/>
        <v>0.38658245445023642</v>
      </c>
      <c r="BS33" s="43">
        <f t="shared" si="33"/>
        <v>50</v>
      </c>
      <c r="BT33" s="87">
        <f t="shared" si="34"/>
        <v>5.8041999999998373</v>
      </c>
      <c r="CH33" s="44">
        <v>45424</v>
      </c>
      <c r="CI33" s="14">
        <v>11367</v>
      </c>
      <c r="CJ33">
        <v>0</v>
      </c>
      <c r="CK33" s="86">
        <f t="shared" si="26"/>
        <v>476.02000000000044</v>
      </c>
      <c r="CL33" s="86">
        <f t="shared" si="27"/>
        <v>4.3707728781064743</v>
      </c>
      <c r="CM33" s="43">
        <f t="shared" si="28"/>
        <v>50</v>
      </c>
      <c r="CN33" s="94">
        <f t="shared" si="29"/>
        <v>9.5204000000000093</v>
      </c>
    </row>
    <row r="34" spans="1:92" x14ac:dyDescent="0.2">
      <c r="A34" s="77">
        <v>45374</v>
      </c>
      <c r="B34" s="78">
        <f t="shared" si="25"/>
        <v>350651.86</v>
      </c>
      <c r="D34" s="79">
        <v>45374</v>
      </c>
      <c r="E34" s="80">
        <v>44741.11</v>
      </c>
      <c r="F34" s="78">
        <v>46551.8</v>
      </c>
      <c r="G34" s="78">
        <f t="shared" si="23"/>
        <v>519.80000000000291</v>
      </c>
      <c r="H34" s="43">
        <f t="shared" si="0"/>
        <v>7</v>
      </c>
      <c r="I34" s="82">
        <f t="shared" si="24"/>
        <v>74.257142857143279</v>
      </c>
      <c r="J34" s="80">
        <f t="shared" si="1"/>
        <v>1140.6699999999983</v>
      </c>
      <c r="K34" s="78">
        <f t="shared" si="2"/>
        <v>620.86999999999534</v>
      </c>
      <c r="L34" s="78">
        <f t="shared" si="3"/>
        <v>1.3487791101842095</v>
      </c>
      <c r="M34" s="78">
        <f t="shared" si="4"/>
        <v>-1810.6900000000023</v>
      </c>
      <c r="O34" s="78"/>
      <c r="P34" s="78"/>
      <c r="Q34" s="78"/>
      <c r="R34" s="78"/>
      <c r="S34" s="78"/>
      <c r="T34" s="78"/>
      <c r="U34" s="78"/>
      <c r="V34" s="78"/>
      <c r="W34" s="78"/>
      <c r="X34" s="78"/>
      <c r="Y34" s="78"/>
      <c r="Z34" s="78"/>
      <c r="AM34" s="85">
        <v>45374</v>
      </c>
      <c r="AN34" s="83">
        <v>64322</v>
      </c>
      <c r="AO34">
        <v>0</v>
      </c>
      <c r="AP34" s="86">
        <f t="shared" si="9"/>
        <v>358.72000000000116</v>
      </c>
      <c r="AQ34" s="86">
        <f t="shared" si="10"/>
        <v>0.560821771491395</v>
      </c>
      <c r="AR34" s="43">
        <f t="shared" si="11"/>
        <v>7</v>
      </c>
      <c r="AS34" s="87">
        <f t="shared" si="12"/>
        <v>51.245714285714449</v>
      </c>
      <c r="AU34" s="44">
        <v>45374</v>
      </c>
      <c r="AV34" s="83">
        <v>105705.68</v>
      </c>
      <c r="AW34" s="78">
        <f t="shared" si="35"/>
        <v>48925.41</v>
      </c>
      <c r="AX34">
        <v>2500</v>
      </c>
      <c r="AY34" s="43">
        <f t="shared" si="14"/>
        <v>7</v>
      </c>
      <c r="AZ34" s="82">
        <f t="shared" si="15"/>
        <v>357.14285714285717</v>
      </c>
      <c r="BA34" s="80">
        <f t="shared" si="16"/>
        <v>4435.0599999999977</v>
      </c>
      <c r="BB34" s="78">
        <f t="shared" si="17"/>
        <v>1935.0599999999977</v>
      </c>
      <c r="BC34" s="84">
        <f t="shared" si="18"/>
        <v>4.1681053543738171</v>
      </c>
      <c r="BD34" s="78">
        <f t="shared" si="19"/>
        <v>56780.26999999999</v>
      </c>
      <c r="BF34" s="79">
        <v>45374</v>
      </c>
      <c r="BG34" s="83">
        <v>49921.43</v>
      </c>
      <c r="BH34">
        <v>0</v>
      </c>
      <c r="BI34" s="86">
        <f t="shared" si="20"/>
        <v>930.12000000000262</v>
      </c>
      <c r="BJ34" s="86">
        <f t="shared" si="21"/>
        <v>1.8985407820284916</v>
      </c>
      <c r="BK34" s="43">
        <f t="shared" si="30"/>
        <v>7</v>
      </c>
      <c r="BL34" s="78">
        <f t="shared" si="22"/>
        <v>132.87428571428609</v>
      </c>
      <c r="BN34" s="44">
        <v>45374</v>
      </c>
      <c r="BO34" s="100">
        <v>75070.66</v>
      </c>
      <c r="BP34">
        <v>0</v>
      </c>
      <c r="BQ34" s="86">
        <f t="shared" si="31"/>
        <v>961.2100000000064</v>
      </c>
      <c r="BR34" s="86">
        <f t="shared" si="32"/>
        <v>1.2970140785014683</v>
      </c>
      <c r="BS34" s="43">
        <f t="shared" si="33"/>
        <v>7</v>
      </c>
      <c r="BT34" s="87">
        <f t="shared" si="34"/>
        <v>137.31571428571519</v>
      </c>
      <c r="CH34" s="44">
        <v>45374</v>
      </c>
      <c r="CI34" s="14">
        <v>10890.98</v>
      </c>
      <c r="CJ34">
        <v>0</v>
      </c>
      <c r="CK34" s="86">
        <f t="shared" si="26"/>
        <v>199.02000000000044</v>
      </c>
      <c r="CL34" s="86">
        <f t="shared" si="27"/>
        <v>1.8613986584311992</v>
      </c>
      <c r="CM34" s="43">
        <f t="shared" si="28"/>
        <v>7</v>
      </c>
      <c r="CN34" s="94">
        <f t="shared" si="29"/>
        <v>28.431428571428633</v>
      </c>
    </row>
    <row r="35" spans="1:92" x14ac:dyDescent="0.2">
      <c r="A35" s="77">
        <v>45367</v>
      </c>
      <c r="B35" s="78">
        <f t="shared" si="25"/>
        <v>342627.06</v>
      </c>
      <c r="D35" s="79">
        <v>45367</v>
      </c>
      <c r="E35" s="80">
        <v>43600.44</v>
      </c>
      <c r="F35" s="78">
        <v>46032</v>
      </c>
      <c r="G35" s="78">
        <f t="shared" si="23"/>
        <v>1161</v>
      </c>
      <c r="H35" s="43">
        <f t="shared" si="0"/>
        <v>76</v>
      </c>
      <c r="I35" s="82">
        <f t="shared" si="24"/>
        <v>15.276315789473685</v>
      </c>
      <c r="J35" s="80">
        <f t="shared" si="1"/>
        <v>2364.010000000002</v>
      </c>
      <c r="K35" s="78">
        <f t="shared" si="2"/>
        <v>1203.010000000002</v>
      </c>
      <c r="L35" s="78">
        <f t="shared" si="3"/>
        <v>2.6810412070156717</v>
      </c>
      <c r="M35" s="78">
        <f t="shared" si="4"/>
        <v>-2431.5599999999977</v>
      </c>
      <c r="O35" s="78"/>
      <c r="P35" s="78"/>
      <c r="Q35" s="78"/>
      <c r="R35" s="78"/>
      <c r="S35" s="78"/>
      <c r="T35" s="78"/>
      <c r="U35" s="78"/>
      <c r="V35" s="78"/>
      <c r="W35" s="78"/>
      <c r="X35" s="78"/>
      <c r="Y35" s="78"/>
      <c r="Z35" s="78"/>
      <c r="AM35" s="85">
        <v>45367</v>
      </c>
      <c r="AN35" s="83">
        <v>63963.28</v>
      </c>
      <c r="AO35">
        <v>0</v>
      </c>
      <c r="AP35" s="86">
        <f t="shared" si="9"/>
        <v>2197.2799999999988</v>
      </c>
      <c r="AQ35" s="86">
        <f t="shared" si="10"/>
        <v>3.557426415827476</v>
      </c>
      <c r="AR35" s="43">
        <f t="shared" si="11"/>
        <v>76</v>
      </c>
      <c r="AS35" s="87">
        <f t="shared" si="12"/>
        <v>28.911578947368405</v>
      </c>
      <c r="AU35" s="44">
        <v>45367</v>
      </c>
      <c r="AV35" s="83">
        <v>101270.62</v>
      </c>
      <c r="AW35" s="78">
        <f t="shared" si="35"/>
        <v>46425.41</v>
      </c>
      <c r="AX35">
        <v>0</v>
      </c>
      <c r="AY35" s="43">
        <f t="shared" si="14"/>
        <v>76</v>
      </c>
      <c r="AZ35" s="82">
        <f t="shared" si="15"/>
        <v>0</v>
      </c>
      <c r="BA35" s="80">
        <f t="shared" si="16"/>
        <v>4902.2299999999959</v>
      </c>
      <c r="BB35" s="78">
        <f t="shared" si="17"/>
        <v>4902.2299999999959</v>
      </c>
      <c r="BC35" s="84">
        <f t="shared" si="18"/>
        <v>10.559368242520627</v>
      </c>
      <c r="BD35" s="78">
        <f t="shared" si="19"/>
        <v>54845.209999999992</v>
      </c>
      <c r="BF35" s="79">
        <v>45367</v>
      </c>
      <c r="BG35" s="83">
        <v>48991.31</v>
      </c>
      <c r="BH35">
        <v>0</v>
      </c>
      <c r="BI35" s="86">
        <f t="shared" si="20"/>
        <v>3171.6599999999962</v>
      </c>
      <c r="BJ35" s="86">
        <f t="shared" si="21"/>
        <v>6.9220520017066836</v>
      </c>
      <c r="BK35" s="43">
        <f t="shared" si="30"/>
        <v>76</v>
      </c>
      <c r="BL35" s="78">
        <f t="shared" si="22"/>
        <v>41.732368421052584</v>
      </c>
      <c r="BN35" s="44">
        <v>45367</v>
      </c>
      <c r="BO35" s="100">
        <v>74109.45</v>
      </c>
      <c r="BP35">
        <v>0</v>
      </c>
      <c r="BQ35" s="86">
        <f t="shared" si="31"/>
        <v>1329.9100000000035</v>
      </c>
      <c r="BR35" s="86">
        <f t="shared" si="32"/>
        <v>1.8273130058255433</v>
      </c>
      <c r="BS35" s="43">
        <f t="shared" si="33"/>
        <v>76</v>
      </c>
      <c r="BT35" s="87">
        <f t="shared" si="34"/>
        <v>17.498815789473731</v>
      </c>
      <c r="CH35" s="44">
        <v>45367</v>
      </c>
      <c r="CI35" s="14">
        <v>10691.96</v>
      </c>
      <c r="CJ35">
        <v>0</v>
      </c>
      <c r="CK35" s="86">
        <f t="shared" si="26"/>
        <v>-48.910000000001673</v>
      </c>
      <c r="CL35" s="86">
        <f t="shared" si="27"/>
        <v>-0.45536348545324234</v>
      </c>
      <c r="CM35" s="43">
        <f t="shared" si="28"/>
        <v>76</v>
      </c>
      <c r="CN35" s="94">
        <f t="shared" si="29"/>
        <v>-0.64355263157896936</v>
      </c>
    </row>
    <row r="36" spans="1:92" x14ac:dyDescent="0.2">
      <c r="A36" s="77">
        <v>45291</v>
      </c>
      <c r="B36" s="78">
        <f t="shared" si="25"/>
        <v>328710.88</v>
      </c>
      <c r="D36" s="79">
        <v>45291</v>
      </c>
      <c r="E36" s="80">
        <v>41236.43</v>
      </c>
      <c r="F36" s="78">
        <v>44871</v>
      </c>
      <c r="G36" s="78">
        <f t="shared" si="23"/>
        <v>5079.1999999999971</v>
      </c>
      <c r="H36" s="43">
        <f t="shared" si="0"/>
        <v>240</v>
      </c>
      <c r="I36" s="82">
        <f t="shared" si="24"/>
        <v>21.16333333333332</v>
      </c>
      <c r="J36" s="80">
        <f t="shared" si="1"/>
        <v>6366.7200000000012</v>
      </c>
      <c r="K36" s="78">
        <f t="shared" si="2"/>
        <v>1287.5200000000041</v>
      </c>
      <c r="L36" s="78">
        <f t="shared" si="3"/>
        <v>3.2356415140808004</v>
      </c>
      <c r="M36" s="78">
        <f t="shared" si="4"/>
        <v>-3634.5699999999997</v>
      </c>
      <c r="O36" s="78"/>
      <c r="P36" s="78"/>
      <c r="Q36" s="78"/>
      <c r="R36" s="78"/>
      <c r="S36" s="78"/>
      <c r="T36" s="78"/>
      <c r="U36" s="78"/>
      <c r="V36" s="78"/>
      <c r="W36" s="78"/>
      <c r="X36" s="78"/>
      <c r="Y36" s="78"/>
      <c r="Z36" s="78"/>
      <c r="AM36" s="85">
        <v>45291</v>
      </c>
      <c r="AN36" s="83">
        <v>61766</v>
      </c>
      <c r="AO36">
        <v>0</v>
      </c>
      <c r="AP36" s="86">
        <f t="shared" si="9"/>
        <v>4199</v>
      </c>
      <c r="AQ36" s="86">
        <f t="shared" si="10"/>
        <v>7.294109472440808</v>
      </c>
      <c r="AR36" s="43">
        <f t="shared" si="11"/>
        <v>240</v>
      </c>
      <c r="AS36" s="87">
        <f t="shared" si="12"/>
        <v>17.495833333333334</v>
      </c>
      <c r="AU36" s="44">
        <v>45291</v>
      </c>
      <c r="AV36" s="83">
        <v>96368.39</v>
      </c>
      <c r="AW36" s="78">
        <f t="shared" si="35"/>
        <v>46425.41</v>
      </c>
      <c r="AX36">
        <v>0</v>
      </c>
      <c r="AY36" s="43">
        <f t="shared" si="14"/>
        <v>240</v>
      </c>
      <c r="AZ36" s="82">
        <f t="shared" si="15"/>
        <v>0</v>
      </c>
      <c r="BA36" s="80">
        <f t="shared" si="16"/>
        <v>8485.1300000000047</v>
      </c>
      <c r="BB36" s="78">
        <f t="shared" si="17"/>
        <v>8485.1300000000047</v>
      </c>
      <c r="BC36" s="84">
        <f t="shared" si="18"/>
        <v>18.276909132304926</v>
      </c>
      <c r="BD36" s="78">
        <f t="shared" si="19"/>
        <v>49942.979999999996</v>
      </c>
      <c r="BF36" s="79">
        <v>45291</v>
      </c>
      <c r="BG36" s="83">
        <v>45819.65</v>
      </c>
      <c r="BH36">
        <v>0</v>
      </c>
      <c r="BI36" s="86">
        <f t="shared" si="20"/>
        <v>4445.2000000000044</v>
      </c>
      <c r="BJ36" s="86">
        <f t="shared" si="21"/>
        <v>10.74382861886987</v>
      </c>
      <c r="BK36" s="43">
        <f t="shared" si="30"/>
        <v>240</v>
      </c>
      <c r="BL36" s="78">
        <f t="shared" si="22"/>
        <v>18.521666666666686</v>
      </c>
      <c r="BN36" s="44">
        <v>45291</v>
      </c>
      <c r="BO36" s="100">
        <v>72779.539999999994</v>
      </c>
      <c r="BP36">
        <v>0</v>
      </c>
      <c r="BQ36" s="86">
        <f t="shared" si="31"/>
        <v>5096.7999999999884</v>
      </c>
      <c r="BR36" s="86">
        <f t="shared" si="32"/>
        <v>7.5304279939021201</v>
      </c>
      <c r="BS36" s="43">
        <f t="shared" si="33"/>
        <v>240</v>
      </c>
      <c r="BT36" s="87">
        <f t="shared" si="34"/>
        <v>21.236666666666618</v>
      </c>
      <c r="CH36" s="44">
        <v>45291</v>
      </c>
      <c r="CI36" s="14">
        <v>10740.87</v>
      </c>
      <c r="CJ36">
        <v>0</v>
      </c>
      <c r="CK36" s="86">
        <f t="shared" si="26"/>
        <v>643.32000000000153</v>
      </c>
      <c r="CL36" s="86">
        <f t="shared" si="27"/>
        <v>6.371050403315671</v>
      </c>
      <c r="CM36" s="43">
        <f t="shared" si="28"/>
        <v>240</v>
      </c>
      <c r="CN36" s="78">
        <f t="shared" si="29"/>
        <v>2.6805000000000065</v>
      </c>
    </row>
    <row r="37" spans="1:92" x14ac:dyDescent="0.2">
      <c r="A37" s="77">
        <v>45051</v>
      </c>
      <c r="B37" s="78">
        <f t="shared" si="25"/>
        <v>299474.70999999996</v>
      </c>
      <c r="D37" s="79">
        <v>45051</v>
      </c>
      <c r="E37" s="80">
        <v>34869.71</v>
      </c>
      <c r="F37" s="78">
        <v>39791.800000000003</v>
      </c>
      <c r="G37" s="78">
        <f t="shared" si="23"/>
        <v>1250.4400000000023</v>
      </c>
      <c r="H37" s="43">
        <f t="shared" si="0"/>
        <v>67</v>
      </c>
      <c r="I37" s="82">
        <f t="shared" si="24"/>
        <v>18.663283582089587</v>
      </c>
      <c r="J37" s="80">
        <f t="shared" si="1"/>
        <v>1457.739999999998</v>
      </c>
      <c r="K37" s="78">
        <f t="shared" si="2"/>
        <v>207.29999999999563</v>
      </c>
      <c r="L37" s="78">
        <f t="shared" si="3"/>
        <v>0.53786373911038854</v>
      </c>
      <c r="M37" s="78">
        <f t="shared" si="4"/>
        <v>-4922.0900000000038</v>
      </c>
      <c r="O37" s="78"/>
      <c r="P37" s="78"/>
      <c r="Q37" s="78"/>
      <c r="R37" s="78"/>
      <c r="S37" s="78"/>
      <c r="T37" s="78"/>
      <c r="U37" s="78"/>
      <c r="V37" s="78"/>
      <c r="W37" s="78"/>
      <c r="X37" s="78"/>
      <c r="Y37" s="78"/>
      <c r="Z37" s="78"/>
      <c r="AM37" s="85">
        <f>$D37</f>
        <v>45051</v>
      </c>
      <c r="AN37" s="83">
        <v>57567</v>
      </c>
      <c r="AO37">
        <v>0</v>
      </c>
      <c r="AP37" s="86">
        <f t="shared" si="9"/>
        <v>-261</v>
      </c>
      <c r="AQ37" s="86">
        <f t="shared" si="10"/>
        <v>-0.45133845196098776</v>
      </c>
      <c r="AR37" s="43">
        <f t="shared" si="11"/>
        <v>67</v>
      </c>
      <c r="AS37" s="78">
        <f t="shared" si="12"/>
        <v>-3.8955223880597014</v>
      </c>
      <c r="AU37" s="44">
        <f>$D37</f>
        <v>45051</v>
      </c>
      <c r="AV37" s="83">
        <v>87883.26</v>
      </c>
      <c r="AW37" s="78">
        <f t="shared" si="35"/>
        <v>46425.41</v>
      </c>
      <c r="AX37">
        <v>0</v>
      </c>
      <c r="AY37" s="43">
        <f t="shared" si="14"/>
        <v>67</v>
      </c>
      <c r="AZ37" s="82">
        <f t="shared" si="15"/>
        <v>0</v>
      </c>
      <c r="BA37" s="80">
        <f t="shared" si="16"/>
        <v>-1252.0100000000093</v>
      </c>
      <c r="BB37" s="78">
        <f t="shared" si="17"/>
        <v>-1252.0100000000093</v>
      </c>
      <c r="BC37" s="84">
        <f t="shared" si="18"/>
        <v>-2.6968205558120202</v>
      </c>
      <c r="BD37" s="78">
        <f t="shared" si="19"/>
        <v>41457.849999999991</v>
      </c>
      <c r="BF37" s="79">
        <v>45051</v>
      </c>
      <c r="BG37" s="83">
        <v>41374.449999999997</v>
      </c>
      <c r="BH37">
        <v>0</v>
      </c>
      <c r="BI37" s="86">
        <f t="shared" si="20"/>
        <v>-162.06000000000495</v>
      </c>
      <c r="BJ37" s="86">
        <f t="shared" si="21"/>
        <v>-0.39016277486963863</v>
      </c>
      <c r="BK37" s="43">
        <f t="shared" si="30"/>
        <v>67</v>
      </c>
      <c r="BL37" s="78">
        <f t="shared" si="22"/>
        <v>-2.4188059701493274</v>
      </c>
      <c r="BN37" s="44">
        <v>45051</v>
      </c>
      <c r="BO37" s="100">
        <v>67682.740000000005</v>
      </c>
      <c r="BP37">
        <v>0</v>
      </c>
      <c r="BQ37" s="86">
        <f t="shared" si="31"/>
        <v>77.220000000001164</v>
      </c>
      <c r="BR37" s="86">
        <f t="shared" si="32"/>
        <v>0.11422144227276287</v>
      </c>
      <c r="BS37" s="43">
        <f t="shared" si="33"/>
        <v>67</v>
      </c>
      <c r="BT37" s="87">
        <f t="shared" si="34"/>
        <v>1.1525373134328531</v>
      </c>
      <c r="CH37" s="44">
        <f>$D37</f>
        <v>45051</v>
      </c>
      <c r="CI37" s="14">
        <v>10097.549999999999</v>
      </c>
      <c r="CJ37">
        <v>0</v>
      </c>
      <c r="CK37" s="86">
        <f t="shared" si="26"/>
        <v>-187.39000000000124</v>
      </c>
      <c r="CL37" s="86">
        <f t="shared" si="27"/>
        <v>-1.8219843771572923</v>
      </c>
      <c r="CM37" s="43">
        <f t="shared" si="28"/>
        <v>67</v>
      </c>
      <c r="CN37" s="78">
        <f t="shared" si="29"/>
        <v>-2.7968656716418097</v>
      </c>
    </row>
    <row r="38" spans="1:92" x14ac:dyDescent="0.2">
      <c r="A38" s="77">
        <v>44984</v>
      </c>
      <c r="B38" s="78">
        <f t="shared" si="25"/>
        <v>299802.21000000002</v>
      </c>
      <c r="D38" s="79">
        <v>44984</v>
      </c>
      <c r="E38" s="80">
        <v>33411.97</v>
      </c>
      <c r="F38" s="78">
        <v>38541.360000000001</v>
      </c>
      <c r="G38" s="78">
        <f t="shared" si="23"/>
        <v>3126.1000000000058</v>
      </c>
      <c r="H38" s="43">
        <f t="shared" si="0"/>
        <v>148</v>
      </c>
      <c r="I38" s="82">
        <f t="shared" si="24"/>
        <v>21.122297297297337</v>
      </c>
      <c r="J38" s="80">
        <f t="shared" si="1"/>
        <v>1154.3100000000013</v>
      </c>
      <c r="K38" s="78">
        <f t="shared" si="2"/>
        <v>-1971.7900000000045</v>
      </c>
      <c r="L38" s="78">
        <f t="shared" si="3"/>
        <v>-5.5676281919150243</v>
      </c>
      <c r="M38" s="78">
        <f t="shared" si="4"/>
        <v>-5129.3899999999994</v>
      </c>
      <c r="O38" s="78"/>
      <c r="P38" s="78"/>
      <c r="Q38" s="78"/>
      <c r="R38" s="78"/>
      <c r="S38" s="78"/>
      <c r="T38" s="78"/>
      <c r="U38" s="78"/>
      <c r="V38" s="78"/>
      <c r="W38" s="78"/>
      <c r="X38" s="78"/>
      <c r="Y38" s="78"/>
      <c r="Z38" s="78"/>
      <c r="AM38" s="85">
        <v>44984</v>
      </c>
      <c r="AN38" s="83">
        <v>57828</v>
      </c>
      <c r="AO38">
        <v>0</v>
      </c>
      <c r="AP38" s="86">
        <f t="shared" si="9"/>
        <v>3040</v>
      </c>
      <c r="AQ38" s="86">
        <f t="shared" si="10"/>
        <v>5.5486602905745785</v>
      </c>
      <c r="AR38" s="43">
        <f t="shared" si="11"/>
        <v>148</v>
      </c>
      <c r="AS38" s="78">
        <f t="shared" si="12"/>
        <v>20.54054054054054</v>
      </c>
      <c r="AU38" s="44">
        <v>44984</v>
      </c>
      <c r="AV38" s="83">
        <v>89135.27</v>
      </c>
      <c r="AW38" s="78">
        <f t="shared" si="35"/>
        <v>46425.41</v>
      </c>
      <c r="AX38">
        <v>0</v>
      </c>
      <c r="AY38" s="43">
        <f t="shared" si="14"/>
        <v>148</v>
      </c>
      <c r="AZ38" s="82">
        <f t="shared" si="15"/>
        <v>0</v>
      </c>
      <c r="BA38" s="80">
        <f t="shared" si="16"/>
        <v>-5486.1599999999889</v>
      </c>
      <c r="BB38" s="78">
        <f t="shared" si="17"/>
        <v>-5486.1599999999889</v>
      </c>
      <c r="BC38" s="84">
        <f t="shared" si="18"/>
        <v>-11.817149272348889</v>
      </c>
      <c r="BD38" s="78">
        <f t="shared" si="19"/>
        <v>42709.86</v>
      </c>
      <c r="BF38" s="79">
        <v>44984</v>
      </c>
      <c r="BG38" s="83">
        <v>41536.51</v>
      </c>
      <c r="BH38">
        <v>0</v>
      </c>
      <c r="BI38" s="86">
        <f t="shared" si="20"/>
        <v>-2347.6699999999983</v>
      </c>
      <c r="BJ38" s="86">
        <f t="shared" si="21"/>
        <v>-5.3496954939114696</v>
      </c>
      <c r="BK38" s="43">
        <f t="shared" si="30"/>
        <v>148</v>
      </c>
      <c r="BL38" s="78">
        <f t="shared" si="22"/>
        <v>-15.862635135135124</v>
      </c>
      <c r="BN38" s="44">
        <v>44984</v>
      </c>
      <c r="BO38" s="80">
        <v>67605.52</v>
      </c>
      <c r="BP38">
        <v>0</v>
      </c>
      <c r="BQ38" s="86">
        <f t="shared" si="31"/>
        <v>4449.5600000000049</v>
      </c>
      <c r="BR38" s="86">
        <f t="shared" si="32"/>
        <v>7.0453524892979296</v>
      </c>
      <c r="BS38" s="43">
        <f t="shared" si="33"/>
        <v>148</v>
      </c>
      <c r="BT38" s="78">
        <f t="shared" si="34"/>
        <v>30.064594594594627</v>
      </c>
      <c r="CH38" s="44">
        <v>44984</v>
      </c>
      <c r="CI38" s="14">
        <v>10284.94</v>
      </c>
      <c r="CJ38">
        <v>0</v>
      </c>
      <c r="CK38" s="86">
        <f t="shared" si="26"/>
        <v>1134.1100000000006</v>
      </c>
      <c r="CL38" s="86">
        <f t="shared" si="27"/>
        <v>12.39352058774997</v>
      </c>
      <c r="CM38" s="43">
        <f t="shared" si="28"/>
        <v>148</v>
      </c>
      <c r="CN38" s="78">
        <f t="shared" si="29"/>
        <v>7.6629054054054091</v>
      </c>
    </row>
    <row r="39" spans="1:92" x14ac:dyDescent="0.2">
      <c r="A39" s="77">
        <v>44836</v>
      </c>
      <c r="B39" s="78">
        <f t="shared" si="25"/>
        <v>297858.06</v>
      </c>
      <c r="D39" s="79">
        <v>44836</v>
      </c>
      <c r="E39" s="80">
        <v>32257.66</v>
      </c>
      <c r="F39" s="78">
        <v>35415.259999999995</v>
      </c>
      <c r="G39" s="78">
        <f t="shared" si="23"/>
        <v>3126.1100000000079</v>
      </c>
      <c r="H39" s="43">
        <f t="shared" si="0"/>
        <v>157</v>
      </c>
      <c r="I39" s="82">
        <f t="shared" si="24"/>
        <v>19.911528662420434</v>
      </c>
      <c r="J39" s="80">
        <f t="shared" si="1"/>
        <v>-323.81999999999971</v>
      </c>
      <c r="K39" s="78">
        <f t="shared" si="2"/>
        <v>-3449.9300000000076</v>
      </c>
      <c r="L39" s="78">
        <f t="shared" si="3"/>
        <v>-10.684486894204428</v>
      </c>
      <c r="M39" s="78">
        <f t="shared" si="4"/>
        <v>-3157.5999999999949</v>
      </c>
      <c r="O39" s="78"/>
      <c r="P39" s="78"/>
      <c r="Q39" s="78"/>
      <c r="R39" s="78"/>
      <c r="S39" s="78"/>
      <c r="T39" s="78"/>
      <c r="U39" s="78"/>
      <c r="V39" s="78"/>
      <c r="W39" s="78"/>
      <c r="X39" s="78"/>
      <c r="Y39" s="78"/>
      <c r="Z39" s="78"/>
      <c r="AM39" s="85">
        <v>44836</v>
      </c>
      <c r="AN39" s="83">
        <v>54788</v>
      </c>
      <c r="AO39">
        <v>0</v>
      </c>
      <c r="AP39" s="86">
        <f t="shared" si="9"/>
        <v>-4672</v>
      </c>
      <c r="AQ39" s="86">
        <f t="shared" si="10"/>
        <v>-7.8573831146989574</v>
      </c>
      <c r="AR39" s="43">
        <f t="shared" si="11"/>
        <v>157</v>
      </c>
      <c r="AS39" s="78">
        <f t="shared" si="12"/>
        <v>-29.757961783439491</v>
      </c>
      <c r="AU39" s="44">
        <v>44836</v>
      </c>
      <c r="AV39" s="83">
        <v>94621.43</v>
      </c>
      <c r="AW39" s="78">
        <f t="shared" si="35"/>
        <v>46425.41</v>
      </c>
      <c r="AX39">
        <f>(100+5000)*1.25</f>
        <v>6375</v>
      </c>
      <c r="AY39" s="43">
        <f t="shared" si="14"/>
        <v>157</v>
      </c>
      <c r="AZ39" s="82">
        <f t="shared" si="15"/>
        <v>40.605095541401276</v>
      </c>
      <c r="BA39" s="80">
        <f t="shared" si="16"/>
        <v>3290.0199999999895</v>
      </c>
      <c r="BB39" s="78">
        <f t="shared" si="17"/>
        <v>-3084.9800000000105</v>
      </c>
      <c r="BC39" s="84">
        <f t="shared" si="18"/>
        <v>-7.7027426186149164</v>
      </c>
      <c r="BD39" s="78">
        <f t="shared" si="19"/>
        <v>48196.01999999999</v>
      </c>
      <c r="BF39" s="79">
        <v>44836</v>
      </c>
      <c r="BG39" s="83">
        <v>43884.18</v>
      </c>
      <c r="BH39">
        <v>0</v>
      </c>
      <c r="BI39" s="86">
        <f t="shared" si="20"/>
        <v>597.44000000000233</v>
      </c>
      <c r="BJ39" s="86">
        <f t="shared" si="21"/>
        <v>1.380191716909156</v>
      </c>
      <c r="BK39" s="43">
        <f t="shared" si="30"/>
        <v>157</v>
      </c>
      <c r="BL39" s="78">
        <f t="shared" si="22"/>
        <v>3.8053503184713522</v>
      </c>
      <c r="BN39" s="44">
        <v>44836</v>
      </c>
      <c r="BO39" s="80">
        <v>63155.96</v>
      </c>
      <c r="BP39">
        <v>0</v>
      </c>
      <c r="BQ39" s="86">
        <f t="shared" si="31"/>
        <v>-6356.8299999999945</v>
      </c>
      <c r="BR39" s="86">
        <f t="shared" si="32"/>
        <v>-9.1448350727973864</v>
      </c>
      <c r="BS39" s="43">
        <f t="shared" si="33"/>
        <v>157</v>
      </c>
      <c r="BT39" s="78">
        <f t="shared" si="34"/>
        <v>-40.489363057324809</v>
      </c>
      <c r="CH39" s="44">
        <f>D39</f>
        <v>44836</v>
      </c>
      <c r="CI39" s="14">
        <v>9150.83</v>
      </c>
      <c r="CJ39">
        <v>0</v>
      </c>
      <c r="CK39" s="86">
        <f t="shared" si="26"/>
        <v>-1175.7000000000007</v>
      </c>
      <c r="CL39" s="86">
        <f t="shared" si="27"/>
        <v>-11.385237829164305</v>
      </c>
      <c r="CM39" s="43">
        <f t="shared" si="28"/>
        <v>157</v>
      </c>
      <c r="CN39" s="78">
        <f t="shared" si="29"/>
        <v>-7.488535031847138</v>
      </c>
    </row>
    <row r="40" spans="1:92" x14ac:dyDescent="0.2">
      <c r="A40" s="77">
        <v>44679</v>
      </c>
      <c r="B40" s="78">
        <f t="shared" si="25"/>
        <v>306498.95</v>
      </c>
      <c r="D40" s="79">
        <v>44679</v>
      </c>
      <c r="E40" s="80">
        <v>32581.48</v>
      </c>
      <c r="F40" s="78">
        <v>32289.149999999987</v>
      </c>
      <c r="G40" s="78">
        <f t="shared" si="23"/>
        <v>1688.1899999999987</v>
      </c>
      <c r="H40" s="43">
        <f t="shared" si="0"/>
        <v>71</v>
      </c>
      <c r="I40" s="82">
        <f t="shared" si="24"/>
        <v>23.777323943661955</v>
      </c>
      <c r="J40" s="80">
        <f t="shared" si="1"/>
        <v>300.22000000000116</v>
      </c>
      <c r="K40" s="78">
        <f t="shared" si="2"/>
        <v>-1387.9699999999975</v>
      </c>
      <c r="L40" s="78">
        <f t="shared" si="3"/>
        <v>-4.5357073765006009</v>
      </c>
      <c r="M40" s="78">
        <f t="shared" si="4"/>
        <v>292.33000000001266</v>
      </c>
      <c r="O40" s="78"/>
      <c r="P40" s="78"/>
      <c r="Q40" s="78"/>
      <c r="R40" s="78"/>
      <c r="S40" s="78"/>
      <c r="T40" s="78"/>
      <c r="U40" s="78"/>
      <c r="V40" s="78"/>
      <c r="W40" s="78"/>
      <c r="X40" s="78"/>
      <c r="Y40" s="78"/>
      <c r="Z40" s="78"/>
      <c r="AM40" s="85">
        <f>$A40</f>
        <v>44679</v>
      </c>
      <c r="AN40" s="83">
        <v>59460</v>
      </c>
      <c r="AO40">
        <v>0</v>
      </c>
      <c r="AP40" s="86">
        <f t="shared" si="9"/>
        <v>-2175</v>
      </c>
      <c r="AQ40" s="86">
        <f t="shared" si="10"/>
        <v>-3.5288391336091505</v>
      </c>
      <c r="AR40" s="43">
        <f t="shared" si="11"/>
        <v>71</v>
      </c>
      <c r="AS40" s="78">
        <f t="shared" si="12"/>
        <v>-30.633802816901408</v>
      </c>
      <c r="AU40" s="44">
        <v>44679</v>
      </c>
      <c r="AV40" s="83">
        <v>91331.41</v>
      </c>
      <c r="AW40" s="78">
        <f t="shared" si="35"/>
        <v>40050.410000000003</v>
      </c>
      <c r="AX40">
        <v>0</v>
      </c>
      <c r="AY40" s="43">
        <f t="shared" si="14"/>
        <v>71</v>
      </c>
      <c r="AZ40" s="82">
        <f t="shared" si="15"/>
        <v>0</v>
      </c>
      <c r="BA40" s="80">
        <f t="shared" si="16"/>
        <v>1677.1699999999983</v>
      </c>
      <c r="BB40" s="78">
        <f t="shared" si="17"/>
        <v>1677.1699999999983</v>
      </c>
      <c r="BC40" s="84">
        <f t="shared" si="18"/>
        <v>4.1876475172164236</v>
      </c>
      <c r="BD40" s="78">
        <f t="shared" si="19"/>
        <v>51281</v>
      </c>
      <c r="BF40" s="79">
        <f>$A40</f>
        <v>44679</v>
      </c>
      <c r="BG40" s="83">
        <v>43286.74</v>
      </c>
      <c r="BH40">
        <v>0</v>
      </c>
      <c r="BI40" s="86">
        <f t="shared" si="20"/>
        <v>1071.9300000000003</v>
      </c>
      <c r="BJ40" s="86">
        <f t="shared" si="21"/>
        <v>2.5392273469903106</v>
      </c>
      <c r="BK40" s="43">
        <f t="shared" si="30"/>
        <v>71</v>
      </c>
      <c r="BL40" s="78">
        <f t="shared" si="22"/>
        <v>15.097605633802822</v>
      </c>
      <c r="BN40" s="44">
        <f>$A40</f>
        <v>44679</v>
      </c>
      <c r="BO40">
        <v>69512.789999999994</v>
      </c>
      <c r="BP40">
        <v>0</v>
      </c>
      <c r="BQ40" s="86">
        <f t="shared" si="31"/>
        <v>-2088.070000000007</v>
      </c>
      <c r="BR40" s="86">
        <f t="shared" si="32"/>
        <v>-2.9162638549313611</v>
      </c>
      <c r="BS40" s="43">
        <f t="shared" si="33"/>
        <v>71</v>
      </c>
      <c r="BT40" s="78">
        <f t="shared" si="34"/>
        <v>-29.409436619718409</v>
      </c>
      <c r="CH40" s="44">
        <f>$A40</f>
        <v>44679</v>
      </c>
      <c r="CI40" s="14">
        <v>10326.530000000001</v>
      </c>
      <c r="CJ40">
        <v>0</v>
      </c>
      <c r="CK40" s="86">
        <f t="shared" si="26"/>
        <v>-634.84000000000015</v>
      </c>
      <c r="CL40" s="86">
        <f t="shared" si="27"/>
        <v>-5.7916118149464904</v>
      </c>
      <c r="CM40" s="43">
        <f t="shared" si="28"/>
        <v>71</v>
      </c>
      <c r="CN40" s="78">
        <f t="shared" si="29"/>
        <v>-8.9414084507042269</v>
      </c>
    </row>
    <row r="41" spans="1:92" x14ac:dyDescent="0.2">
      <c r="A41" s="77">
        <f>D41</f>
        <v>44608</v>
      </c>
      <c r="B41" s="78">
        <f t="shared" si="25"/>
        <v>308347.53999999998</v>
      </c>
      <c r="D41" s="79">
        <v>44608</v>
      </c>
      <c r="E41" s="80">
        <v>32281.26</v>
      </c>
      <c r="F41" s="78">
        <v>30600.959999999988</v>
      </c>
      <c r="G41" s="78">
        <f t="shared" si="23"/>
        <v>1688.1899999999878</v>
      </c>
      <c r="H41" s="43">
        <f t="shared" si="0"/>
        <v>100</v>
      </c>
      <c r="I41" s="82">
        <f t="shared" si="24"/>
        <v>16.881899999999877</v>
      </c>
      <c r="J41" s="80">
        <f t="shared" si="1"/>
        <v>-1499.9700000000048</v>
      </c>
      <c r="K41" s="78">
        <f t="shared" si="2"/>
        <v>-3188.1599999999926</v>
      </c>
      <c r="L41" s="78">
        <f t="shared" si="3"/>
        <v>-11.026823095815422</v>
      </c>
      <c r="M41" s="78">
        <f t="shared" si="4"/>
        <v>1680.3000000000102</v>
      </c>
      <c r="O41" s="78"/>
      <c r="P41" s="78"/>
      <c r="Q41" s="78"/>
      <c r="R41" s="78"/>
      <c r="S41" s="78"/>
      <c r="T41" s="78"/>
      <c r="U41" s="78"/>
      <c r="V41" s="78"/>
      <c r="W41" s="78"/>
      <c r="X41" s="78"/>
      <c r="Y41" s="78"/>
      <c r="Z41" s="78"/>
      <c r="AM41" s="85">
        <v>44608</v>
      </c>
      <c r="AN41" s="83">
        <v>61635</v>
      </c>
      <c r="AO41">
        <v>0</v>
      </c>
      <c r="AP41" s="86">
        <f t="shared" si="9"/>
        <v>-2670.3399999999965</v>
      </c>
      <c r="AQ41" s="86">
        <f t="shared" si="10"/>
        <v>-4.152594481267025</v>
      </c>
      <c r="AR41" s="43">
        <f t="shared" si="11"/>
        <v>100</v>
      </c>
      <c r="AS41" s="78">
        <f t="shared" si="12"/>
        <v>-26.703399999999966</v>
      </c>
      <c r="AU41" s="44">
        <v>44608</v>
      </c>
      <c r="AV41" s="83">
        <v>89654.24</v>
      </c>
      <c r="AW41" s="78">
        <f t="shared" si="35"/>
        <v>40050.410000000003</v>
      </c>
      <c r="AX41">
        <v>0</v>
      </c>
      <c r="AY41" s="43">
        <f t="shared" si="14"/>
        <v>100</v>
      </c>
      <c r="AZ41" s="82">
        <f t="shared" si="15"/>
        <v>0</v>
      </c>
      <c r="BA41" s="80">
        <f t="shared" si="16"/>
        <v>1659.6800000000076</v>
      </c>
      <c r="BB41" s="78">
        <f t="shared" si="17"/>
        <v>1659.6800000000076</v>
      </c>
      <c r="BC41" s="84">
        <f t="shared" si="18"/>
        <v>4.1439775522897451</v>
      </c>
      <c r="BD41" s="78">
        <f t="shared" si="19"/>
        <v>49603.83</v>
      </c>
      <c r="BF41" s="79">
        <v>44608</v>
      </c>
      <c r="BG41" s="83">
        <v>42214.81</v>
      </c>
      <c r="BH41">
        <v>0</v>
      </c>
      <c r="BI41" s="86">
        <f t="shared" si="20"/>
        <v>-180.30000000000291</v>
      </c>
      <c r="BJ41" s="86">
        <f t="shared" si="21"/>
        <v>-0.42528489724405222</v>
      </c>
      <c r="BK41" s="43">
        <f t="shared" si="30"/>
        <v>100</v>
      </c>
      <c r="BL41" s="78">
        <f t="shared" si="22"/>
        <v>-1.803000000000029</v>
      </c>
      <c r="BN41" s="44">
        <v>44608</v>
      </c>
      <c r="BO41">
        <v>71600.86</v>
      </c>
      <c r="BP41">
        <v>0</v>
      </c>
      <c r="BQ41" s="86">
        <f>BO41-BO42-BP41</f>
        <v>-3501.75</v>
      </c>
      <c r="BR41" s="86">
        <f t="shared" si="32"/>
        <v>-4.6626209129083529</v>
      </c>
      <c r="BS41" s="43">
        <f t="shared" si="33"/>
        <v>100</v>
      </c>
      <c r="BT41" s="78">
        <f t="shared" si="34"/>
        <v>-35.017499999999998</v>
      </c>
      <c r="CH41" s="44">
        <v>44608</v>
      </c>
      <c r="CI41" s="14">
        <v>10961.37</v>
      </c>
      <c r="CJ41">
        <v>0</v>
      </c>
      <c r="CK41" s="86">
        <f t="shared" si="26"/>
        <v>-1297.0899999999983</v>
      </c>
      <c r="CL41" s="86">
        <f t="shared" si="27"/>
        <v>-10.581182301855195</v>
      </c>
      <c r="CM41" s="43">
        <f t="shared" si="28"/>
        <v>404</v>
      </c>
      <c r="CN41" s="78">
        <f t="shared" si="29"/>
        <v>-3.2106188118811838</v>
      </c>
    </row>
    <row r="42" spans="1:92" x14ac:dyDescent="0.2">
      <c r="A42" s="77">
        <f t="shared" ref="A42:A50" si="36">D42</f>
        <v>44508</v>
      </c>
      <c r="B42" s="78">
        <f t="shared" si="25"/>
        <v>315837.31</v>
      </c>
      <c r="D42" s="79">
        <v>44508</v>
      </c>
      <c r="E42" s="83">
        <v>33781.230000000003</v>
      </c>
      <c r="F42" s="78">
        <v>28912.77</v>
      </c>
      <c r="G42" s="78">
        <f t="shared" si="23"/>
        <v>1668.1899999999987</v>
      </c>
      <c r="H42" s="43">
        <f t="shared" si="0"/>
        <v>103</v>
      </c>
      <c r="I42" s="82">
        <f t="shared" si="24"/>
        <v>16.196019417475714</v>
      </c>
      <c r="J42" s="80">
        <f t="shared" si="1"/>
        <v>1930.3500000000022</v>
      </c>
      <c r="K42" s="78">
        <f t="shared" si="2"/>
        <v>262.16000000000349</v>
      </c>
      <c r="L42" s="78">
        <f t="shared" si="3"/>
        <v>0.96224643580485902</v>
      </c>
      <c r="M42" s="78">
        <f t="shared" si="4"/>
        <v>4868.4600000000028</v>
      </c>
      <c r="O42" s="78"/>
      <c r="P42" s="78"/>
      <c r="Q42" s="78"/>
      <c r="R42" s="78"/>
      <c r="S42" s="78"/>
      <c r="T42" s="78"/>
      <c r="U42" s="78"/>
      <c r="V42" s="78"/>
      <c r="W42" s="78"/>
      <c r="X42" s="78"/>
      <c r="Y42" s="78"/>
      <c r="Z42" s="78"/>
      <c r="AM42" s="85">
        <v>44508</v>
      </c>
      <c r="AN42" s="83">
        <v>64305.34</v>
      </c>
      <c r="AO42">
        <v>0</v>
      </c>
      <c r="AP42" s="86">
        <f t="shared" si="9"/>
        <v>2277.3399999999965</v>
      </c>
      <c r="AQ42" s="86">
        <f t="shared" si="10"/>
        <v>3.6714709486038508</v>
      </c>
      <c r="AR42" s="43">
        <f t="shared" si="11"/>
        <v>103</v>
      </c>
      <c r="AS42" s="78">
        <f t="shared" si="12"/>
        <v>22.110097087378605</v>
      </c>
      <c r="AU42" s="44">
        <v>44508</v>
      </c>
      <c r="AV42" s="9">
        <v>87994.559999999998</v>
      </c>
      <c r="AW42" s="78">
        <f t="shared" si="35"/>
        <v>40050.410000000003</v>
      </c>
      <c r="AX42">
        <v>0</v>
      </c>
      <c r="AY42" s="43">
        <f t="shared" si="14"/>
        <v>103</v>
      </c>
      <c r="AZ42" s="82">
        <f t="shared" si="15"/>
        <v>0</v>
      </c>
      <c r="BA42" s="80">
        <f t="shared" si="16"/>
        <v>4389.8399999999965</v>
      </c>
      <c r="BB42" s="78">
        <f t="shared" si="17"/>
        <v>4389.8399999999965</v>
      </c>
      <c r="BC42" s="84">
        <f t="shared" si="18"/>
        <v>10.960786668600885</v>
      </c>
      <c r="BD42" s="78">
        <f t="shared" si="19"/>
        <v>47944.149999999994</v>
      </c>
      <c r="BF42" s="79">
        <v>44508</v>
      </c>
      <c r="BG42" s="83">
        <v>42395.11</v>
      </c>
      <c r="BH42">
        <v>0</v>
      </c>
      <c r="BI42" s="86">
        <f t="shared" si="20"/>
        <v>2576.489999999998</v>
      </c>
      <c r="BJ42" s="86">
        <f t="shared" si="21"/>
        <v>6.4705657805318157</v>
      </c>
      <c r="BK42" s="43">
        <f t="shared" si="30"/>
        <v>103</v>
      </c>
      <c r="BL42" s="78">
        <f t="shared" si="22"/>
        <v>25.014466019417455</v>
      </c>
      <c r="BN42" s="44">
        <v>44508</v>
      </c>
      <c r="BO42" s="83">
        <v>75102.61</v>
      </c>
      <c r="BP42">
        <v>0</v>
      </c>
      <c r="BQ42" s="86">
        <f>BO42-BO43-BP42</f>
        <v>2684.1699999999983</v>
      </c>
      <c r="BR42" s="86">
        <f t="shared" si="32"/>
        <v>3.7064731027069877</v>
      </c>
      <c r="BS42" s="43">
        <f t="shared" si="33"/>
        <v>103</v>
      </c>
      <c r="BT42" s="78">
        <f t="shared" si="34"/>
        <v>26.059902912621343</v>
      </c>
      <c r="CH42" s="44">
        <v>44204</v>
      </c>
      <c r="CI42" s="83">
        <v>12258.46</v>
      </c>
      <c r="CJ42">
        <v>0</v>
      </c>
      <c r="CK42" s="86">
        <f t="shared" si="26"/>
        <v>-65.350000000000364</v>
      </c>
      <c r="CL42" s="86">
        <f t="shared" si="27"/>
        <v>-0.53027432263237073</v>
      </c>
      <c r="CM42" s="43">
        <f t="shared" si="28"/>
        <v>-201</v>
      </c>
      <c r="CN42" s="78">
        <f t="shared" si="29"/>
        <v>0.32512437810945455</v>
      </c>
    </row>
    <row r="43" spans="1:92" x14ac:dyDescent="0.2">
      <c r="A43" s="77">
        <f t="shared" si="36"/>
        <v>44405</v>
      </c>
      <c r="B43" s="78">
        <f t="shared" si="25"/>
        <v>302044.47000000003</v>
      </c>
      <c r="D43" s="85">
        <v>44405</v>
      </c>
      <c r="E43" s="83">
        <v>31850.880000000001</v>
      </c>
      <c r="F43" s="78">
        <v>27244.58</v>
      </c>
      <c r="G43" s="78">
        <f t="shared" si="23"/>
        <v>11274.600000000004</v>
      </c>
      <c r="H43" s="43">
        <f t="shared" si="0"/>
        <v>611</v>
      </c>
      <c r="I43" s="82">
        <f t="shared" si="24"/>
        <v>18.452700490998371</v>
      </c>
      <c r="J43" s="80">
        <f t="shared" si="1"/>
        <v>15306.310000000001</v>
      </c>
      <c r="K43" s="78">
        <f t="shared" si="2"/>
        <v>4031.7099999999973</v>
      </c>
      <c r="L43" s="78">
        <f t="shared" si="3"/>
        <v>25.245554471577282</v>
      </c>
      <c r="M43" s="78">
        <f t="shared" si="4"/>
        <v>4606.2999999999993</v>
      </c>
      <c r="O43" s="78"/>
      <c r="P43" s="78"/>
      <c r="Q43" s="78"/>
      <c r="R43" s="78"/>
      <c r="S43" s="78"/>
      <c r="T43" s="78"/>
      <c r="U43" s="78"/>
      <c r="V43" s="78"/>
      <c r="W43" s="78"/>
      <c r="X43" s="78"/>
      <c r="Y43" s="78"/>
      <c r="Z43" s="78"/>
      <c r="AM43" s="85">
        <v>44405</v>
      </c>
      <c r="AN43" s="83">
        <v>62028</v>
      </c>
      <c r="AO43">
        <v>0</v>
      </c>
      <c r="AP43" s="86">
        <f t="shared" si="9"/>
        <v>4313.82</v>
      </c>
      <c r="AQ43" s="86">
        <f t="shared" si="10"/>
        <v>7.4744542848915119</v>
      </c>
      <c r="AR43" s="43">
        <f t="shared" si="11"/>
        <v>611</v>
      </c>
      <c r="AS43" s="78">
        <f t="shared" si="12"/>
        <v>7.0602618657937803</v>
      </c>
      <c r="AU43" s="57">
        <v>44405</v>
      </c>
      <c r="AV43" s="83">
        <v>83604.72</v>
      </c>
      <c r="AW43" s="78">
        <f t="shared" si="35"/>
        <v>40050.410000000003</v>
      </c>
      <c r="AX43">
        <v>0</v>
      </c>
      <c r="AY43" s="43">
        <f t="shared" si="14"/>
        <v>611</v>
      </c>
      <c r="AZ43" s="82">
        <f t="shared" si="15"/>
        <v>0</v>
      </c>
      <c r="BA43" s="80">
        <f t="shared" si="16"/>
        <v>7259.9799999999959</v>
      </c>
      <c r="BB43" s="78">
        <f t="shared" si="17"/>
        <v>7259.9799999999959</v>
      </c>
      <c r="BC43" s="84">
        <f t="shared" si="18"/>
        <v>18.127105315526094</v>
      </c>
      <c r="BD43" s="78">
        <f t="shared" si="19"/>
        <v>43554.31</v>
      </c>
      <c r="BF43" s="101">
        <v>44405</v>
      </c>
      <c r="BG43" s="83">
        <v>39818.620000000003</v>
      </c>
      <c r="BH43">
        <v>0</v>
      </c>
      <c r="BI43" s="86">
        <f t="shared" si="20"/>
        <v>6567.3400000000038</v>
      </c>
      <c r="BJ43" s="86">
        <f t="shared" si="21"/>
        <v>19.750638170921551</v>
      </c>
      <c r="BK43" s="43">
        <f t="shared" si="30"/>
        <v>611</v>
      </c>
      <c r="BL43" s="78">
        <f t="shared" si="22"/>
        <v>10.748510638297878</v>
      </c>
      <c r="BN43" s="102">
        <v>44405</v>
      </c>
      <c r="BO43" s="83">
        <v>72418.44</v>
      </c>
      <c r="BP43">
        <v>0</v>
      </c>
      <c r="BQ43" s="86">
        <f>BO43-BO44-BP43</f>
        <v>9252.3500000000058</v>
      </c>
      <c r="BR43" s="86">
        <f t="shared" si="32"/>
        <v>14.647653511559772</v>
      </c>
      <c r="BS43" s="43">
        <f t="shared" si="33"/>
        <v>611</v>
      </c>
      <c r="BT43" s="78">
        <f t="shared" si="34"/>
        <v>15.142962356792154</v>
      </c>
      <c r="CH43" s="57">
        <v>44405</v>
      </c>
      <c r="CI43" s="83">
        <v>12323.81</v>
      </c>
      <c r="CJ43">
        <v>0</v>
      </c>
      <c r="CK43" s="86">
        <f t="shared" si="26"/>
        <v>2270.0100000000002</v>
      </c>
      <c r="CL43" s="86">
        <f t="shared" si="27"/>
        <v>22.57862698681096</v>
      </c>
      <c r="CM43" s="43">
        <f t="shared" si="28"/>
        <v>611</v>
      </c>
      <c r="CN43" s="78">
        <f t="shared" si="29"/>
        <v>3.7152373158756142</v>
      </c>
    </row>
    <row r="44" spans="1:92" x14ac:dyDescent="0.2">
      <c r="A44" s="77">
        <f t="shared" si="36"/>
        <v>43794</v>
      </c>
      <c r="B44" s="78">
        <f t="shared" si="25"/>
        <v>257074.65999999997</v>
      </c>
      <c r="D44" s="79">
        <v>43794</v>
      </c>
      <c r="E44" s="83">
        <v>16544.57</v>
      </c>
      <c r="F44" s="78">
        <v>15969.979999999998</v>
      </c>
      <c r="G44" s="78">
        <f t="shared" si="23"/>
        <v>5023.0199999999986</v>
      </c>
      <c r="H44" s="43">
        <f t="shared" si="0"/>
        <v>275</v>
      </c>
      <c r="I44" s="82">
        <f t="shared" si="24"/>
        <v>18.265527272727269</v>
      </c>
      <c r="J44" s="80">
        <f t="shared" si="1"/>
        <v>5685.57</v>
      </c>
      <c r="K44" s="78">
        <f t="shared" si="2"/>
        <v>662.55000000000109</v>
      </c>
      <c r="L44" s="78">
        <f t="shared" si="3"/>
        <v>6.0523652228564027</v>
      </c>
      <c r="M44" s="78">
        <f t="shared" si="4"/>
        <v>574.59000000000196</v>
      </c>
      <c r="O44" s="78"/>
      <c r="P44" s="78"/>
      <c r="Q44" s="78"/>
      <c r="R44" s="78"/>
      <c r="S44" s="78"/>
      <c r="T44" s="78"/>
      <c r="U44" s="78"/>
      <c r="V44" s="78"/>
      <c r="W44" s="78"/>
      <c r="X44" s="78"/>
      <c r="Y44" s="78"/>
      <c r="Z44" s="78"/>
      <c r="AM44" s="85">
        <v>43794</v>
      </c>
      <c r="AN44" s="83">
        <v>57714.18</v>
      </c>
      <c r="AO44">
        <v>0</v>
      </c>
      <c r="AP44" s="86">
        <f t="shared" si="9"/>
        <v>4097.18</v>
      </c>
      <c r="AQ44" s="86">
        <f t="shared" si="10"/>
        <v>7.641568905384486</v>
      </c>
      <c r="AR44" s="43">
        <f t="shared" si="11"/>
        <v>275</v>
      </c>
      <c r="AS44" s="78">
        <f t="shared" si="12"/>
        <v>14.898836363636365</v>
      </c>
      <c r="AU44" s="44">
        <v>43794</v>
      </c>
      <c r="AV44" s="83">
        <v>76344.740000000005</v>
      </c>
      <c r="AW44" s="78">
        <f t="shared" si="35"/>
        <v>40050.410000000003</v>
      </c>
      <c r="AX44">
        <v>0</v>
      </c>
      <c r="AY44" s="43">
        <f t="shared" si="14"/>
        <v>275</v>
      </c>
      <c r="AZ44" s="82">
        <f t="shared" si="15"/>
        <v>0</v>
      </c>
      <c r="BA44" s="80">
        <f t="shared" si="16"/>
        <v>3048.3500000000058</v>
      </c>
      <c r="BB44" s="78">
        <f t="shared" si="17"/>
        <v>3048.3500000000058</v>
      </c>
      <c r="BC44" s="84">
        <f t="shared" si="18"/>
        <v>7.611282880749549</v>
      </c>
      <c r="BD44" s="78">
        <f t="shared" si="19"/>
        <v>36294.33</v>
      </c>
      <c r="BF44" s="79">
        <v>43794</v>
      </c>
      <c r="BG44" s="83">
        <v>33251.279999999999</v>
      </c>
      <c r="BH44">
        <v>0</v>
      </c>
      <c r="BI44" s="86">
        <f t="shared" si="20"/>
        <v>2294.59</v>
      </c>
      <c r="BJ44" s="86">
        <f t="shared" si="21"/>
        <v>7.4122588687614863</v>
      </c>
      <c r="BK44" s="43">
        <f t="shared" si="30"/>
        <v>275</v>
      </c>
      <c r="BL44" s="78">
        <f t="shared" si="22"/>
        <v>8.343963636363636</v>
      </c>
      <c r="BN44" s="44">
        <v>43794</v>
      </c>
      <c r="BO44" s="83">
        <v>63166.09</v>
      </c>
      <c r="BP44">
        <v>0</v>
      </c>
      <c r="BQ44" s="86">
        <f t="shared" ref="BQ44:BQ55" si="37">BO44-BO45-BP44</f>
        <v>4546.8599999999933</v>
      </c>
      <c r="BR44" s="86">
        <f t="shared" si="32"/>
        <v>7.7566013746683344</v>
      </c>
      <c r="BS44" s="43">
        <f t="shared" si="33"/>
        <v>275</v>
      </c>
      <c r="BT44" s="78">
        <f t="shared" si="34"/>
        <v>16.534036363636339</v>
      </c>
      <c r="CH44" s="44">
        <v>43794</v>
      </c>
      <c r="CI44" s="83">
        <v>10053.799999999999</v>
      </c>
      <c r="CJ44">
        <v>0</v>
      </c>
      <c r="CK44" s="86">
        <f t="shared" si="26"/>
        <v>345.79999999999927</v>
      </c>
      <c r="CL44" s="86">
        <f t="shared" si="27"/>
        <v>3.5620107128141663</v>
      </c>
      <c r="CM44" s="43">
        <f t="shared" si="28"/>
        <v>203</v>
      </c>
      <c r="CN44" s="78">
        <f t="shared" si="29"/>
        <v>1.7034482758620655</v>
      </c>
    </row>
    <row r="45" spans="1:92" x14ac:dyDescent="0.2">
      <c r="A45" s="77">
        <f t="shared" si="36"/>
        <v>43519</v>
      </c>
      <c r="B45" s="78">
        <f t="shared" si="25"/>
        <v>237056.31000000003</v>
      </c>
      <c r="D45" s="79">
        <v>43519</v>
      </c>
      <c r="E45" s="83">
        <v>10859</v>
      </c>
      <c r="F45" s="78">
        <v>10946.96</v>
      </c>
      <c r="G45" s="78">
        <f t="shared" si="23"/>
        <v>2217.6799999999985</v>
      </c>
      <c r="H45" s="43">
        <f t="shared" si="0"/>
        <v>111</v>
      </c>
      <c r="I45" s="82">
        <f t="shared" si="24"/>
        <v>19.979099099099084</v>
      </c>
      <c r="J45" s="80">
        <f t="shared" si="1"/>
        <v>2206</v>
      </c>
      <c r="K45" s="78">
        <f t="shared" si="2"/>
        <v>-11.679999999998472</v>
      </c>
      <c r="L45" s="78">
        <f t="shared" si="3"/>
        <v>-0.13380255874480451</v>
      </c>
      <c r="M45" s="78">
        <f t="shared" si="4"/>
        <v>-87.959999999999127</v>
      </c>
      <c r="O45" s="78"/>
      <c r="P45" s="78"/>
      <c r="Q45" s="78"/>
      <c r="R45" s="78"/>
      <c r="S45" s="78"/>
      <c r="T45" s="78"/>
      <c r="U45" s="78"/>
      <c r="V45" s="78"/>
      <c r="W45" s="78"/>
      <c r="X45" s="78"/>
      <c r="Y45" s="78"/>
      <c r="Z45" s="78"/>
      <c r="AM45" s="85">
        <v>43519</v>
      </c>
      <c r="AN45" s="83">
        <v>53617</v>
      </c>
      <c r="AO45">
        <v>0</v>
      </c>
      <c r="AP45" s="86">
        <f t="shared" si="9"/>
        <v>1584</v>
      </c>
      <c r="AQ45" s="86">
        <f t="shared" si="10"/>
        <v>3.0442219360790266</v>
      </c>
      <c r="AR45" s="43">
        <f t="shared" si="11"/>
        <v>111</v>
      </c>
      <c r="AS45" s="78">
        <f t="shared" si="12"/>
        <v>14.27027027027027</v>
      </c>
      <c r="AU45" s="44">
        <v>43519</v>
      </c>
      <c r="AV45" s="83">
        <v>73296.39</v>
      </c>
      <c r="AW45" s="78">
        <f t="shared" si="35"/>
        <v>40050.410000000003</v>
      </c>
      <c r="AX45">
        <v>0</v>
      </c>
      <c r="AY45" s="43">
        <f t="shared" si="14"/>
        <v>111</v>
      </c>
      <c r="AZ45" s="82">
        <f t="shared" si="15"/>
        <v>0</v>
      </c>
      <c r="BA45" s="80">
        <f t="shared" si="16"/>
        <v>1216.3000000000029</v>
      </c>
      <c r="BB45" s="78">
        <f t="shared" si="17"/>
        <v>1216.3000000000029</v>
      </c>
      <c r="BC45" s="84">
        <f t="shared" si="18"/>
        <v>3.0369227181444653</v>
      </c>
      <c r="BD45" s="78">
        <f t="shared" si="19"/>
        <v>33245.979999999996</v>
      </c>
      <c r="BF45" s="79">
        <v>43519</v>
      </c>
      <c r="BG45" s="83">
        <v>30956.69</v>
      </c>
      <c r="BH45">
        <v>0</v>
      </c>
      <c r="BI45" s="86">
        <f t="shared" si="20"/>
        <v>349.21999999999753</v>
      </c>
      <c r="BJ45" s="86">
        <f t="shared" si="21"/>
        <v>1.1409633007889823</v>
      </c>
      <c r="BK45" s="43">
        <f t="shared" si="30"/>
        <v>111</v>
      </c>
      <c r="BL45" s="78">
        <f t="shared" si="22"/>
        <v>3.146126126126104</v>
      </c>
      <c r="BN45" s="44">
        <v>43519</v>
      </c>
      <c r="BO45" s="83">
        <v>58619.23</v>
      </c>
      <c r="BP45">
        <v>0</v>
      </c>
      <c r="BQ45" s="86">
        <f t="shared" si="37"/>
        <v>1372.2200000000012</v>
      </c>
      <c r="BR45" s="86">
        <f t="shared" si="32"/>
        <v>2.3970160188278848</v>
      </c>
      <c r="BS45" s="43">
        <f t="shared" si="33"/>
        <v>111</v>
      </c>
      <c r="BT45" s="78">
        <f t="shared" si="34"/>
        <v>12.362342342342354</v>
      </c>
      <c r="CH45" s="44">
        <v>43591</v>
      </c>
      <c r="CI45" s="83">
        <v>9708</v>
      </c>
      <c r="CJ45">
        <v>0</v>
      </c>
      <c r="CK45" s="86">
        <f t="shared" si="26"/>
        <v>-127</v>
      </c>
      <c r="CL45" s="86">
        <f t="shared" si="27"/>
        <v>-1.2913065582104728</v>
      </c>
      <c r="CM45" s="43">
        <f t="shared" si="28"/>
        <v>72</v>
      </c>
      <c r="CN45" s="78">
        <f t="shared" si="29"/>
        <v>-1.7638888888888888</v>
      </c>
    </row>
    <row r="46" spans="1:92" x14ac:dyDescent="0.2">
      <c r="A46" s="77">
        <f t="shared" si="36"/>
        <v>43408</v>
      </c>
      <c r="B46" s="78">
        <f t="shared" si="25"/>
        <v>230455.57</v>
      </c>
      <c r="D46" s="79">
        <v>43408</v>
      </c>
      <c r="E46" s="83">
        <v>8653</v>
      </c>
      <c r="F46" s="78">
        <v>8729.2800000000007</v>
      </c>
      <c r="G46" s="78">
        <f t="shared" si="23"/>
        <v>2750.3400000000011</v>
      </c>
      <c r="H46" s="43">
        <f t="shared" si="0"/>
        <v>166</v>
      </c>
      <c r="I46" s="82">
        <f t="shared" si="24"/>
        <v>16.568313253012054</v>
      </c>
      <c r="J46" s="80">
        <f t="shared" si="1"/>
        <v>2568</v>
      </c>
      <c r="K46" s="78">
        <f t="shared" si="2"/>
        <v>-182.34000000000106</v>
      </c>
      <c r="L46" s="78">
        <f t="shared" si="3"/>
        <v>-3.0497044626639682</v>
      </c>
      <c r="M46" s="78">
        <f t="shared" si="4"/>
        <v>-76.280000000000655</v>
      </c>
      <c r="O46" s="78"/>
      <c r="P46" s="78"/>
      <c r="Q46" s="78"/>
      <c r="R46" s="78"/>
      <c r="S46" s="78"/>
      <c r="T46" s="78"/>
      <c r="U46" s="78"/>
      <c r="V46" s="78"/>
      <c r="W46" s="78"/>
      <c r="X46" s="78"/>
      <c r="Y46" s="78"/>
      <c r="Z46" s="78"/>
      <c r="AM46" s="85">
        <v>43408</v>
      </c>
      <c r="AN46" s="83">
        <v>52033</v>
      </c>
      <c r="AO46">
        <v>0</v>
      </c>
      <c r="AP46" s="86">
        <f t="shared" si="9"/>
        <v>-2096</v>
      </c>
      <c r="AQ46" s="86">
        <f t="shared" si="10"/>
        <v>-3.8722311515084336</v>
      </c>
      <c r="AR46" s="43">
        <f t="shared" si="11"/>
        <v>166</v>
      </c>
      <c r="AS46" s="78">
        <f t="shared" si="12"/>
        <v>-12.626506024096386</v>
      </c>
      <c r="AU46" s="44">
        <v>43408</v>
      </c>
      <c r="AV46" s="83">
        <v>72080.09</v>
      </c>
      <c r="AW46" s="78">
        <f t="shared" si="35"/>
        <v>40050.410000000003</v>
      </c>
      <c r="AX46">
        <v>0</v>
      </c>
      <c r="AY46" s="43">
        <f t="shared" si="14"/>
        <v>166</v>
      </c>
      <c r="AZ46" s="82">
        <f t="shared" si="15"/>
        <v>0</v>
      </c>
      <c r="BA46" s="80">
        <f t="shared" si="16"/>
        <v>-1181.2300000000105</v>
      </c>
      <c r="BB46" s="78">
        <f t="shared" si="17"/>
        <v>-1181.2300000000105</v>
      </c>
      <c r="BC46" s="84">
        <f t="shared" si="18"/>
        <v>-2.9493580714904302</v>
      </c>
      <c r="BD46" s="78">
        <f t="shared" si="19"/>
        <v>32029.679999999993</v>
      </c>
      <c r="BF46" s="79">
        <v>43408</v>
      </c>
      <c r="BG46" s="83">
        <v>30607.47</v>
      </c>
      <c r="BH46">
        <v>0</v>
      </c>
      <c r="BI46" s="86">
        <f t="shared" si="20"/>
        <v>662.55000000000291</v>
      </c>
      <c r="BJ46" s="86">
        <f t="shared" si="21"/>
        <v>2.2125622643172962</v>
      </c>
      <c r="BK46" s="43">
        <f t="shared" si="30"/>
        <v>166</v>
      </c>
      <c r="BL46" s="78">
        <f t="shared" si="22"/>
        <v>3.9912650602409814</v>
      </c>
      <c r="BN46" s="44">
        <v>43408</v>
      </c>
      <c r="BO46" s="83">
        <v>57247.01</v>
      </c>
      <c r="BP46">
        <v>0</v>
      </c>
      <c r="BQ46" s="86">
        <f t="shared" si="37"/>
        <v>-1969.2799999999988</v>
      </c>
      <c r="BR46" s="86">
        <f t="shared" si="32"/>
        <v>-3.3255713926015944</v>
      </c>
      <c r="BS46" s="43">
        <f t="shared" si="33"/>
        <v>166</v>
      </c>
      <c r="BT46" s="78">
        <f t="shared" si="34"/>
        <v>-11.863132530120476</v>
      </c>
      <c r="CH46" s="44">
        <v>43519</v>
      </c>
      <c r="CI46" s="83">
        <v>9835</v>
      </c>
      <c r="CJ46">
        <v>0</v>
      </c>
      <c r="CK46" s="86">
        <f t="shared" si="26"/>
        <v>-193</v>
      </c>
      <c r="CL46" s="86">
        <f t="shared" si="27"/>
        <v>-1.9246110889509374</v>
      </c>
      <c r="CM46" s="43">
        <f t="shared" si="28"/>
        <v>111</v>
      </c>
      <c r="CN46" s="78">
        <f t="shared" si="29"/>
        <v>-1.7387387387387387</v>
      </c>
    </row>
    <row r="47" spans="1:92" x14ac:dyDescent="0.2">
      <c r="A47" s="77">
        <f t="shared" si="36"/>
        <v>43242</v>
      </c>
      <c r="B47" s="78">
        <f t="shared" si="25"/>
        <v>232664.53</v>
      </c>
      <c r="D47" s="79">
        <v>43242</v>
      </c>
      <c r="E47" s="83">
        <v>6085</v>
      </c>
      <c r="F47" s="78">
        <v>5978.94</v>
      </c>
      <c r="G47" s="78">
        <f t="shared" si="23"/>
        <v>2717.7</v>
      </c>
      <c r="H47" s="43">
        <f t="shared" si="0"/>
        <v>144</v>
      </c>
      <c r="I47" s="82">
        <f t="shared" si="24"/>
        <v>18.872916666666665</v>
      </c>
      <c r="J47" s="80">
        <f t="shared" si="1"/>
        <v>2760</v>
      </c>
      <c r="K47" s="78">
        <f t="shared" si="2"/>
        <v>42.300000000000182</v>
      </c>
      <c r="L47" s="78">
        <f t="shared" si="3"/>
        <v>1.2970526548184182</v>
      </c>
      <c r="M47" s="78">
        <f t="shared" si="4"/>
        <v>106.0600000000004</v>
      </c>
      <c r="O47" s="78"/>
      <c r="P47" s="78"/>
      <c r="Q47" s="78"/>
      <c r="R47" s="78"/>
      <c r="S47" s="78"/>
      <c r="T47" s="78"/>
      <c r="U47" s="78"/>
      <c r="V47" s="78"/>
      <c r="W47" s="78"/>
      <c r="X47" s="78"/>
      <c r="Y47" s="78"/>
      <c r="Z47" s="78"/>
      <c r="AM47" s="85">
        <v>43242</v>
      </c>
      <c r="AN47" s="83">
        <v>54129</v>
      </c>
      <c r="AO47">
        <v>0</v>
      </c>
      <c r="AP47" s="86">
        <f t="shared" si="9"/>
        <v>1775</v>
      </c>
      <c r="AQ47" s="86">
        <f t="shared" si="10"/>
        <v>3.390380868701532</v>
      </c>
      <c r="AR47" s="43">
        <f t="shared" si="11"/>
        <v>144</v>
      </c>
      <c r="AS47" s="78">
        <f t="shared" si="12"/>
        <v>12.326388888888889</v>
      </c>
      <c r="AU47" s="44">
        <v>43242</v>
      </c>
      <c r="AV47" s="83">
        <v>73261.320000000007</v>
      </c>
      <c r="AW47" s="78">
        <f t="shared" si="35"/>
        <v>40050.410000000003</v>
      </c>
      <c r="AX47">
        <v>0</v>
      </c>
      <c r="AY47" s="43">
        <f t="shared" si="14"/>
        <v>144</v>
      </c>
      <c r="AZ47" s="82">
        <f t="shared" si="15"/>
        <v>0</v>
      </c>
      <c r="BA47" s="80">
        <f t="shared" si="16"/>
        <v>1847.7100000000064</v>
      </c>
      <c r="BB47" s="78">
        <f t="shared" si="17"/>
        <v>1847.7100000000064</v>
      </c>
      <c r="BC47" s="84">
        <f t="shared" si="18"/>
        <v>4.6134608859185366</v>
      </c>
      <c r="BD47" s="78">
        <f t="shared" si="19"/>
        <v>33210.910000000003</v>
      </c>
      <c r="BF47" s="79">
        <v>43242</v>
      </c>
      <c r="BG47" s="83">
        <v>29944.92</v>
      </c>
      <c r="BH47">
        <v>0</v>
      </c>
      <c r="BI47" s="86">
        <f t="shared" si="20"/>
        <v>667.15999999999985</v>
      </c>
      <c r="BJ47" s="86">
        <f t="shared" si="21"/>
        <v>2.278726241351797</v>
      </c>
      <c r="BK47" s="43">
        <f t="shared" si="30"/>
        <v>144</v>
      </c>
      <c r="BL47" s="78">
        <f t="shared" si="22"/>
        <v>4.6330555555555542</v>
      </c>
      <c r="BN47" s="44">
        <v>43242</v>
      </c>
      <c r="BO47" s="83">
        <v>59216.29</v>
      </c>
      <c r="BP47">
        <v>0</v>
      </c>
      <c r="BQ47" s="86">
        <f t="shared" si="37"/>
        <v>317.56999999999971</v>
      </c>
      <c r="BR47" s="86">
        <f t="shared" si="32"/>
        <v>0.5391797988139635</v>
      </c>
      <c r="BS47" s="43">
        <f t="shared" si="33"/>
        <v>144</v>
      </c>
      <c r="BT47" s="78">
        <f t="shared" si="34"/>
        <v>2.2053472222222203</v>
      </c>
      <c r="CH47" s="44">
        <v>43408</v>
      </c>
      <c r="CI47" s="83">
        <v>10028</v>
      </c>
      <c r="CJ47">
        <v>0</v>
      </c>
      <c r="CK47" s="86">
        <f t="shared" si="26"/>
        <v>110</v>
      </c>
      <c r="CL47" s="86">
        <f t="shared" si="27"/>
        <v>1.1090945755192578</v>
      </c>
      <c r="CM47" s="43">
        <f t="shared" si="28"/>
        <v>166</v>
      </c>
      <c r="CN47" s="78">
        <f t="shared" si="29"/>
        <v>0.66265060240963858</v>
      </c>
    </row>
    <row r="48" spans="1:92" x14ac:dyDescent="0.2">
      <c r="A48" s="77">
        <f t="shared" si="36"/>
        <v>43098</v>
      </c>
      <c r="B48" s="78">
        <f t="shared" si="25"/>
        <v>225187.09</v>
      </c>
      <c r="D48" s="79">
        <v>43098</v>
      </c>
      <c r="E48" s="83">
        <v>3325</v>
      </c>
      <c r="F48" s="78">
        <v>3261.24</v>
      </c>
      <c r="G48" s="78">
        <f t="shared" si="23"/>
        <v>1630.62</v>
      </c>
      <c r="H48" s="43">
        <f t="shared" si="0"/>
        <v>73</v>
      </c>
      <c r="I48" s="82">
        <f t="shared" si="24"/>
        <v>22.3372602739726</v>
      </c>
      <c r="J48" s="80">
        <f t="shared" si="1"/>
        <v>1674</v>
      </c>
      <c r="K48" s="78">
        <f t="shared" si="2"/>
        <v>43.380000000000109</v>
      </c>
      <c r="L48" s="78">
        <f t="shared" si="3"/>
        <v>2.6603377856275596</v>
      </c>
      <c r="M48" s="78">
        <f t="shared" si="4"/>
        <v>63.760000000000218</v>
      </c>
      <c r="O48" s="78"/>
      <c r="P48" s="78"/>
      <c r="Q48" s="78"/>
      <c r="R48" s="78"/>
      <c r="S48" s="78"/>
      <c r="T48" s="78"/>
      <c r="U48" s="78"/>
      <c r="V48" s="78"/>
      <c r="W48" s="78"/>
      <c r="X48" s="78"/>
      <c r="Y48" s="78"/>
      <c r="Z48" s="78"/>
      <c r="AM48" s="85">
        <v>43098</v>
      </c>
      <c r="AN48" s="83">
        <v>52354</v>
      </c>
      <c r="AO48">
        <v>0</v>
      </c>
      <c r="AP48" s="86">
        <f t="shared" si="9"/>
        <v>1346.7699999999968</v>
      </c>
      <c r="AQ48" s="86">
        <f t="shared" si="10"/>
        <v>2.6403511815873881</v>
      </c>
      <c r="AR48" s="43">
        <f t="shared" si="11"/>
        <v>73</v>
      </c>
      <c r="AS48" s="78">
        <f t="shared" si="12"/>
        <v>18.448904109588998</v>
      </c>
      <c r="AU48" s="44">
        <v>43098</v>
      </c>
      <c r="AV48" s="83">
        <v>71413.61</v>
      </c>
      <c r="AW48" s="78">
        <f t="shared" si="35"/>
        <v>40050.410000000003</v>
      </c>
      <c r="AX48">
        <v>0</v>
      </c>
      <c r="AY48" s="43">
        <f t="shared" si="14"/>
        <v>73</v>
      </c>
      <c r="AZ48" s="82">
        <f t="shared" si="15"/>
        <v>0</v>
      </c>
      <c r="BA48" s="80">
        <f t="shared" si="16"/>
        <v>1114.9799999999959</v>
      </c>
      <c r="BB48" s="78">
        <f t="shared" si="17"/>
        <v>1114.9799999999959</v>
      </c>
      <c r="BC48" s="84">
        <f t="shared" si="18"/>
        <v>2.7839415376771321</v>
      </c>
      <c r="BD48" s="78">
        <f t="shared" si="19"/>
        <v>31363.199999999997</v>
      </c>
      <c r="BF48" s="79">
        <v>43098</v>
      </c>
      <c r="BG48" s="83">
        <v>29277.759999999998</v>
      </c>
      <c r="BH48">
        <v>0</v>
      </c>
      <c r="BI48" s="86">
        <f t="shared" si="20"/>
        <v>606.40999999999985</v>
      </c>
      <c r="BJ48" s="86">
        <f t="shared" si="21"/>
        <v>2.115038182715498</v>
      </c>
      <c r="BK48" s="43">
        <f t="shared" si="30"/>
        <v>73</v>
      </c>
      <c r="BL48" s="78">
        <f t="shared" si="22"/>
        <v>8.3069863013698608</v>
      </c>
      <c r="BN48" s="44">
        <v>43098</v>
      </c>
      <c r="BO48" s="83">
        <v>58898.720000000001</v>
      </c>
      <c r="BP48">
        <v>0</v>
      </c>
      <c r="BQ48" s="86">
        <f t="shared" si="37"/>
        <v>1019</v>
      </c>
      <c r="BR48" s="86">
        <f t="shared" si="32"/>
        <v>1.7605475631188263</v>
      </c>
      <c r="BS48" s="43">
        <f t="shared" si="33"/>
        <v>73</v>
      </c>
      <c r="BT48" s="78">
        <f t="shared" si="34"/>
        <v>13.95890410958904</v>
      </c>
      <c r="CH48" s="44">
        <v>43242</v>
      </c>
      <c r="CI48" s="83">
        <v>9918</v>
      </c>
      <c r="CJ48">
        <v>0</v>
      </c>
      <c r="CK48" s="86">
        <f t="shared" si="26"/>
        <v>-9</v>
      </c>
      <c r="CL48" s="86">
        <f t="shared" si="27"/>
        <v>-9.0661831368993653E-2</v>
      </c>
      <c r="CM48" s="43">
        <f t="shared" si="28"/>
        <v>144</v>
      </c>
      <c r="CN48" s="78">
        <f t="shared" si="29"/>
        <v>-6.25E-2</v>
      </c>
    </row>
    <row r="49" spans="1:92" x14ac:dyDescent="0.2">
      <c r="A49" s="77">
        <f t="shared" si="36"/>
        <v>43025</v>
      </c>
      <c r="B49" s="78">
        <f t="shared" si="25"/>
        <v>219434.93000000002</v>
      </c>
      <c r="D49" s="79">
        <v>43025</v>
      </c>
      <c r="E49" s="83">
        <v>1651</v>
      </c>
      <c r="F49" s="78">
        <v>1630.62</v>
      </c>
      <c r="G49" s="78">
        <f t="shared" si="23"/>
        <v>1087.08</v>
      </c>
      <c r="H49" s="43">
        <f t="shared" si="0"/>
        <v>71</v>
      </c>
      <c r="I49" s="82">
        <f t="shared" si="24"/>
        <v>15.310985915492957</v>
      </c>
      <c r="J49" s="80">
        <f t="shared" si="1"/>
        <v>1106</v>
      </c>
      <c r="K49" s="78">
        <f t="shared" si="2"/>
        <v>18.920000000000073</v>
      </c>
      <c r="L49" s="78">
        <f t="shared" si="3"/>
        <v>3.4808845715126897</v>
      </c>
      <c r="M49" s="78">
        <f t="shared" si="4"/>
        <v>20.380000000000109</v>
      </c>
      <c r="O49" s="78"/>
      <c r="P49" s="78"/>
      <c r="Q49" s="78"/>
      <c r="R49" s="78"/>
      <c r="S49" s="78"/>
      <c r="T49" s="78"/>
      <c r="U49" s="78"/>
      <c r="V49" s="78"/>
      <c r="W49" s="78"/>
      <c r="X49" s="78"/>
      <c r="Y49" s="78"/>
      <c r="Z49" s="78"/>
      <c r="AM49" s="85">
        <v>43025</v>
      </c>
      <c r="AN49" s="83">
        <v>51007.23</v>
      </c>
      <c r="AO49">
        <v>0</v>
      </c>
      <c r="AP49" s="86">
        <f t="shared" si="9"/>
        <v>1276.2300000000032</v>
      </c>
      <c r="AQ49" s="86">
        <f t="shared" si="10"/>
        <v>2.5662665138444898</v>
      </c>
      <c r="AR49" s="43">
        <f t="shared" si="11"/>
        <v>71</v>
      </c>
      <c r="AS49" s="78">
        <f t="shared" si="12"/>
        <v>17.975070422535257</v>
      </c>
      <c r="AU49" s="44">
        <v>43025</v>
      </c>
      <c r="AV49" s="83">
        <v>70298.63</v>
      </c>
      <c r="AW49" s="78">
        <f t="shared" si="35"/>
        <v>40050.410000000003</v>
      </c>
      <c r="AX49">
        <v>0</v>
      </c>
      <c r="AY49" s="43">
        <f t="shared" si="14"/>
        <v>71</v>
      </c>
      <c r="AZ49" s="82">
        <f t="shared" si="15"/>
        <v>0</v>
      </c>
      <c r="BA49" s="80">
        <f t="shared" si="16"/>
        <v>1203.5100000000093</v>
      </c>
      <c r="BB49" s="78">
        <f t="shared" si="17"/>
        <v>1203.5100000000093</v>
      </c>
      <c r="BC49" s="84">
        <f t="shared" si="18"/>
        <v>3.0049879639184947</v>
      </c>
      <c r="BD49" s="78">
        <f t="shared" si="19"/>
        <v>30248.22</v>
      </c>
      <c r="BF49" s="79">
        <v>43025</v>
      </c>
      <c r="BG49" s="83">
        <v>28671.35</v>
      </c>
      <c r="BH49">
        <v>0</v>
      </c>
      <c r="BI49" s="86">
        <f t="shared" si="20"/>
        <v>1045.5</v>
      </c>
      <c r="BJ49" s="86">
        <f t="shared" si="21"/>
        <v>3.7844989384942003</v>
      </c>
      <c r="BK49" s="43">
        <f t="shared" si="30"/>
        <v>71</v>
      </c>
      <c r="BL49" s="78">
        <f t="shared" si="22"/>
        <v>14.725352112676056</v>
      </c>
      <c r="BN49" s="44">
        <v>43025</v>
      </c>
      <c r="BO49" s="83">
        <v>57879.72</v>
      </c>
      <c r="BP49">
        <v>0</v>
      </c>
      <c r="BQ49" s="86">
        <f t="shared" si="37"/>
        <v>835.02999999999884</v>
      </c>
      <c r="BR49" s="86">
        <f t="shared" si="32"/>
        <v>1.4638172282117736</v>
      </c>
      <c r="BS49" s="43">
        <f t="shared" si="33"/>
        <v>71</v>
      </c>
      <c r="BT49" s="78">
        <f t="shared" si="34"/>
        <v>11.760985915492942</v>
      </c>
      <c r="CH49" s="44">
        <v>43098</v>
      </c>
      <c r="CI49" s="83">
        <v>9927</v>
      </c>
      <c r="CJ49">
        <v>0</v>
      </c>
      <c r="CK49" s="86">
        <f t="shared" si="26"/>
        <v>130</v>
      </c>
      <c r="CL49" s="86">
        <f t="shared" si="27"/>
        <v>1.3269368173930796</v>
      </c>
      <c r="CM49" s="43">
        <f t="shared" si="28"/>
        <v>73</v>
      </c>
      <c r="CN49" s="78">
        <f t="shared" si="29"/>
        <v>1.7808219178082192</v>
      </c>
    </row>
    <row r="50" spans="1:92" x14ac:dyDescent="0.2">
      <c r="A50" s="77">
        <f t="shared" si="36"/>
        <v>42954</v>
      </c>
      <c r="B50" s="78">
        <f t="shared" si="25"/>
        <v>213838.66</v>
      </c>
      <c r="D50" s="79">
        <v>42954</v>
      </c>
      <c r="E50" s="83">
        <v>545</v>
      </c>
      <c r="F50" s="78">
        <v>543.54</v>
      </c>
      <c r="G50" s="78">
        <f t="shared" si="23"/>
        <v>543.54</v>
      </c>
      <c r="H50" s="43">
        <v>0</v>
      </c>
      <c r="I50" s="82" t="e">
        <f t="shared" si="24"/>
        <v>#DIV/0!</v>
      </c>
      <c r="J50" s="80">
        <f t="shared" si="1"/>
        <v>545</v>
      </c>
      <c r="K50" s="78">
        <f t="shared" si="2"/>
        <v>1.4600000000000364</v>
      </c>
      <c r="L50" s="78" t="e">
        <f t="shared" si="3"/>
        <v>#DIV/0!</v>
      </c>
      <c r="M50" s="78">
        <f>K50</f>
        <v>1.4600000000000364</v>
      </c>
      <c r="O50" s="78"/>
      <c r="P50" s="78"/>
      <c r="Q50" s="78"/>
      <c r="R50" s="78"/>
      <c r="S50" s="78"/>
      <c r="T50" s="78"/>
      <c r="U50" s="78"/>
      <c r="V50" s="78"/>
      <c r="W50" s="78"/>
      <c r="X50" s="78"/>
      <c r="Y50" s="78"/>
      <c r="Z50" s="78"/>
      <c r="AM50" s="85">
        <v>42954</v>
      </c>
      <c r="AN50" s="83">
        <v>49731</v>
      </c>
      <c r="AO50">
        <v>0</v>
      </c>
      <c r="AP50" s="86">
        <f t="shared" si="9"/>
        <v>8210.89</v>
      </c>
      <c r="AQ50" s="86">
        <f t="shared" si="10"/>
        <v>19.775694235877506</v>
      </c>
      <c r="AR50" s="43">
        <f t="shared" si="11"/>
        <v>268</v>
      </c>
      <c r="AS50" s="78">
        <f t="shared" si="12"/>
        <v>30.63764925373134</v>
      </c>
      <c r="AU50" s="44">
        <v>42954</v>
      </c>
      <c r="AV50" s="83">
        <v>69095.12</v>
      </c>
      <c r="AW50" s="78">
        <f t="shared" si="35"/>
        <v>40050.410000000003</v>
      </c>
      <c r="AX50">
        <v>0</v>
      </c>
      <c r="AY50" s="43">
        <f t="shared" si="14"/>
        <v>268</v>
      </c>
      <c r="AZ50" s="82">
        <f t="shared" si="15"/>
        <v>0</v>
      </c>
      <c r="BA50" s="80">
        <f t="shared" si="16"/>
        <v>8028.989999999998</v>
      </c>
      <c r="BB50" s="78">
        <f t="shared" si="17"/>
        <v>8028.989999999998</v>
      </c>
      <c r="BC50" s="84">
        <f t="shared" si="18"/>
        <v>20.047210502963633</v>
      </c>
      <c r="BD50" s="78">
        <f t="shared" si="19"/>
        <v>29044.709999999992</v>
      </c>
      <c r="BF50" s="79">
        <v>42954</v>
      </c>
      <c r="BG50" s="83">
        <v>27625.85</v>
      </c>
      <c r="BH50">
        <v>0</v>
      </c>
      <c r="BI50" s="86">
        <f t="shared" si="20"/>
        <v>2366.0399999999972</v>
      </c>
      <c r="BJ50" s="86">
        <f t="shared" si="21"/>
        <v>9.3668162983015186</v>
      </c>
      <c r="BK50" s="43">
        <f t="shared" si="30"/>
        <v>268</v>
      </c>
      <c r="BL50" s="78">
        <f t="shared" si="22"/>
        <v>8.8285074626865576</v>
      </c>
      <c r="BN50" s="44">
        <v>42954</v>
      </c>
      <c r="BO50" s="83">
        <v>57044.69</v>
      </c>
      <c r="BP50" s="83">
        <f>(525.41*3)+(543.53*5)</f>
        <v>4293.8799999999992</v>
      </c>
      <c r="BQ50" s="86">
        <f t="shared" si="37"/>
        <v>4793.5400000000063</v>
      </c>
      <c r="BR50" s="86">
        <f t="shared" si="32"/>
        <v>9.9954396903743827</v>
      </c>
      <c r="BS50" s="43">
        <f t="shared" si="33"/>
        <v>284</v>
      </c>
      <c r="BT50" s="78">
        <f t="shared" si="34"/>
        <v>16.878661971831008</v>
      </c>
      <c r="CH50" s="44">
        <v>43025</v>
      </c>
      <c r="CI50" s="83">
        <v>9797</v>
      </c>
      <c r="CJ50">
        <v>0</v>
      </c>
      <c r="CK50" s="86">
        <f t="shared" si="26"/>
        <v>72</v>
      </c>
      <c r="CL50" s="86">
        <f t="shared" si="27"/>
        <v>0.74035989717223649</v>
      </c>
      <c r="CM50" s="43">
        <f t="shared" si="28"/>
        <v>71</v>
      </c>
      <c r="CN50" s="78">
        <f t="shared" si="29"/>
        <v>1.0140845070422535</v>
      </c>
    </row>
    <row r="51" spans="1:92" x14ac:dyDescent="0.2">
      <c r="AM51" s="85">
        <v>42686</v>
      </c>
      <c r="AN51" s="83">
        <v>41520.11</v>
      </c>
      <c r="AO51">
        <v>0</v>
      </c>
      <c r="AP51" s="86">
        <f t="shared" si="9"/>
        <v>-105.30999999999767</v>
      </c>
      <c r="AQ51" s="86">
        <f t="shared" si="10"/>
        <v>-0.25299444426025652</v>
      </c>
      <c r="AR51" s="43">
        <f t="shared" si="11"/>
        <v>101</v>
      </c>
      <c r="AS51" s="78">
        <f t="shared" si="12"/>
        <v>-1.0426732673267096</v>
      </c>
      <c r="AU51" s="44">
        <v>42686</v>
      </c>
      <c r="AV51" s="83">
        <v>61066.13</v>
      </c>
      <c r="AW51" s="78">
        <f t="shared" si="35"/>
        <v>40050.410000000003</v>
      </c>
      <c r="AX51">
        <v>0</v>
      </c>
      <c r="AY51" s="43">
        <f t="shared" si="14"/>
        <v>101</v>
      </c>
      <c r="AZ51" s="82">
        <f t="shared" si="15"/>
        <v>0</v>
      </c>
      <c r="BA51" s="80">
        <f t="shared" si="16"/>
        <v>1170.8799999999974</v>
      </c>
      <c r="BB51" s="78">
        <f t="shared" si="17"/>
        <v>1170.8799999999974</v>
      </c>
      <c r="BC51" s="84">
        <f t="shared" si="18"/>
        <v>2.9235156394154198</v>
      </c>
      <c r="BD51" s="78">
        <f t="shared" si="19"/>
        <v>21015.719999999994</v>
      </c>
      <c r="BF51" s="79">
        <v>42686</v>
      </c>
      <c r="BG51" s="83">
        <v>25259.81</v>
      </c>
      <c r="BH51">
        <v>0</v>
      </c>
      <c r="BI51" s="86">
        <f t="shared" si="20"/>
        <v>1503.630000000001</v>
      </c>
      <c r="BJ51" s="86">
        <f t="shared" si="21"/>
        <v>6.3294267007574501</v>
      </c>
      <c r="BK51" s="43">
        <f t="shared" si="30"/>
        <v>112</v>
      </c>
      <c r="BL51" s="78">
        <f t="shared" si="22"/>
        <v>13.425267857142867</v>
      </c>
      <c r="BN51" s="44">
        <v>42670</v>
      </c>
      <c r="BO51" s="83">
        <v>47957.27</v>
      </c>
      <c r="BP51" s="83">
        <f>2*525.41</f>
        <v>1050.82</v>
      </c>
      <c r="BQ51" s="86">
        <f t="shared" si="37"/>
        <v>3307.7599999999948</v>
      </c>
      <c r="BR51" s="86">
        <f t="shared" si="32"/>
        <v>7.586833457610755</v>
      </c>
      <c r="BS51" s="43">
        <f t="shared" si="33"/>
        <v>86</v>
      </c>
      <c r="BT51" s="78">
        <f t="shared" si="34"/>
        <v>38.462325581395291</v>
      </c>
      <c r="CH51" s="44">
        <v>42954</v>
      </c>
      <c r="CI51" s="83">
        <v>9725</v>
      </c>
      <c r="CJ51">
        <v>0</v>
      </c>
      <c r="CK51" s="86">
        <f t="shared" si="26"/>
        <v>395</v>
      </c>
      <c r="CL51" s="86">
        <f t="shared" si="27"/>
        <v>4.2336548767416931</v>
      </c>
      <c r="CM51" s="43">
        <f t="shared" si="28"/>
        <v>268</v>
      </c>
      <c r="CN51" s="78">
        <f t="shared" si="29"/>
        <v>1.4738805970149254</v>
      </c>
    </row>
    <row r="52" spans="1:92" x14ac:dyDescent="0.2">
      <c r="AM52" s="85">
        <v>42585</v>
      </c>
      <c r="AN52" s="83">
        <v>41625.42</v>
      </c>
      <c r="AO52">
        <v>0</v>
      </c>
      <c r="AP52" s="86">
        <f t="shared" si="9"/>
        <v>2697.5800000000017</v>
      </c>
      <c r="AQ52" s="86">
        <f t="shared" si="10"/>
        <v>6.9296935046999835</v>
      </c>
      <c r="AR52" s="43">
        <f t="shared" si="11"/>
        <v>66</v>
      </c>
      <c r="AS52" s="78">
        <f t="shared" si="12"/>
        <v>40.872424242424266</v>
      </c>
      <c r="AU52" s="44">
        <v>42585</v>
      </c>
      <c r="AV52" s="83">
        <v>59895.25</v>
      </c>
      <c r="AW52" s="78">
        <f t="shared" si="35"/>
        <v>40050.410000000003</v>
      </c>
      <c r="AX52">
        <v>0</v>
      </c>
      <c r="AY52" s="43">
        <f t="shared" si="14"/>
        <v>52</v>
      </c>
      <c r="AZ52" s="82">
        <f t="shared" si="15"/>
        <v>0</v>
      </c>
      <c r="BA52" s="80">
        <f t="shared" si="16"/>
        <v>-1894.010000000002</v>
      </c>
      <c r="BB52" s="78">
        <f t="shared" si="17"/>
        <v>-1894.010000000002</v>
      </c>
      <c r="BC52" s="84">
        <f t="shared" si="18"/>
        <v>-4.7290651955872658</v>
      </c>
      <c r="BD52" s="78">
        <f t="shared" si="19"/>
        <v>19844.839999999997</v>
      </c>
      <c r="BF52" s="79">
        <v>42574</v>
      </c>
      <c r="BG52" s="83">
        <v>23756.18</v>
      </c>
      <c r="BH52">
        <v>0</v>
      </c>
      <c r="BI52" s="86">
        <f t="shared" si="20"/>
        <v>839.43999999999869</v>
      </c>
      <c r="BJ52" s="86">
        <f t="shared" si="21"/>
        <v>3.6629991874935031</v>
      </c>
      <c r="BK52" s="43">
        <f t="shared" si="30"/>
        <v>108</v>
      </c>
      <c r="BL52" s="78">
        <f t="shared" si="22"/>
        <v>7.7725925925925807</v>
      </c>
      <c r="BN52" s="44">
        <v>42584</v>
      </c>
      <c r="BO52" s="83">
        <v>43598.69</v>
      </c>
      <c r="BP52" s="83">
        <f>12*525.41</f>
        <v>6304.92</v>
      </c>
      <c r="BQ52" s="86">
        <f t="shared" si="37"/>
        <v>5069.9000000000033</v>
      </c>
      <c r="BR52" s="86">
        <f t="shared" si="32"/>
        <v>15.733367841913475</v>
      </c>
      <c r="BS52" s="43">
        <f t="shared" si="33"/>
        <v>376</v>
      </c>
      <c r="BT52" s="78">
        <f t="shared" si="34"/>
        <v>13.48377659574469</v>
      </c>
      <c r="CH52" s="44">
        <v>42686</v>
      </c>
      <c r="CI52" s="83">
        <v>9330</v>
      </c>
      <c r="CJ52">
        <v>0</v>
      </c>
      <c r="CK52" s="86">
        <f t="shared" si="26"/>
        <v>171</v>
      </c>
      <c r="CL52" s="86">
        <f t="shared" si="27"/>
        <v>1.8670160497870947</v>
      </c>
      <c r="CM52" s="43">
        <f t="shared" si="28"/>
        <v>101</v>
      </c>
      <c r="CN52" s="78">
        <f t="shared" si="29"/>
        <v>1.693069306930693</v>
      </c>
    </row>
    <row r="53" spans="1:92" x14ac:dyDescent="0.2">
      <c r="AM53" s="85">
        <v>42519</v>
      </c>
      <c r="AN53" s="83">
        <v>38927.839999999997</v>
      </c>
      <c r="AO53">
        <v>0</v>
      </c>
      <c r="AP53" s="86">
        <f t="shared" si="9"/>
        <v>268.96999999999389</v>
      </c>
      <c r="AQ53" s="86">
        <f t="shared" si="10"/>
        <v>0.69575235903168886</v>
      </c>
      <c r="AR53" s="43">
        <f t="shared" si="11"/>
        <v>53</v>
      </c>
      <c r="AS53" s="78">
        <f t="shared" si="12"/>
        <v>5.0749056603772429</v>
      </c>
      <c r="AU53" s="44">
        <v>42533</v>
      </c>
      <c r="AV53" s="83">
        <v>61789.26</v>
      </c>
      <c r="AW53" s="78">
        <f t="shared" si="35"/>
        <v>40050.410000000003</v>
      </c>
      <c r="AX53">
        <v>0</v>
      </c>
      <c r="AY53" s="43">
        <f t="shared" si="14"/>
        <v>331</v>
      </c>
      <c r="AZ53" s="82">
        <f t="shared" si="15"/>
        <v>0</v>
      </c>
      <c r="BA53" s="80">
        <f t="shared" si="16"/>
        <v>1520.4800000000032</v>
      </c>
      <c r="BB53" s="78">
        <f t="shared" si="17"/>
        <v>1520.4800000000032</v>
      </c>
      <c r="BC53" s="84">
        <f t="shared" si="18"/>
        <v>3.7964155672813416</v>
      </c>
      <c r="BD53" s="78">
        <f t="shared" si="19"/>
        <v>21738.85</v>
      </c>
      <c r="BF53" s="79">
        <v>42466</v>
      </c>
      <c r="BG53" s="83">
        <v>22916.74</v>
      </c>
      <c r="BI53" s="86">
        <f t="shared" si="20"/>
        <v>467.89000000000306</v>
      </c>
      <c r="BJ53" s="86">
        <f t="shared" si="21"/>
        <v>2.0842493045300898</v>
      </c>
      <c r="BK53" s="43">
        <f t="shared" si="30"/>
        <v>249</v>
      </c>
      <c r="BL53" s="78">
        <f t="shared" si="22"/>
        <v>1.8790763052208959</v>
      </c>
      <c r="BN53" s="44">
        <v>42208</v>
      </c>
      <c r="BO53" s="83">
        <v>32223.87</v>
      </c>
      <c r="BP53" s="83">
        <f>9*525.41</f>
        <v>4728.6899999999996</v>
      </c>
      <c r="BQ53" s="86">
        <f t="shared" si="37"/>
        <v>2065.6099999999997</v>
      </c>
      <c r="BR53" s="86">
        <f t="shared" si="32"/>
        <v>8.1228664110325095</v>
      </c>
      <c r="BS53" s="43">
        <f t="shared" si="33"/>
        <v>269</v>
      </c>
      <c r="BT53" s="78">
        <f t="shared" si="34"/>
        <v>7.6788475836431216</v>
      </c>
      <c r="CH53" s="44">
        <v>42585</v>
      </c>
      <c r="CI53" s="83">
        <v>9159</v>
      </c>
      <c r="CJ53">
        <v>0</v>
      </c>
      <c r="CK53" s="86">
        <f t="shared" si="26"/>
        <v>-130</v>
      </c>
      <c r="CL53" s="86">
        <f t="shared" si="27"/>
        <v>-1.3995047906125524</v>
      </c>
      <c r="CM53" s="43">
        <f t="shared" si="28"/>
        <v>52</v>
      </c>
      <c r="CN53" s="78">
        <f t="shared" si="29"/>
        <v>-2.5</v>
      </c>
    </row>
    <row r="54" spans="1:92" x14ac:dyDescent="0.2">
      <c r="AM54" s="85">
        <v>42466</v>
      </c>
      <c r="AN54" s="83">
        <v>38658.870000000003</v>
      </c>
      <c r="AO54">
        <v>0</v>
      </c>
      <c r="AP54" s="86">
        <f t="shared" si="9"/>
        <v>-671.46999999999389</v>
      </c>
      <c r="AQ54" s="86">
        <f t="shared" si="10"/>
        <v>-1.7072570437987415</v>
      </c>
      <c r="AR54" s="43">
        <f t="shared" si="11"/>
        <v>258</v>
      </c>
      <c r="AS54" s="78">
        <f t="shared" si="12"/>
        <v>-2.6025968992247823</v>
      </c>
      <c r="AU54" s="44">
        <v>42202</v>
      </c>
      <c r="AV54" s="9">
        <v>60268.78</v>
      </c>
      <c r="AW54" s="78">
        <f t="shared" si="35"/>
        <v>40050.410000000003</v>
      </c>
      <c r="AX54">
        <v>0</v>
      </c>
      <c r="AY54" s="43">
        <f t="shared" si="14"/>
        <v>23</v>
      </c>
      <c r="AZ54" s="82">
        <f t="shared" si="15"/>
        <v>0</v>
      </c>
      <c r="BA54" s="80">
        <f t="shared" si="16"/>
        <v>-2425.8300000000017</v>
      </c>
      <c r="BB54" s="78">
        <f t="shared" si="17"/>
        <v>-2425.8300000000017</v>
      </c>
      <c r="BC54" s="84">
        <f t="shared" si="18"/>
        <v>-6.0569417391732108</v>
      </c>
      <c r="BD54" s="78">
        <f t="shared" si="19"/>
        <v>20218.369999999995</v>
      </c>
      <c r="BF54" s="79">
        <v>42217</v>
      </c>
      <c r="BG54" s="83">
        <v>22448.85</v>
      </c>
      <c r="BH54">
        <v>2832.93</v>
      </c>
      <c r="BI54" s="86">
        <f t="shared" si="20"/>
        <v>-263.56000000000085</v>
      </c>
      <c r="BJ54" s="86">
        <f t="shared" si="21"/>
        <v>-1.3257892057538772</v>
      </c>
      <c r="BK54" s="43">
        <f t="shared" si="30"/>
        <v>32</v>
      </c>
      <c r="BL54" s="78">
        <f t="shared" si="22"/>
        <v>-8.2362500000000267</v>
      </c>
      <c r="BN54" s="44">
        <v>41939</v>
      </c>
      <c r="BO54" s="83">
        <v>25429.57</v>
      </c>
      <c r="BP54" s="83">
        <v>5646.65</v>
      </c>
      <c r="BQ54" s="86">
        <f t="shared" si="37"/>
        <v>552.92000000000007</v>
      </c>
      <c r="BR54" s="86">
        <f t="shared" si="32"/>
        <v>2.8752990119604789</v>
      </c>
      <c r="BS54" s="43">
        <f t="shared" si="33"/>
        <v>364</v>
      </c>
      <c r="BT54" s="78">
        <f t="shared" si="34"/>
        <v>1.5190109890109893</v>
      </c>
      <c r="CH54" s="44">
        <v>42533</v>
      </c>
      <c r="CI54" s="83">
        <v>9289</v>
      </c>
      <c r="CJ54">
        <v>0</v>
      </c>
      <c r="CK54" s="86">
        <f t="shared" si="26"/>
        <v>94.559999999999491</v>
      </c>
      <c r="CL54" s="86">
        <f t="shared" si="27"/>
        <v>1.0284476270441645</v>
      </c>
      <c r="CM54" s="43">
        <f t="shared" si="28"/>
        <v>14</v>
      </c>
      <c r="CN54" s="78">
        <f t="shared" si="29"/>
        <v>6.754285714285678</v>
      </c>
    </row>
    <row r="55" spans="1:92" x14ac:dyDescent="0.2">
      <c r="AM55" s="85">
        <v>42208</v>
      </c>
      <c r="AN55" s="83">
        <v>39330.339999999997</v>
      </c>
      <c r="AO55">
        <v>0</v>
      </c>
      <c r="AP55" s="86">
        <f t="shared" si="9"/>
        <v>0</v>
      </c>
      <c r="AQ55" s="86">
        <f t="shared" si="10"/>
        <v>0</v>
      </c>
      <c r="AR55" s="43">
        <f t="shared" si="11"/>
        <v>114</v>
      </c>
      <c r="AS55" s="78">
        <f t="shared" si="12"/>
        <v>0</v>
      </c>
      <c r="AU55" s="44">
        <v>42179</v>
      </c>
      <c r="AV55" s="83">
        <v>62694.61</v>
      </c>
      <c r="AW55" s="78">
        <f t="shared" si="35"/>
        <v>40050.410000000003</v>
      </c>
      <c r="AX55">
        <v>0</v>
      </c>
      <c r="AY55" s="43">
        <f t="shared" si="14"/>
        <v>373</v>
      </c>
      <c r="AZ55" s="82">
        <f t="shared" si="15"/>
        <v>0</v>
      </c>
      <c r="BA55" s="80">
        <f t="shared" si="16"/>
        <v>4183.5200000000041</v>
      </c>
      <c r="BB55" s="78">
        <f t="shared" si="17"/>
        <v>4183.5200000000041</v>
      </c>
      <c r="BC55" s="84">
        <f t="shared" si="18"/>
        <v>10.445635887372948</v>
      </c>
      <c r="BD55" s="78">
        <f t="shared" si="19"/>
        <v>22644.199999999997</v>
      </c>
      <c r="BF55" s="79">
        <v>42185</v>
      </c>
      <c r="BG55" s="83">
        <v>19879.48</v>
      </c>
      <c r="BH55">
        <v>0</v>
      </c>
      <c r="BI55" s="86">
        <f t="shared" si="20"/>
        <v>1485.5200000000004</v>
      </c>
      <c r="BJ55" s="86">
        <f t="shared" si="21"/>
        <v>8.0761293381088173</v>
      </c>
      <c r="BK55" s="43">
        <f t="shared" si="30"/>
        <v>365</v>
      </c>
      <c r="BL55" s="78">
        <f t="shared" si="22"/>
        <v>4.0699178082191789</v>
      </c>
      <c r="BN55" s="44">
        <v>41575</v>
      </c>
      <c r="BO55" s="83">
        <v>19230</v>
      </c>
      <c r="BP55" s="83">
        <v>3623</v>
      </c>
      <c r="BQ55" s="86">
        <f t="shared" si="37"/>
        <v>2994.6499999999996</v>
      </c>
      <c r="BR55" s="86">
        <f t="shared" si="32"/>
        <v>23.743790808215753</v>
      </c>
      <c r="BS55" s="43">
        <f t="shared" si="33"/>
        <v>366</v>
      </c>
      <c r="BT55" s="78">
        <f t="shared" si="34"/>
        <v>8.1821038251366112</v>
      </c>
      <c r="CH55" s="44">
        <v>42519</v>
      </c>
      <c r="CI55" s="83">
        <v>9194.44</v>
      </c>
      <c r="CJ55">
        <v>0</v>
      </c>
      <c r="CK55" s="86">
        <f t="shared" si="26"/>
        <v>-74.93999999999869</v>
      </c>
      <c r="CL55" s="86">
        <f t="shared" si="27"/>
        <v>-0.80846831179645995</v>
      </c>
      <c r="CM55" s="43">
        <f t="shared" si="28"/>
        <v>376</v>
      </c>
      <c r="CN55" s="78">
        <f t="shared" si="29"/>
        <v>-0.19930851063829438</v>
      </c>
    </row>
    <row r="56" spans="1:92" x14ac:dyDescent="0.2">
      <c r="AM56" s="85">
        <v>42094</v>
      </c>
      <c r="AN56" s="83">
        <v>39330.339999999997</v>
      </c>
      <c r="AO56">
        <v>0</v>
      </c>
      <c r="AP56" s="86">
        <f t="shared" si="9"/>
        <v>4045.1599999999962</v>
      </c>
      <c r="AQ56" s="86">
        <f t="shared" si="10"/>
        <v>11.464189781659032</v>
      </c>
      <c r="AR56" s="43">
        <f t="shared" si="11"/>
        <v>365</v>
      </c>
      <c r="AS56" s="78">
        <f t="shared" si="12"/>
        <v>11.082630136986291</v>
      </c>
      <c r="AU56" s="44">
        <v>41806</v>
      </c>
      <c r="AV56" s="83">
        <v>58511.09</v>
      </c>
      <c r="AW56" s="78">
        <f t="shared" si="35"/>
        <v>40050.410000000003</v>
      </c>
      <c r="AX56">
        <v>0</v>
      </c>
      <c r="AY56" s="43">
        <f t="shared" si="14"/>
        <v>411</v>
      </c>
      <c r="AZ56" s="82">
        <f t="shared" si="15"/>
        <v>0</v>
      </c>
      <c r="BA56" s="80">
        <f t="shared" si="16"/>
        <v>4020.3499999999985</v>
      </c>
      <c r="BB56" s="78">
        <f t="shared" si="17"/>
        <v>4020.3499999999985</v>
      </c>
      <c r="BC56" s="84">
        <f t="shared" si="18"/>
        <v>10.038224327790898</v>
      </c>
      <c r="BD56" s="78">
        <f t="shared" si="19"/>
        <v>18460.679999999993</v>
      </c>
      <c r="BF56" s="79">
        <v>41820</v>
      </c>
      <c r="BG56" s="83">
        <v>18393.96</v>
      </c>
      <c r="BH56">
        <v>0</v>
      </c>
      <c r="BI56" s="86">
        <f t="shared" si="20"/>
        <v>1804.9399999999987</v>
      </c>
      <c r="BJ56" s="86">
        <f t="shared" si="21"/>
        <v>10.880329278040527</v>
      </c>
      <c r="BK56" s="43">
        <f t="shared" si="30"/>
        <v>365</v>
      </c>
      <c r="BL56" s="78">
        <f t="shared" si="22"/>
        <v>4.9450410958904074</v>
      </c>
      <c r="BN56" s="44">
        <v>41209</v>
      </c>
      <c r="BO56" s="83">
        <v>12612.35</v>
      </c>
      <c r="BQ56" s="86"/>
      <c r="BR56" s="86"/>
      <c r="BS56" s="43">
        <f t="shared" si="33"/>
        <v>41209</v>
      </c>
      <c r="BT56" s="78">
        <f t="shared" si="34"/>
        <v>0</v>
      </c>
      <c r="CH56" s="44">
        <v>42143</v>
      </c>
      <c r="CI56" s="83">
        <v>9269.3799999999992</v>
      </c>
      <c r="CJ56">
        <v>0</v>
      </c>
      <c r="CK56" s="86">
        <f t="shared" si="26"/>
        <v>1164.1799999999994</v>
      </c>
      <c r="CL56" s="86">
        <f t="shared" si="27"/>
        <v>14.363371662636325</v>
      </c>
      <c r="CM56" s="43">
        <f t="shared" si="28"/>
        <v>380</v>
      </c>
      <c r="CN56" s="78">
        <f t="shared" si="29"/>
        <v>3.0636315789473669</v>
      </c>
    </row>
    <row r="57" spans="1:92" x14ac:dyDescent="0.2">
      <c r="AM57" s="85">
        <v>41729</v>
      </c>
      <c r="AN57" s="83">
        <v>35285.18</v>
      </c>
      <c r="AO57">
        <v>0</v>
      </c>
      <c r="AP57" s="103">
        <f t="shared" si="9"/>
        <v>1498.1299999999974</v>
      </c>
      <c r="AQ57" s="104">
        <f t="shared" si="10"/>
        <v>4.4340361173881631</v>
      </c>
      <c r="AR57" s="43">
        <f t="shared" si="11"/>
        <v>365</v>
      </c>
      <c r="AS57" s="78">
        <f t="shared" si="12"/>
        <v>4.10446575342465</v>
      </c>
      <c r="AU57" s="44">
        <v>41395</v>
      </c>
      <c r="AV57" s="14">
        <v>54490.74</v>
      </c>
      <c r="AW57" s="78">
        <f>AW58+AX57</f>
        <v>40050.410000000003</v>
      </c>
      <c r="AX57">
        <v>0</v>
      </c>
      <c r="AY57" s="43">
        <f t="shared" si="14"/>
        <v>1414</v>
      </c>
      <c r="AZ57" s="82">
        <f t="shared" si="15"/>
        <v>0</v>
      </c>
      <c r="BA57" s="80">
        <f t="shared" si="16"/>
        <v>14440.329999999994</v>
      </c>
      <c r="BB57" s="78">
        <f t="shared" si="17"/>
        <v>14440.329999999994</v>
      </c>
      <c r="BC57" s="84">
        <f t="shared" si="18"/>
        <v>36.055386199542014</v>
      </c>
      <c r="BD57" s="78">
        <f t="shared" si="19"/>
        <v>14440.329999999994</v>
      </c>
      <c r="BF57" s="79">
        <v>41455</v>
      </c>
      <c r="BG57" s="14">
        <v>16589.02</v>
      </c>
      <c r="BH57">
        <v>0</v>
      </c>
      <c r="BI57" s="103">
        <f t="shared" si="20"/>
        <v>2996.51</v>
      </c>
      <c r="BJ57" s="104">
        <f t="shared" si="21"/>
        <v>22.045302891077512</v>
      </c>
      <c r="BK57" s="43">
        <f t="shared" si="30"/>
        <v>365</v>
      </c>
      <c r="BL57" s="78">
        <f t="shared" si="22"/>
        <v>8.2096164383561643</v>
      </c>
      <c r="BS57" s="43"/>
      <c r="BT57" s="78"/>
      <c r="CH57" s="44">
        <v>41763</v>
      </c>
      <c r="CI57" s="83">
        <v>8105.2</v>
      </c>
      <c r="CJ57">
        <v>0</v>
      </c>
      <c r="CK57" s="86">
        <f t="shared" si="26"/>
        <v>169.67999999999938</v>
      </c>
      <c r="CL57" s="86">
        <f t="shared" si="27"/>
        <v>2.1382341673891485</v>
      </c>
      <c r="CM57" s="43">
        <f t="shared" si="28"/>
        <v>365</v>
      </c>
      <c r="CN57" s="78">
        <f t="shared" si="29"/>
        <v>0.46487671232876543</v>
      </c>
    </row>
    <row r="58" spans="1:92" x14ac:dyDescent="0.2">
      <c r="AM58" s="85">
        <v>41364</v>
      </c>
      <c r="AN58" s="83">
        <v>33787.050000000003</v>
      </c>
      <c r="AO58">
        <v>0</v>
      </c>
      <c r="AP58" s="103">
        <f t="shared" si="9"/>
        <v>3672.7800000000025</v>
      </c>
      <c r="AQ58" s="104">
        <f t="shared" si="10"/>
        <v>12.196144884136332</v>
      </c>
      <c r="AR58" s="43">
        <f t="shared" si="11"/>
        <v>365</v>
      </c>
      <c r="AS58" s="78">
        <f t="shared" si="12"/>
        <v>10.062410958904117</v>
      </c>
      <c r="AU58" s="44">
        <v>39981</v>
      </c>
      <c r="AV58" s="14">
        <v>40050.410000000003</v>
      </c>
      <c r="AW58" s="14">
        <f>AX58</f>
        <v>40050.410000000003</v>
      </c>
      <c r="AX58" s="14">
        <v>40050.410000000003</v>
      </c>
      <c r="AY58" s="43">
        <f t="shared" si="14"/>
        <v>39981</v>
      </c>
      <c r="AZ58" s="82">
        <f t="shared" si="15"/>
        <v>1.001736074635452</v>
      </c>
      <c r="BA58" s="80">
        <f t="shared" si="16"/>
        <v>40050.410000000003</v>
      </c>
      <c r="BB58" s="78">
        <f t="shared" si="17"/>
        <v>0</v>
      </c>
      <c r="BC58" s="78" t="e">
        <f t="shared" si="18"/>
        <v>#DIV/0!</v>
      </c>
      <c r="BD58" s="78">
        <f t="shared" si="19"/>
        <v>0</v>
      </c>
      <c r="BF58" s="79">
        <v>41090</v>
      </c>
      <c r="BG58" s="14">
        <v>13592.51</v>
      </c>
      <c r="BH58">
        <v>0</v>
      </c>
      <c r="BK58" s="43">
        <f t="shared" si="30"/>
        <v>41090</v>
      </c>
      <c r="BL58" s="78">
        <f t="shared" si="22"/>
        <v>0</v>
      </c>
      <c r="BS58" s="43"/>
      <c r="BT58" s="78"/>
      <c r="CH58" s="44">
        <v>41398</v>
      </c>
      <c r="CI58" s="14">
        <v>7935.52</v>
      </c>
      <c r="CJ58">
        <v>0</v>
      </c>
    </row>
    <row r="59" spans="1:92" x14ac:dyDescent="0.2">
      <c r="AM59" s="85">
        <v>40999</v>
      </c>
      <c r="AN59" s="83">
        <v>30114.27</v>
      </c>
      <c r="AO59">
        <v>0</v>
      </c>
    </row>
    <row r="62" spans="1:92" x14ac:dyDescent="0.2">
      <c r="Y62" s="3"/>
      <c r="Z62" s="8"/>
      <c r="AA62"/>
    </row>
    <row r="63" spans="1:92" x14ac:dyDescent="0.2">
      <c r="Y63" s="3"/>
      <c r="Z63" s="8"/>
      <c r="AA63"/>
    </row>
    <row r="64" spans="1:92" x14ac:dyDescent="0.2">
      <c r="E64" t="s">
        <v>114</v>
      </c>
      <c r="J64" t="s">
        <v>115</v>
      </c>
      <c r="K64" t="s">
        <v>116</v>
      </c>
      <c r="Y64" s="3"/>
      <c r="Z64" s="8"/>
      <c r="AA64"/>
    </row>
    <row r="65" spans="3:73" x14ac:dyDescent="0.2">
      <c r="E65" t="s">
        <v>117</v>
      </c>
      <c r="J65" s="83">
        <f>12*500</f>
        <v>6000</v>
      </c>
      <c r="K65" s="83">
        <f>J65/12</f>
        <v>500</v>
      </c>
      <c r="Y65" s="3"/>
      <c r="Z65" s="8"/>
      <c r="AA65"/>
    </row>
    <row r="66" spans="3:73" x14ac:dyDescent="0.2">
      <c r="E66" t="s">
        <v>118</v>
      </c>
      <c r="J66" s="83">
        <f>52*100</f>
        <v>5200</v>
      </c>
      <c r="K66" s="83">
        <f>J66/12</f>
        <v>433.33333333333331</v>
      </c>
      <c r="M66" s="13"/>
      <c r="Y66" s="3"/>
      <c r="Z66" s="8"/>
      <c r="AA66"/>
    </row>
    <row r="67" spans="3:73" x14ac:dyDescent="0.2">
      <c r="E67" t="s">
        <v>119</v>
      </c>
      <c r="J67" s="83">
        <v>1000</v>
      </c>
      <c r="K67" s="83">
        <f>J67/12</f>
        <v>83.333333333333329</v>
      </c>
      <c r="Y67" s="3"/>
      <c r="Z67" s="8"/>
      <c r="AA67"/>
    </row>
    <row r="68" spans="3:73" x14ac:dyDescent="0.2">
      <c r="E68" t="s">
        <v>120</v>
      </c>
      <c r="J68" s="83">
        <f>12*200</f>
        <v>2400</v>
      </c>
      <c r="K68" s="83">
        <f>J68/12</f>
        <v>200</v>
      </c>
      <c r="Y68" s="3"/>
      <c r="Z68" s="8"/>
      <c r="AA68"/>
    </row>
    <row r="69" spans="3:73" x14ac:dyDescent="0.2">
      <c r="E69" t="s">
        <v>121</v>
      </c>
      <c r="J69" s="105">
        <f>SUM(J65:J68)</f>
        <v>14600</v>
      </c>
      <c r="K69" s="103">
        <f>SUM(K65:K68)</f>
        <v>1216.6666666666665</v>
      </c>
      <c r="Y69" s="3"/>
      <c r="Z69" s="8"/>
      <c r="AA69"/>
    </row>
    <row r="70" spans="3:73" x14ac:dyDescent="0.2">
      <c r="J70" s="83"/>
      <c r="Y70" s="3"/>
      <c r="Z70" s="8"/>
      <c r="AA70"/>
    </row>
    <row r="71" spans="3:73" x14ac:dyDescent="0.2">
      <c r="Y71" s="3"/>
      <c r="Z71" s="8"/>
      <c r="AA71"/>
    </row>
    <row r="72" spans="3:73" x14ac:dyDescent="0.2">
      <c r="Y72" s="3"/>
      <c r="Z72" s="8"/>
      <c r="AA72"/>
    </row>
    <row r="73" spans="3:73" x14ac:dyDescent="0.2">
      <c r="Y73" s="3"/>
      <c r="Z73" s="8" t="s">
        <v>122</v>
      </c>
      <c r="AA73"/>
    </row>
    <row r="74" spans="3:73" x14ac:dyDescent="0.2">
      <c r="D74" s="106" t="s">
        <v>123</v>
      </c>
      <c r="E74" s="10" t="s">
        <v>124</v>
      </c>
      <c r="F74" s="10"/>
      <c r="G74" s="10"/>
      <c r="H74" s="10"/>
      <c r="Y74" s="3"/>
      <c r="Z74" s="8" t="s">
        <v>125</v>
      </c>
      <c r="AA74" s="83">
        <v>16760</v>
      </c>
      <c r="AB74" s="78">
        <f>AA74*6</f>
        <v>100560</v>
      </c>
    </row>
    <row r="75" spans="3:73" x14ac:dyDescent="0.2">
      <c r="Y75" s="3"/>
      <c r="Z75" s="8" t="s">
        <v>126</v>
      </c>
      <c r="AA75" s="83">
        <v>10000</v>
      </c>
      <c r="AB75" s="78">
        <f>AA75*6</f>
        <v>60000</v>
      </c>
    </row>
    <row r="76" spans="3:73" ht="15" customHeight="1" x14ac:dyDescent="0.2">
      <c r="I76" s="107"/>
      <c r="Y76" s="3"/>
      <c r="Z76" s="8"/>
      <c r="AA76" s="103"/>
      <c r="AB76" s="78"/>
    </row>
    <row r="77" spans="3:73" x14ac:dyDescent="0.2">
      <c r="C77" s="108"/>
      <c r="H77" s="107"/>
      <c r="I77" s="107"/>
      <c r="K77" s="10"/>
      <c r="N77" s="108"/>
      <c r="Y77" s="3"/>
      <c r="Z77" s="8"/>
      <c r="AA77"/>
      <c r="AT77" s="108"/>
      <c r="BE77" s="108"/>
      <c r="BM77" s="108"/>
      <c r="BU77" s="108"/>
    </row>
    <row r="78" spans="3:73" ht="48" x14ac:dyDescent="0.2">
      <c r="D78" t="s">
        <v>97</v>
      </c>
      <c r="E78" t="s">
        <v>127</v>
      </c>
      <c r="F78" s="107" t="s">
        <v>128</v>
      </c>
      <c r="G78" s="10" t="s">
        <v>129</v>
      </c>
      <c r="H78" s="107" t="s">
        <v>130</v>
      </c>
      <c r="I78" s="107" t="s">
        <v>131</v>
      </c>
      <c r="J78" s="107" t="s">
        <v>132</v>
      </c>
      <c r="K78" s="107" t="s">
        <v>133</v>
      </c>
      <c r="L78" s="107" t="s">
        <v>134</v>
      </c>
      <c r="M78" s="107" t="s">
        <v>135</v>
      </c>
      <c r="O78" s="106" t="s">
        <v>98</v>
      </c>
      <c r="P78" s="78">
        <v>400034.48</v>
      </c>
      <c r="Q78" s="78"/>
      <c r="R78" s="78"/>
      <c r="S78" s="78"/>
      <c r="V78" s="109" t="s">
        <v>136</v>
      </c>
      <c r="W78" s="110" t="s">
        <v>137</v>
      </c>
      <c r="Y78" s="108"/>
      <c r="Z78" s="8"/>
      <c r="AA78"/>
    </row>
    <row r="79" spans="3:73" ht="18" x14ac:dyDescent="0.2">
      <c r="C79" s="111"/>
      <c r="D79" s="13">
        <v>42585</v>
      </c>
      <c r="E79" s="112">
        <v>178034.54</v>
      </c>
      <c r="F79" s="113"/>
      <c r="G79">
        <v>1</v>
      </c>
      <c r="H79" s="78">
        <v>0</v>
      </c>
      <c r="J79" s="78">
        <v>0</v>
      </c>
      <c r="K79" s="78"/>
      <c r="N79" s="111"/>
      <c r="O79" s="8" t="s">
        <v>115</v>
      </c>
      <c r="P79" s="103">
        <f>U79*P78/1000</f>
        <v>20493.7664104</v>
      </c>
      <c r="Q79" s="103"/>
      <c r="R79" s="103"/>
      <c r="S79" s="103"/>
      <c r="T79" t="s">
        <v>138</v>
      </c>
      <c r="U79" s="114">
        <v>51.23</v>
      </c>
      <c r="V79" s="13">
        <v>42954</v>
      </c>
      <c r="Y79" s="3"/>
      <c r="Z79" s="8"/>
      <c r="AA79"/>
      <c r="AC79" t="s">
        <v>139</v>
      </c>
      <c r="AT79" s="111"/>
      <c r="BE79" s="111"/>
      <c r="BM79" s="111"/>
      <c r="BU79" s="111"/>
    </row>
    <row r="80" spans="3:73" x14ac:dyDescent="0.2">
      <c r="C80" s="111"/>
      <c r="D80" s="13">
        <v>42686</v>
      </c>
      <c r="E80" s="115">
        <f>AN51+AV51+BG51+BO51+CI52</f>
        <v>185133.31999999998</v>
      </c>
      <c r="F80" s="113"/>
      <c r="G80">
        <f t="shared" ref="G80:H105" si="38">D80-D79</f>
        <v>101</v>
      </c>
      <c r="H80" s="78">
        <f t="shared" si="38"/>
        <v>7098.7799999999697</v>
      </c>
      <c r="I80" s="78">
        <f t="shared" ref="I80:I106" si="39">H80-F80</f>
        <v>7098.7799999999697</v>
      </c>
      <c r="J80" s="78">
        <f t="shared" ref="J80:J106" si="40">H80/G80</f>
        <v>70.284950495049202</v>
      </c>
      <c r="K80" s="78">
        <f t="shared" ref="K80:K106" si="41">I80/G80</f>
        <v>70.284950495049202</v>
      </c>
      <c r="L80" s="78">
        <f>K80*365/12</f>
        <v>2137.83391089108</v>
      </c>
      <c r="M80" s="78">
        <f>K80*365</f>
        <v>25654.006930692958</v>
      </c>
      <c r="N80" s="111"/>
      <c r="O80" s="8" t="s">
        <v>116</v>
      </c>
      <c r="P80" s="103">
        <f>P79/12</f>
        <v>1707.8138675333332</v>
      </c>
      <c r="Q80" s="103"/>
      <c r="R80" s="103"/>
      <c r="S80" s="103"/>
      <c r="T80" s="15" t="s">
        <v>140</v>
      </c>
      <c r="Y80" s="111"/>
      <c r="Z80" s="8" t="s">
        <v>125</v>
      </c>
      <c r="AA80" t="s">
        <v>141</v>
      </c>
      <c r="AT80" s="111"/>
      <c r="BE80" s="111"/>
      <c r="BM80" s="111"/>
      <c r="BU80" s="111"/>
    </row>
    <row r="81" spans="3:73" x14ac:dyDescent="0.2">
      <c r="C81" s="111"/>
      <c r="D81" s="13">
        <v>42954</v>
      </c>
      <c r="E81" s="115">
        <f>E50+AN50+AV50+BG50+BO50+CI51</f>
        <v>213766.66</v>
      </c>
      <c r="F81" s="116">
        <v>543.54</v>
      </c>
      <c r="G81">
        <f t="shared" si="38"/>
        <v>268</v>
      </c>
      <c r="H81" s="78">
        <f t="shared" si="38"/>
        <v>28633.340000000026</v>
      </c>
      <c r="I81" s="78">
        <f t="shared" si="39"/>
        <v>28089.800000000025</v>
      </c>
      <c r="J81" s="78">
        <f t="shared" si="40"/>
        <v>106.84082089552248</v>
      </c>
      <c r="K81" s="78">
        <f t="shared" si="41"/>
        <v>104.81268656716428</v>
      </c>
      <c r="L81" s="78">
        <f t="shared" ref="L81:L106" si="42">K81*365/12</f>
        <v>3188.0525497512467</v>
      </c>
      <c r="M81" s="78">
        <f t="shared" ref="M81:M106" si="43">K81*365</f>
        <v>38256.630597014962</v>
      </c>
      <c r="N81" s="111"/>
      <c r="O81" s="8" t="s">
        <v>142</v>
      </c>
      <c r="P81" s="103">
        <v>10636.6</v>
      </c>
      <c r="Q81" s="103"/>
      <c r="R81" s="103"/>
      <c r="S81" s="103"/>
      <c r="T81" s="30" t="s">
        <v>143</v>
      </c>
      <c r="Y81" s="111"/>
      <c r="Z81" s="8"/>
      <c r="AA81" s="78">
        <f>P78/30</f>
        <v>13334.482666666667</v>
      </c>
      <c r="AT81" s="111"/>
      <c r="BE81" s="111"/>
      <c r="BM81" s="111"/>
      <c r="BU81" s="111"/>
    </row>
    <row r="82" spans="3:73" x14ac:dyDescent="0.2">
      <c r="C82" s="111"/>
      <c r="D82" s="13">
        <v>43025</v>
      </c>
      <c r="E82" s="115">
        <v>218259.43000000002</v>
      </c>
      <c r="F82" s="116">
        <v>1087.08</v>
      </c>
      <c r="G82">
        <f t="shared" si="38"/>
        <v>71</v>
      </c>
      <c r="H82" s="78">
        <f t="shared" si="38"/>
        <v>4492.7700000000186</v>
      </c>
      <c r="I82" s="78">
        <f t="shared" si="39"/>
        <v>3405.6900000000187</v>
      </c>
      <c r="J82" s="78">
        <f t="shared" si="40"/>
        <v>63.278450704225612</v>
      </c>
      <c r="K82" s="78">
        <f t="shared" si="41"/>
        <v>47.967464788732656</v>
      </c>
      <c r="L82" s="78">
        <f t="shared" si="42"/>
        <v>1459.0103873239516</v>
      </c>
      <c r="M82" s="78">
        <f t="shared" si="43"/>
        <v>17508.12464788742</v>
      </c>
      <c r="N82" s="111"/>
      <c r="O82" s="8" t="s">
        <v>144</v>
      </c>
      <c r="P82" s="78">
        <f>P81+P79</f>
        <v>31130.366410399998</v>
      </c>
      <c r="Q82" s="78"/>
      <c r="R82" s="78"/>
      <c r="S82" s="78"/>
      <c r="Y82" s="111"/>
      <c r="Z82" s="8" t="s">
        <v>145</v>
      </c>
      <c r="AA82" s="103">
        <v>10636.6</v>
      </c>
      <c r="AT82" s="111"/>
      <c r="BE82" s="111"/>
      <c r="BM82" s="111"/>
      <c r="BU82" s="111"/>
    </row>
    <row r="83" spans="3:73" x14ac:dyDescent="0.2">
      <c r="C83" s="111"/>
      <c r="D83" s="13">
        <v>43098</v>
      </c>
      <c r="E83" s="115">
        <v>225196.09</v>
      </c>
      <c r="F83" s="116">
        <v>1630.62</v>
      </c>
      <c r="G83">
        <f t="shared" si="38"/>
        <v>73</v>
      </c>
      <c r="H83" s="78">
        <f t="shared" si="38"/>
        <v>6936.6599999999744</v>
      </c>
      <c r="I83" s="78">
        <f t="shared" si="39"/>
        <v>5306.0399999999745</v>
      </c>
      <c r="J83" s="78">
        <f t="shared" si="40"/>
        <v>95.022739726027041</v>
      </c>
      <c r="K83" s="78">
        <f t="shared" si="41"/>
        <v>72.685479452054452</v>
      </c>
      <c r="L83" s="78">
        <f t="shared" si="42"/>
        <v>2210.8499999999894</v>
      </c>
      <c r="M83" s="78">
        <f t="shared" si="43"/>
        <v>26530.199999999873</v>
      </c>
      <c r="N83" s="111"/>
      <c r="O83" s="8" t="s">
        <v>116</v>
      </c>
      <c r="P83" s="103">
        <f>P81/12</f>
        <v>886.38333333333333</v>
      </c>
      <c r="Q83" s="103"/>
      <c r="R83" s="103"/>
      <c r="S83" s="103"/>
      <c r="Y83" s="111"/>
      <c r="Z83" s="8"/>
      <c r="AA83" s="78">
        <f>SUM(AA81:AA82)</f>
        <v>23971.082666666669</v>
      </c>
      <c r="AT83" s="111"/>
      <c r="BE83" s="111"/>
      <c r="BM83" s="111"/>
      <c r="BU83" s="111"/>
    </row>
    <row r="84" spans="3:73" x14ac:dyDescent="0.2">
      <c r="C84" s="111"/>
      <c r="D84" s="13">
        <v>43242</v>
      </c>
      <c r="E84" s="115">
        <v>232554.53</v>
      </c>
      <c r="F84" s="116">
        <v>2717.7</v>
      </c>
      <c r="G84">
        <f t="shared" si="38"/>
        <v>144</v>
      </c>
      <c r="H84" s="78">
        <f t="shared" si="38"/>
        <v>7358.4400000000023</v>
      </c>
      <c r="I84" s="78">
        <f t="shared" si="39"/>
        <v>4640.7400000000025</v>
      </c>
      <c r="J84" s="78">
        <f t="shared" si="40"/>
        <v>51.100277777777791</v>
      </c>
      <c r="K84" s="78">
        <f t="shared" si="41"/>
        <v>32.227361111111129</v>
      </c>
      <c r="L84" s="78">
        <f t="shared" si="42"/>
        <v>980.24890046296343</v>
      </c>
      <c r="M84" s="78">
        <f t="shared" si="43"/>
        <v>11762.986805555562</v>
      </c>
      <c r="N84" s="111"/>
      <c r="O84" s="8" t="s">
        <v>146</v>
      </c>
      <c r="P84" s="103">
        <f>(P81+P79)/12</f>
        <v>2594.1972008666667</v>
      </c>
      <c r="Q84" s="103"/>
      <c r="R84" s="103"/>
      <c r="S84" s="103"/>
      <c r="Y84" s="111"/>
      <c r="Z84" s="8"/>
      <c r="AA84"/>
      <c r="AT84" s="111"/>
      <c r="BE84" s="111"/>
      <c r="BM84" s="111"/>
      <c r="BU84" s="111"/>
    </row>
    <row r="85" spans="3:73" x14ac:dyDescent="0.2">
      <c r="C85" s="111"/>
      <c r="D85" s="13">
        <v>43408</v>
      </c>
      <c r="E85" s="115">
        <v>230648.57</v>
      </c>
      <c r="F85" s="116">
        <v>2750.3400000000011</v>
      </c>
      <c r="G85">
        <f t="shared" si="38"/>
        <v>166</v>
      </c>
      <c r="H85" s="78">
        <f t="shared" si="38"/>
        <v>-1905.9599999999919</v>
      </c>
      <c r="I85" s="78">
        <f t="shared" si="39"/>
        <v>-4656.2999999999929</v>
      </c>
      <c r="J85" s="78">
        <f t="shared" si="40"/>
        <v>-11.481686746987902</v>
      </c>
      <c r="K85" s="78">
        <f t="shared" si="41"/>
        <v>-28.049999999999958</v>
      </c>
      <c r="L85" s="78">
        <f t="shared" si="42"/>
        <v>-853.18749999999875</v>
      </c>
      <c r="M85" s="78">
        <f t="shared" si="43"/>
        <v>-10238.249999999985</v>
      </c>
      <c r="N85" s="111"/>
      <c r="O85" s="8"/>
      <c r="Y85" s="111"/>
      <c r="Z85" s="8"/>
      <c r="AA85"/>
      <c r="AT85" s="111"/>
      <c r="BE85" s="111"/>
      <c r="BM85" s="111"/>
      <c r="BU85" s="111"/>
    </row>
    <row r="86" spans="3:73" ht="16" x14ac:dyDescent="0.2">
      <c r="C86" s="111"/>
      <c r="D86" s="13">
        <v>43519</v>
      </c>
      <c r="E86" s="115">
        <v>237183.31</v>
      </c>
      <c r="F86" s="116">
        <v>2217.6799999999985</v>
      </c>
      <c r="G86">
        <f t="shared" si="38"/>
        <v>111</v>
      </c>
      <c r="H86" s="78">
        <f t="shared" si="38"/>
        <v>6534.7399999999907</v>
      </c>
      <c r="I86" s="78">
        <f t="shared" si="39"/>
        <v>4317.0599999999922</v>
      </c>
      <c r="J86" s="78">
        <f t="shared" si="40"/>
        <v>58.871531531531446</v>
      </c>
      <c r="K86" s="78">
        <f t="shared" si="41"/>
        <v>38.892432432432365</v>
      </c>
      <c r="L86" s="78">
        <f t="shared" si="42"/>
        <v>1182.978153153151</v>
      </c>
      <c r="M86" s="78">
        <f t="shared" si="43"/>
        <v>14195.737837837813</v>
      </c>
      <c r="N86" s="111"/>
      <c r="O86" s="8" t="s">
        <v>147</v>
      </c>
      <c r="T86" s="78"/>
      <c r="U86" s="117">
        <f>25*P78/100</f>
        <v>100008.62</v>
      </c>
      <c r="Y86" s="111"/>
      <c r="Z86" s="8"/>
      <c r="AA86"/>
      <c r="AT86" s="111"/>
      <c r="BE86" s="111"/>
      <c r="BM86" s="111"/>
      <c r="BU86" s="111"/>
    </row>
    <row r="87" spans="3:73" x14ac:dyDescent="0.2">
      <c r="C87" s="111"/>
      <c r="D87" s="13">
        <v>43794</v>
      </c>
      <c r="E87" s="115">
        <v>257074.66</v>
      </c>
      <c r="F87" s="116">
        <v>5023.0199999999986</v>
      </c>
      <c r="G87">
        <f t="shared" si="38"/>
        <v>275</v>
      </c>
      <c r="H87" s="78">
        <f t="shared" si="38"/>
        <v>19891.350000000006</v>
      </c>
      <c r="I87" s="78">
        <f t="shared" si="39"/>
        <v>14868.330000000007</v>
      </c>
      <c r="J87" s="78">
        <f t="shared" si="40"/>
        <v>72.332181818181837</v>
      </c>
      <c r="K87" s="78">
        <f t="shared" si="41"/>
        <v>54.066654545454568</v>
      </c>
      <c r="L87" s="78">
        <f t="shared" si="42"/>
        <v>1644.5274090909097</v>
      </c>
      <c r="M87" s="78">
        <f t="shared" si="43"/>
        <v>19734.328909090917</v>
      </c>
      <c r="N87" s="111"/>
      <c r="Y87" s="111"/>
      <c r="Z87" s="8"/>
      <c r="AA87"/>
      <c r="AT87" s="111"/>
      <c r="BE87" s="111"/>
      <c r="BM87" s="111"/>
      <c r="BU87" s="111"/>
    </row>
    <row r="88" spans="3:73" x14ac:dyDescent="0.2">
      <c r="C88" s="111"/>
      <c r="D88" s="13">
        <v>44405</v>
      </c>
      <c r="E88" s="115">
        <v>302044.46999999997</v>
      </c>
      <c r="F88" s="116">
        <v>11274.600000000004</v>
      </c>
      <c r="G88">
        <f t="shared" si="38"/>
        <v>611</v>
      </c>
      <c r="H88" s="78">
        <f t="shared" si="38"/>
        <v>44969.809999999969</v>
      </c>
      <c r="I88" s="78">
        <f t="shared" si="39"/>
        <v>33695.209999999963</v>
      </c>
      <c r="J88" s="78">
        <f t="shared" si="40"/>
        <v>73.600343698854289</v>
      </c>
      <c r="K88" s="78">
        <f t="shared" si="41"/>
        <v>55.147643207855914</v>
      </c>
      <c r="L88" s="78">
        <f t="shared" si="42"/>
        <v>1677.4074809056174</v>
      </c>
      <c r="M88" s="78">
        <f t="shared" si="43"/>
        <v>20128.889770867409</v>
      </c>
      <c r="N88" s="111"/>
      <c r="O88" s="8" t="s">
        <v>148</v>
      </c>
      <c r="U88" s="103">
        <v>16500</v>
      </c>
      <c r="Y88" s="111"/>
      <c r="Z88" s="8"/>
      <c r="AA88"/>
      <c r="AT88" s="111"/>
      <c r="BE88" s="111"/>
      <c r="BM88" s="111"/>
      <c r="BU88" s="111"/>
    </row>
    <row r="89" spans="3:73" x14ac:dyDescent="0.2">
      <c r="C89" s="118"/>
      <c r="D89" s="13">
        <v>44508</v>
      </c>
      <c r="E89" s="115">
        <v>315837.31</v>
      </c>
      <c r="F89" s="116">
        <v>1668.1899999999987</v>
      </c>
      <c r="G89">
        <f t="shared" si="38"/>
        <v>103</v>
      </c>
      <c r="H89" s="78">
        <f t="shared" si="38"/>
        <v>13792.840000000026</v>
      </c>
      <c r="I89" s="78">
        <f t="shared" si="39"/>
        <v>12124.650000000027</v>
      </c>
      <c r="J89" s="78">
        <f t="shared" si="40"/>
        <v>133.91106796116529</v>
      </c>
      <c r="K89" s="78">
        <f t="shared" si="41"/>
        <v>117.71504854368958</v>
      </c>
      <c r="L89" s="78">
        <f t="shared" si="42"/>
        <v>3580.499393203891</v>
      </c>
      <c r="M89" s="78">
        <f t="shared" si="43"/>
        <v>42965.992718446694</v>
      </c>
      <c r="N89" s="118"/>
      <c r="O89" s="8" t="s">
        <v>149</v>
      </c>
      <c r="U89" s="103">
        <v>10636.6</v>
      </c>
      <c r="W89" s="80">
        <v>2491.52</v>
      </c>
      <c r="Y89" s="111"/>
      <c r="Z89" s="8"/>
      <c r="AA89"/>
      <c r="AT89" s="118"/>
      <c r="BE89" s="118"/>
      <c r="BM89" s="118"/>
      <c r="BU89" s="118"/>
    </row>
    <row r="90" spans="3:73" x14ac:dyDescent="0.2">
      <c r="D90" s="13">
        <v>44608</v>
      </c>
      <c r="E90" s="115">
        <v>308347.53999999998</v>
      </c>
      <c r="F90" s="116">
        <v>1688.1899999999878</v>
      </c>
      <c r="G90">
        <f t="shared" si="38"/>
        <v>100</v>
      </c>
      <c r="H90" s="78">
        <f t="shared" si="38"/>
        <v>-7489.7700000000186</v>
      </c>
      <c r="I90" s="78">
        <f t="shared" si="39"/>
        <v>-9177.9600000000064</v>
      </c>
      <c r="J90" s="78">
        <f t="shared" si="40"/>
        <v>-74.897700000000185</v>
      </c>
      <c r="K90" s="78">
        <f t="shared" si="41"/>
        <v>-91.779600000000059</v>
      </c>
      <c r="L90" s="78">
        <f t="shared" si="42"/>
        <v>-2791.6295000000014</v>
      </c>
      <c r="M90" s="78">
        <f t="shared" si="43"/>
        <v>-33499.554000000018</v>
      </c>
      <c r="T90" t="s">
        <v>98</v>
      </c>
      <c r="U90" s="119">
        <f>U88+U89</f>
        <v>27136.6</v>
      </c>
      <c r="Y90" s="118"/>
      <c r="Z90" s="8"/>
      <c r="AA90"/>
    </row>
    <row r="91" spans="3:73" x14ac:dyDescent="0.2">
      <c r="D91" s="13">
        <v>45291</v>
      </c>
      <c r="E91" s="115">
        <v>328710.88</v>
      </c>
      <c r="F91" s="116">
        <f>8955.17+6375</f>
        <v>15330.17</v>
      </c>
      <c r="G91">
        <f t="shared" si="38"/>
        <v>683</v>
      </c>
      <c r="H91" s="78">
        <f t="shared" si="38"/>
        <v>20363.340000000026</v>
      </c>
      <c r="I91" s="78">
        <f t="shared" si="39"/>
        <v>5033.1700000000255</v>
      </c>
      <c r="J91" s="78">
        <f t="shared" si="40"/>
        <v>29.81455344070282</v>
      </c>
      <c r="K91" s="78">
        <f t="shared" si="41"/>
        <v>7.3692093704246346</v>
      </c>
      <c r="L91" s="78">
        <f t="shared" si="42"/>
        <v>224.14678501708264</v>
      </c>
      <c r="M91" s="78">
        <f t="shared" si="43"/>
        <v>2689.7614202049917</v>
      </c>
      <c r="T91" t="s">
        <v>150</v>
      </c>
      <c r="U91" s="80">
        <v>2911.52</v>
      </c>
      <c r="Y91" s="3"/>
      <c r="Z91" s="8"/>
      <c r="AA91"/>
    </row>
    <row r="92" spans="3:73" x14ac:dyDescent="0.2">
      <c r="D92" s="13">
        <v>45367</v>
      </c>
      <c r="E92" s="115">
        <v>342627.06</v>
      </c>
      <c r="F92" s="116">
        <v>1161</v>
      </c>
      <c r="G92">
        <f t="shared" si="38"/>
        <v>76</v>
      </c>
      <c r="H92" s="78">
        <f t="shared" si="38"/>
        <v>13916.179999999993</v>
      </c>
      <c r="I92" s="78">
        <f t="shared" si="39"/>
        <v>12755.179999999993</v>
      </c>
      <c r="J92" s="78">
        <f t="shared" si="40"/>
        <v>183.10763157894726</v>
      </c>
      <c r="K92" s="78">
        <f t="shared" si="41"/>
        <v>167.83131578947359</v>
      </c>
      <c r="L92" s="78">
        <f t="shared" si="42"/>
        <v>5104.8691885964881</v>
      </c>
      <c r="M92" s="78">
        <f t="shared" si="43"/>
        <v>61258.430263157861</v>
      </c>
      <c r="T92" t="s">
        <v>116</v>
      </c>
      <c r="U92" s="78">
        <f>(U90-U91)/12</f>
        <v>2018.7566666666664</v>
      </c>
      <c r="V92" t="s">
        <v>151</v>
      </c>
      <c r="Y92" s="3"/>
      <c r="Z92" s="8"/>
      <c r="AA92"/>
    </row>
    <row r="93" spans="3:73" x14ac:dyDescent="0.2">
      <c r="D93" s="13">
        <v>45374</v>
      </c>
      <c r="E93" s="115">
        <v>350651.86</v>
      </c>
      <c r="F93" s="116">
        <f>519.8+2500</f>
        <v>3019.8</v>
      </c>
      <c r="G93">
        <f t="shared" si="38"/>
        <v>7</v>
      </c>
      <c r="H93" s="78">
        <f t="shared" si="38"/>
        <v>8024.7999999999884</v>
      </c>
      <c r="I93" s="78">
        <f t="shared" si="39"/>
        <v>5004.9999999999882</v>
      </c>
      <c r="J93" s="78">
        <f t="shared" si="40"/>
        <v>1146.3999999999983</v>
      </c>
      <c r="K93" s="78">
        <f t="shared" si="41"/>
        <v>714.99999999999829</v>
      </c>
      <c r="L93" s="78">
        <f t="shared" si="42"/>
        <v>21747.916666666617</v>
      </c>
      <c r="M93" s="78">
        <f t="shared" si="43"/>
        <v>260974.99999999939</v>
      </c>
      <c r="O93" t="s">
        <v>152</v>
      </c>
      <c r="Y93" s="3"/>
      <c r="Z93" s="8"/>
      <c r="AA93"/>
    </row>
    <row r="94" spans="3:73" ht="15" customHeight="1" x14ac:dyDescent="0.2">
      <c r="D94" s="13">
        <v>45424</v>
      </c>
      <c r="E94" s="115">
        <v>353984.25</v>
      </c>
      <c r="F94" s="116">
        <v>519.61999999999534</v>
      </c>
      <c r="G94">
        <f t="shared" si="38"/>
        <v>50</v>
      </c>
      <c r="H94" s="78">
        <f t="shared" si="38"/>
        <v>3332.390000000014</v>
      </c>
      <c r="I94" s="78">
        <f t="shared" si="39"/>
        <v>2812.7700000000186</v>
      </c>
      <c r="J94" s="78">
        <f t="shared" si="40"/>
        <v>66.647800000000274</v>
      </c>
      <c r="K94" s="78">
        <f t="shared" si="41"/>
        <v>56.255400000000371</v>
      </c>
      <c r="L94" s="78">
        <f t="shared" si="42"/>
        <v>1711.1017500000114</v>
      </c>
      <c r="M94" s="78">
        <f t="shared" si="43"/>
        <v>20533.221000000136</v>
      </c>
      <c r="O94" t="s">
        <v>153</v>
      </c>
      <c r="V94" s="10" t="s">
        <v>154</v>
      </c>
      <c r="Y94" s="3"/>
      <c r="Z94" s="8"/>
      <c r="AA94"/>
    </row>
    <row r="95" spans="3:73" x14ac:dyDescent="0.2">
      <c r="D95" s="13">
        <v>45508</v>
      </c>
      <c r="E95" s="115">
        <v>361244.29</v>
      </c>
      <c r="F95" s="116">
        <v>1558.8600000000006</v>
      </c>
      <c r="G95">
        <f t="shared" si="38"/>
        <v>84</v>
      </c>
      <c r="H95" s="78">
        <f t="shared" si="38"/>
        <v>7260.039999999979</v>
      </c>
      <c r="I95" s="78">
        <f t="shared" si="39"/>
        <v>5701.1799999999785</v>
      </c>
      <c r="J95" s="78">
        <f t="shared" si="40"/>
        <v>86.429047619047367</v>
      </c>
      <c r="K95" s="78">
        <f t="shared" si="41"/>
        <v>67.871190476190222</v>
      </c>
      <c r="L95" s="78">
        <f t="shared" si="42"/>
        <v>2064.4153769841191</v>
      </c>
      <c r="M95" s="78">
        <f t="shared" si="43"/>
        <v>24772.984523809431</v>
      </c>
      <c r="T95" t="s">
        <v>155</v>
      </c>
      <c r="U95" s="120">
        <v>35065</v>
      </c>
      <c r="Y95" s="3"/>
      <c r="Z95" s="8"/>
      <c r="AA95"/>
      <c r="AC95" s="25"/>
    </row>
    <row r="96" spans="3:73" x14ac:dyDescent="0.2">
      <c r="D96" s="13">
        <v>45550</v>
      </c>
      <c r="E96" s="115">
        <v>364060.39</v>
      </c>
      <c r="F96" s="116">
        <v>518.72000000000116</v>
      </c>
      <c r="G96">
        <f t="shared" si="38"/>
        <v>42</v>
      </c>
      <c r="H96" s="78">
        <f t="shared" si="38"/>
        <v>2816.1000000000349</v>
      </c>
      <c r="I96" s="78">
        <f t="shared" si="39"/>
        <v>2297.3800000000338</v>
      </c>
      <c r="J96" s="78">
        <f t="shared" si="40"/>
        <v>67.050000000000836</v>
      </c>
      <c r="K96" s="78">
        <f t="shared" si="41"/>
        <v>54.699523809524614</v>
      </c>
      <c r="L96" s="78">
        <f t="shared" si="42"/>
        <v>1663.7771825397069</v>
      </c>
      <c r="M96" s="78">
        <f t="shared" si="43"/>
        <v>19965.326190476484</v>
      </c>
      <c r="U96" s="83">
        <v>28470</v>
      </c>
      <c r="Y96" s="3"/>
      <c r="Z96" s="25"/>
      <c r="AA96" s="25"/>
      <c r="AB96" s="25"/>
      <c r="AC96" s="25"/>
    </row>
    <row r="97" spans="4:29" x14ac:dyDescent="0.2">
      <c r="D97" s="13">
        <v>45564</v>
      </c>
      <c r="E97" s="115">
        <v>370242.96</v>
      </c>
      <c r="F97" s="116">
        <f>520.52+2500</f>
        <v>3020.52</v>
      </c>
      <c r="G97">
        <f t="shared" si="38"/>
        <v>14</v>
      </c>
      <c r="H97" s="78">
        <f t="shared" si="38"/>
        <v>6182.570000000007</v>
      </c>
      <c r="I97" s="78">
        <f t="shared" si="39"/>
        <v>3162.050000000007</v>
      </c>
      <c r="J97" s="78">
        <f t="shared" si="40"/>
        <v>441.61214285714334</v>
      </c>
      <c r="K97" s="78">
        <f t="shared" si="41"/>
        <v>225.86071428571478</v>
      </c>
      <c r="L97" s="78">
        <f t="shared" si="42"/>
        <v>6869.9300595238246</v>
      </c>
      <c r="M97" s="78">
        <f t="shared" si="43"/>
        <v>82439.160714285899</v>
      </c>
      <c r="O97" s="8" t="s">
        <v>149</v>
      </c>
      <c r="U97" s="78">
        <v>10636.6</v>
      </c>
      <c r="Y97" s="3"/>
      <c r="Z97" s="25"/>
      <c r="AA97" s="25"/>
      <c r="AB97" s="25"/>
      <c r="AC97" s="25"/>
    </row>
    <row r="98" spans="4:29" x14ac:dyDescent="0.2">
      <c r="D98" s="13">
        <v>45599</v>
      </c>
      <c r="E98" s="115">
        <v>373801.69</v>
      </c>
      <c r="F98" s="116">
        <v>519.62000000000262</v>
      </c>
      <c r="G98">
        <f t="shared" si="38"/>
        <v>35</v>
      </c>
      <c r="H98" s="78">
        <f t="shared" si="38"/>
        <v>3558.7299999999814</v>
      </c>
      <c r="I98" s="78">
        <f t="shared" si="39"/>
        <v>3039.1099999999788</v>
      </c>
      <c r="J98" s="78">
        <f t="shared" si="40"/>
        <v>101.67799999999947</v>
      </c>
      <c r="K98" s="78">
        <f t="shared" si="41"/>
        <v>86.831714285713673</v>
      </c>
      <c r="L98" s="78">
        <f t="shared" si="42"/>
        <v>2641.1313095237906</v>
      </c>
      <c r="M98" s="78">
        <f t="shared" si="43"/>
        <v>31693.575714285489</v>
      </c>
      <c r="T98" t="s">
        <v>98</v>
      </c>
      <c r="U98" s="119">
        <f>U96+U97</f>
        <v>39106.6</v>
      </c>
      <c r="V98" s="80"/>
      <c r="Y98" s="3"/>
      <c r="Z98" s="25"/>
      <c r="AA98" s="25"/>
      <c r="AB98" s="25"/>
      <c r="AC98" s="25"/>
    </row>
    <row r="99" spans="4:29" x14ac:dyDescent="0.2">
      <c r="D99" s="13">
        <v>45668</v>
      </c>
      <c r="E99" s="115">
        <v>393223.06</v>
      </c>
      <c r="F99" s="116">
        <v>1039.239999999998</v>
      </c>
      <c r="G99">
        <f t="shared" si="38"/>
        <v>69</v>
      </c>
      <c r="H99" s="78">
        <f t="shared" si="38"/>
        <v>19421.369999999995</v>
      </c>
      <c r="I99" s="78">
        <f t="shared" si="39"/>
        <v>18382.129999999997</v>
      </c>
      <c r="J99" s="78">
        <f t="shared" si="40"/>
        <v>281.46913043478253</v>
      </c>
      <c r="K99" s="78">
        <f t="shared" si="41"/>
        <v>266.40768115942024</v>
      </c>
      <c r="L99" s="78">
        <f t="shared" si="42"/>
        <v>8103.2336352656994</v>
      </c>
      <c r="M99" s="78">
        <f t="shared" si="43"/>
        <v>97238.803623188389</v>
      </c>
      <c r="T99" t="s">
        <v>150</v>
      </c>
      <c r="U99" s="80">
        <v>5305.52</v>
      </c>
      <c r="Y99" s="3"/>
      <c r="Z99" s="25"/>
      <c r="AA99" s="25"/>
      <c r="AB99" s="25"/>
      <c r="AC99" s="25"/>
    </row>
    <row r="100" spans="4:29" x14ac:dyDescent="0.2">
      <c r="D100" s="13">
        <v>45690</v>
      </c>
      <c r="E100" s="115">
        <v>400034.48</v>
      </c>
      <c r="F100" s="116">
        <v>519.62000000000262</v>
      </c>
      <c r="G100">
        <f t="shared" si="38"/>
        <v>22</v>
      </c>
      <c r="H100" s="78">
        <f t="shared" si="38"/>
        <v>6811.4199999999837</v>
      </c>
      <c r="I100" s="78">
        <f t="shared" si="39"/>
        <v>6291.7999999999811</v>
      </c>
      <c r="J100" s="78">
        <f t="shared" si="40"/>
        <v>309.60999999999927</v>
      </c>
      <c r="K100" s="78">
        <f t="shared" si="41"/>
        <v>285.99090909090825</v>
      </c>
      <c r="L100" s="78">
        <f t="shared" si="42"/>
        <v>8698.8901515151247</v>
      </c>
      <c r="M100" s="78">
        <f t="shared" si="43"/>
        <v>104386.6818181815</v>
      </c>
      <c r="T100" t="s">
        <v>116</v>
      </c>
      <c r="U100" s="78">
        <f>(U98-U99)/12</f>
        <v>2816.7566666666667</v>
      </c>
      <c r="V100" t="s">
        <v>151</v>
      </c>
      <c r="Y100" s="3"/>
      <c r="Z100" s="25"/>
      <c r="AA100" s="25"/>
      <c r="AB100" s="25"/>
      <c r="AC100" s="25"/>
    </row>
    <row r="101" spans="4:29" x14ac:dyDescent="0.2">
      <c r="D101" s="13">
        <v>45744</v>
      </c>
      <c r="E101" s="115">
        <v>377474.97</v>
      </c>
      <c r="F101" s="116">
        <v>1039.239999999998</v>
      </c>
      <c r="G101">
        <f t="shared" si="38"/>
        <v>54</v>
      </c>
      <c r="H101" s="78">
        <f t="shared" si="38"/>
        <v>-22559.510000000009</v>
      </c>
      <c r="I101" s="78">
        <f t="shared" si="39"/>
        <v>-23598.750000000007</v>
      </c>
      <c r="J101" s="78">
        <f t="shared" si="40"/>
        <v>-417.76870370370386</v>
      </c>
      <c r="K101" s="78">
        <f t="shared" si="41"/>
        <v>-437.01388888888903</v>
      </c>
      <c r="L101" s="78">
        <f t="shared" si="42"/>
        <v>-13292.505787037042</v>
      </c>
      <c r="M101" s="78">
        <f t="shared" si="43"/>
        <v>-159510.0694444445</v>
      </c>
      <c r="Y101" s="3"/>
      <c r="Z101" s="25"/>
      <c r="AA101" s="25"/>
      <c r="AB101" s="25"/>
      <c r="AC101" s="25"/>
    </row>
    <row r="102" spans="4:29" x14ac:dyDescent="0.2">
      <c r="D102" s="13">
        <v>45799</v>
      </c>
      <c r="E102" s="115">
        <v>382737.35999999993</v>
      </c>
      <c r="F102" s="116">
        <v>1039.2400000000052</v>
      </c>
      <c r="G102">
        <f t="shared" si="38"/>
        <v>55</v>
      </c>
      <c r="H102" s="78">
        <f t="shared" si="38"/>
        <v>5262.3899999999558</v>
      </c>
      <c r="I102" s="78">
        <f t="shared" si="39"/>
        <v>4223.1499999999505</v>
      </c>
      <c r="J102" s="78">
        <f t="shared" si="40"/>
        <v>95.679818181817382</v>
      </c>
      <c r="K102" s="78">
        <f t="shared" si="41"/>
        <v>76.784545454544556</v>
      </c>
      <c r="L102" s="78">
        <f t="shared" si="42"/>
        <v>2335.5299242423966</v>
      </c>
      <c r="M102" s="78">
        <f t="shared" si="43"/>
        <v>28026.359090908762</v>
      </c>
      <c r="Y102" s="3"/>
      <c r="Z102" s="25"/>
      <c r="AA102" s="25"/>
      <c r="AB102" s="25"/>
      <c r="AC102" s="25"/>
    </row>
    <row r="103" spans="4:29" x14ac:dyDescent="0.2">
      <c r="D103" s="13">
        <v>45835</v>
      </c>
      <c r="E103" s="115">
        <v>385986.03</v>
      </c>
      <c r="F103" s="116">
        <v>519.61999999999534</v>
      </c>
      <c r="G103">
        <f t="shared" si="38"/>
        <v>36</v>
      </c>
      <c r="H103" s="78">
        <f t="shared" si="38"/>
        <v>3248.6700000001001</v>
      </c>
      <c r="I103" s="78">
        <f t="shared" si="39"/>
        <v>2729.0500000001048</v>
      </c>
      <c r="J103" s="78">
        <f t="shared" si="40"/>
        <v>90.240833333336113</v>
      </c>
      <c r="K103" s="78">
        <f t="shared" si="41"/>
        <v>75.806944444447353</v>
      </c>
      <c r="L103" s="78">
        <f t="shared" si="42"/>
        <v>2305.7945601852739</v>
      </c>
      <c r="M103" s="78">
        <f t="shared" si="43"/>
        <v>27669.534722223285</v>
      </c>
      <c r="O103" t="s">
        <v>156</v>
      </c>
      <c r="V103" s="10" t="s">
        <v>157</v>
      </c>
      <c r="Y103" s="3"/>
      <c r="Z103" s="25"/>
      <c r="AA103" s="25"/>
      <c r="AB103" s="25"/>
      <c r="AC103" s="25"/>
    </row>
    <row r="104" spans="4:29" x14ac:dyDescent="0.2">
      <c r="D104" s="13">
        <v>45854</v>
      </c>
      <c r="E104" s="115">
        <v>400961.58</v>
      </c>
      <c r="F104" s="116">
        <f>519.62+2000</f>
        <v>2519.62</v>
      </c>
      <c r="G104">
        <f t="shared" si="38"/>
        <v>19</v>
      </c>
      <c r="H104" s="78">
        <f t="shared" si="38"/>
        <v>14975.549999999988</v>
      </c>
      <c r="I104" s="78">
        <f t="shared" si="39"/>
        <v>12455.929999999989</v>
      </c>
      <c r="J104" s="78">
        <f t="shared" si="40"/>
        <v>788.1868421052626</v>
      </c>
      <c r="K104" s="78">
        <f t="shared" si="41"/>
        <v>655.57526315789414</v>
      </c>
      <c r="L104" s="78">
        <f t="shared" si="42"/>
        <v>19940.414254385945</v>
      </c>
      <c r="M104" s="78">
        <f t="shared" si="43"/>
        <v>239284.97105263136</v>
      </c>
      <c r="T104" t="s">
        <v>155</v>
      </c>
      <c r="U104" s="120">
        <v>35065</v>
      </c>
      <c r="Y104" s="3"/>
      <c r="Z104" s="25"/>
      <c r="AA104" s="25"/>
      <c r="AB104" s="25"/>
      <c r="AC104" s="25"/>
    </row>
    <row r="105" spans="4:29" x14ac:dyDescent="0.2">
      <c r="D105" s="13">
        <v>45870</v>
      </c>
      <c r="E105" s="115">
        <v>411986.45999999996</v>
      </c>
      <c r="F105" s="116">
        <f>519.619999999995</f>
        <v>519.619999999995</v>
      </c>
      <c r="G105">
        <f t="shared" si="38"/>
        <v>16</v>
      </c>
      <c r="H105" s="78">
        <f t="shared" si="38"/>
        <v>11024.879999999946</v>
      </c>
      <c r="I105" s="78">
        <f t="shared" si="39"/>
        <v>10505.259999999951</v>
      </c>
      <c r="J105" s="78">
        <f t="shared" si="40"/>
        <v>689.05499999999665</v>
      </c>
      <c r="K105" s="78">
        <f t="shared" si="41"/>
        <v>656.57874999999694</v>
      </c>
      <c r="L105" s="78">
        <f t="shared" si="42"/>
        <v>19970.936979166574</v>
      </c>
      <c r="M105" s="78">
        <f t="shared" si="43"/>
        <v>239651.24374999889</v>
      </c>
      <c r="U105" s="83">
        <v>21240</v>
      </c>
      <c r="Y105" s="3"/>
      <c r="Z105" s="25"/>
      <c r="AA105" s="25"/>
      <c r="AB105" s="25"/>
      <c r="AC105" s="25"/>
    </row>
    <row r="106" spans="4:29" x14ac:dyDescent="0.2">
      <c r="D106" s="13">
        <v>45895</v>
      </c>
      <c r="E106" s="83">
        <v>416713.94</v>
      </c>
      <c r="F106" s="116">
        <f>519.62 + 7000</f>
        <v>7519.62</v>
      </c>
      <c r="G106">
        <f t="shared" ref="G106:H106" si="44">D106-D105</f>
        <v>25</v>
      </c>
      <c r="H106" s="78">
        <f t="shared" si="44"/>
        <v>4727.4800000000396</v>
      </c>
      <c r="I106" s="78">
        <f t="shared" si="39"/>
        <v>-2792.1399999999603</v>
      </c>
      <c r="J106" s="78">
        <f t="shared" si="40"/>
        <v>189.09920000000159</v>
      </c>
      <c r="K106" s="78">
        <f t="shared" si="41"/>
        <v>-111.68559999999842</v>
      </c>
      <c r="L106" s="78">
        <f t="shared" si="42"/>
        <v>-3397.1036666666187</v>
      </c>
      <c r="M106" s="78">
        <f t="shared" si="43"/>
        <v>-40765.243999999424</v>
      </c>
      <c r="O106" s="8" t="s">
        <v>149</v>
      </c>
      <c r="U106" s="78">
        <v>10636.6</v>
      </c>
      <c r="Y106" s="3"/>
      <c r="Z106" s="25"/>
      <c r="AA106" s="25"/>
      <c r="AB106" s="25"/>
      <c r="AC106" s="25"/>
    </row>
    <row r="107" spans="4:29" x14ac:dyDescent="0.2">
      <c r="D107" s="67"/>
      <c r="E107" s="68" t="s">
        <v>94</v>
      </c>
      <c r="F107" s="69">
        <f>D95</f>
        <v>45508</v>
      </c>
      <c r="G107" s="69">
        <f>D105</f>
        <v>45870</v>
      </c>
      <c r="H107" s="70">
        <f>E105-E95-SUM(F95:F105)</f>
        <v>37928.249999999985</v>
      </c>
      <c r="I107" s="71">
        <f>H107/E95</f>
        <v>0.10499335505067772</v>
      </c>
      <c r="T107" t="s">
        <v>98</v>
      </c>
      <c r="U107" s="119">
        <f>U105+U106</f>
        <v>31876.6</v>
      </c>
      <c r="Y107" s="3"/>
      <c r="Z107" s="25"/>
      <c r="AA107" s="25"/>
      <c r="AB107" s="25"/>
      <c r="AC107" s="25"/>
    </row>
    <row r="108" spans="4:29" ht="48" x14ac:dyDescent="0.2">
      <c r="D108" s="67" t="s">
        <v>96</v>
      </c>
      <c r="E108" s="68" t="str">
        <f>G108-F108 &amp;" days"</f>
        <v>411 days</v>
      </c>
      <c r="F108" s="69">
        <v>45424</v>
      </c>
      <c r="G108" s="69">
        <v>45835</v>
      </c>
      <c r="H108" s="70">
        <f>E103-E94-SUM(F94:F103)</f>
        <v>21707.480000000029</v>
      </c>
      <c r="I108" s="71">
        <f>H108/E94</f>
        <v>6.1323293338616136E-2</v>
      </c>
      <c r="K108" s="121" t="s">
        <v>158</v>
      </c>
      <c r="L108" s="121"/>
      <c r="M108" s="121"/>
      <c r="T108" t="s">
        <v>150</v>
      </c>
      <c r="U108" s="80">
        <v>3859.52</v>
      </c>
      <c r="Y108" s="3"/>
      <c r="Z108" s="25"/>
      <c r="AA108" s="25"/>
      <c r="AB108" s="25"/>
      <c r="AC108" s="25"/>
    </row>
    <row r="109" spans="4:29" x14ac:dyDescent="0.2">
      <c r="D109" s="68"/>
      <c r="E109" s="68" t="str">
        <f>G109-F109 &amp;" days"</f>
        <v>91 days</v>
      </c>
      <c r="F109" s="69">
        <v>45744</v>
      </c>
      <c r="G109" s="69">
        <v>45835</v>
      </c>
      <c r="H109" s="70">
        <f>E103-E101-SUM(F101:F103)</f>
        <v>5912.9600000000573</v>
      </c>
      <c r="I109" s="71">
        <f>H109/E101</f>
        <v>1.566450882822789E-2</v>
      </c>
      <c r="T109" t="s">
        <v>116</v>
      </c>
      <c r="U109" s="78">
        <f>(U107-U108)/12</f>
        <v>2334.7566666666667</v>
      </c>
      <c r="V109" t="s">
        <v>151</v>
      </c>
      <c r="Y109" s="3"/>
      <c r="Z109" s="25"/>
      <c r="AA109" s="25"/>
      <c r="AB109" s="25"/>
      <c r="AC109" s="25"/>
    </row>
    <row r="110" spans="4:29" x14ac:dyDescent="0.2">
      <c r="E110" t="s">
        <v>159</v>
      </c>
      <c r="F110" s="69">
        <v>45291</v>
      </c>
      <c r="G110" s="69">
        <v>45668</v>
      </c>
      <c r="H110" s="70">
        <f>E99-E91-SUM(F91:F99)</f>
        <v>37824.629999999997</v>
      </c>
      <c r="I110" s="71">
        <f>H110/E91</f>
        <v>0.11506960159030938</v>
      </c>
      <c r="Y110" s="3"/>
      <c r="Z110" s="25"/>
      <c r="AA110" s="25"/>
      <c r="AB110" s="25"/>
      <c r="AC110" s="25"/>
    </row>
    <row r="111" spans="4:29" x14ac:dyDescent="0.2">
      <c r="E111" t="s">
        <v>160</v>
      </c>
      <c r="F111" s="69">
        <v>44608</v>
      </c>
      <c r="G111" s="69">
        <v>45291</v>
      </c>
      <c r="H111" s="70">
        <f>E91-E90-SUM(F90:F91)</f>
        <v>3344.9800000000396</v>
      </c>
      <c r="I111" s="71">
        <f>H111/E90</f>
        <v>1.0848083950986085E-2</v>
      </c>
      <c r="O111" t="s">
        <v>161</v>
      </c>
      <c r="V111" s="10" t="s">
        <v>162</v>
      </c>
      <c r="Y111" s="3"/>
      <c r="Z111" s="122"/>
      <c r="AA111"/>
    </row>
    <row r="112" spans="4:29" x14ac:dyDescent="0.2">
      <c r="F112" s="69"/>
      <c r="G112" s="69"/>
      <c r="H112" s="70"/>
      <c r="I112" s="71"/>
      <c r="T112" t="s">
        <v>155</v>
      </c>
      <c r="U112" s="120">
        <v>35065</v>
      </c>
      <c r="Y112" s="3"/>
      <c r="Z112" s="122"/>
      <c r="AA112"/>
    </row>
    <row r="113" spans="4:27" x14ac:dyDescent="0.2">
      <c r="U113" s="83">
        <v>17680</v>
      </c>
      <c r="Y113" s="3"/>
      <c r="Z113" s="8"/>
      <c r="AA113"/>
    </row>
    <row r="114" spans="4:27" x14ac:dyDescent="0.2">
      <c r="O114" s="8" t="s">
        <v>149</v>
      </c>
      <c r="U114" s="78">
        <v>10636.6</v>
      </c>
      <c r="Y114" s="3"/>
      <c r="Z114" s="8"/>
      <c r="AA114"/>
    </row>
    <row r="115" spans="4:27" x14ac:dyDescent="0.2">
      <c r="T115" t="s">
        <v>98</v>
      </c>
      <c r="U115" s="119">
        <f>U113+U114</f>
        <v>28316.6</v>
      </c>
      <c r="V115" t="s">
        <v>163</v>
      </c>
      <c r="Y115" s="3"/>
      <c r="Z115" s="8"/>
      <c r="AA115"/>
    </row>
    <row r="116" spans="4:27" ht="19" x14ac:dyDescent="0.25">
      <c r="D116" s="123" t="s">
        <v>164</v>
      </c>
      <c r="E116" s="124"/>
      <c r="F116" s="124"/>
      <c r="G116" s="124"/>
      <c r="H116" s="124"/>
      <c r="T116" t="s">
        <v>150</v>
      </c>
      <c r="U116" s="80">
        <v>3147.52</v>
      </c>
      <c r="Y116" s="3"/>
      <c r="Z116" s="8"/>
      <c r="AA116"/>
    </row>
    <row r="117" spans="4:27" x14ac:dyDescent="0.2">
      <c r="D117" s="124"/>
      <c r="E117" s="124"/>
      <c r="F117" s="124"/>
      <c r="G117" s="124"/>
      <c r="H117" s="124"/>
      <c r="J117" s="125" t="s">
        <v>165</v>
      </c>
      <c r="K117" s="125"/>
      <c r="O117" s="8"/>
      <c r="P117" s="103"/>
      <c r="Q117" s="103"/>
      <c r="R117" s="103"/>
      <c r="S117" s="103"/>
      <c r="T117" t="s">
        <v>116</v>
      </c>
      <c r="U117" s="78">
        <f>(U115-U116)/12</f>
        <v>2097.4233333333332</v>
      </c>
      <c r="V117" t="s">
        <v>151</v>
      </c>
      <c r="Y117" s="3"/>
      <c r="Z117" s="8"/>
      <c r="AA117"/>
    </row>
    <row r="118" spans="4:27" x14ac:dyDescent="0.2">
      <c r="D118" s="124" t="s">
        <v>166</v>
      </c>
      <c r="E118" s="124"/>
      <c r="F118" s="124"/>
      <c r="G118" s="124"/>
      <c r="H118" s="124"/>
      <c r="J118" s="125"/>
      <c r="K118" s="125"/>
      <c r="O118" s="8"/>
      <c r="P118" s="103"/>
      <c r="Q118" s="103"/>
      <c r="R118" s="103"/>
      <c r="S118" s="103"/>
      <c r="T118" s="15"/>
      <c r="Y118" s="3"/>
      <c r="Z118" s="8"/>
      <c r="AA118"/>
    </row>
    <row r="119" spans="4:27" x14ac:dyDescent="0.2">
      <c r="D119" s="124" t="s">
        <v>167</v>
      </c>
      <c r="E119" s="124"/>
      <c r="F119" s="124"/>
      <c r="G119" s="124"/>
      <c r="H119" s="124"/>
      <c r="J119" s="125"/>
      <c r="K119" s="125"/>
      <c r="O119" s="8"/>
      <c r="P119" s="103"/>
      <c r="Q119" s="103"/>
      <c r="R119" s="103"/>
      <c r="S119" s="103"/>
      <c r="Y119" s="3"/>
      <c r="Z119" s="8"/>
      <c r="AA119"/>
    </row>
    <row r="120" spans="4:27" x14ac:dyDescent="0.2">
      <c r="D120" s="124"/>
      <c r="E120" s="124"/>
      <c r="F120" s="124"/>
      <c r="G120" s="124"/>
      <c r="H120" s="124"/>
      <c r="J120" s="125"/>
      <c r="K120" s="125"/>
      <c r="Y120" s="3"/>
      <c r="Z120" s="8"/>
      <c r="AA120"/>
    </row>
    <row r="121" spans="4:27" x14ac:dyDescent="0.2">
      <c r="D121" s="124" t="s">
        <v>168</v>
      </c>
      <c r="E121" s="124"/>
      <c r="F121" s="124"/>
      <c r="G121" s="124"/>
      <c r="H121" s="124"/>
      <c r="J121" s="125"/>
      <c r="K121" s="125"/>
      <c r="L121" t="s">
        <v>169</v>
      </c>
      <c r="S121" s="126" t="s">
        <v>170</v>
      </c>
      <c r="Y121" s="3"/>
      <c r="Z121" s="8"/>
      <c r="AA121"/>
    </row>
    <row r="122" spans="4:27" ht="15" customHeight="1" x14ac:dyDescent="0.2">
      <c r="D122" s="124"/>
      <c r="E122" s="124"/>
      <c r="F122" s="124"/>
      <c r="G122" s="124"/>
      <c r="H122" s="124"/>
      <c r="S122" s="8"/>
      <c r="Y122" s="3"/>
      <c r="Z122" s="8"/>
      <c r="AA122"/>
    </row>
    <row r="123" spans="4:27" ht="160" x14ac:dyDescent="0.2">
      <c r="D123" s="124"/>
      <c r="E123" s="127" t="s">
        <v>171</v>
      </c>
      <c r="F123" s="127" t="s">
        <v>172</v>
      </c>
      <c r="G123" s="127" t="s">
        <v>98</v>
      </c>
      <c r="H123" s="127" t="s">
        <v>173</v>
      </c>
      <c r="I123" s="127" t="s">
        <v>174</v>
      </c>
      <c r="J123" s="128" t="s">
        <v>175</v>
      </c>
      <c r="K123" s="127" t="s">
        <v>176</v>
      </c>
      <c r="L123" s="127" t="s">
        <v>177</v>
      </c>
      <c r="S123" s="25" t="s">
        <v>178</v>
      </c>
      <c r="T123" s="25"/>
      <c r="U123" s="25"/>
      <c r="Y123" s="3"/>
      <c r="Z123" s="8"/>
      <c r="AA123"/>
    </row>
    <row r="124" spans="4:27" x14ac:dyDescent="0.2">
      <c r="D124" s="124" t="s">
        <v>179</v>
      </c>
      <c r="E124" s="129">
        <v>800</v>
      </c>
      <c r="F124" s="129">
        <f>E124/4</f>
        <v>200</v>
      </c>
      <c r="G124" s="130">
        <f>E124+F124</f>
        <v>1000</v>
      </c>
      <c r="H124" s="131">
        <f>0.25*G124</f>
        <v>250</v>
      </c>
      <c r="I124" s="131">
        <f>G124-H124</f>
        <v>750</v>
      </c>
      <c r="J124" s="131">
        <f>0.2*I124</f>
        <v>150</v>
      </c>
      <c r="K124" s="131">
        <f>I124-J124</f>
        <v>600</v>
      </c>
      <c r="L124" s="131">
        <f>K124+H124</f>
        <v>850</v>
      </c>
      <c r="S124" s="25"/>
      <c r="T124" s="25"/>
      <c r="U124" s="25"/>
      <c r="Y124" s="3"/>
      <c r="Z124" s="8"/>
      <c r="AA124"/>
    </row>
    <row r="125" spans="4:27" x14ac:dyDescent="0.2">
      <c r="D125" s="124"/>
      <c r="E125" s="129">
        <v>4000</v>
      </c>
      <c r="F125" s="129">
        <f>E125/4</f>
        <v>1000</v>
      </c>
      <c r="G125" s="130">
        <f>E125+F125</f>
        <v>5000</v>
      </c>
      <c r="H125" s="131">
        <f>0.25*G125</f>
        <v>1250</v>
      </c>
      <c r="I125" s="131">
        <f>G125-H125</f>
        <v>3750</v>
      </c>
      <c r="J125" s="131">
        <f t="shared" ref="J125:J128" si="45">0.2*I125</f>
        <v>750</v>
      </c>
      <c r="K125" s="131">
        <f t="shared" ref="K125:K128" si="46">I125-J125</f>
        <v>3000</v>
      </c>
      <c r="L125" s="131">
        <f>K125+H125</f>
        <v>4250</v>
      </c>
      <c r="S125" s="25"/>
      <c r="T125" s="25"/>
      <c r="U125" s="25"/>
      <c r="Y125" s="3"/>
      <c r="Z125" s="8"/>
      <c r="AA125"/>
    </row>
    <row r="126" spans="4:27" x14ac:dyDescent="0.2">
      <c r="D126" s="124"/>
      <c r="E126" s="129">
        <v>5000</v>
      </c>
      <c r="F126" s="129">
        <f t="shared" ref="F126:F127" si="47">E126/4</f>
        <v>1250</v>
      </c>
      <c r="G126" s="130">
        <f t="shared" ref="G126:G127" si="48">E126+F126</f>
        <v>6250</v>
      </c>
      <c r="H126" s="131">
        <f>0.25*G126</f>
        <v>1562.5</v>
      </c>
      <c r="I126" s="131">
        <f>G126-H126</f>
        <v>4687.5</v>
      </c>
      <c r="J126" s="131">
        <f t="shared" si="45"/>
        <v>937.5</v>
      </c>
      <c r="K126" s="131">
        <f t="shared" si="46"/>
        <v>3750</v>
      </c>
      <c r="L126" s="131">
        <f>K126+H126</f>
        <v>5312.5</v>
      </c>
      <c r="S126" s="25"/>
      <c r="T126" s="25"/>
      <c r="U126" s="25"/>
      <c r="Y126" s="3"/>
      <c r="Z126" s="8"/>
      <c r="AA126"/>
    </row>
    <row r="127" spans="4:27" x14ac:dyDescent="0.2">
      <c r="D127" s="124"/>
      <c r="E127" s="129">
        <v>20000</v>
      </c>
      <c r="F127" s="129">
        <f t="shared" si="47"/>
        <v>5000</v>
      </c>
      <c r="G127" s="130">
        <f t="shared" si="48"/>
        <v>25000</v>
      </c>
      <c r="H127" s="131">
        <f>0.25*G127</f>
        <v>6250</v>
      </c>
      <c r="I127" s="131">
        <f>G127-H127</f>
        <v>18750</v>
      </c>
      <c r="J127" s="131">
        <f t="shared" si="45"/>
        <v>3750</v>
      </c>
      <c r="K127" s="131">
        <f t="shared" si="46"/>
        <v>15000</v>
      </c>
      <c r="L127" s="131">
        <f>K127+H127</f>
        <v>21250</v>
      </c>
      <c r="S127" s="8" t="s">
        <v>180</v>
      </c>
      <c r="Y127" s="3"/>
      <c r="Z127" s="8"/>
      <c r="AA127"/>
    </row>
    <row r="128" spans="4:27" x14ac:dyDescent="0.2">
      <c r="D128" s="8" t="s">
        <v>109</v>
      </c>
      <c r="G128" s="130">
        <v>1</v>
      </c>
      <c r="H128" s="131">
        <f>0.25*G128</f>
        <v>0.25</v>
      </c>
      <c r="I128" s="131">
        <f>G128-H128</f>
        <v>0.75</v>
      </c>
      <c r="J128" s="131">
        <f t="shared" si="45"/>
        <v>0.15000000000000002</v>
      </c>
      <c r="K128" s="131">
        <f t="shared" si="46"/>
        <v>0.6</v>
      </c>
      <c r="L128" s="131">
        <f>K128+H128</f>
        <v>0.85</v>
      </c>
      <c r="S128" s="8"/>
      <c r="Y128" s="3"/>
      <c r="Z128" s="8"/>
      <c r="AA128"/>
    </row>
    <row r="129" spans="4:27" ht="409.6" x14ac:dyDescent="0.2">
      <c r="S129" s="25" t="s">
        <v>181</v>
      </c>
      <c r="T129" s="25"/>
      <c r="U129" s="25"/>
      <c r="Y129" s="3"/>
      <c r="Z129" s="8"/>
      <c r="AA129"/>
    </row>
    <row r="130" spans="4:27" x14ac:dyDescent="0.2">
      <c r="D130" s="8" t="s">
        <v>182</v>
      </c>
      <c r="F130" s="127" t="s">
        <v>171</v>
      </c>
      <c r="G130" s="127" t="s">
        <v>172</v>
      </c>
      <c r="H130" s="127" t="s">
        <v>98</v>
      </c>
      <c r="Y130" s="3"/>
      <c r="Z130" s="8"/>
      <c r="AA130"/>
    </row>
    <row r="131" spans="4:27" x14ac:dyDescent="0.2">
      <c r="D131" s="8" t="s">
        <v>183</v>
      </c>
      <c r="F131" s="129">
        <v>1000</v>
      </c>
      <c r="G131" s="129">
        <f>F131/4</f>
        <v>250</v>
      </c>
      <c r="H131" s="130">
        <f>F131+G131</f>
        <v>1250</v>
      </c>
      <c r="Y131" s="3"/>
      <c r="Z131" s="8"/>
      <c r="AA131"/>
    </row>
    <row r="133" spans="4:27" x14ac:dyDescent="0.2">
      <c r="D133" s="132" t="s">
        <v>184</v>
      </c>
      <c r="E133" s="132"/>
      <c r="F133" s="132"/>
      <c r="G133">
        <v>10</v>
      </c>
      <c r="H133" s="133">
        <f>((100+G133)/100 * H131)</f>
        <v>1375</v>
      </c>
    </row>
    <row r="134" spans="4:27" x14ac:dyDescent="0.2">
      <c r="D134" s="132"/>
      <c r="E134" s="132"/>
      <c r="F134" s="132"/>
    </row>
    <row r="135" spans="4:27" x14ac:dyDescent="0.2">
      <c r="G135" t="s">
        <v>185</v>
      </c>
      <c r="H135" s="133">
        <f>0.75*20*H133/100</f>
        <v>206.25</v>
      </c>
    </row>
    <row r="136" spans="4:27" x14ac:dyDescent="0.2">
      <c r="G136" t="s">
        <v>186</v>
      </c>
      <c r="H136" s="103">
        <f>H133-H135-F131</f>
        <v>168.75</v>
      </c>
    </row>
    <row r="137" spans="4:27" x14ac:dyDescent="0.2">
      <c r="G137" t="s">
        <v>187</v>
      </c>
    </row>
    <row r="138" spans="4:27" x14ac:dyDescent="0.2">
      <c r="E138" s="34" t="s">
        <v>188</v>
      </c>
    </row>
    <row r="141" spans="4:27" x14ac:dyDescent="0.2">
      <c r="D141" s="8" t="s">
        <v>182</v>
      </c>
      <c r="E141" s="44"/>
      <c r="F141" s="83"/>
      <c r="G141" s="78"/>
    </row>
    <row r="142" spans="4:27" x14ac:dyDescent="0.2">
      <c r="D142" s="8" t="s">
        <v>189</v>
      </c>
      <c r="E142" s="44"/>
      <c r="F142" s="83">
        <v>5000</v>
      </c>
      <c r="G142" s="78"/>
    </row>
    <row r="143" spans="4:27" x14ac:dyDescent="0.2">
      <c r="E143" s="44" t="s">
        <v>190</v>
      </c>
      <c r="F143" s="83">
        <f>0.25*F142</f>
        <v>1250</v>
      </c>
      <c r="G143" s="78"/>
      <c r="I143" s="13"/>
    </row>
    <row r="144" spans="4:27" x14ac:dyDescent="0.2">
      <c r="E144" s="44" t="s">
        <v>191</v>
      </c>
      <c r="F144" s="83">
        <f>F142-F143</f>
        <v>3750</v>
      </c>
      <c r="G144" s="78"/>
      <c r="I144" s="13"/>
      <c r="J144" s="10"/>
      <c r="K144" s="10"/>
    </row>
    <row r="145" spans="4:11" x14ac:dyDescent="0.2">
      <c r="D145" s="79"/>
      <c r="E145" s="44" t="s">
        <v>185</v>
      </c>
      <c r="F145" s="83">
        <f>0.2*F144</f>
        <v>750</v>
      </c>
      <c r="G145" s="78"/>
      <c r="I145" s="13"/>
      <c r="J145" s="78"/>
    </row>
    <row r="146" spans="4:11" x14ac:dyDescent="0.2">
      <c r="D146" s="79"/>
      <c r="E146" s="44" t="s">
        <v>192</v>
      </c>
      <c r="F146" s="83">
        <f>F142-F145</f>
        <v>4250</v>
      </c>
      <c r="G146" s="78"/>
      <c r="I146" s="13"/>
      <c r="J146" s="78"/>
      <c r="K146" s="78"/>
    </row>
    <row r="147" spans="4:11" x14ac:dyDescent="0.2">
      <c r="D147" s="79" t="s">
        <v>193</v>
      </c>
      <c r="E147" s="44"/>
      <c r="F147" s="83">
        <f>F146</f>
        <v>4250</v>
      </c>
      <c r="G147" s="78"/>
      <c r="I147" s="13"/>
      <c r="J147" s="78"/>
      <c r="K147" s="78"/>
    </row>
    <row r="148" spans="4:11" x14ac:dyDescent="0.2">
      <c r="D148" s="79"/>
      <c r="E148" s="44" t="s">
        <v>194</v>
      </c>
      <c r="F148" s="83">
        <f>F147/4</f>
        <v>1062.5</v>
      </c>
      <c r="G148" s="78"/>
      <c r="I148" s="13"/>
      <c r="J148" s="78"/>
      <c r="K148" s="78"/>
    </row>
    <row r="149" spans="4:11" x14ac:dyDescent="0.2">
      <c r="D149" s="79"/>
      <c r="E149" s="44" t="s">
        <v>98</v>
      </c>
      <c r="F149" s="83">
        <f>F147+F148</f>
        <v>5312.5</v>
      </c>
      <c r="G149" s="78"/>
      <c r="I149" s="13"/>
      <c r="J149" s="78"/>
      <c r="K149" s="78"/>
    </row>
    <row r="150" spans="4:11" x14ac:dyDescent="0.2">
      <c r="D150" s="79" t="s">
        <v>195</v>
      </c>
      <c r="E150" s="44" t="s">
        <v>190</v>
      </c>
      <c r="F150" s="83">
        <f>0.25*F149</f>
        <v>1328.125</v>
      </c>
      <c r="G150" s="78"/>
      <c r="I150" s="13"/>
      <c r="J150" s="78"/>
      <c r="K150" s="78"/>
    </row>
    <row r="151" spans="4:11" x14ac:dyDescent="0.2">
      <c r="D151" s="79"/>
      <c r="E151" s="44" t="s">
        <v>191</v>
      </c>
      <c r="F151" s="83">
        <f>F149-F150</f>
        <v>3984.375</v>
      </c>
      <c r="G151" s="78"/>
      <c r="I151" s="13"/>
      <c r="J151" s="78"/>
      <c r="K151" s="78"/>
    </row>
    <row r="152" spans="4:11" x14ac:dyDescent="0.2">
      <c r="D152" s="79"/>
      <c r="E152" s="44" t="s">
        <v>185</v>
      </c>
      <c r="F152" s="83">
        <f>0.2*F151</f>
        <v>796.875</v>
      </c>
      <c r="G152" s="78"/>
      <c r="I152" s="13"/>
      <c r="J152" s="78"/>
      <c r="K152" s="78"/>
    </row>
    <row r="153" spans="4:11" x14ac:dyDescent="0.2">
      <c r="D153" s="79"/>
      <c r="E153" s="44" t="s">
        <v>192</v>
      </c>
      <c r="F153" s="83">
        <f>F149-F152</f>
        <v>4515.625</v>
      </c>
      <c r="G153" s="78"/>
      <c r="I153" s="13"/>
      <c r="J153" s="78"/>
      <c r="K153" s="78"/>
    </row>
    <row r="154" spans="4:11" x14ac:dyDescent="0.2">
      <c r="D154" s="79"/>
      <c r="E154" s="57" t="s">
        <v>186</v>
      </c>
      <c r="F154" s="83">
        <f>F153-F147</f>
        <v>265.625</v>
      </c>
      <c r="G154" s="78"/>
      <c r="I154" s="13"/>
      <c r="J154" s="78"/>
      <c r="K154" s="78"/>
    </row>
    <row r="155" spans="4:11" x14ac:dyDescent="0.2">
      <c r="D155" s="79"/>
      <c r="E155" s="44"/>
      <c r="F155" s="83"/>
      <c r="G155" s="78"/>
    </row>
    <row r="156" spans="4:11" x14ac:dyDescent="0.2">
      <c r="D156" s="79"/>
      <c r="E156" s="44"/>
      <c r="F156" s="83"/>
      <c r="G156" s="78"/>
      <c r="J156" s="10"/>
      <c r="K156" s="10"/>
    </row>
    <row r="157" spans="4:11" ht="19" x14ac:dyDescent="0.25">
      <c r="D157" s="134" t="s">
        <v>196</v>
      </c>
      <c r="E157" s="44"/>
      <c r="F157" s="83"/>
      <c r="G157" s="78"/>
    </row>
    <row r="158" spans="4:11" x14ac:dyDescent="0.2">
      <c r="D158" s="79"/>
      <c r="E158" s="44"/>
      <c r="F158" s="83"/>
      <c r="G158" s="78"/>
      <c r="J158" s="78"/>
      <c r="K158" s="78"/>
    </row>
    <row r="159" spans="4:11" x14ac:dyDescent="0.2">
      <c r="D159" s="135" t="s">
        <v>197</v>
      </c>
      <c r="E159" s="44"/>
      <c r="F159" s="83"/>
      <c r="G159" s="78"/>
      <c r="I159" s="13"/>
      <c r="J159" s="78"/>
      <c r="K159" s="78"/>
    </row>
    <row r="160" spans="4:11" x14ac:dyDescent="0.2">
      <c r="D160" s="79"/>
      <c r="E160" s="44"/>
      <c r="F160" s="83"/>
      <c r="G160" s="78"/>
      <c r="I160" s="13"/>
      <c r="J160" s="78"/>
      <c r="K160" s="78"/>
    </row>
    <row r="161" spans="4:11" x14ac:dyDescent="0.2">
      <c r="D161" s="79" t="s">
        <v>198</v>
      </c>
      <c r="E161" s="44"/>
      <c r="F161" s="83"/>
      <c r="G161" s="78"/>
      <c r="I161" s="13"/>
      <c r="J161" s="78"/>
      <c r="K161" s="78"/>
    </row>
    <row r="162" spans="4:11" x14ac:dyDescent="0.2">
      <c r="D162" s="79"/>
      <c r="E162" s="44"/>
      <c r="F162" s="83"/>
      <c r="G162" s="78"/>
      <c r="I162" s="13"/>
      <c r="J162" s="78"/>
      <c r="K162" s="78"/>
    </row>
    <row r="163" spans="4:11" x14ac:dyDescent="0.2">
      <c r="D163" s="79"/>
      <c r="E163" s="44"/>
      <c r="F163" s="83"/>
      <c r="G163" s="78"/>
      <c r="I163" s="13"/>
      <c r="J163" s="78"/>
      <c r="K163" s="78"/>
    </row>
    <row r="164" spans="4:11" x14ac:dyDescent="0.2">
      <c r="D164" s="79"/>
      <c r="E164" s="44"/>
      <c r="F164" s="83"/>
      <c r="G164" s="78"/>
      <c r="I164" s="13"/>
      <c r="J164" s="78"/>
    </row>
    <row r="165" spans="4:11" x14ac:dyDescent="0.2">
      <c r="D165" s="79"/>
      <c r="E165" s="44"/>
      <c r="F165" s="9"/>
      <c r="G165" s="78"/>
      <c r="I165" s="13"/>
      <c r="J165" s="78"/>
    </row>
    <row r="166" spans="4:11" x14ac:dyDescent="0.2">
      <c r="D166" s="79"/>
      <c r="E166" s="44"/>
      <c r="F166" s="83"/>
      <c r="G166" s="78"/>
      <c r="I166" s="13"/>
      <c r="J166" s="78"/>
    </row>
    <row r="167" spans="4:11" x14ac:dyDescent="0.2">
      <c r="D167" s="79"/>
      <c r="E167" s="44"/>
      <c r="F167" s="83"/>
      <c r="G167" s="78"/>
      <c r="I167" s="13"/>
      <c r="J167" s="78"/>
    </row>
    <row r="168" spans="4:11" x14ac:dyDescent="0.2">
      <c r="D168" s="79"/>
      <c r="E168" s="44"/>
      <c r="F168" s="14"/>
      <c r="G168" s="78"/>
      <c r="I168" s="13"/>
      <c r="J168" s="78"/>
    </row>
    <row r="169" spans="4:11" x14ac:dyDescent="0.2">
      <c r="D169" s="79"/>
      <c r="E169" s="44"/>
      <c r="F169" s="14"/>
      <c r="G169" s="14"/>
      <c r="H169" s="14"/>
      <c r="I169" s="13"/>
      <c r="J169" s="78"/>
    </row>
    <row r="170" spans="4:11" x14ac:dyDescent="0.2">
      <c r="D170" s="79"/>
      <c r="E170" s="80"/>
      <c r="F170" s="78"/>
      <c r="G170" s="119"/>
      <c r="I170" s="13"/>
      <c r="J170" s="119"/>
    </row>
    <row r="171" spans="4:11" x14ac:dyDescent="0.2">
      <c r="D171" s="79"/>
      <c r="E171" s="80"/>
      <c r="F171" s="78"/>
      <c r="G171" s="78"/>
      <c r="I171" s="13"/>
      <c r="J171" s="78"/>
    </row>
  </sheetData>
  <mergeCells count="22">
    <mergeCell ref="J117:K121"/>
    <mergeCell ref="D133:F134"/>
    <mergeCell ref="J6:L11"/>
    <mergeCell ref="AZ11:BC14"/>
    <mergeCell ref="CI11:CM15"/>
    <mergeCell ref="F13:I15"/>
    <mergeCell ref="AN15:AS15"/>
    <mergeCell ref="K108:M108"/>
    <mergeCell ref="BF2:BL2"/>
    <mergeCell ref="BN2:BT2"/>
    <mergeCell ref="BV2:CD2"/>
    <mergeCell ref="CH2:CN2"/>
    <mergeCell ref="D5:E5"/>
    <mergeCell ref="I5:M5"/>
    <mergeCell ref="AU5:BD5"/>
    <mergeCell ref="BF5:BK5"/>
    <mergeCell ref="A1:AC1"/>
    <mergeCell ref="D2:M2"/>
    <mergeCell ref="O2:X2"/>
    <mergeCell ref="AB2:AK2"/>
    <mergeCell ref="AM2:AS2"/>
    <mergeCell ref="AU2:BD2"/>
  </mergeCells>
  <conditionalFormatting sqref="J79:J106">
    <cfRule type="colorScale" priority="4">
      <colorScale>
        <cfvo type="min"/>
        <cfvo type="percentile" val="50"/>
        <cfvo type="max"/>
        <color rgb="FFF8696B"/>
        <color rgb="FFFFEB84"/>
        <color rgb="FF63BE7B"/>
      </colorScale>
    </cfRule>
  </conditionalFormatting>
  <conditionalFormatting sqref="K21:K49">
    <cfRule type="colorScale" priority="5">
      <colorScale>
        <cfvo type="min"/>
        <cfvo type="percentile" val="50"/>
        <cfvo type="max"/>
        <color rgb="FFF8696B"/>
        <color rgb="FFFFEB84"/>
        <color rgb="FF63BE7B"/>
      </colorScale>
    </cfRule>
  </conditionalFormatting>
  <conditionalFormatting sqref="K79:K106">
    <cfRule type="colorScale" priority="3">
      <colorScale>
        <cfvo type="min"/>
        <cfvo type="percentile" val="50"/>
        <cfvo type="max"/>
        <color rgb="FFF8696B"/>
        <color rgb="FFFFEB84"/>
        <color rgb="FF63BE7B"/>
      </colorScale>
    </cfRule>
  </conditionalFormatting>
  <conditionalFormatting sqref="L21:L49">
    <cfRule type="colorScale" priority="6">
      <colorScale>
        <cfvo type="min"/>
        <cfvo type="percentile" val="50"/>
        <cfvo type="max"/>
        <color rgb="FFF8696B"/>
        <color rgb="FFFFEB84"/>
        <color rgb="FF63BE7B"/>
      </colorScale>
    </cfRule>
  </conditionalFormatting>
  <conditionalFormatting sqref="AJ21:AJ23">
    <cfRule type="colorScale" priority="7">
      <colorScale>
        <cfvo type="min"/>
        <cfvo type="percentile" val="50"/>
        <cfvo type="max"/>
        <color rgb="FFF8696B"/>
        <color rgb="FFFFEB84"/>
        <color rgb="FF63BE7B"/>
      </colorScale>
    </cfRule>
  </conditionalFormatting>
  <conditionalFormatting sqref="AQ21:AQ58">
    <cfRule type="colorScale" priority="8">
      <colorScale>
        <cfvo type="min"/>
        <cfvo type="percentile" val="50"/>
        <cfvo type="max"/>
        <color rgb="FFF8696B"/>
        <color rgb="FFFFEB84"/>
        <color rgb="FF63BE7B"/>
      </colorScale>
    </cfRule>
  </conditionalFormatting>
  <conditionalFormatting sqref="AS21:AS58">
    <cfRule type="colorScale" priority="9">
      <colorScale>
        <cfvo type="min"/>
        <cfvo type="percentile" val="50"/>
        <cfvo type="max"/>
        <color rgb="FFF8696B"/>
        <color rgb="FFFFEB84"/>
        <color rgb="FF63BE7B"/>
      </colorScale>
    </cfRule>
  </conditionalFormatting>
  <conditionalFormatting sqref="BB21:BB57">
    <cfRule type="colorScale" priority="10">
      <colorScale>
        <cfvo type="min"/>
        <cfvo type="percentile" val="50"/>
        <cfvo type="max"/>
        <color rgb="FFF8696B"/>
        <color rgb="FFFFEB84"/>
        <color rgb="FF63BE7B"/>
      </colorScale>
    </cfRule>
  </conditionalFormatting>
  <conditionalFormatting sqref="BC21:BC57">
    <cfRule type="colorScale" priority="11">
      <colorScale>
        <cfvo type="min"/>
        <cfvo type="percentile" val="50"/>
        <cfvo type="max"/>
        <color rgb="FFF8696B"/>
        <color rgb="FFFFEB84"/>
        <color rgb="FF63BE7B"/>
      </colorScale>
    </cfRule>
  </conditionalFormatting>
  <conditionalFormatting sqref="BJ21:BJ58">
    <cfRule type="colorScale" priority="12">
      <colorScale>
        <cfvo type="min"/>
        <cfvo type="percentile" val="50"/>
        <cfvo type="max"/>
        <color rgb="FFF8696B"/>
        <color rgb="FFFFEB84"/>
        <color rgb="FF63BE7B"/>
      </colorScale>
    </cfRule>
  </conditionalFormatting>
  <conditionalFormatting sqref="BL21:BL58">
    <cfRule type="colorScale" priority="13">
      <colorScale>
        <cfvo type="min"/>
        <cfvo type="percentile" val="50"/>
        <cfvo type="max"/>
        <color rgb="FFF8696B"/>
        <color rgb="FFFFEB84"/>
        <color rgb="FF63BE7B"/>
      </colorScale>
    </cfRule>
  </conditionalFormatting>
  <conditionalFormatting sqref="BR21:BR56">
    <cfRule type="colorScale" priority="14">
      <colorScale>
        <cfvo type="min"/>
        <cfvo type="percentile" val="50"/>
        <cfvo type="max"/>
        <color rgb="FFF8696B"/>
        <color rgb="FFFFEB84"/>
        <color rgb="FF63BE7B"/>
      </colorScale>
    </cfRule>
  </conditionalFormatting>
  <conditionalFormatting sqref="BT21:BT56">
    <cfRule type="colorScale" priority="15">
      <colorScale>
        <cfvo type="min"/>
        <cfvo type="percentile" val="50"/>
        <cfvo type="max"/>
        <color rgb="FFF8696B"/>
        <color rgb="FFFFEB84"/>
        <color rgb="FF63BE7B"/>
      </colorScale>
    </cfRule>
  </conditionalFormatting>
  <conditionalFormatting sqref="CN21:CN57">
    <cfRule type="colorScale" priority="16">
      <colorScale>
        <cfvo type="min"/>
        <cfvo type="percentile" val="50"/>
        <cfvo type="max"/>
        <color rgb="FFF8696B"/>
        <color rgb="FFFFEB84"/>
        <color rgb="FF63BE7B"/>
      </colorScale>
    </cfRule>
  </conditionalFormatting>
  <conditionalFormatting sqref="V21">
    <cfRule type="colorScale" priority="1">
      <colorScale>
        <cfvo type="min"/>
        <cfvo type="percentile" val="50"/>
        <cfvo type="max"/>
        <color rgb="FFF8696B"/>
        <color rgb="FFFFEB84"/>
        <color rgb="FF63BE7B"/>
      </colorScale>
    </cfRule>
  </conditionalFormatting>
  <conditionalFormatting sqref="W21">
    <cfRule type="colorScale" priority="2">
      <colorScale>
        <cfvo type="min"/>
        <cfvo type="percentile" val="50"/>
        <cfvo type="max"/>
        <color rgb="FFF8696B"/>
        <color rgb="FFFFEB84"/>
        <color rgb="FF63BE7B"/>
      </colorScale>
    </cfRule>
  </conditionalFormatting>
  <hyperlinks>
    <hyperlink ref="CH9" r:id="rId1" xr:uid="{A7899E2D-41A9-0744-90CA-4E22D8BD0C87}"/>
    <hyperlink ref="AU6" r:id="rId2" xr:uid="{DE83258B-A622-104B-BDB6-37F7E6D6D13D}"/>
    <hyperlink ref="BF12" r:id="rId3" xr:uid="{1D861B0C-7C3A-E04A-B945-F870D3E76726}"/>
    <hyperlink ref="BN7" r:id="rId4" xr:uid="{A8DE415B-758E-E045-B78C-2FF89DCAAEA4}"/>
    <hyperlink ref="CH8" r:id="rId5" xr:uid="{FF428EF3-4FDB-CA4C-918B-202C77D892D3}"/>
    <hyperlink ref="AO6" r:id="rId6" xr:uid="{406B1A4B-0411-CC4C-B3FC-0F58DA7501F4}"/>
    <hyperlink ref="CH5" r:id="rId7" xr:uid="{1C4A5F47-82AE-FC4B-A4B1-3CDBF6220831}"/>
    <hyperlink ref="AM13" r:id="rId8" xr:uid="{8D687749-0114-5042-87B8-6AB9FC194B71}"/>
    <hyperlink ref="W78" r:id="rId9" xr:uid="{55631405-87E2-0147-9A88-AA930629B0EC}"/>
    <hyperlink ref="T81" r:id="rId10" xr:uid="{3CB5D543-5EB8-9544-AF58-50855AD9B1CB}"/>
    <hyperlink ref="AN14" r:id="rId11" xr:uid="{3AD20614-C620-C241-A527-E27F80B81330}"/>
    <hyperlink ref="AX4" r:id="rId12" xr:uid="{FF435D9B-9723-A64B-9213-24C2D9D8CA2D}"/>
    <hyperlink ref="BF4" r:id="rId13" xr:uid="{FED0F19F-A268-A547-AD11-DD7DB9497CBB}"/>
    <hyperlink ref="D6" r:id="rId14" xr:uid="{7D79D16F-57F4-444A-B3DC-DCEBE25951D6}"/>
    <hyperlink ref="D159" r:id="rId15" xr:uid="{F63A95CA-8AE4-D949-B8DC-2FB76BFBAC56}"/>
    <hyperlink ref="BA6" r:id="rId16" xr:uid="{3B305711-1937-1840-9A58-9B947AEC097F}"/>
    <hyperlink ref="AB6" r:id="rId17" xr:uid="{D73B3A76-3C58-7E45-BCA6-11BF6BE479C4}"/>
    <hyperlink ref="O6" r:id="rId18" xr:uid="{84D159B9-ECBC-C749-838A-9C7809E8317C}"/>
  </hyperlinks>
  <pageMargins left="0.7" right="0.7" top="0.75" bottom="0.75" header="0.3" footer="0.3"/>
  <pageSetup paperSize="9" orientation="portrait" r:id="rId19"/>
  <drawing r:id="rId20"/>
  <legacy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Pensions New</vt:lpstr>
      <vt:lpstr>'Pensions New'!STANDARD_LIFE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Gillian Bladen-Clark</dc:creator>
  <cp:lastModifiedBy>Gillian Bladen-Clark</cp:lastModifiedBy>
  <dcterms:created xsi:type="dcterms:W3CDTF">2025-08-26T19:12:38Z</dcterms:created>
  <dcterms:modified xsi:type="dcterms:W3CDTF">2025-08-26T19:13:24Z</dcterms:modified>
</cp:coreProperties>
</file>