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ag\i CAN code\What that R do tho\prob and stats hw\semester-project-mayagekosky\"/>
    </mc:Choice>
  </mc:AlternateContent>
  <xr:revisionPtr revIDLastSave="0" documentId="13_ncr:1_{65622609-E136-435F-BA13-55C26C7712D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rmalized Data" sheetId="5" r:id="rId1"/>
    <sheet name="OG Results" sheetId="1" r:id="rId2"/>
    <sheet name="Totals for normal" sheetId="3" r:id="rId3"/>
    <sheet name="QC" sheetId="2" r:id="rId4"/>
  </sheets>
  <definedNames>
    <definedName name="_xlnm.Print_Titles" localSheetId="0">'Normalized Data'!$A:$A,'Normalized Data'!$1:$6</definedName>
    <definedName name="_xlnm.Print_Titles" localSheetId="1">'OG Results'!$A:$A,'OG Results'!$1:$6</definedName>
    <definedName name="_xlnm.Print_Titles" localSheetId="3">QC!$A:$A,QC!$1:$6</definedName>
    <definedName name="_xlnm.Print_Titles" localSheetId="2">'Totals for normal'!$A:$A,'Totals for normal'!$1:$6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5" l="1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K7" i="5"/>
  <c r="J7" i="5"/>
  <c r="I7" i="5"/>
  <c r="H7" i="5"/>
  <c r="G7" i="5"/>
  <c r="B7" i="5"/>
  <c r="C7" i="5"/>
  <c r="D7" i="5"/>
  <c r="E7" i="5"/>
  <c r="F7" i="5"/>
  <c r="L8" i="3"/>
  <c r="L9" i="3"/>
  <c r="L10" i="3"/>
  <c r="L11" i="3"/>
  <c r="L12" i="3"/>
  <c r="L13" i="3"/>
  <c r="L14" i="3"/>
  <c r="L15" i="3"/>
  <c r="L16" i="3"/>
  <c r="L17" i="3"/>
  <c r="L18" i="3"/>
  <c r="L19" i="3"/>
  <c r="L7" i="3"/>
</calcChain>
</file>

<file path=xl/sharedStrings.xml><?xml version="1.0" encoding="utf-8"?>
<sst xmlns="http://schemas.openxmlformats.org/spreadsheetml/2006/main" count="1113" uniqueCount="126">
  <si>
    <t>Report Number: A24-06465</t>
  </si>
  <si>
    <t>Report Date: 3/7/2024</t>
  </si>
  <si>
    <t>Analyte Symbol</t>
  </si>
  <si>
    <t>SiO2</t>
  </si>
  <si>
    <t>Al2O3</t>
  </si>
  <si>
    <t>Fe2O3(T)</t>
  </si>
  <si>
    <t>MnO</t>
  </si>
  <si>
    <t>MgO</t>
  </si>
  <si>
    <t>CaO</t>
  </si>
  <si>
    <t>Na2O</t>
  </si>
  <si>
    <t>K2O</t>
  </si>
  <si>
    <t>TiO2</t>
  </si>
  <si>
    <t>P2O5</t>
  </si>
  <si>
    <t>LOI</t>
  </si>
  <si>
    <t>Total</t>
  </si>
  <si>
    <t>Sc</t>
  </si>
  <si>
    <t>Be</t>
  </si>
  <si>
    <t>V</t>
  </si>
  <si>
    <t>Cr</t>
  </si>
  <si>
    <t>Co</t>
  </si>
  <si>
    <t>Ni</t>
  </si>
  <si>
    <t>Cu</t>
  </si>
  <si>
    <t>Zn</t>
  </si>
  <si>
    <t>Ga</t>
  </si>
  <si>
    <t>Ge</t>
  </si>
  <si>
    <t>As</t>
  </si>
  <si>
    <t>Rb</t>
  </si>
  <si>
    <t>Sr</t>
  </si>
  <si>
    <t>Y</t>
  </si>
  <si>
    <t>Zr</t>
  </si>
  <si>
    <t>Nb</t>
  </si>
  <si>
    <t>Mo</t>
  </si>
  <si>
    <t>Ag</t>
  </si>
  <si>
    <t>In</t>
  </si>
  <si>
    <t>Sn</t>
  </si>
  <si>
    <t>Sb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</si>
  <si>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</si>
  <si>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</si>
  <si>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</si>
  <si>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</si>
  <si>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</si>
  <si>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</si>
  <si>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</si>
  <si>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</si>
  <si>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</si>
  <si>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</si>
  <si>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</si>
  <si>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</si>
  <si>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</si>
  <si>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</si>
  <si>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</si>
  <si>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</si>
  <si>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</si>
  <si>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</si>
  <si>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</si>
  <si>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Tl</t>
  </si>
  <si>
    <t>Pb</t>
  </si>
  <si>
    <t>Bi</t>
  </si>
  <si>
    <t>Th</t>
  </si>
  <si>
    <t>U</t>
  </si>
  <si>
    <t>Unit Symbol</t>
  </si>
  <si>
    <t>%</t>
  </si>
  <si>
    <t>ppm</t>
  </si>
  <si>
    <t>Detection Limit</t>
  </si>
  <si>
    <t>Analysis Method</t>
  </si>
  <si>
    <t>FUS-ICP</t>
  </si>
  <si>
    <t>GRAV</t>
  </si>
  <si>
    <t>FUS-MS</t>
  </si>
  <si>
    <t>HCM04-C2</t>
  </si>
  <si>
    <t>&lt; 20</t>
  </si>
  <si>
    <t>&lt; 5</t>
  </si>
  <si>
    <t>&lt; 0.5</t>
  </si>
  <si>
    <t>&lt; 0.2</t>
  </si>
  <si>
    <t>&lt; 0.1</t>
  </si>
  <si>
    <t>HCM04-E1</t>
  </si>
  <si>
    <t>HCM04-E2</t>
  </si>
  <si>
    <t>&lt; 2</t>
  </si>
  <si>
    <t>HCM04-F1</t>
  </si>
  <si>
    <t>HCM04-F2</t>
  </si>
  <si>
    <t>HCM05-A</t>
  </si>
  <si>
    <t>&lt; 10</t>
  </si>
  <si>
    <t>HCM05-B</t>
  </si>
  <si>
    <t>&lt; 30</t>
  </si>
  <si>
    <t>HCM06-A</t>
  </si>
  <si>
    <t>HCM06-B</t>
  </si>
  <si>
    <t>HCM14</t>
  </si>
  <si>
    <t>HCM15</t>
  </si>
  <si>
    <t>HCM16-A</t>
  </si>
  <si>
    <t>HCM19</t>
  </si>
  <si>
    <t>NIST 694 Meas</t>
  </si>
  <si>
    <t>NIST 694 Cert</t>
  </si>
  <si>
    <t>NCS DC71305 (GBW 07113) Meas</t>
  </si>
  <si>
    <t>NCS DC71305 (GBW 07113) Cert</t>
  </si>
  <si>
    <t>NIST 696 Meas</t>
  </si>
  <si>
    <t>&lt; 0.005</t>
  </si>
  <si>
    <t>&lt; 0.01</t>
  </si>
  <si>
    <t>NIST 696 Cert</t>
  </si>
  <si>
    <t>SY-4 Meas</t>
  </si>
  <si>
    <t>SY-4 Cert</t>
  </si>
  <si>
    <t>OREAS 101b (Fusion) Meas</t>
  </si>
  <si>
    <t>OREAS 101b (Fusion) Cert</t>
  </si>
  <si>
    <t>NCS DC86318 Meas</t>
  </si>
  <si>
    <t>&gt; 10000</t>
  </si>
  <si>
    <t>&gt; 2000</t>
  </si>
  <si>
    <t>&gt; 1000</t>
  </si>
  <si>
    <t>NCS DC86318 Cert</t>
  </si>
  <si>
    <t>USZ-25-2006 /RARE-EARTH ORE CGL 111 Meas</t>
  </si>
  <si>
    <t>&gt; 3000</t>
  </si>
  <si>
    <t>USZ-25-2006 /RARE-EARTH ORE CGL 111 Cert</t>
  </si>
  <si>
    <t>DNC-1a Meas</t>
  </si>
  <si>
    <t>DNC-1a Cert</t>
  </si>
  <si>
    <t>BHVO-2 Meas</t>
  </si>
  <si>
    <t>BHVO-2 Cert</t>
  </si>
  <si>
    <t>USZ-42-2006 /RARE-EARTH ORE CGL 124 Meas</t>
  </si>
  <si>
    <t>USZ-42-2006 /RARE-EARTH ORE CGL 124 Cert</t>
  </si>
  <si>
    <t>REE-1 Meas</t>
  </si>
  <si>
    <t>REE-1 Cert</t>
  </si>
  <si>
    <t>W-2b Meas</t>
  </si>
  <si>
    <t>&lt; 1</t>
  </si>
  <si>
    <t>W-2b Cert</t>
  </si>
  <si>
    <t>HCM04-E2 Orig</t>
  </si>
  <si>
    <t>HCM04-E2 Dup</t>
  </si>
  <si>
    <t>Method Blank</t>
  </si>
  <si>
    <t>&lt; 0.05</t>
  </si>
  <si>
    <t>&lt; 0.002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</si>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</sst>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8BC7-6957-41E1-B805-00F8812DEA41}">
  <dimension ref="A1:BD19"/>
  <sheetViews>
    <sheetView tabSelected="1" workbookViewId="0">
      <pane xSplit="1" ySplit="6" topLeftCell="B9" activePane="bottomRight" state="frozen"/>
      <selection pane="topRight"/>
      <selection pane="bottomLeft"/>
      <selection pane="bottomRight" activeCell="H22" sqref="H22"/>
    </sheetView>
  </sheetViews>
  <sheetFormatPr defaultRowHeight="15" x14ac:dyDescent="0.25"/>
  <cols>
    <col min="1" max="1" width="25.5703125" style="1" bestFit="1" customWidth="1"/>
    <col min="2" max="56" width="19" style="3" customWidth="1"/>
  </cols>
  <sheetData>
    <row r="1" spans="1:56" x14ac:dyDescent="0.25">
      <c r="A1" s="2" t="s">
        <v>0</v>
      </c>
    </row>
    <row r="2" spans="1:56" x14ac:dyDescent="0.25">
      <c r="A2" s="4" t="s">
        <v>1</v>
      </c>
    </row>
    <row r="3" spans="1:56" x14ac:dyDescent="0.25">
      <c r="A3" s="2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  <c r="S3" s="4" t="s">
        <v>22</v>
      </c>
      <c r="T3" s="4" t="s">
        <v>23</v>
      </c>
      <c r="U3" s="4" t="s">
        <v>24</v>
      </c>
      <c r="V3" s="4" t="s">
        <v>25</v>
      </c>
      <c r="W3" s="4" t="s">
        <v>26</v>
      </c>
      <c r="X3" s="4" t="s">
        <v>27</v>
      </c>
      <c r="Y3" s="4" t="s">
        <v>28</v>
      </c>
      <c r="Z3" s="4" t="s">
        <v>29</v>
      </c>
      <c r="AA3" s="4" t="s">
        <v>30</v>
      </c>
      <c r="AB3" s="4" t="s">
        <v>31</v>
      </c>
      <c r="AC3" s="4" t="s">
        <v>32</v>
      </c>
      <c r="AD3" s="4" t="s">
        <v>33</v>
      </c>
      <c r="AE3" s="4" t="s">
        <v>34</v>
      </c>
      <c r="AF3" s="4" t="s">
        <v>35</v>
      </c>
      <c r="AG3" s="4" t="s">
        <v>36</v>
      </c>
      <c r="AH3" s="4" t="s">
        <v>37</v>
      </c>
      <c r="AI3" s="4" t="s">
        <v>38</v>
      </c>
      <c r="AJ3" s="4" t="s">
        <v>39</v>
      </c>
      <c r="AK3" s="4" t="s">
        <v>40</v>
      </c>
      <c r="AL3" s="4" t="s">
        <v>41</v>
      </c>
      <c r="AM3" s="4" t="s">
        <v>42</v>
      </c>
      <c r="AN3" s="4" t="s">
        <v>43</v>
      </c>
      <c r="AO3" s="4" t="s">
        <v>44</v>
      </c>
      <c r="AP3" s="4" t="s">
        <v>45</v>
      </c>
      <c r="AQ3" s="4" t="s">
        <v>46</v>
      </c>
      <c r="AR3" s="4" t="s">
        <v>47</v>
      </c>
      <c r="AS3" s="4" t="s">
        <v>48</v>
      </c>
      <c r="AT3" s="4" t="s">
        <v>49</v>
      </c>
      <c r="AU3" s="4" t="s">
        <v>50</v>
      </c>
      <c r="AV3" s="4" t="s">
        <v>51</v>
      </c>
      <c r="AW3" s="4" t="s">
        <v>52</v>
      </c>
      <c r="AX3" s="4" t="s">
        <v>53</v>
      </c>
      <c r="AY3" s="4" t="s">
        <v>54</v>
      </c>
      <c r="AZ3" s="4" t="s">
        <v>55</v>
      </c>
      <c r="BA3" s="4" t="s">
        <v>56</v>
      </c>
      <c r="BB3" s="4" t="s">
        <v>57</v>
      </c>
      <c r="BC3" s="4" t="s">
        <v>58</v>
      </c>
      <c r="BD3" s="4" t="s">
        <v>59</v>
      </c>
    </row>
    <row r="4" spans="1:56" x14ac:dyDescent="0.25">
      <c r="A4" s="2" t="s">
        <v>60</v>
      </c>
      <c r="B4" s="4" t="s">
        <v>61</v>
      </c>
      <c r="C4" s="4" t="s">
        <v>61</v>
      </c>
      <c r="D4" s="4" t="s">
        <v>61</v>
      </c>
      <c r="E4" s="4" t="s">
        <v>61</v>
      </c>
      <c r="F4" s="4" t="s">
        <v>61</v>
      </c>
      <c r="G4" s="4" t="s">
        <v>61</v>
      </c>
      <c r="H4" s="4" t="s">
        <v>61</v>
      </c>
      <c r="I4" s="4" t="s">
        <v>61</v>
      </c>
      <c r="J4" s="4" t="s">
        <v>61</v>
      </c>
      <c r="K4" s="4" t="s">
        <v>61</v>
      </c>
      <c r="L4" s="4" t="s">
        <v>62</v>
      </c>
      <c r="M4" s="4" t="s">
        <v>62</v>
      </c>
      <c r="N4" s="4" t="s">
        <v>62</v>
      </c>
      <c r="O4" s="4" t="s">
        <v>62</v>
      </c>
      <c r="P4" s="4" t="s">
        <v>62</v>
      </c>
      <c r="Q4" s="4" t="s">
        <v>62</v>
      </c>
      <c r="R4" s="4" t="s">
        <v>62</v>
      </c>
      <c r="S4" s="4" t="s">
        <v>62</v>
      </c>
      <c r="T4" s="4" t="s">
        <v>62</v>
      </c>
      <c r="U4" s="4" t="s">
        <v>62</v>
      </c>
      <c r="V4" s="4" t="s">
        <v>62</v>
      </c>
      <c r="W4" s="4" t="s">
        <v>62</v>
      </c>
      <c r="X4" s="4" t="s">
        <v>62</v>
      </c>
      <c r="Y4" s="4" t="s">
        <v>62</v>
      </c>
      <c r="Z4" s="4" t="s">
        <v>62</v>
      </c>
      <c r="AA4" s="4" t="s">
        <v>62</v>
      </c>
      <c r="AB4" s="4" t="s">
        <v>62</v>
      </c>
      <c r="AC4" s="4" t="s">
        <v>62</v>
      </c>
      <c r="AD4" s="4" t="s">
        <v>62</v>
      </c>
      <c r="AE4" s="4" t="s">
        <v>62</v>
      </c>
      <c r="AF4" s="4" t="s">
        <v>62</v>
      </c>
      <c r="AG4" s="4" t="s">
        <v>62</v>
      </c>
      <c r="AH4" s="4" t="s">
        <v>62</v>
      </c>
      <c r="AI4" s="4" t="s">
        <v>62</v>
      </c>
      <c r="AJ4" s="4" t="s">
        <v>62</v>
      </c>
      <c r="AK4" s="4" t="s">
        <v>62</v>
      </c>
      <c r="AL4" s="4" t="s">
        <v>62</v>
      </c>
      <c r="AM4" s="4" t="s">
        <v>62</v>
      </c>
      <c r="AN4" s="4" t="s">
        <v>62</v>
      </c>
      <c r="AO4" s="4" t="s">
        <v>62</v>
      </c>
      <c r="AP4" s="4" t="s">
        <v>62</v>
      </c>
      <c r="AQ4" s="4" t="s">
        <v>62</v>
      </c>
      <c r="AR4" s="4" t="s">
        <v>62</v>
      </c>
      <c r="AS4" s="4" t="s">
        <v>62</v>
      </c>
      <c r="AT4" s="4" t="s">
        <v>62</v>
      </c>
      <c r="AU4" s="4" t="s">
        <v>62</v>
      </c>
      <c r="AV4" s="4" t="s">
        <v>62</v>
      </c>
      <c r="AW4" s="4" t="s">
        <v>62</v>
      </c>
      <c r="AX4" s="4" t="s">
        <v>62</v>
      </c>
      <c r="AY4" s="4" t="s">
        <v>62</v>
      </c>
      <c r="AZ4" s="4" t="s">
        <v>62</v>
      </c>
      <c r="BA4" s="4" t="s">
        <v>62</v>
      </c>
      <c r="BB4" s="4" t="s">
        <v>62</v>
      </c>
      <c r="BC4" s="4" t="s">
        <v>62</v>
      </c>
      <c r="BD4" s="4" t="s">
        <v>62</v>
      </c>
    </row>
    <row r="5" spans="1:56" x14ac:dyDescent="0.25">
      <c r="A5" s="2" t="s">
        <v>63</v>
      </c>
      <c r="B5" s="4">
        <v>0.01</v>
      </c>
      <c r="C5" s="4">
        <v>0.01</v>
      </c>
      <c r="D5" s="4">
        <v>0.01</v>
      </c>
      <c r="E5" s="4">
        <v>5.0000000000000001E-3</v>
      </c>
      <c r="F5" s="4">
        <v>0.01</v>
      </c>
      <c r="G5" s="4">
        <v>0.01</v>
      </c>
      <c r="H5" s="4">
        <v>0.01</v>
      </c>
      <c r="I5" s="4">
        <v>0.01</v>
      </c>
      <c r="J5" s="4">
        <v>1E-3</v>
      </c>
      <c r="K5" s="4">
        <v>0.01</v>
      </c>
      <c r="L5" s="4">
        <v>1</v>
      </c>
      <c r="M5" s="4">
        <v>1</v>
      </c>
      <c r="N5" s="4">
        <v>5</v>
      </c>
      <c r="O5" s="4">
        <v>20</v>
      </c>
      <c r="P5" s="4">
        <v>1</v>
      </c>
      <c r="Q5" s="4">
        <v>20</v>
      </c>
      <c r="R5" s="4">
        <v>10</v>
      </c>
      <c r="S5" s="4">
        <v>30</v>
      </c>
      <c r="T5" s="4">
        <v>1</v>
      </c>
      <c r="U5" s="4">
        <v>0.5</v>
      </c>
      <c r="V5" s="4">
        <v>5</v>
      </c>
      <c r="W5" s="4">
        <v>1</v>
      </c>
      <c r="X5" s="4">
        <v>2</v>
      </c>
      <c r="Y5" s="4">
        <v>0.5</v>
      </c>
      <c r="Z5" s="4">
        <v>1</v>
      </c>
      <c r="AA5" s="4">
        <v>0.2</v>
      </c>
      <c r="AB5" s="4">
        <v>2</v>
      </c>
      <c r="AC5" s="4">
        <v>0.5</v>
      </c>
      <c r="AD5" s="4">
        <v>0.1</v>
      </c>
      <c r="AE5" s="4">
        <v>1</v>
      </c>
      <c r="AF5" s="4">
        <v>0.2</v>
      </c>
      <c r="AG5" s="4">
        <v>0.1</v>
      </c>
      <c r="AH5" s="4">
        <v>2</v>
      </c>
      <c r="AI5" s="4">
        <v>0.05</v>
      </c>
      <c r="AJ5" s="4">
        <v>0.05</v>
      </c>
      <c r="AK5" s="4">
        <v>0.01</v>
      </c>
      <c r="AL5" s="4">
        <v>0.05</v>
      </c>
      <c r="AM5" s="4">
        <v>0.01</v>
      </c>
      <c r="AN5" s="4">
        <v>5.0000000000000001E-3</v>
      </c>
      <c r="AO5" s="4">
        <v>0.01</v>
      </c>
      <c r="AP5" s="4">
        <v>0.01</v>
      </c>
      <c r="AQ5" s="4">
        <v>0.01</v>
      </c>
      <c r="AR5" s="4">
        <v>0.01</v>
      </c>
      <c r="AS5" s="4">
        <v>0.01</v>
      </c>
      <c r="AT5" s="4">
        <v>5.0000000000000001E-3</v>
      </c>
      <c r="AU5" s="4">
        <v>0.01</v>
      </c>
      <c r="AV5" s="4">
        <v>2E-3</v>
      </c>
      <c r="AW5" s="4">
        <v>0.1</v>
      </c>
      <c r="AX5" s="4">
        <v>0.01</v>
      </c>
      <c r="AY5" s="4">
        <v>0.5</v>
      </c>
      <c r="AZ5" s="4">
        <v>0.05</v>
      </c>
      <c r="BA5" s="4">
        <v>5</v>
      </c>
      <c r="BB5" s="4">
        <v>0.1</v>
      </c>
      <c r="BC5" s="4">
        <v>0.05</v>
      </c>
      <c r="BD5" s="4">
        <v>0.01</v>
      </c>
    </row>
    <row r="6" spans="1:56" ht="15.75" thickBot="1" x14ac:dyDescent="0.3">
      <c r="A6" s="5" t="s">
        <v>64</v>
      </c>
      <c r="B6" s="6" t="s">
        <v>65</v>
      </c>
      <c r="C6" s="6" t="s">
        <v>65</v>
      </c>
      <c r="D6" s="6" t="s">
        <v>65</v>
      </c>
      <c r="E6" s="6" t="s">
        <v>65</v>
      </c>
      <c r="F6" s="6" t="s">
        <v>65</v>
      </c>
      <c r="G6" s="6" t="s">
        <v>65</v>
      </c>
      <c r="H6" s="6" t="s">
        <v>65</v>
      </c>
      <c r="I6" s="6" t="s">
        <v>65</v>
      </c>
      <c r="J6" s="6" t="s">
        <v>65</v>
      </c>
      <c r="K6" s="6" t="s">
        <v>65</v>
      </c>
      <c r="L6" s="6" t="s">
        <v>65</v>
      </c>
      <c r="M6" s="6" t="s">
        <v>65</v>
      </c>
      <c r="N6" s="6" t="s">
        <v>65</v>
      </c>
      <c r="O6" s="6" t="s">
        <v>67</v>
      </c>
      <c r="P6" s="6" t="s">
        <v>67</v>
      </c>
      <c r="Q6" s="6" t="s">
        <v>67</v>
      </c>
      <c r="R6" s="6" t="s">
        <v>67</v>
      </c>
      <c r="S6" s="6" t="s">
        <v>67</v>
      </c>
      <c r="T6" s="6" t="s">
        <v>67</v>
      </c>
      <c r="U6" s="6" t="s">
        <v>67</v>
      </c>
      <c r="V6" s="6" t="s">
        <v>67</v>
      </c>
      <c r="W6" s="6" t="s">
        <v>67</v>
      </c>
      <c r="X6" s="6" t="s">
        <v>65</v>
      </c>
      <c r="Y6" s="6" t="s">
        <v>67</v>
      </c>
      <c r="Z6" s="6" t="s">
        <v>65</v>
      </c>
      <c r="AA6" s="6" t="s">
        <v>67</v>
      </c>
      <c r="AB6" s="6" t="s">
        <v>67</v>
      </c>
      <c r="AC6" s="6" t="s">
        <v>67</v>
      </c>
      <c r="AD6" s="6" t="s">
        <v>67</v>
      </c>
      <c r="AE6" s="6" t="s">
        <v>67</v>
      </c>
      <c r="AF6" s="6" t="s">
        <v>67</v>
      </c>
      <c r="AG6" s="6" t="s">
        <v>67</v>
      </c>
      <c r="AH6" s="6" t="s">
        <v>65</v>
      </c>
      <c r="AI6" s="6" t="s">
        <v>67</v>
      </c>
      <c r="AJ6" s="6" t="s">
        <v>67</v>
      </c>
      <c r="AK6" s="6" t="s">
        <v>67</v>
      </c>
      <c r="AL6" s="6" t="s">
        <v>67</v>
      </c>
      <c r="AM6" s="6" t="s">
        <v>67</v>
      </c>
      <c r="AN6" s="6" t="s">
        <v>67</v>
      </c>
      <c r="AO6" s="6" t="s">
        <v>67</v>
      </c>
      <c r="AP6" s="6" t="s">
        <v>67</v>
      </c>
      <c r="AQ6" s="6" t="s">
        <v>67</v>
      </c>
      <c r="AR6" s="6" t="s">
        <v>67</v>
      </c>
      <c r="AS6" s="6" t="s">
        <v>67</v>
      </c>
      <c r="AT6" s="6" t="s">
        <v>67</v>
      </c>
      <c r="AU6" s="6" t="s">
        <v>67</v>
      </c>
      <c r="AV6" s="6" t="s">
        <v>67</v>
      </c>
      <c r="AW6" s="6" t="s">
        <v>67</v>
      </c>
      <c r="AX6" s="6" t="s">
        <v>67</v>
      </c>
      <c r="AY6" s="6" t="s">
        <v>67</v>
      </c>
      <c r="AZ6" s="6" t="s">
        <v>67</v>
      </c>
      <c r="BA6" s="6" t="s">
        <v>67</v>
      </c>
      <c r="BB6" s="6" t="s">
        <v>67</v>
      </c>
      <c r="BC6" s="6" t="s">
        <v>67</v>
      </c>
      <c r="BD6" s="6" t="s">
        <v>67</v>
      </c>
    </row>
    <row r="7" spans="1:56" ht="15.75" thickTop="1" x14ac:dyDescent="0.25">
      <c r="A7" s="2" t="s">
        <v>68</v>
      </c>
      <c r="B7" s="4">
        <f>(65.5/99.884)*100</f>
        <v>65.576068239157422</v>
      </c>
      <c r="C7" s="4">
        <f>(16.74/99.884)*100</f>
        <v>16.759440951503741</v>
      </c>
      <c r="D7" s="4">
        <f>(3/99.884)*100</f>
        <v>3.0034840414881261</v>
      </c>
      <c r="E7" s="4">
        <f>(0.079/99.884)*100</f>
        <v>7.9091746425853995E-2</v>
      </c>
      <c r="F7" s="4">
        <f>(0.49/99.884)*100</f>
        <v>0.49056906010972723</v>
      </c>
      <c r="G7" s="4">
        <f>(1.6/99.884)*100</f>
        <v>1.6018581554603339</v>
      </c>
      <c r="H7" s="4">
        <f>(3.75/99.884)*100</f>
        <v>3.7543550518601578</v>
      </c>
      <c r="I7" s="4">
        <f>(7.96/99.884)*100</f>
        <v>7.969244323415162</v>
      </c>
      <c r="J7" s="4">
        <f>(0.655/99.884)*100</f>
        <v>0.65576068239157426</v>
      </c>
      <c r="K7" s="4">
        <f>(0.11/99.884)*100</f>
        <v>0.11012774818789796</v>
      </c>
      <c r="L7" s="4">
        <v>12</v>
      </c>
      <c r="M7" s="4">
        <v>1</v>
      </c>
      <c r="N7" s="4">
        <v>23</v>
      </c>
      <c r="O7" s="4" t="s">
        <v>69</v>
      </c>
      <c r="P7" s="4">
        <v>2</v>
      </c>
      <c r="Q7" s="4" t="s">
        <v>69</v>
      </c>
      <c r="R7" s="4">
        <v>20</v>
      </c>
      <c r="S7" s="4">
        <v>50</v>
      </c>
      <c r="T7" s="4">
        <v>20</v>
      </c>
      <c r="U7" s="4">
        <v>1.3</v>
      </c>
      <c r="V7" s="4" t="s">
        <v>70</v>
      </c>
      <c r="W7" s="4">
        <v>123</v>
      </c>
      <c r="X7" s="4">
        <v>162</v>
      </c>
      <c r="Y7" s="4">
        <v>44.9</v>
      </c>
      <c r="Z7" s="4">
        <v>720</v>
      </c>
      <c r="AA7" s="4">
        <v>25.7</v>
      </c>
      <c r="AB7" s="4">
        <v>2</v>
      </c>
      <c r="AC7" s="4" t="s">
        <v>71</v>
      </c>
      <c r="AD7" s="4">
        <v>0.1</v>
      </c>
      <c r="AE7" s="4">
        <v>2</v>
      </c>
      <c r="AF7" s="4" t="s">
        <v>72</v>
      </c>
      <c r="AG7" s="4">
        <v>0.9</v>
      </c>
      <c r="AH7" s="4">
        <v>642</v>
      </c>
      <c r="AI7" s="4">
        <v>190</v>
      </c>
      <c r="AJ7" s="4">
        <v>373</v>
      </c>
      <c r="AK7" s="4">
        <v>39.700000000000003</v>
      </c>
      <c r="AL7" s="4">
        <v>133</v>
      </c>
      <c r="AM7" s="4">
        <v>20.399999999999999</v>
      </c>
      <c r="AN7" s="4">
        <v>2.58</v>
      </c>
      <c r="AO7" s="4">
        <v>13.7</v>
      </c>
      <c r="AP7" s="4">
        <v>1.8</v>
      </c>
      <c r="AQ7" s="4">
        <v>9.3000000000000007</v>
      </c>
      <c r="AR7" s="4">
        <v>1.79</v>
      </c>
      <c r="AS7" s="4">
        <v>4.84</v>
      </c>
      <c r="AT7" s="4">
        <v>0.67</v>
      </c>
      <c r="AU7" s="4">
        <v>4.37</v>
      </c>
      <c r="AV7" s="4">
        <v>0.66500000000000004</v>
      </c>
      <c r="AW7" s="4">
        <v>15.6</v>
      </c>
      <c r="AX7" s="4">
        <v>1.6</v>
      </c>
      <c r="AY7" s="4">
        <v>3.9</v>
      </c>
      <c r="AZ7" s="4">
        <v>0.51</v>
      </c>
      <c r="BA7" s="4">
        <v>29</v>
      </c>
      <c r="BB7" s="4" t="s">
        <v>73</v>
      </c>
      <c r="BC7" s="4">
        <v>26</v>
      </c>
      <c r="BD7" s="4">
        <v>1.8</v>
      </c>
    </row>
    <row r="8" spans="1:56" x14ac:dyDescent="0.25">
      <c r="A8" s="2" t="s">
        <v>74</v>
      </c>
      <c r="B8" s="4">
        <f>(57.67/97.527)*100</f>
        <v>59.13234283839347</v>
      </c>
      <c r="C8" s="4">
        <f>(15.04/97.527)*100</f>
        <v>15.421370492273933</v>
      </c>
      <c r="D8" s="4">
        <f>(7.51/97.527)*100</f>
        <v>7.7004316753309334</v>
      </c>
      <c r="E8" s="4">
        <f>(0.125/97.527)*100</f>
        <v>0.12816963507541501</v>
      </c>
      <c r="F8" s="4">
        <f>(3.54/97.527)*100</f>
        <v>3.6297640653357535</v>
      </c>
      <c r="G8" s="4">
        <f>(6.05/97.527)*100</f>
        <v>6.2034103376500864</v>
      </c>
      <c r="H8" s="4">
        <f>(4.08/97.527)*100</f>
        <v>4.1834568888615458</v>
      </c>
      <c r="I8" s="4">
        <f>(2.09/97.527)*100</f>
        <v>2.1429962984609388</v>
      </c>
      <c r="J8" s="4">
        <f>(1.182/97.527)*100</f>
        <v>1.2119720692731242</v>
      </c>
      <c r="K8" s="4">
        <f>(0.24/97.527)*100</f>
        <v>0.24608569934479679</v>
      </c>
      <c r="L8" s="4">
        <v>21</v>
      </c>
      <c r="M8" s="4">
        <v>2</v>
      </c>
      <c r="N8" s="4">
        <v>146</v>
      </c>
      <c r="O8" s="4">
        <v>50</v>
      </c>
      <c r="P8" s="4">
        <v>21</v>
      </c>
      <c r="Q8" s="4">
        <v>30</v>
      </c>
      <c r="R8" s="4">
        <v>30</v>
      </c>
      <c r="S8" s="4">
        <v>70</v>
      </c>
      <c r="T8" s="4">
        <v>19</v>
      </c>
      <c r="U8" s="4">
        <v>1.3</v>
      </c>
      <c r="V8" s="4" t="s">
        <v>70</v>
      </c>
      <c r="W8" s="4">
        <v>55</v>
      </c>
      <c r="X8" s="4">
        <v>325</v>
      </c>
      <c r="Y8" s="4">
        <v>30.9</v>
      </c>
      <c r="Z8" s="4">
        <v>257</v>
      </c>
      <c r="AA8" s="4">
        <v>11.5</v>
      </c>
      <c r="AB8" s="4">
        <v>2</v>
      </c>
      <c r="AC8" s="4" t="s">
        <v>71</v>
      </c>
      <c r="AD8" s="4">
        <v>0.1</v>
      </c>
      <c r="AE8" s="4">
        <v>2</v>
      </c>
      <c r="AF8" s="4" t="s">
        <v>72</v>
      </c>
      <c r="AG8" s="4">
        <v>0.4</v>
      </c>
      <c r="AH8" s="4">
        <v>695</v>
      </c>
      <c r="AI8" s="4">
        <v>47.7</v>
      </c>
      <c r="AJ8" s="4">
        <v>93.6</v>
      </c>
      <c r="AK8" s="4">
        <v>10.6</v>
      </c>
      <c r="AL8" s="4">
        <v>38.5</v>
      </c>
      <c r="AM8" s="4">
        <v>7.34</v>
      </c>
      <c r="AN8" s="4">
        <v>1.65</v>
      </c>
      <c r="AO8" s="4">
        <v>6.46</v>
      </c>
      <c r="AP8" s="4">
        <v>0.99</v>
      </c>
      <c r="AQ8" s="4">
        <v>5.9</v>
      </c>
      <c r="AR8" s="4">
        <v>1.19</v>
      </c>
      <c r="AS8" s="4">
        <v>3.33</v>
      </c>
      <c r="AT8" s="4">
        <v>0.47499999999999998</v>
      </c>
      <c r="AU8" s="4">
        <v>3.12</v>
      </c>
      <c r="AV8" s="4">
        <v>0.46300000000000002</v>
      </c>
      <c r="AW8" s="4">
        <v>5.6</v>
      </c>
      <c r="AX8" s="4">
        <v>0.89</v>
      </c>
      <c r="AY8" s="4">
        <v>7.8</v>
      </c>
      <c r="AZ8" s="4">
        <v>0.28000000000000003</v>
      </c>
      <c r="BA8" s="4">
        <v>12</v>
      </c>
      <c r="BB8" s="4" t="s">
        <v>73</v>
      </c>
      <c r="BC8" s="4">
        <v>8.1999999999999993</v>
      </c>
      <c r="BD8" s="4">
        <v>0.93</v>
      </c>
    </row>
    <row r="9" spans="1:56" x14ac:dyDescent="0.25">
      <c r="A9" s="2" t="s">
        <v>75</v>
      </c>
      <c r="B9" s="4">
        <f>(67/100.419)*100</f>
        <v>66.720441350740401</v>
      </c>
      <c r="C9" s="4">
        <f>(15.39/100.419)*100</f>
        <v>15.325784961013355</v>
      </c>
      <c r="D9" s="4">
        <f>(4.7/100.419)*100</f>
        <v>4.6803891693802964</v>
      </c>
      <c r="E9" s="4">
        <f>(0.095/100.419)*100</f>
        <v>9.4603610870452812E-2</v>
      </c>
      <c r="F9" s="4">
        <f>(1.62/100.419)*100</f>
        <v>1.6132405222119321</v>
      </c>
      <c r="G9" s="4">
        <f>(3.64/100.419)*100</f>
        <v>3.6248120375626129</v>
      </c>
      <c r="H9" s="4">
        <f>(4.39/100.419)*100</f>
        <v>4.3716826496977657</v>
      </c>
      <c r="I9" s="4">
        <f>(2.83/100.419)*100</f>
        <v>2.8181917764566466</v>
      </c>
      <c r="J9" s="4">
        <f>(0.604/100.419)*100</f>
        <v>0.60147979963951037</v>
      </c>
      <c r="K9" s="4">
        <f>(0.15/100.419)*100</f>
        <v>0.14937412242703074</v>
      </c>
      <c r="L9" s="4">
        <v>10</v>
      </c>
      <c r="M9" s="4">
        <v>2</v>
      </c>
      <c r="N9" s="4">
        <v>63</v>
      </c>
      <c r="O9" s="4">
        <v>30</v>
      </c>
      <c r="P9" s="4">
        <v>9</v>
      </c>
      <c r="Q9" s="4" t="s">
        <v>69</v>
      </c>
      <c r="R9" s="4">
        <v>10</v>
      </c>
      <c r="S9" s="4">
        <v>70</v>
      </c>
      <c r="T9" s="4">
        <v>19</v>
      </c>
      <c r="U9" s="4">
        <v>1.1000000000000001</v>
      </c>
      <c r="V9" s="4" t="s">
        <v>70</v>
      </c>
      <c r="W9" s="4">
        <v>60</v>
      </c>
      <c r="X9" s="4">
        <v>337</v>
      </c>
      <c r="Y9" s="4">
        <v>19.100000000000001</v>
      </c>
      <c r="Z9" s="4">
        <v>242</v>
      </c>
      <c r="AA9" s="4">
        <v>10.1</v>
      </c>
      <c r="AB9" s="4" t="s">
        <v>76</v>
      </c>
      <c r="AC9" s="4" t="s">
        <v>71</v>
      </c>
      <c r="AD9" s="4">
        <v>0.1</v>
      </c>
      <c r="AE9" s="4">
        <v>1</v>
      </c>
      <c r="AF9" s="4" t="s">
        <v>72</v>
      </c>
      <c r="AG9" s="4">
        <v>0.6</v>
      </c>
      <c r="AH9" s="4">
        <v>978</v>
      </c>
      <c r="AI9" s="4">
        <v>53.4</v>
      </c>
      <c r="AJ9" s="4">
        <v>103</v>
      </c>
      <c r="AK9" s="4">
        <v>11.1</v>
      </c>
      <c r="AL9" s="4">
        <v>38.5</v>
      </c>
      <c r="AM9" s="4">
        <v>6.59</v>
      </c>
      <c r="AN9" s="4">
        <v>1.44</v>
      </c>
      <c r="AO9" s="4">
        <v>5.0199999999999996</v>
      </c>
      <c r="AP9" s="4">
        <v>0.69</v>
      </c>
      <c r="AQ9" s="4">
        <v>4.03</v>
      </c>
      <c r="AR9" s="4">
        <v>0.74</v>
      </c>
      <c r="AS9" s="4">
        <v>2.0699999999999998</v>
      </c>
      <c r="AT9" s="4">
        <v>0.29199999999999998</v>
      </c>
      <c r="AU9" s="4">
        <v>1.89</v>
      </c>
      <c r="AV9" s="4">
        <v>0.28699999999999998</v>
      </c>
      <c r="AW9" s="4">
        <v>4.9000000000000004</v>
      </c>
      <c r="AX9" s="4">
        <v>0.75</v>
      </c>
      <c r="AY9" s="4">
        <v>3.3</v>
      </c>
      <c r="AZ9" s="4">
        <v>0.28000000000000003</v>
      </c>
      <c r="BA9" s="4">
        <v>14</v>
      </c>
      <c r="BB9" s="4" t="s">
        <v>73</v>
      </c>
      <c r="BC9" s="4">
        <v>6.38</v>
      </c>
      <c r="BD9" s="4">
        <v>0.79</v>
      </c>
    </row>
    <row r="10" spans="1:56" x14ac:dyDescent="0.25">
      <c r="A10" s="2" t="s">
        <v>77</v>
      </c>
      <c r="B10" s="4">
        <f>(48.4/96.479)*100</f>
        <v>50.166357445661745</v>
      </c>
      <c r="C10" s="4">
        <f>(15.42/96.479)*100</f>
        <v>15.982752723390584</v>
      </c>
      <c r="D10" s="4">
        <f>(9.88/96.479)*100</f>
        <v>10.240570486841696</v>
      </c>
      <c r="E10" s="4">
        <f>(0.17/96.479)*100</f>
        <v>0.17620414805294418</v>
      </c>
      <c r="F10" s="4">
        <f>(7.34/96.479)*100</f>
        <v>7.607873215933</v>
      </c>
      <c r="G10" s="4">
        <f>(9.22/96.479)*100</f>
        <v>9.5564837944008545</v>
      </c>
      <c r="H10" s="4">
        <f>(3.04/96.479)*100</f>
        <v>3.1509447651820608</v>
      </c>
      <c r="I10" s="4">
        <f>(1.61/96.479)*100</f>
        <v>1.668756931560236</v>
      </c>
      <c r="J10" s="4">
        <f>(1.209/96.479)*100</f>
        <v>1.2531224411529971</v>
      </c>
      <c r="K10" s="4">
        <f>(0.19/96.479)*100</f>
        <v>0.1969340478238788</v>
      </c>
      <c r="L10" s="4">
        <v>34</v>
      </c>
      <c r="M10" s="4">
        <v>1</v>
      </c>
      <c r="N10" s="4">
        <v>184</v>
      </c>
      <c r="O10" s="4">
        <v>170</v>
      </c>
      <c r="P10" s="4">
        <v>37</v>
      </c>
      <c r="Q10" s="4">
        <v>90</v>
      </c>
      <c r="R10" s="4">
        <v>30</v>
      </c>
      <c r="S10" s="4">
        <v>80</v>
      </c>
      <c r="T10" s="4">
        <v>15</v>
      </c>
      <c r="U10" s="4">
        <v>1.4</v>
      </c>
      <c r="V10" s="4" t="s">
        <v>70</v>
      </c>
      <c r="W10" s="4">
        <v>55</v>
      </c>
      <c r="X10" s="4">
        <v>308</v>
      </c>
      <c r="Y10" s="4">
        <v>24.6</v>
      </c>
      <c r="Z10" s="4">
        <v>120</v>
      </c>
      <c r="AA10" s="4">
        <v>5</v>
      </c>
      <c r="AB10" s="4">
        <v>2</v>
      </c>
      <c r="AC10" s="4" t="s">
        <v>71</v>
      </c>
      <c r="AD10" s="4">
        <v>0.1</v>
      </c>
      <c r="AE10" s="4">
        <v>1</v>
      </c>
      <c r="AF10" s="4" t="s">
        <v>72</v>
      </c>
      <c r="AG10" s="4">
        <v>0.5</v>
      </c>
      <c r="AH10" s="4">
        <v>257</v>
      </c>
      <c r="AI10" s="4">
        <v>16.899999999999999</v>
      </c>
      <c r="AJ10" s="4">
        <v>36.200000000000003</v>
      </c>
      <c r="AK10" s="4">
        <v>4.46</v>
      </c>
      <c r="AL10" s="4">
        <v>18.5</v>
      </c>
      <c r="AM10" s="4">
        <v>4.3</v>
      </c>
      <c r="AN10" s="4">
        <v>1.4</v>
      </c>
      <c r="AO10" s="4">
        <v>4.41</v>
      </c>
      <c r="AP10" s="4">
        <v>0.73</v>
      </c>
      <c r="AQ10" s="4">
        <v>4.63</v>
      </c>
      <c r="AR10" s="4">
        <v>0.97</v>
      </c>
      <c r="AS10" s="4">
        <v>2.77</v>
      </c>
      <c r="AT10" s="4">
        <v>0.40500000000000003</v>
      </c>
      <c r="AU10" s="4">
        <v>2.5299999999999998</v>
      </c>
      <c r="AV10" s="4">
        <v>0.38100000000000001</v>
      </c>
      <c r="AW10" s="4">
        <v>2.5</v>
      </c>
      <c r="AX10" s="4">
        <v>0.38</v>
      </c>
      <c r="AY10" s="4">
        <v>3.8</v>
      </c>
      <c r="AZ10" s="4">
        <v>0.3</v>
      </c>
      <c r="BA10" s="4">
        <v>8</v>
      </c>
      <c r="BB10" s="4" t="s">
        <v>73</v>
      </c>
      <c r="BC10" s="4">
        <v>2.34</v>
      </c>
      <c r="BD10" s="4">
        <v>0.47</v>
      </c>
    </row>
    <row r="11" spans="1:56" x14ac:dyDescent="0.25">
      <c r="A11" s="2" t="s">
        <v>78</v>
      </c>
      <c r="B11" s="4">
        <f>(65.33/98.47)*100</f>
        <v>66.345079719711592</v>
      </c>
      <c r="C11" s="4">
        <f>(15.14/98.47)*100</f>
        <v>15.375241190210218</v>
      </c>
      <c r="D11" s="4">
        <f>(4.75/98.47)*100</f>
        <v>4.8238042043261906</v>
      </c>
      <c r="E11" s="4">
        <f>(0.07/98.47)*100</f>
        <v>7.1087640905859659E-2</v>
      </c>
      <c r="F11" s="4">
        <f>(1.66/98.47)*100</f>
        <v>1.6857926271961001</v>
      </c>
      <c r="G11" s="4">
        <f>(3.78/98.47)*100</f>
        <v>3.8387326089164211</v>
      </c>
      <c r="H11" s="4">
        <f>(4.11/98.47)*100</f>
        <v>4.1738600589011892</v>
      </c>
      <c r="I11" s="4">
        <f>(2.85/98.47)*100</f>
        <v>2.8942825225957147</v>
      </c>
      <c r="J11" s="4">
        <f>(0.62/98.47)*100</f>
        <v>0.62963339088047121</v>
      </c>
      <c r="K11" s="4">
        <f>(0.16/98.47)*100</f>
        <v>0.16248603635625064</v>
      </c>
      <c r="L11" s="4">
        <v>10</v>
      </c>
      <c r="M11" s="4">
        <v>2</v>
      </c>
      <c r="N11" s="4">
        <v>66</v>
      </c>
      <c r="O11" s="4">
        <v>30</v>
      </c>
      <c r="P11" s="4">
        <v>10</v>
      </c>
      <c r="Q11" s="4" t="s">
        <v>69</v>
      </c>
      <c r="R11" s="4">
        <v>20</v>
      </c>
      <c r="S11" s="4">
        <v>50</v>
      </c>
      <c r="T11" s="4">
        <v>19</v>
      </c>
      <c r="U11" s="4">
        <v>1.1000000000000001</v>
      </c>
      <c r="V11" s="4" t="s">
        <v>70</v>
      </c>
      <c r="W11" s="4">
        <v>60</v>
      </c>
      <c r="X11" s="4">
        <v>378</v>
      </c>
      <c r="Y11" s="4">
        <v>18.5</v>
      </c>
      <c r="Z11" s="4">
        <v>241</v>
      </c>
      <c r="AA11" s="4">
        <v>9</v>
      </c>
      <c r="AB11" s="4">
        <v>2</v>
      </c>
      <c r="AC11" s="4" t="s">
        <v>71</v>
      </c>
      <c r="AD11" s="4" t="s">
        <v>73</v>
      </c>
      <c r="AE11" s="4">
        <v>1</v>
      </c>
      <c r="AF11" s="4" t="s">
        <v>72</v>
      </c>
      <c r="AG11" s="4">
        <v>0.4</v>
      </c>
      <c r="AH11" s="4">
        <v>1167</v>
      </c>
      <c r="AI11" s="4">
        <v>60.7</v>
      </c>
      <c r="AJ11" s="4">
        <v>111</v>
      </c>
      <c r="AK11" s="4">
        <v>11.4</v>
      </c>
      <c r="AL11" s="4">
        <v>39.700000000000003</v>
      </c>
      <c r="AM11" s="4">
        <v>6.63</v>
      </c>
      <c r="AN11" s="4">
        <v>1.39</v>
      </c>
      <c r="AO11" s="4">
        <v>4.99</v>
      </c>
      <c r="AP11" s="4">
        <v>0.69</v>
      </c>
      <c r="AQ11" s="4">
        <v>3.91</v>
      </c>
      <c r="AR11" s="4">
        <v>0.72</v>
      </c>
      <c r="AS11" s="4">
        <v>1.95</v>
      </c>
      <c r="AT11" s="4">
        <v>0.28199999999999997</v>
      </c>
      <c r="AU11" s="4">
        <v>1.84</v>
      </c>
      <c r="AV11" s="4">
        <v>0.27400000000000002</v>
      </c>
      <c r="AW11" s="4">
        <v>5.0999999999999996</v>
      </c>
      <c r="AX11" s="4">
        <v>0.74</v>
      </c>
      <c r="AY11" s="4">
        <v>4</v>
      </c>
      <c r="AZ11" s="4">
        <v>0.27</v>
      </c>
      <c r="BA11" s="4">
        <v>15</v>
      </c>
      <c r="BB11" s="4" t="s">
        <v>73</v>
      </c>
      <c r="BC11" s="4">
        <v>8.9499999999999993</v>
      </c>
      <c r="BD11" s="4">
        <v>1.08</v>
      </c>
    </row>
    <row r="12" spans="1:56" x14ac:dyDescent="0.25">
      <c r="A12" s="2" t="s">
        <v>79</v>
      </c>
      <c r="B12" s="4">
        <f>(70.18/97.475)*100</f>
        <v>71.997948191844074</v>
      </c>
      <c r="C12" s="4">
        <f>(13.55/97.475)*100</f>
        <v>13.901000256476021</v>
      </c>
      <c r="D12" s="4">
        <f>(2.97/97.475)*100</f>
        <v>3.0469351115670689</v>
      </c>
      <c r="E12" s="4">
        <f>(0.045/97.475)*100</f>
        <v>4.6165683508591945E-2</v>
      </c>
      <c r="F12" s="4">
        <f>(0.61/97.475)*100</f>
        <v>0.62580148756091303</v>
      </c>
      <c r="G12" s="4">
        <f>(2.04/97.475)*100</f>
        <v>2.0928443190561681</v>
      </c>
      <c r="H12" s="4">
        <f>(3.3/97.475)*100</f>
        <v>3.3854834572967429</v>
      </c>
      <c r="I12" s="4">
        <f>(4.36/97.475)*100</f>
        <v>4.472941779943576</v>
      </c>
      <c r="J12" s="4">
        <f>(0.32/97.475)*100</f>
        <v>0.3282893049499872</v>
      </c>
      <c r="K12" s="4">
        <f>(0.1/97.475)*100</f>
        <v>0.10259040779687101</v>
      </c>
      <c r="L12" s="4">
        <v>4</v>
      </c>
      <c r="M12" s="4">
        <v>2</v>
      </c>
      <c r="N12" s="4">
        <v>28</v>
      </c>
      <c r="O12" s="4" t="s">
        <v>69</v>
      </c>
      <c r="P12" s="4">
        <v>3</v>
      </c>
      <c r="Q12" s="4" t="s">
        <v>69</v>
      </c>
      <c r="R12" s="4" t="s">
        <v>80</v>
      </c>
      <c r="S12" s="4">
        <v>40</v>
      </c>
      <c r="T12" s="4">
        <v>16</v>
      </c>
      <c r="U12" s="4">
        <v>1</v>
      </c>
      <c r="V12" s="4" t="s">
        <v>70</v>
      </c>
      <c r="W12" s="4">
        <v>100</v>
      </c>
      <c r="X12" s="4">
        <v>297</v>
      </c>
      <c r="Y12" s="4">
        <v>17.100000000000001</v>
      </c>
      <c r="Z12" s="4">
        <v>199</v>
      </c>
      <c r="AA12" s="4">
        <v>7.9</v>
      </c>
      <c r="AB12" s="4" t="s">
        <v>76</v>
      </c>
      <c r="AC12" s="4" t="s">
        <v>71</v>
      </c>
      <c r="AD12" s="4" t="s">
        <v>73</v>
      </c>
      <c r="AE12" s="4">
        <v>1</v>
      </c>
      <c r="AF12" s="4" t="s">
        <v>72</v>
      </c>
      <c r="AG12" s="4">
        <v>0.4</v>
      </c>
      <c r="AH12" s="4">
        <v>1005</v>
      </c>
      <c r="AI12" s="4">
        <v>61.6</v>
      </c>
      <c r="AJ12" s="4">
        <v>114</v>
      </c>
      <c r="AK12" s="4">
        <v>11.5</v>
      </c>
      <c r="AL12" s="4">
        <v>38.700000000000003</v>
      </c>
      <c r="AM12" s="4">
        <v>6.14</v>
      </c>
      <c r="AN12" s="4">
        <v>0.99</v>
      </c>
      <c r="AO12" s="4">
        <v>4.5599999999999996</v>
      </c>
      <c r="AP12" s="4">
        <v>0.57999999999999996</v>
      </c>
      <c r="AQ12" s="4">
        <v>3.38</v>
      </c>
      <c r="AR12" s="4">
        <v>0.64</v>
      </c>
      <c r="AS12" s="4">
        <v>1.83</v>
      </c>
      <c r="AT12" s="4">
        <v>0.26200000000000001</v>
      </c>
      <c r="AU12" s="4">
        <v>1.73</v>
      </c>
      <c r="AV12" s="4">
        <v>0.251</v>
      </c>
      <c r="AW12" s="4">
        <v>4.3</v>
      </c>
      <c r="AX12" s="4">
        <v>0.76</v>
      </c>
      <c r="AY12" s="4">
        <v>5.7</v>
      </c>
      <c r="AZ12" s="4">
        <v>0.47</v>
      </c>
      <c r="BA12" s="4">
        <v>20</v>
      </c>
      <c r="BB12" s="4" t="s">
        <v>73</v>
      </c>
      <c r="BC12" s="4">
        <v>13.6</v>
      </c>
      <c r="BD12" s="4">
        <v>0.95</v>
      </c>
    </row>
    <row r="13" spans="1:56" x14ac:dyDescent="0.25">
      <c r="A13" s="2" t="s">
        <v>81</v>
      </c>
      <c r="B13" s="4">
        <f>(69.08/97.812)*100</f>
        <v>70.625281151596937</v>
      </c>
      <c r="C13" s="4">
        <f>(15.24/97.812)*100</f>
        <v>15.580910317752425</v>
      </c>
      <c r="D13" s="4">
        <f>(1.9/97.812)*100</f>
        <v>1.9425019425019423</v>
      </c>
      <c r="E13" s="4">
        <f>(0.038/97.812)*100</f>
        <v>3.8850038850038848E-2</v>
      </c>
      <c r="F13" s="4">
        <f>(0.2/97.812)*100</f>
        <v>0.20447388868441502</v>
      </c>
      <c r="G13" s="4">
        <f>(1.05/97.812)*100</f>
        <v>1.0734879155931787</v>
      </c>
      <c r="H13" s="4">
        <f>(3.55/97.812)*100</f>
        <v>3.6294115241483662</v>
      </c>
      <c r="I13" s="4">
        <f>(6.41/97.812)*100</f>
        <v>6.5533881323355008</v>
      </c>
      <c r="J13" s="4">
        <f>(0.294/97.812)*100</f>
        <v>0.30057661636609001</v>
      </c>
      <c r="K13" s="4">
        <f>(0.05/97.812)*100</f>
        <v>5.1118472171103754E-2</v>
      </c>
      <c r="L13" s="4">
        <v>2</v>
      </c>
      <c r="M13" s="4">
        <v>1</v>
      </c>
      <c r="N13" s="4">
        <v>10</v>
      </c>
      <c r="O13" s="4" t="s">
        <v>69</v>
      </c>
      <c r="P13" s="4">
        <v>1</v>
      </c>
      <c r="Q13" s="4" t="s">
        <v>69</v>
      </c>
      <c r="R13" s="4" t="s">
        <v>80</v>
      </c>
      <c r="S13" s="4" t="s">
        <v>82</v>
      </c>
      <c r="T13" s="4">
        <v>17</v>
      </c>
      <c r="U13" s="4">
        <v>1.1000000000000001</v>
      </c>
      <c r="V13" s="4" t="s">
        <v>70</v>
      </c>
      <c r="W13" s="4">
        <v>99</v>
      </c>
      <c r="X13" s="4">
        <v>116</v>
      </c>
      <c r="Y13" s="4">
        <v>18.7</v>
      </c>
      <c r="Z13" s="4">
        <v>347</v>
      </c>
      <c r="AA13" s="4">
        <v>10.9</v>
      </c>
      <c r="AB13" s="4" t="s">
        <v>76</v>
      </c>
      <c r="AC13" s="4" t="s">
        <v>71</v>
      </c>
      <c r="AD13" s="4" t="s">
        <v>73</v>
      </c>
      <c r="AE13" s="4">
        <v>1</v>
      </c>
      <c r="AF13" s="4" t="s">
        <v>72</v>
      </c>
      <c r="AG13" s="4">
        <v>0.6</v>
      </c>
      <c r="AH13" s="4">
        <v>387</v>
      </c>
      <c r="AI13" s="4">
        <v>104</v>
      </c>
      <c r="AJ13" s="4">
        <v>196</v>
      </c>
      <c r="AK13" s="4">
        <v>19.8</v>
      </c>
      <c r="AL13" s="4">
        <v>64.3</v>
      </c>
      <c r="AM13" s="4">
        <v>9.59</v>
      </c>
      <c r="AN13" s="4">
        <v>1.27</v>
      </c>
      <c r="AO13" s="4">
        <v>6.03</v>
      </c>
      <c r="AP13" s="4">
        <v>0.8</v>
      </c>
      <c r="AQ13" s="4">
        <v>4.13</v>
      </c>
      <c r="AR13" s="4">
        <v>0.77</v>
      </c>
      <c r="AS13" s="4">
        <v>2</v>
      </c>
      <c r="AT13" s="4">
        <v>0.28899999999999998</v>
      </c>
      <c r="AU13" s="4">
        <v>1.96</v>
      </c>
      <c r="AV13" s="4">
        <v>0.313</v>
      </c>
      <c r="AW13" s="4">
        <v>8.1</v>
      </c>
      <c r="AX13" s="4">
        <v>0.66</v>
      </c>
      <c r="AY13" s="4">
        <v>3.9</v>
      </c>
      <c r="AZ13" s="4">
        <v>0.43</v>
      </c>
      <c r="BA13" s="4">
        <v>26</v>
      </c>
      <c r="BB13" s="4" t="s">
        <v>73</v>
      </c>
      <c r="BC13" s="4">
        <v>11.5</v>
      </c>
      <c r="BD13" s="4">
        <v>0.91</v>
      </c>
    </row>
    <row r="14" spans="1:56" x14ac:dyDescent="0.25">
      <c r="A14" s="2" t="s">
        <v>83</v>
      </c>
      <c r="B14" s="4">
        <f>(62.49/97.117)*100</f>
        <v>64.345068319655667</v>
      </c>
      <c r="C14" s="4">
        <f>(14.58/97.117)*100</f>
        <v>15.012819588743472</v>
      </c>
      <c r="D14" s="4">
        <f>(5.5/97.117)*100</f>
        <v>5.6632721356714066</v>
      </c>
      <c r="E14" s="4">
        <f>(0.093/97.117)*100</f>
        <v>9.5760783384989237E-2</v>
      </c>
      <c r="F14" s="4">
        <f>(2.02/97.117)*100</f>
        <v>2.07996540255568</v>
      </c>
      <c r="G14" s="4">
        <f>(4.19/97.117)*100</f>
        <v>4.3143836815387626</v>
      </c>
      <c r="H14" s="4">
        <f>(3.81/97.117)*100</f>
        <v>3.9231030612560107</v>
      </c>
      <c r="I14" s="4">
        <f>(3.39/97.117)*100</f>
        <v>3.4906350072592849</v>
      </c>
      <c r="J14" s="4">
        <f>(0.864/97.117)*100</f>
        <v>0.88964856822183536</v>
      </c>
      <c r="K14" s="4">
        <f>(0.18/97.117)*100</f>
        <v>0.18534345171288238</v>
      </c>
      <c r="L14" s="4">
        <v>13</v>
      </c>
      <c r="M14" s="4">
        <v>2</v>
      </c>
      <c r="N14" s="4">
        <v>93</v>
      </c>
      <c r="O14" s="4">
        <v>30</v>
      </c>
      <c r="P14" s="4">
        <v>14</v>
      </c>
      <c r="Q14" s="4" t="s">
        <v>69</v>
      </c>
      <c r="R14" s="4">
        <v>20</v>
      </c>
      <c r="S14" s="4">
        <v>60</v>
      </c>
      <c r="T14" s="4">
        <v>18</v>
      </c>
      <c r="U14" s="4">
        <v>1.2</v>
      </c>
      <c r="V14" s="4" t="s">
        <v>70</v>
      </c>
      <c r="W14" s="4">
        <v>84</v>
      </c>
      <c r="X14" s="4">
        <v>292</v>
      </c>
      <c r="Y14" s="4">
        <v>26.5</v>
      </c>
      <c r="Z14" s="4">
        <v>263</v>
      </c>
      <c r="AA14" s="4">
        <v>11.4</v>
      </c>
      <c r="AB14" s="4">
        <v>2</v>
      </c>
      <c r="AC14" s="4" t="s">
        <v>71</v>
      </c>
      <c r="AD14" s="4">
        <v>0.1</v>
      </c>
      <c r="AE14" s="4">
        <v>2</v>
      </c>
      <c r="AF14" s="4" t="s">
        <v>72</v>
      </c>
      <c r="AG14" s="4">
        <v>0.6</v>
      </c>
      <c r="AH14" s="4">
        <v>827</v>
      </c>
      <c r="AI14" s="4">
        <v>55.8</v>
      </c>
      <c r="AJ14" s="4">
        <v>109</v>
      </c>
      <c r="AK14" s="4">
        <v>11.5</v>
      </c>
      <c r="AL14" s="4">
        <v>41.2</v>
      </c>
      <c r="AM14" s="4">
        <v>7.41</v>
      </c>
      <c r="AN14" s="4">
        <v>1.64</v>
      </c>
      <c r="AO14" s="4">
        <v>5.97</v>
      </c>
      <c r="AP14" s="4">
        <v>0.88</v>
      </c>
      <c r="AQ14" s="4">
        <v>5.13</v>
      </c>
      <c r="AR14" s="4">
        <v>1.04</v>
      </c>
      <c r="AS14" s="4">
        <v>2.9</v>
      </c>
      <c r="AT14" s="4">
        <v>0.4</v>
      </c>
      <c r="AU14" s="4">
        <v>2.58</v>
      </c>
      <c r="AV14" s="4">
        <v>0.39</v>
      </c>
      <c r="AW14" s="4">
        <v>5.7</v>
      </c>
      <c r="AX14" s="4">
        <v>0.82</v>
      </c>
      <c r="AY14" s="4">
        <v>4.7</v>
      </c>
      <c r="AZ14" s="4">
        <v>0.4</v>
      </c>
      <c r="BA14" s="4">
        <v>17</v>
      </c>
      <c r="BB14" s="4" t="s">
        <v>73</v>
      </c>
      <c r="BC14" s="4">
        <v>9.8000000000000007</v>
      </c>
      <c r="BD14" s="4">
        <v>1.28</v>
      </c>
    </row>
    <row r="15" spans="1:56" x14ac:dyDescent="0.25">
      <c r="A15" s="2" t="s">
        <v>84</v>
      </c>
      <c r="B15" s="4">
        <f>(71.35/98.24)*100</f>
        <v>72.62825732899023</v>
      </c>
      <c r="C15" s="4">
        <f>(13.41/98.24)*100</f>
        <v>13.650244299674268</v>
      </c>
      <c r="D15" s="4">
        <f>(2.8/98.24)*100</f>
        <v>2.8501628664495113</v>
      </c>
      <c r="E15" s="4">
        <f>(0.052/98.24)*100</f>
        <v>5.2931596091205214E-2</v>
      </c>
      <c r="F15" s="4">
        <f>(0.46/98.24)*100</f>
        <v>0.46824104234527691</v>
      </c>
      <c r="G15" s="4">
        <f>(1.76/98.24)*100</f>
        <v>1.7915309446254073</v>
      </c>
      <c r="H15" s="4">
        <f>(3.49/98.24)*100</f>
        <v>3.552524429967427</v>
      </c>
      <c r="I15" s="4">
        <f>(4.53/98.24)*100</f>
        <v>4.6111563517915313</v>
      </c>
      <c r="J15" s="4">
        <f>(0.298/98.24)*100</f>
        <v>0.30333876221498368</v>
      </c>
      <c r="K15" s="4">
        <f>(0.09/98.24)*100</f>
        <v>9.1612377850162866E-2</v>
      </c>
      <c r="L15" s="4">
        <v>4</v>
      </c>
      <c r="M15" s="4">
        <v>2</v>
      </c>
      <c r="N15" s="4">
        <v>19</v>
      </c>
      <c r="O15" s="4" t="s">
        <v>69</v>
      </c>
      <c r="P15" s="4">
        <v>3</v>
      </c>
      <c r="Q15" s="4" t="s">
        <v>69</v>
      </c>
      <c r="R15" s="4" t="s">
        <v>80</v>
      </c>
      <c r="S15" s="4">
        <v>50</v>
      </c>
      <c r="T15" s="4">
        <v>16</v>
      </c>
      <c r="U15" s="4">
        <v>1.1000000000000001</v>
      </c>
      <c r="V15" s="4" t="s">
        <v>70</v>
      </c>
      <c r="W15" s="4">
        <v>104</v>
      </c>
      <c r="X15" s="4">
        <v>293</v>
      </c>
      <c r="Y15" s="4">
        <v>10.3</v>
      </c>
      <c r="Z15" s="4">
        <v>184</v>
      </c>
      <c r="AA15" s="4">
        <v>8.3000000000000007</v>
      </c>
      <c r="AB15" s="4" t="s">
        <v>76</v>
      </c>
      <c r="AC15" s="4" t="s">
        <v>71</v>
      </c>
      <c r="AD15" s="4" t="s">
        <v>73</v>
      </c>
      <c r="AE15" s="4">
        <v>1</v>
      </c>
      <c r="AF15" s="4" t="s">
        <v>72</v>
      </c>
      <c r="AG15" s="4">
        <v>0.4</v>
      </c>
      <c r="AH15" s="4">
        <v>1179</v>
      </c>
      <c r="AI15" s="4">
        <v>55.4</v>
      </c>
      <c r="AJ15" s="4">
        <v>100</v>
      </c>
      <c r="AK15" s="4">
        <v>9.82</v>
      </c>
      <c r="AL15" s="4">
        <v>32.4</v>
      </c>
      <c r="AM15" s="4">
        <v>4.71</v>
      </c>
      <c r="AN15" s="4">
        <v>0.88</v>
      </c>
      <c r="AO15" s="4">
        <v>3.1</v>
      </c>
      <c r="AP15" s="4">
        <v>0.38</v>
      </c>
      <c r="AQ15" s="4">
        <v>2.0699999999999998</v>
      </c>
      <c r="AR15" s="4">
        <v>0.38</v>
      </c>
      <c r="AS15" s="4">
        <v>1.1000000000000001</v>
      </c>
      <c r="AT15" s="4">
        <v>0.16900000000000001</v>
      </c>
      <c r="AU15" s="4">
        <v>1.1399999999999999</v>
      </c>
      <c r="AV15" s="4">
        <v>0.17100000000000001</v>
      </c>
      <c r="AW15" s="4">
        <v>4.2</v>
      </c>
      <c r="AX15" s="4">
        <v>0.39</v>
      </c>
      <c r="AY15" s="4">
        <v>6.2</v>
      </c>
      <c r="AZ15" s="4">
        <v>0.48</v>
      </c>
      <c r="BA15" s="4">
        <v>24</v>
      </c>
      <c r="BB15" s="4" t="s">
        <v>73</v>
      </c>
      <c r="BC15" s="4">
        <v>17.5</v>
      </c>
      <c r="BD15" s="4">
        <v>1.1599999999999999</v>
      </c>
    </row>
    <row r="16" spans="1:56" x14ac:dyDescent="0.25">
      <c r="A16" s="2" t="s">
        <v>85</v>
      </c>
      <c r="B16" s="4">
        <f>(71.25/99.372)*100</f>
        <v>71.700277744233787</v>
      </c>
      <c r="C16" s="4">
        <f>(14.16/99.372)*100</f>
        <v>14.249486776959305</v>
      </c>
      <c r="D16" s="4">
        <f>(2.84/99.372)*100</f>
        <v>2.8579479128929677</v>
      </c>
      <c r="E16" s="4">
        <f>(0.053/99.372)*100</f>
        <v>5.3334943444833548E-2</v>
      </c>
      <c r="F16" s="4">
        <f>(0.69/99.372)*100</f>
        <v>0.69436058447047455</v>
      </c>
      <c r="G16" s="4">
        <f>(2.28/99.372)*100</f>
        <v>2.2944088878154809</v>
      </c>
      <c r="H16" s="4">
        <f>(3.67/99.372)*100</f>
        <v>3.6931932536328143</v>
      </c>
      <c r="I16" s="4">
        <f>(3.95/99.372)*100</f>
        <v>3.9749627661715574</v>
      </c>
      <c r="J16" s="4">
        <f>(0.359/99.372)*100</f>
        <v>0.36126876786217443</v>
      </c>
      <c r="K16" s="4">
        <f>(0.12/99.372)*100</f>
        <v>0.12075836251660428</v>
      </c>
      <c r="L16" s="4">
        <v>4</v>
      </c>
      <c r="M16" s="4">
        <v>2</v>
      </c>
      <c r="N16" s="4">
        <v>31</v>
      </c>
      <c r="O16" s="4" t="s">
        <v>69</v>
      </c>
      <c r="P16" s="4">
        <v>4</v>
      </c>
      <c r="Q16" s="4" t="s">
        <v>69</v>
      </c>
      <c r="R16" s="4" t="s">
        <v>80</v>
      </c>
      <c r="S16" s="4">
        <v>50</v>
      </c>
      <c r="T16" s="4">
        <v>17</v>
      </c>
      <c r="U16" s="4">
        <v>1.2</v>
      </c>
      <c r="V16" s="4" t="s">
        <v>70</v>
      </c>
      <c r="W16" s="4">
        <v>109</v>
      </c>
      <c r="X16" s="4">
        <v>331</v>
      </c>
      <c r="Y16" s="4">
        <v>21.8</v>
      </c>
      <c r="Z16" s="4">
        <v>197</v>
      </c>
      <c r="AA16" s="4">
        <v>10.5</v>
      </c>
      <c r="AB16" s="4" t="s">
        <v>76</v>
      </c>
      <c r="AC16" s="4" t="s">
        <v>71</v>
      </c>
      <c r="AD16" s="4" t="s">
        <v>73</v>
      </c>
      <c r="AE16" s="4">
        <v>1</v>
      </c>
      <c r="AF16" s="4" t="s">
        <v>72</v>
      </c>
      <c r="AG16" s="4">
        <v>0.8</v>
      </c>
      <c r="AH16" s="4">
        <v>1111</v>
      </c>
      <c r="AI16" s="4">
        <v>69.3</v>
      </c>
      <c r="AJ16" s="4">
        <v>127</v>
      </c>
      <c r="AK16" s="4">
        <v>12.9</v>
      </c>
      <c r="AL16" s="4">
        <v>44.7</v>
      </c>
      <c r="AM16" s="4">
        <v>7.17</v>
      </c>
      <c r="AN16" s="4">
        <v>1.23</v>
      </c>
      <c r="AO16" s="4">
        <v>5.31</v>
      </c>
      <c r="AP16" s="4">
        <v>0.74</v>
      </c>
      <c r="AQ16" s="4">
        <v>4.29</v>
      </c>
      <c r="AR16" s="4">
        <v>0.83</v>
      </c>
      <c r="AS16" s="4">
        <v>2.2200000000000002</v>
      </c>
      <c r="AT16" s="4">
        <v>0.316</v>
      </c>
      <c r="AU16" s="4">
        <v>2.12</v>
      </c>
      <c r="AV16" s="4">
        <v>0.29099999999999998</v>
      </c>
      <c r="AW16" s="4">
        <v>4.2</v>
      </c>
      <c r="AX16" s="4">
        <v>1.05</v>
      </c>
      <c r="AY16" s="4">
        <v>3.9</v>
      </c>
      <c r="AZ16" s="4">
        <v>0.5</v>
      </c>
      <c r="BA16" s="4">
        <v>20</v>
      </c>
      <c r="BB16" s="4" t="s">
        <v>73</v>
      </c>
      <c r="BC16" s="4">
        <v>13.7</v>
      </c>
      <c r="BD16" s="4">
        <v>1.35</v>
      </c>
    </row>
    <row r="17" spans="1:56" x14ac:dyDescent="0.25">
      <c r="A17" s="2" t="s">
        <v>86</v>
      </c>
      <c r="B17" s="4">
        <f>(70.75/98.388)*100</f>
        <v>71.909175915762077</v>
      </c>
      <c r="C17" s="4">
        <f>(13.36/98.388)*100</f>
        <v>13.578891734764401</v>
      </c>
      <c r="D17" s="4">
        <f>(3.14/98.388)*100</f>
        <v>3.1914461113143879</v>
      </c>
      <c r="E17" s="4">
        <f>(0.053/98.388)*100</f>
        <v>5.3868357929828838E-2</v>
      </c>
      <c r="F17" s="4">
        <f>(0.6/98.388)*100</f>
        <v>0.60983046713013778</v>
      </c>
      <c r="G17" s="4">
        <f>(1.93/98.388)*100</f>
        <v>1.9616213359352763</v>
      </c>
      <c r="H17" s="4">
        <f>(3.61/98.388)*100</f>
        <v>3.6691466438996621</v>
      </c>
      <c r="I17" s="4">
        <f>(4.49/98.388)*100</f>
        <v>4.5635646623571979</v>
      </c>
      <c r="J17" s="4">
        <f>(0.345/98.388)*100</f>
        <v>0.35065251859982921</v>
      </c>
      <c r="K17" s="4">
        <f>(0.11/98.388)*100</f>
        <v>0.11180225230719193</v>
      </c>
      <c r="L17" s="4">
        <v>5</v>
      </c>
      <c r="M17" s="4">
        <v>2</v>
      </c>
      <c r="N17" s="4">
        <v>25</v>
      </c>
      <c r="O17" s="4" t="s">
        <v>69</v>
      </c>
      <c r="P17" s="4">
        <v>3</v>
      </c>
      <c r="Q17" s="4" t="s">
        <v>69</v>
      </c>
      <c r="R17" s="4" t="s">
        <v>80</v>
      </c>
      <c r="S17" s="4">
        <v>40</v>
      </c>
      <c r="T17" s="4">
        <v>17</v>
      </c>
      <c r="U17" s="4">
        <v>1.2</v>
      </c>
      <c r="V17" s="4" t="s">
        <v>70</v>
      </c>
      <c r="W17" s="4">
        <v>115</v>
      </c>
      <c r="X17" s="4">
        <v>242</v>
      </c>
      <c r="Y17" s="4">
        <v>20.9</v>
      </c>
      <c r="Z17" s="4">
        <v>234</v>
      </c>
      <c r="AA17" s="4">
        <v>11.5</v>
      </c>
      <c r="AB17" s="4" t="s">
        <v>76</v>
      </c>
      <c r="AC17" s="4" t="s">
        <v>71</v>
      </c>
      <c r="AD17" s="4" t="s">
        <v>73</v>
      </c>
      <c r="AE17" s="4">
        <v>2</v>
      </c>
      <c r="AF17" s="4" t="s">
        <v>72</v>
      </c>
      <c r="AG17" s="4">
        <v>0.8</v>
      </c>
      <c r="AH17" s="4">
        <v>1154</v>
      </c>
      <c r="AI17" s="4">
        <v>58.4</v>
      </c>
      <c r="AJ17" s="4">
        <v>109</v>
      </c>
      <c r="AK17" s="4">
        <v>11.1</v>
      </c>
      <c r="AL17" s="4">
        <v>38.4</v>
      </c>
      <c r="AM17" s="4">
        <v>6.3</v>
      </c>
      <c r="AN17" s="4">
        <v>1.1200000000000001</v>
      </c>
      <c r="AO17" s="4">
        <v>4.92</v>
      </c>
      <c r="AP17" s="4">
        <v>0.68</v>
      </c>
      <c r="AQ17" s="4">
        <v>3.92</v>
      </c>
      <c r="AR17" s="4">
        <v>0.79</v>
      </c>
      <c r="AS17" s="4">
        <v>2.27</v>
      </c>
      <c r="AT17" s="4">
        <v>0.33</v>
      </c>
      <c r="AU17" s="4">
        <v>2.2200000000000002</v>
      </c>
      <c r="AV17" s="4">
        <v>0.30599999999999999</v>
      </c>
      <c r="AW17" s="4">
        <v>4.9000000000000004</v>
      </c>
      <c r="AX17" s="4">
        <v>1.03</v>
      </c>
      <c r="AY17" s="4">
        <v>3.3</v>
      </c>
      <c r="AZ17" s="4">
        <v>0.55000000000000004</v>
      </c>
      <c r="BA17" s="4">
        <v>21</v>
      </c>
      <c r="BB17" s="4" t="s">
        <v>73</v>
      </c>
      <c r="BC17" s="4">
        <v>14.3</v>
      </c>
      <c r="BD17" s="4">
        <v>1.53</v>
      </c>
    </row>
    <row r="18" spans="1:56" x14ac:dyDescent="0.25">
      <c r="A18" s="2" t="s">
        <v>87</v>
      </c>
      <c r="B18" s="4">
        <f>(67.15/98.618)*100</f>
        <v>68.091017866920851</v>
      </c>
      <c r="C18" s="4">
        <f>(14.8/98.618)*100</f>
        <v>15.007402299783001</v>
      </c>
      <c r="D18" s="4">
        <f>(4.38/98.618)*100</f>
        <v>4.4413798698006453</v>
      </c>
      <c r="E18" s="4">
        <f>(0.091/98.618)*100</f>
        <v>9.2275243870287377E-2</v>
      </c>
      <c r="F18" s="4">
        <f>(1.39/98.618)*100</f>
        <v>1.4094789997769168</v>
      </c>
      <c r="G18" s="4">
        <f>(3.28/98.618)*100</f>
        <v>3.325964834005962</v>
      </c>
      <c r="H18" s="4">
        <f>(4.6/98.618)*100</f>
        <v>4.6644628769595808</v>
      </c>
      <c r="I18" s="4">
        <f>(2.23/98.618)*100</f>
        <v>2.2612504816564929</v>
      </c>
      <c r="J18" s="4">
        <f>(0.557/98.618)*100</f>
        <v>0.56480561357967107</v>
      </c>
      <c r="K18" s="4">
        <f>(0.14/98.618)*100</f>
        <v>0.14196191364659599</v>
      </c>
      <c r="L18" s="4">
        <v>9</v>
      </c>
      <c r="M18" s="4">
        <v>2</v>
      </c>
      <c r="N18" s="4">
        <v>58</v>
      </c>
      <c r="O18" s="4">
        <v>20</v>
      </c>
      <c r="P18" s="4">
        <v>8</v>
      </c>
      <c r="Q18" s="4" t="s">
        <v>69</v>
      </c>
      <c r="R18" s="4">
        <v>10</v>
      </c>
      <c r="S18" s="4">
        <v>60</v>
      </c>
      <c r="T18" s="4">
        <v>19</v>
      </c>
      <c r="U18" s="4">
        <v>1.1000000000000001</v>
      </c>
      <c r="V18" s="4" t="s">
        <v>70</v>
      </c>
      <c r="W18" s="4">
        <v>42</v>
      </c>
      <c r="X18" s="4">
        <v>318</v>
      </c>
      <c r="Y18" s="4">
        <v>21.1</v>
      </c>
      <c r="Z18" s="4">
        <v>237</v>
      </c>
      <c r="AA18" s="4">
        <v>11.1</v>
      </c>
      <c r="AB18" s="4" t="s">
        <v>76</v>
      </c>
      <c r="AC18" s="4" t="s">
        <v>71</v>
      </c>
      <c r="AD18" s="4">
        <v>0.1</v>
      </c>
      <c r="AE18" s="4">
        <v>1</v>
      </c>
      <c r="AF18" s="4" t="s">
        <v>72</v>
      </c>
      <c r="AG18" s="4">
        <v>0.3</v>
      </c>
      <c r="AH18" s="4">
        <v>796</v>
      </c>
      <c r="AI18" s="4">
        <v>54.1</v>
      </c>
      <c r="AJ18" s="4">
        <v>110</v>
      </c>
      <c r="AK18" s="4">
        <v>11.9</v>
      </c>
      <c r="AL18" s="4">
        <v>42.8</v>
      </c>
      <c r="AM18" s="4">
        <v>7.41</v>
      </c>
      <c r="AN18" s="4">
        <v>1.47</v>
      </c>
      <c r="AO18" s="4">
        <v>5.73</v>
      </c>
      <c r="AP18" s="4">
        <v>0.78</v>
      </c>
      <c r="AQ18" s="4">
        <v>4.3600000000000003</v>
      </c>
      <c r="AR18" s="4">
        <v>0.81</v>
      </c>
      <c r="AS18" s="4">
        <v>2.2599999999999998</v>
      </c>
      <c r="AT18" s="4">
        <v>0.32</v>
      </c>
      <c r="AU18" s="4">
        <v>2.0099999999999998</v>
      </c>
      <c r="AV18" s="4">
        <v>0.29099999999999998</v>
      </c>
      <c r="AW18" s="4">
        <v>4.8</v>
      </c>
      <c r="AX18" s="4">
        <v>0.84</v>
      </c>
      <c r="AY18" s="4">
        <v>3.2</v>
      </c>
      <c r="AZ18" s="4">
        <v>0.19</v>
      </c>
      <c r="BA18" s="4">
        <v>14</v>
      </c>
      <c r="BB18" s="4" t="s">
        <v>73</v>
      </c>
      <c r="BC18" s="4">
        <v>7.19</v>
      </c>
      <c r="BD18" s="4">
        <v>0.87</v>
      </c>
    </row>
    <row r="19" spans="1:56" x14ac:dyDescent="0.25">
      <c r="A19" s="2" t="s">
        <v>88</v>
      </c>
      <c r="B19" s="4">
        <f>(67.6/99.103)*100</f>
        <v>68.211860387677476</v>
      </c>
      <c r="C19" s="4">
        <f>(15.04/99.103)*100</f>
        <v>15.17612988506907</v>
      </c>
      <c r="D19" s="4">
        <f>(3.79/99.103)*100</f>
        <v>3.8243040069422722</v>
      </c>
      <c r="E19" s="4">
        <f>(0.053/99.103)*100</f>
        <v>5.3479713025841806E-2</v>
      </c>
      <c r="F19" s="4">
        <f>(1.27/99.103)*100</f>
        <v>1.2814950102418696</v>
      </c>
      <c r="G19" s="4">
        <f>(3.25/99.103)*100</f>
        <v>3.2794163647921861</v>
      </c>
      <c r="H19" s="4">
        <f>(3.89/99.103)*100</f>
        <v>3.925209125858955</v>
      </c>
      <c r="I19" s="4">
        <f>(3.58/99.103)*100</f>
        <v>3.6124032572172387</v>
      </c>
      <c r="J19" s="4">
        <f>(0.47/99.103)*100</f>
        <v>0.47425405890840844</v>
      </c>
      <c r="K19" s="4">
        <f>(0.16/99.103)*100</f>
        <v>0.16144819026669224</v>
      </c>
      <c r="L19" s="4">
        <v>6</v>
      </c>
      <c r="M19" s="4">
        <v>3</v>
      </c>
      <c r="N19" s="4">
        <v>62</v>
      </c>
      <c r="O19" s="4" t="s">
        <v>69</v>
      </c>
      <c r="P19" s="4">
        <v>7</v>
      </c>
      <c r="Q19" s="4" t="s">
        <v>69</v>
      </c>
      <c r="R19" s="4">
        <v>30</v>
      </c>
      <c r="S19" s="4">
        <v>60</v>
      </c>
      <c r="T19" s="4">
        <v>20</v>
      </c>
      <c r="U19" s="4">
        <v>1.1000000000000001</v>
      </c>
      <c r="V19" s="4" t="s">
        <v>70</v>
      </c>
      <c r="W19" s="4">
        <v>102</v>
      </c>
      <c r="X19" s="4">
        <v>535</v>
      </c>
      <c r="Y19" s="4">
        <v>9.1</v>
      </c>
      <c r="Z19" s="4">
        <v>156</v>
      </c>
      <c r="AA19" s="4">
        <v>6.1</v>
      </c>
      <c r="AB19" s="4" t="s">
        <v>76</v>
      </c>
      <c r="AC19" s="4" t="s">
        <v>71</v>
      </c>
      <c r="AD19" s="4" t="s">
        <v>73</v>
      </c>
      <c r="AE19" s="4">
        <v>1</v>
      </c>
      <c r="AF19" s="4" t="s">
        <v>72</v>
      </c>
      <c r="AG19" s="4">
        <v>0.7</v>
      </c>
      <c r="AH19" s="4">
        <v>981</v>
      </c>
      <c r="AI19" s="4">
        <v>28.4</v>
      </c>
      <c r="AJ19" s="4">
        <v>54.9</v>
      </c>
      <c r="AK19" s="4">
        <v>6.24</v>
      </c>
      <c r="AL19" s="4">
        <v>23.1</v>
      </c>
      <c r="AM19" s="4">
        <v>4.21</v>
      </c>
      <c r="AN19" s="4">
        <v>1.1100000000000001</v>
      </c>
      <c r="AO19" s="4">
        <v>2.91</v>
      </c>
      <c r="AP19" s="4">
        <v>0.37</v>
      </c>
      <c r="AQ19" s="4">
        <v>1.95</v>
      </c>
      <c r="AR19" s="4">
        <v>0.33</v>
      </c>
      <c r="AS19" s="4">
        <v>0.94</v>
      </c>
      <c r="AT19" s="4">
        <v>0.13400000000000001</v>
      </c>
      <c r="AU19" s="4">
        <v>0.84</v>
      </c>
      <c r="AV19" s="4">
        <v>0.124</v>
      </c>
      <c r="AW19" s="4">
        <v>3.8</v>
      </c>
      <c r="AX19" s="4">
        <v>0.59</v>
      </c>
      <c r="AY19" s="4">
        <v>3.7</v>
      </c>
      <c r="AZ19" s="4">
        <v>0.47</v>
      </c>
      <c r="BA19" s="4">
        <v>21</v>
      </c>
      <c r="BB19" s="4" t="s">
        <v>73</v>
      </c>
      <c r="BC19" s="4">
        <v>5.27</v>
      </c>
      <c r="BD19" s="4">
        <v>1.0900000000000001</v>
      </c>
    </row>
  </sheetData>
  <sheetProtection formatCells="0" formatColumns="0" formatRows="0" insertColumns="0" insertRows="0" insertHyperlinks="0" deleteColumns="0" deleteRows="0" sort="0" autoFilter="0" pivotTables="0"/>
  <pageMargins left="0.51" right="0.51" top="0.51" bottom="0.51" header="0.3" footer="0.3"/>
  <pageSetup orientation="landscape"/>
  <headerFooter>
    <oddHeader>&amp;12&amp;B
Activation Laboratories</oddHeader>
    <oddFooter>&amp;C&amp;"Arial,Normal"Page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9"/>
  <sheetViews>
    <sheetView workbookViewId="0">
      <pane xSplit="1" ySplit="6" topLeftCell="B7" activePane="bottomRight" state="frozen"/>
      <selection pane="topRight"/>
      <selection pane="bottomLeft"/>
      <selection pane="bottomRight" activeCell="B18" sqref="B18"/>
    </sheetView>
  </sheetViews>
  <sheetFormatPr defaultRowHeight="15" x14ac:dyDescent="0.25"/>
  <cols>
    <col min="1" max="1" width="25.5703125" style="1" bestFit="1" customWidth="1"/>
    <col min="2" max="58" width="19" style="3" customWidth="1"/>
  </cols>
  <sheetData>
    <row r="1" spans="1:58" x14ac:dyDescent="0.25">
      <c r="A1" s="2" t="s">
        <v>0</v>
      </c>
    </row>
    <row r="2" spans="1:58" x14ac:dyDescent="0.25">
      <c r="A2" s="4" t="s">
        <v>1</v>
      </c>
    </row>
    <row r="3" spans="1:58" x14ac:dyDescent="0.25">
      <c r="A3" s="2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</row>
    <row r="4" spans="1:58" x14ac:dyDescent="0.25">
      <c r="A4" s="2" t="s">
        <v>60</v>
      </c>
      <c r="B4" s="4" t="s">
        <v>61</v>
      </c>
      <c r="C4" s="4" t="s">
        <v>61</v>
      </c>
      <c r="D4" s="4" t="s">
        <v>61</v>
      </c>
      <c r="E4" s="4" t="s">
        <v>61</v>
      </c>
      <c r="F4" s="4" t="s">
        <v>61</v>
      </c>
      <c r="G4" s="4" t="s">
        <v>61</v>
      </c>
      <c r="H4" s="4" t="s">
        <v>61</v>
      </c>
      <c r="I4" s="4" t="s">
        <v>61</v>
      </c>
      <c r="J4" s="4" t="s">
        <v>61</v>
      </c>
      <c r="K4" s="4" t="s">
        <v>61</v>
      </c>
      <c r="L4" s="4" t="s">
        <v>61</v>
      </c>
      <c r="M4" s="4" t="s">
        <v>61</v>
      </c>
      <c r="N4" s="4" t="s">
        <v>62</v>
      </c>
      <c r="O4" s="4" t="s">
        <v>62</v>
      </c>
      <c r="P4" s="4" t="s">
        <v>62</v>
      </c>
      <c r="Q4" s="4" t="s">
        <v>62</v>
      </c>
      <c r="R4" s="4" t="s">
        <v>62</v>
      </c>
      <c r="S4" s="4" t="s">
        <v>62</v>
      </c>
      <c r="T4" s="4" t="s">
        <v>62</v>
      </c>
      <c r="U4" s="4" t="s">
        <v>62</v>
      </c>
      <c r="V4" s="4" t="s">
        <v>62</v>
      </c>
      <c r="W4" s="4" t="s">
        <v>62</v>
      </c>
      <c r="X4" s="4" t="s">
        <v>62</v>
      </c>
      <c r="Y4" s="4" t="s">
        <v>62</v>
      </c>
      <c r="Z4" s="4" t="s">
        <v>62</v>
      </c>
      <c r="AA4" s="4" t="s">
        <v>62</v>
      </c>
      <c r="AB4" s="4" t="s">
        <v>62</v>
      </c>
      <c r="AC4" s="4" t="s">
        <v>62</v>
      </c>
      <c r="AD4" s="4" t="s">
        <v>62</v>
      </c>
      <c r="AE4" s="4" t="s">
        <v>62</v>
      </c>
      <c r="AF4" s="4" t="s">
        <v>62</v>
      </c>
      <c r="AG4" s="4" t="s">
        <v>62</v>
      </c>
      <c r="AH4" s="4" t="s">
        <v>62</v>
      </c>
      <c r="AI4" s="4" t="s">
        <v>62</v>
      </c>
      <c r="AJ4" s="4" t="s">
        <v>62</v>
      </c>
      <c r="AK4" s="4" t="s">
        <v>62</v>
      </c>
      <c r="AL4" s="4" t="s">
        <v>62</v>
      </c>
      <c r="AM4" s="4" t="s">
        <v>62</v>
      </c>
      <c r="AN4" s="4" t="s">
        <v>62</v>
      </c>
      <c r="AO4" s="4" t="s">
        <v>62</v>
      </c>
      <c r="AP4" s="4" t="s">
        <v>62</v>
      </c>
      <c r="AQ4" s="4" t="s">
        <v>62</v>
      </c>
      <c r="AR4" s="4" t="s">
        <v>62</v>
      </c>
      <c r="AS4" s="4" t="s">
        <v>62</v>
      </c>
      <c r="AT4" s="4" t="s">
        <v>62</v>
      </c>
      <c r="AU4" s="4" t="s">
        <v>62</v>
      </c>
      <c r="AV4" s="4" t="s">
        <v>62</v>
      </c>
      <c r="AW4" s="4" t="s">
        <v>62</v>
      </c>
      <c r="AX4" s="4" t="s">
        <v>62</v>
      </c>
      <c r="AY4" s="4" t="s">
        <v>62</v>
      </c>
      <c r="AZ4" s="4" t="s">
        <v>62</v>
      </c>
      <c r="BA4" s="4" t="s">
        <v>62</v>
      </c>
      <c r="BB4" s="4" t="s">
        <v>62</v>
      </c>
      <c r="BC4" s="4" t="s">
        <v>62</v>
      </c>
      <c r="BD4" s="4" t="s">
        <v>62</v>
      </c>
      <c r="BE4" s="4" t="s">
        <v>62</v>
      </c>
      <c r="BF4" s="4" t="s">
        <v>62</v>
      </c>
    </row>
    <row r="5" spans="1:58" x14ac:dyDescent="0.25">
      <c r="A5" s="2" t="s">
        <v>63</v>
      </c>
      <c r="B5" s="4">
        <v>0.01</v>
      </c>
      <c r="C5" s="4">
        <v>0.01</v>
      </c>
      <c r="D5" s="4">
        <v>0.01</v>
      </c>
      <c r="E5" s="4">
        <v>5.0000000000000001E-3</v>
      </c>
      <c r="F5" s="4">
        <v>0.01</v>
      </c>
      <c r="G5" s="4">
        <v>0.01</v>
      </c>
      <c r="H5" s="4">
        <v>0.01</v>
      </c>
      <c r="I5" s="4">
        <v>0.01</v>
      </c>
      <c r="J5" s="4">
        <v>1E-3</v>
      </c>
      <c r="K5" s="4">
        <v>0.01</v>
      </c>
      <c r="L5" s="4"/>
      <c r="M5" s="4">
        <v>0.01</v>
      </c>
      <c r="N5" s="4">
        <v>1</v>
      </c>
      <c r="O5" s="4">
        <v>1</v>
      </c>
      <c r="P5" s="4">
        <v>5</v>
      </c>
      <c r="Q5" s="4">
        <v>20</v>
      </c>
      <c r="R5" s="4">
        <v>1</v>
      </c>
      <c r="S5" s="4">
        <v>20</v>
      </c>
      <c r="T5" s="4">
        <v>10</v>
      </c>
      <c r="U5" s="4">
        <v>30</v>
      </c>
      <c r="V5" s="4">
        <v>1</v>
      </c>
      <c r="W5" s="4">
        <v>0.5</v>
      </c>
      <c r="X5" s="4">
        <v>5</v>
      </c>
      <c r="Y5" s="4">
        <v>1</v>
      </c>
      <c r="Z5" s="4">
        <v>2</v>
      </c>
      <c r="AA5" s="4">
        <v>0.5</v>
      </c>
      <c r="AB5" s="4">
        <v>1</v>
      </c>
      <c r="AC5" s="4">
        <v>0.2</v>
      </c>
      <c r="AD5" s="4">
        <v>2</v>
      </c>
      <c r="AE5" s="4">
        <v>0.5</v>
      </c>
      <c r="AF5" s="4">
        <v>0.1</v>
      </c>
      <c r="AG5" s="4">
        <v>1</v>
      </c>
      <c r="AH5" s="4">
        <v>0.2</v>
      </c>
      <c r="AI5" s="4">
        <v>0.1</v>
      </c>
      <c r="AJ5" s="4">
        <v>2</v>
      </c>
      <c r="AK5" s="4">
        <v>0.05</v>
      </c>
      <c r="AL5" s="4">
        <v>0.05</v>
      </c>
      <c r="AM5" s="4">
        <v>0.01</v>
      </c>
      <c r="AN5" s="4">
        <v>0.05</v>
      </c>
      <c r="AO5" s="4">
        <v>0.01</v>
      </c>
      <c r="AP5" s="4">
        <v>5.0000000000000001E-3</v>
      </c>
      <c r="AQ5" s="4">
        <v>0.01</v>
      </c>
      <c r="AR5" s="4">
        <v>0.01</v>
      </c>
      <c r="AS5" s="4">
        <v>0.01</v>
      </c>
      <c r="AT5" s="4">
        <v>0.01</v>
      </c>
      <c r="AU5" s="4">
        <v>0.01</v>
      </c>
      <c r="AV5" s="4">
        <v>5.0000000000000001E-3</v>
      </c>
      <c r="AW5" s="4">
        <v>0.01</v>
      </c>
      <c r="AX5" s="4">
        <v>2E-3</v>
      </c>
      <c r="AY5" s="4">
        <v>0.1</v>
      </c>
      <c r="AZ5" s="4">
        <v>0.01</v>
      </c>
      <c r="BA5" s="4">
        <v>0.5</v>
      </c>
      <c r="BB5" s="4">
        <v>0.05</v>
      </c>
      <c r="BC5" s="4">
        <v>5</v>
      </c>
      <c r="BD5" s="4">
        <v>0.1</v>
      </c>
      <c r="BE5" s="4">
        <v>0.05</v>
      </c>
      <c r="BF5" s="4">
        <v>0.01</v>
      </c>
    </row>
    <row r="6" spans="1:58" x14ac:dyDescent="0.25">
      <c r="A6" s="5" t="s">
        <v>64</v>
      </c>
      <c r="B6" s="6" t="s">
        <v>65</v>
      </c>
      <c r="C6" s="6" t="s">
        <v>65</v>
      </c>
      <c r="D6" s="6" t="s">
        <v>65</v>
      </c>
      <c r="E6" s="6" t="s">
        <v>65</v>
      </c>
      <c r="F6" s="6" t="s">
        <v>65</v>
      </c>
      <c r="G6" s="6" t="s">
        <v>65</v>
      </c>
      <c r="H6" s="6" t="s">
        <v>65</v>
      </c>
      <c r="I6" s="6" t="s">
        <v>65</v>
      </c>
      <c r="J6" s="6" t="s">
        <v>65</v>
      </c>
      <c r="K6" s="6" t="s">
        <v>65</v>
      </c>
      <c r="L6" s="6" t="s">
        <v>66</v>
      </c>
      <c r="M6" s="6" t="s">
        <v>65</v>
      </c>
      <c r="N6" s="6" t="s">
        <v>65</v>
      </c>
      <c r="O6" s="6" t="s">
        <v>65</v>
      </c>
      <c r="P6" s="6" t="s">
        <v>65</v>
      </c>
      <c r="Q6" s="6" t="s">
        <v>67</v>
      </c>
      <c r="R6" s="6" t="s">
        <v>67</v>
      </c>
      <c r="S6" s="6" t="s">
        <v>67</v>
      </c>
      <c r="T6" s="6" t="s">
        <v>67</v>
      </c>
      <c r="U6" s="6" t="s">
        <v>67</v>
      </c>
      <c r="V6" s="6" t="s">
        <v>67</v>
      </c>
      <c r="W6" s="6" t="s">
        <v>67</v>
      </c>
      <c r="X6" s="6" t="s">
        <v>67</v>
      </c>
      <c r="Y6" s="6" t="s">
        <v>67</v>
      </c>
      <c r="Z6" s="6" t="s">
        <v>65</v>
      </c>
      <c r="AA6" s="6" t="s">
        <v>67</v>
      </c>
      <c r="AB6" s="6" t="s">
        <v>65</v>
      </c>
      <c r="AC6" s="6" t="s">
        <v>67</v>
      </c>
      <c r="AD6" s="6" t="s">
        <v>67</v>
      </c>
      <c r="AE6" s="6" t="s">
        <v>67</v>
      </c>
      <c r="AF6" s="6" t="s">
        <v>67</v>
      </c>
      <c r="AG6" s="6" t="s">
        <v>67</v>
      </c>
      <c r="AH6" s="6" t="s">
        <v>67</v>
      </c>
      <c r="AI6" s="6" t="s">
        <v>67</v>
      </c>
      <c r="AJ6" s="6" t="s">
        <v>65</v>
      </c>
      <c r="AK6" s="6" t="s">
        <v>67</v>
      </c>
      <c r="AL6" s="6" t="s">
        <v>67</v>
      </c>
      <c r="AM6" s="6" t="s">
        <v>67</v>
      </c>
      <c r="AN6" s="6" t="s">
        <v>67</v>
      </c>
      <c r="AO6" s="6" t="s">
        <v>67</v>
      </c>
      <c r="AP6" s="6" t="s">
        <v>67</v>
      </c>
      <c r="AQ6" s="6" t="s">
        <v>67</v>
      </c>
      <c r="AR6" s="6" t="s">
        <v>67</v>
      </c>
      <c r="AS6" s="6" t="s">
        <v>67</v>
      </c>
      <c r="AT6" s="6" t="s">
        <v>67</v>
      </c>
      <c r="AU6" s="6" t="s">
        <v>67</v>
      </c>
      <c r="AV6" s="6" t="s">
        <v>67</v>
      </c>
      <c r="AW6" s="6" t="s">
        <v>67</v>
      </c>
      <c r="AX6" s="6" t="s">
        <v>67</v>
      </c>
      <c r="AY6" s="6" t="s">
        <v>67</v>
      </c>
      <c r="AZ6" s="6" t="s">
        <v>67</v>
      </c>
      <c r="BA6" s="6" t="s">
        <v>67</v>
      </c>
      <c r="BB6" s="6" t="s">
        <v>67</v>
      </c>
      <c r="BC6" s="6" t="s">
        <v>67</v>
      </c>
      <c r="BD6" s="6" t="s">
        <v>67</v>
      </c>
      <c r="BE6" s="6" t="s">
        <v>67</v>
      </c>
      <c r="BF6" s="6" t="s">
        <v>67</v>
      </c>
    </row>
    <row r="7" spans="1:58" x14ac:dyDescent="0.25">
      <c r="A7" s="2" t="s">
        <v>68</v>
      </c>
      <c r="B7" s="4">
        <v>65.5</v>
      </c>
      <c r="C7" s="4">
        <v>16.739999999999998</v>
      </c>
      <c r="D7" s="4">
        <v>3</v>
      </c>
      <c r="E7" s="4">
        <v>7.9000000000000001E-2</v>
      </c>
      <c r="F7" s="4">
        <v>0.49</v>
      </c>
      <c r="G7" s="4">
        <v>1.6</v>
      </c>
      <c r="H7" s="4">
        <v>3.75</v>
      </c>
      <c r="I7" s="4">
        <v>7.96</v>
      </c>
      <c r="J7" s="4">
        <v>0.65500000000000003</v>
      </c>
      <c r="K7" s="4">
        <v>0.11</v>
      </c>
      <c r="L7" s="4">
        <v>0.41</v>
      </c>
      <c r="M7" s="4">
        <v>100.3</v>
      </c>
      <c r="N7" s="4">
        <v>12</v>
      </c>
      <c r="O7" s="4">
        <v>1</v>
      </c>
      <c r="P7" s="4">
        <v>23</v>
      </c>
      <c r="Q7" s="4" t="s">
        <v>69</v>
      </c>
      <c r="R7" s="4">
        <v>2</v>
      </c>
      <c r="S7" s="4" t="s">
        <v>69</v>
      </c>
      <c r="T7" s="4">
        <v>20</v>
      </c>
      <c r="U7" s="4">
        <v>50</v>
      </c>
      <c r="V7" s="4">
        <v>20</v>
      </c>
      <c r="W7" s="4">
        <v>1.3</v>
      </c>
      <c r="X7" s="4" t="s">
        <v>70</v>
      </c>
      <c r="Y7" s="4">
        <v>123</v>
      </c>
      <c r="Z7" s="4">
        <v>162</v>
      </c>
      <c r="AA7" s="4">
        <v>44.9</v>
      </c>
      <c r="AB7" s="4">
        <v>720</v>
      </c>
      <c r="AC7" s="4">
        <v>25.7</v>
      </c>
      <c r="AD7" s="4">
        <v>2</v>
      </c>
      <c r="AE7" s="4" t="s">
        <v>71</v>
      </c>
      <c r="AF7" s="4">
        <v>0.1</v>
      </c>
      <c r="AG7" s="4">
        <v>2</v>
      </c>
      <c r="AH7" s="4" t="s">
        <v>72</v>
      </c>
      <c r="AI7" s="4">
        <v>0.9</v>
      </c>
      <c r="AJ7" s="4">
        <v>642</v>
      </c>
      <c r="AK7" s="4">
        <v>190</v>
      </c>
      <c r="AL7" s="4">
        <v>373</v>
      </c>
      <c r="AM7" s="4">
        <v>39.700000000000003</v>
      </c>
      <c r="AN7" s="4">
        <v>133</v>
      </c>
      <c r="AO7" s="4">
        <v>20.399999999999999</v>
      </c>
      <c r="AP7" s="4">
        <v>2.58</v>
      </c>
      <c r="AQ7" s="4">
        <v>13.7</v>
      </c>
      <c r="AR7" s="4">
        <v>1.8</v>
      </c>
      <c r="AS7" s="4">
        <v>9.3000000000000007</v>
      </c>
      <c r="AT7" s="4">
        <v>1.79</v>
      </c>
      <c r="AU7" s="4">
        <v>4.84</v>
      </c>
      <c r="AV7" s="4">
        <v>0.67</v>
      </c>
      <c r="AW7" s="4">
        <v>4.37</v>
      </c>
      <c r="AX7" s="4">
        <v>0.66500000000000004</v>
      </c>
      <c r="AY7" s="4">
        <v>15.6</v>
      </c>
      <c r="AZ7" s="4">
        <v>1.6</v>
      </c>
      <c r="BA7" s="4">
        <v>3.9</v>
      </c>
      <c r="BB7" s="4">
        <v>0.51</v>
      </c>
      <c r="BC7" s="4">
        <v>29</v>
      </c>
      <c r="BD7" s="4" t="s">
        <v>73</v>
      </c>
      <c r="BE7" s="4">
        <v>26</v>
      </c>
      <c r="BF7" s="4">
        <v>1.8</v>
      </c>
    </row>
    <row r="8" spans="1:58" x14ac:dyDescent="0.25">
      <c r="A8" s="2" t="s">
        <v>74</v>
      </c>
      <c r="B8" s="4">
        <v>57.67</v>
      </c>
      <c r="C8" s="4">
        <v>15.04</v>
      </c>
      <c r="D8" s="4">
        <v>7.51</v>
      </c>
      <c r="E8" s="4">
        <v>0.125</v>
      </c>
      <c r="F8" s="4">
        <v>3.54</v>
      </c>
      <c r="G8" s="4">
        <v>6.05</v>
      </c>
      <c r="H8" s="4">
        <v>4.08</v>
      </c>
      <c r="I8" s="4">
        <v>2.09</v>
      </c>
      <c r="J8" s="4">
        <v>1.1819999999999999</v>
      </c>
      <c r="K8" s="4">
        <v>0.24</v>
      </c>
      <c r="L8" s="4">
        <v>0.93</v>
      </c>
      <c r="M8" s="4">
        <v>98.47</v>
      </c>
      <c r="N8" s="4">
        <v>21</v>
      </c>
      <c r="O8" s="4">
        <v>2</v>
      </c>
      <c r="P8" s="4">
        <v>146</v>
      </c>
      <c r="Q8" s="4">
        <v>50</v>
      </c>
      <c r="R8" s="4">
        <v>21</v>
      </c>
      <c r="S8" s="4">
        <v>30</v>
      </c>
      <c r="T8" s="4">
        <v>30</v>
      </c>
      <c r="U8" s="4">
        <v>70</v>
      </c>
      <c r="V8" s="4">
        <v>19</v>
      </c>
      <c r="W8" s="4">
        <v>1.3</v>
      </c>
      <c r="X8" s="4" t="s">
        <v>70</v>
      </c>
      <c r="Y8" s="4">
        <v>55</v>
      </c>
      <c r="Z8" s="4">
        <v>325</v>
      </c>
      <c r="AA8" s="4">
        <v>30.9</v>
      </c>
      <c r="AB8" s="4">
        <v>257</v>
      </c>
      <c r="AC8" s="4">
        <v>11.5</v>
      </c>
      <c r="AD8" s="4">
        <v>2</v>
      </c>
      <c r="AE8" s="4" t="s">
        <v>71</v>
      </c>
      <c r="AF8" s="4">
        <v>0.1</v>
      </c>
      <c r="AG8" s="4">
        <v>2</v>
      </c>
      <c r="AH8" s="4" t="s">
        <v>72</v>
      </c>
      <c r="AI8" s="4">
        <v>0.4</v>
      </c>
      <c r="AJ8" s="4">
        <v>695</v>
      </c>
      <c r="AK8" s="4">
        <v>47.7</v>
      </c>
      <c r="AL8" s="4">
        <v>93.6</v>
      </c>
      <c r="AM8" s="4">
        <v>10.6</v>
      </c>
      <c r="AN8" s="4">
        <v>38.5</v>
      </c>
      <c r="AO8" s="4">
        <v>7.34</v>
      </c>
      <c r="AP8" s="4">
        <v>1.65</v>
      </c>
      <c r="AQ8" s="4">
        <v>6.46</v>
      </c>
      <c r="AR8" s="4">
        <v>0.99</v>
      </c>
      <c r="AS8" s="4">
        <v>5.9</v>
      </c>
      <c r="AT8" s="4">
        <v>1.19</v>
      </c>
      <c r="AU8" s="4">
        <v>3.33</v>
      </c>
      <c r="AV8" s="4">
        <v>0.47499999999999998</v>
      </c>
      <c r="AW8" s="4">
        <v>3.12</v>
      </c>
      <c r="AX8" s="4">
        <v>0.46300000000000002</v>
      </c>
      <c r="AY8" s="4">
        <v>5.6</v>
      </c>
      <c r="AZ8" s="4">
        <v>0.89</v>
      </c>
      <c r="BA8" s="4">
        <v>7.8</v>
      </c>
      <c r="BB8" s="4">
        <v>0.28000000000000003</v>
      </c>
      <c r="BC8" s="4">
        <v>12</v>
      </c>
      <c r="BD8" s="4" t="s">
        <v>73</v>
      </c>
      <c r="BE8" s="4">
        <v>8.1999999999999993</v>
      </c>
      <c r="BF8" s="4">
        <v>0.93</v>
      </c>
    </row>
    <row r="9" spans="1:58" x14ac:dyDescent="0.25">
      <c r="A9" s="2" t="s">
        <v>75</v>
      </c>
      <c r="B9" s="4">
        <v>67</v>
      </c>
      <c r="C9" s="4">
        <v>15.39</v>
      </c>
      <c r="D9" s="4">
        <v>4.7</v>
      </c>
      <c r="E9" s="4">
        <v>9.5000000000000001E-2</v>
      </c>
      <c r="F9" s="4">
        <v>1.62</v>
      </c>
      <c r="G9" s="4">
        <v>3.64</v>
      </c>
      <c r="H9" s="4">
        <v>4.3899999999999997</v>
      </c>
      <c r="I9" s="4">
        <v>2.83</v>
      </c>
      <c r="J9" s="4">
        <v>0.60399999999999998</v>
      </c>
      <c r="K9" s="4">
        <v>0.15</v>
      </c>
      <c r="L9" s="4">
        <v>0.52</v>
      </c>
      <c r="M9" s="4">
        <v>100.9</v>
      </c>
      <c r="N9" s="4">
        <v>10</v>
      </c>
      <c r="O9" s="4">
        <v>2</v>
      </c>
      <c r="P9" s="4">
        <v>63</v>
      </c>
      <c r="Q9" s="4">
        <v>30</v>
      </c>
      <c r="R9" s="4">
        <v>9</v>
      </c>
      <c r="S9" s="4" t="s">
        <v>69</v>
      </c>
      <c r="T9" s="4">
        <v>10</v>
      </c>
      <c r="U9" s="4">
        <v>70</v>
      </c>
      <c r="V9" s="4">
        <v>19</v>
      </c>
      <c r="W9" s="4">
        <v>1.1000000000000001</v>
      </c>
      <c r="X9" s="4" t="s">
        <v>70</v>
      </c>
      <c r="Y9" s="4">
        <v>60</v>
      </c>
      <c r="Z9" s="4">
        <v>337</v>
      </c>
      <c r="AA9" s="4">
        <v>19.100000000000001</v>
      </c>
      <c r="AB9" s="4">
        <v>242</v>
      </c>
      <c r="AC9" s="4">
        <v>10.1</v>
      </c>
      <c r="AD9" s="4" t="s">
        <v>76</v>
      </c>
      <c r="AE9" s="4" t="s">
        <v>71</v>
      </c>
      <c r="AF9" s="4">
        <v>0.1</v>
      </c>
      <c r="AG9" s="4">
        <v>1</v>
      </c>
      <c r="AH9" s="4" t="s">
        <v>72</v>
      </c>
      <c r="AI9" s="4">
        <v>0.6</v>
      </c>
      <c r="AJ9" s="4">
        <v>978</v>
      </c>
      <c r="AK9" s="4">
        <v>53.4</v>
      </c>
      <c r="AL9" s="4">
        <v>103</v>
      </c>
      <c r="AM9" s="4">
        <v>11.1</v>
      </c>
      <c r="AN9" s="4">
        <v>38.5</v>
      </c>
      <c r="AO9" s="4">
        <v>6.59</v>
      </c>
      <c r="AP9" s="4">
        <v>1.44</v>
      </c>
      <c r="AQ9" s="4">
        <v>5.0199999999999996</v>
      </c>
      <c r="AR9" s="4">
        <v>0.69</v>
      </c>
      <c r="AS9" s="4">
        <v>4.03</v>
      </c>
      <c r="AT9" s="4">
        <v>0.74</v>
      </c>
      <c r="AU9" s="4">
        <v>2.0699999999999998</v>
      </c>
      <c r="AV9" s="4">
        <v>0.29199999999999998</v>
      </c>
      <c r="AW9" s="4">
        <v>1.89</v>
      </c>
      <c r="AX9" s="4">
        <v>0.28699999999999998</v>
      </c>
      <c r="AY9" s="4">
        <v>4.9000000000000004</v>
      </c>
      <c r="AZ9" s="4">
        <v>0.75</v>
      </c>
      <c r="BA9" s="4">
        <v>3.3</v>
      </c>
      <c r="BB9" s="4">
        <v>0.28000000000000003</v>
      </c>
      <c r="BC9" s="4">
        <v>14</v>
      </c>
      <c r="BD9" s="4" t="s">
        <v>73</v>
      </c>
      <c r="BE9" s="4">
        <v>6.38</v>
      </c>
      <c r="BF9" s="4">
        <v>0.79</v>
      </c>
    </row>
    <row r="10" spans="1:58" x14ac:dyDescent="0.25">
      <c r="A10" s="2" t="s">
        <v>77</v>
      </c>
      <c r="B10" s="4">
        <v>48.4</v>
      </c>
      <c r="C10" s="4">
        <v>15.42</v>
      </c>
      <c r="D10" s="4">
        <v>9.8800000000000008</v>
      </c>
      <c r="E10" s="4">
        <v>0.17</v>
      </c>
      <c r="F10" s="4">
        <v>7.34</v>
      </c>
      <c r="G10" s="4">
        <v>9.2200000000000006</v>
      </c>
      <c r="H10" s="4">
        <v>3.04</v>
      </c>
      <c r="I10" s="4">
        <v>1.61</v>
      </c>
      <c r="J10" s="4">
        <v>1.2090000000000001</v>
      </c>
      <c r="K10" s="4">
        <v>0.19</v>
      </c>
      <c r="L10" s="4">
        <v>2.02</v>
      </c>
      <c r="M10" s="4">
        <v>98.51</v>
      </c>
      <c r="N10" s="4">
        <v>34</v>
      </c>
      <c r="O10" s="4">
        <v>1</v>
      </c>
      <c r="P10" s="4">
        <v>184</v>
      </c>
      <c r="Q10" s="4">
        <v>170</v>
      </c>
      <c r="R10" s="4">
        <v>37</v>
      </c>
      <c r="S10" s="4">
        <v>90</v>
      </c>
      <c r="T10" s="4">
        <v>30</v>
      </c>
      <c r="U10" s="4">
        <v>80</v>
      </c>
      <c r="V10" s="4">
        <v>15</v>
      </c>
      <c r="W10" s="4">
        <v>1.4</v>
      </c>
      <c r="X10" s="4" t="s">
        <v>70</v>
      </c>
      <c r="Y10" s="4">
        <v>55</v>
      </c>
      <c r="Z10" s="4">
        <v>308</v>
      </c>
      <c r="AA10" s="4">
        <v>24.6</v>
      </c>
      <c r="AB10" s="4">
        <v>120</v>
      </c>
      <c r="AC10" s="4">
        <v>5</v>
      </c>
      <c r="AD10" s="4">
        <v>2</v>
      </c>
      <c r="AE10" s="4" t="s">
        <v>71</v>
      </c>
      <c r="AF10" s="4">
        <v>0.1</v>
      </c>
      <c r="AG10" s="4">
        <v>1</v>
      </c>
      <c r="AH10" s="4" t="s">
        <v>72</v>
      </c>
      <c r="AI10" s="4">
        <v>0.5</v>
      </c>
      <c r="AJ10" s="4">
        <v>257</v>
      </c>
      <c r="AK10" s="4">
        <v>16.899999999999999</v>
      </c>
      <c r="AL10" s="4">
        <v>36.200000000000003</v>
      </c>
      <c r="AM10" s="4">
        <v>4.46</v>
      </c>
      <c r="AN10" s="4">
        <v>18.5</v>
      </c>
      <c r="AO10" s="4">
        <v>4.3</v>
      </c>
      <c r="AP10" s="4">
        <v>1.4</v>
      </c>
      <c r="AQ10" s="4">
        <v>4.41</v>
      </c>
      <c r="AR10" s="4">
        <v>0.73</v>
      </c>
      <c r="AS10" s="4">
        <v>4.63</v>
      </c>
      <c r="AT10" s="4">
        <v>0.97</v>
      </c>
      <c r="AU10" s="4">
        <v>2.77</v>
      </c>
      <c r="AV10" s="4">
        <v>0.40500000000000003</v>
      </c>
      <c r="AW10" s="4">
        <v>2.5299999999999998</v>
      </c>
      <c r="AX10" s="4">
        <v>0.38100000000000001</v>
      </c>
      <c r="AY10" s="4">
        <v>2.5</v>
      </c>
      <c r="AZ10" s="4">
        <v>0.38</v>
      </c>
      <c r="BA10" s="4">
        <v>3.8</v>
      </c>
      <c r="BB10" s="4">
        <v>0.3</v>
      </c>
      <c r="BC10" s="4">
        <v>8</v>
      </c>
      <c r="BD10" s="4" t="s">
        <v>73</v>
      </c>
      <c r="BE10" s="4">
        <v>2.34</v>
      </c>
      <c r="BF10" s="4">
        <v>0.47</v>
      </c>
    </row>
    <row r="11" spans="1:58" x14ac:dyDescent="0.25">
      <c r="A11" s="2" t="s">
        <v>78</v>
      </c>
      <c r="B11" s="4">
        <v>65.33</v>
      </c>
      <c r="C11" s="4">
        <v>15.14</v>
      </c>
      <c r="D11" s="4">
        <v>4.75</v>
      </c>
      <c r="E11" s="4">
        <v>7.0000000000000007E-2</v>
      </c>
      <c r="F11" s="4">
        <v>1.66</v>
      </c>
      <c r="G11" s="4">
        <v>3.78</v>
      </c>
      <c r="H11" s="4">
        <v>4.1100000000000003</v>
      </c>
      <c r="I11" s="4">
        <v>2.85</v>
      </c>
      <c r="J11" s="4">
        <v>0.62</v>
      </c>
      <c r="K11" s="4">
        <v>0.16</v>
      </c>
      <c r="L11" s="4">
        <v>0.57999999999999996</v>
      </c>
      <c r="M11" s="4">
        <v>99.04</v>
      </c>
      <c r="N11" s="4">
        <v>10</v>
      </c>
      <c r="O11" s="4">
        <v>2</v>
      </c>
      <c r="P11" s="4">
        <v>66</v>
      </c>
      <c r="Q11" s="4">
        <v>30</v>
      </c>
      <c r="R11" s="4">
        <v>10</v>
      </c>
      <c r="S11" s="4" t="s">
        <v>69</v>
      </c>
      <c r="T11" s="4">
        <v>20</v>
      </c>
      <c r="U11" s="4">
        <v>50</v>
      </c>
      <c r="V11" s="4">
        <v>19</v>
      </c>
      <c r="W11" s="4">
        <v>1.1000000000000001</v>
      </c>
      <c r="X11" s="4" t="s">
        <v>70</v>
      </c>
      <c r="Y11" s="4">
        <v>60</v>
      </c>
      <c r="Z11" s="4">
        <v>378</v>
      </c>
      <c r="AA11" s="4">
        <v>18.5</v>
      </c>
      <c r="AB11" s="4">
        <v>241</v>
      </c>
      <c r="AC11" s="4">
        <v>9</v>
      </c>
      <c r="AD11" s="4">
        <v>2</v>
      </c>
      <c r="AE11" s="4" t="s">
        <v>71</v>
      </c>
      <c r="AF11" s="4" t="s">
        <v>73</v>
      </c>
      <c r="AG11" s="4">
        <v>1</v>
      </c>
      <c r="AH11" s="4" t="s">
        <v>72</v>
      </c>
      <c r="AI11" s="4">
        <v>0.4</v>
      </c>
      <c r="AJ11" s="4">
        <v>1167</v>
      </c>
      <c r="AK11" s="4">
        <v>60.7</v>
      </c>
      <c r="AL11" s="4">
        <v>111</v>
      </c>
      <c r="AM11" s="4">
        <v>11.4</v>
      </c>
      <c r="AN11" s="4">
        <v>39.700000000000003</v>
      </c>
      <c r="AO11" s="4">
        <v>6.63</v>
      </c>
      <c r="AP11" s="4">
        <v>1.39</v>
      </c>
      <c r="AQ11" s="4">
        <v>4.99</v>
      </c>
      <c r="AR11" s="4">
        <v>0.69</v>
      </c>
      <c r="AS11" s="4">
        <v>3.91</v>
      </c>
      <c r="AT11" s="4">
        <v>0.72</v>
      </c>
      <c r="AU11" s="4">
        <v>1.95</v>
      </c>
      <c r="AV11" s="4">
        <v>0.28199999999999997</v>
      </c>
      <c r="AW11" s="4">
        <v>1.84</v>
      </c>
      <c r="AX11" s="4">
        <v>0.27400000000000002</v>
      </c>
      <c r="AY11" s="4">
        <v>5.0999999999999996</v>
      </c>
      <c r="AZ11" s="4">
        <v>0.74</v>
      </c>
      <c r="BA11" s="4">
        <v>4</v>
      </c>
      <c r="BB11" s="4">
        <v>0.27</v>
      </c>
      <c r="BC11" s="4">
        <v>15</v>
      </c>
      <c r="BD11" s="4" t="s">
        <v>73</v>
      </c>
      <c r="BE11" s="4">
        <v>8.9499999999999993</v>
      </c>
      <c r="BF11" s="4">
        <v>1.08</v>
      </c>
    </row>
    <row r="12" spans="1:58" x14ac:dyDescent="0.25">
      <c r="A12" s="2" t="s">
        <v>79</v>
      </c>
      <c r="B12" s="4">
        <v>70.180000000000007</v>
      </c>
      <c r="C12" s="4">
        <v>13.55</v>
      </c>
      <c r="D12" s="4">
        <v>2.97</v>
      </c>
      <c r="E12" s="4">
        <v>4.4999999999999998E-2</v>
      </c>
      <c r="F12" s="4">
        <v>0.61</v>
      </c>
      <c r="G12" s="4">
        <v>2.04</v>
      </c>
      <c r="H12" s="4">
        <v>3.3</v>
      </c>
      <c r="I12" s="4">
        <v>4.3600000000000003</v>
      </c>
      <c r="J12" s="4">
        <v>0.32</v>
      </c>
      <c r="K12" s="4">
        <v>0.1</v>
      </c>
      <c r="L12" s="4">
        <v>0.41</v>
      </c>
      <c r="M12" s="4">
        <v>97.88</v>
      </c>
      <c r="N12" s="4">
        <v>4</v>
      </c>
      <c r="O12" s="4">
        <v>2</v>
      </c>
      <c r="P12" s="4">
        <v>28</v>
      </c>
      <c r="Q12" s="4" t="s">
        <v>69</v>
      </c>
      <c r="R12" s="4">
        <v>3</v>
      </c>
      <c r="S12" s="4" t="s">
        <v>69</v>
      </c>
      <c r="T12" s="4" t="s">
        <v>80</v>
      </c>
      <c r="U12" s="4">
        <v>40</v>
      </c>
      <c r="V12" s="4">
        <v>16</v>
      </c>
      <c r="W12" s="4">
        <v>1</v>
      </c>
      <c r="X12" s="4" t="s">
        <v>70</v>
      </c>
      <c r="Y12" s="4">
        <v>100</v>
      </c>
      <c r="Z12" s="4">
        <v>297</v>
      </c>
      <c r="AA12" s="4">
        <v>17.100000000000001</v>
      </c>
      <c r="AB12" s="4">
        <v>199</v>
      </c>
      <c r="AC12" s="4">
        <v>7.9</v>
      </c>
      <c r="AD12" s="4" t="s">
        <v>76</v>
      </c>
      <c r="AE12" s="4" t="s">
        <v>71</v>
      </c>
      <c r="AF12" s="4" t="s">
        <v>73</v>
      </c>
      <c r="AG12" s="4">
        <v>1</v>
      </c>
      <c r="AH12" s="4" t="s">
        <v>72</v>
      </c>
      <c r="AI12" s="4">
        <v>0.4</v>
      </c>
      <c r="AJ12" s="4">
        <v>1005</v>
      </c>
      <c r="AK12" s="4">
        <v>61.6</v>
      </c>
      <c r="AL12" s="4">
        <v>114</v>
      </c>
      <c r="AM12" s="4">
        <v>11.5</v>
      </c>
      <c r="AN12" s="4">
        <v>38.700000000000003</v>
      </c>
      <c r="AO12" s="4">
        <v>6.14</v>
      </c>
      <c r="AP12" s="4">
        <v>0.99</v>
      </c>
      <c r="AQ12" s="4">
        <v>4.5599999999999996</v>
      </c>
      <c r="AR12" s="4">
        <v>0.57999999999999996</v>
      </c>
      <c r="AS12" s="4">
        <v>3.38</v>
      </c>
      <c r="AT12" s="4">
        <v>0.64</v>
      </c>
      <c r="AU12" s="4">
        <v>1.83</v>
      </c>
      <c r="AV12" s="4">
        <v>0.26200000000000001</v>
      </c>
      <c r="AW12" s="4">
        <v>1.73</v>
      </c>
      <c r="AX12" s="4">
        <v>0.251</v>
      </c>
      <c r="AY12" s="4">
        <v>4.3</v>
      </c>
      <c r="AZ12" s="4">
        <v>0.76</v>
      </c>
      <c r="BA12" s="4">
        <v>5.7</v>
      </c>
      <c r="BB12" s="4">
        <v>0.47</v>
      </c>
      <c r="BC12" s="4">
        <v>20</v>
      </c>
      <c r="BD12" s="4" t="s">
        <v>73</v>
      </c>
      <c r="BE12" s="4">
        <v>13.6</v>
      </c>
      <c r="BF12" s="4">
        <v>0.95</v>
      </c>
    </row>
    <row r="13" spans="1:58" x14ac:dyDescent="0.25">
      <c r="A13" s="2" t="s">
        <v>81</v>
      </c>
      <c r="B13" s="4">
        <v>69.08</v>
      </c>
      <c r="C13" s="4">
        <v>15.24</v>
      </c>
      <c r="D13" s="4">
        <v>1.9</v>
      </c>
      <c r="E13" s="4">
        <v>3.7999999999999999E-2</v>
      </c>
      <c r="F13" s="4">
        <v>0.2</v>
      </c>
      <c r="G13" s="4">
        <v>1.05</v>
      </c>
      <c r="H13" s="4">
        <v>3.55</v>
      </c>
      <c r="I13" s="4">
        <v>6.41</v>
      </c>
      <c r="J13" s="4">
        <v>0.29399999999999998</v>
      </c>
      <c r="K13" s="4">
        <v>0.05</v>
      </c>
      <c r="L13" s="4">
        <v>0.36</v>
      </c>
      <c r="M13" s="4">
        <v>98.17</v>
      </c>
      <c r="N13" s="4">
        <v>2</v>
      </c>
      <c r="O13" s="4">
        <v>1</v>
      </c>
      <c r="P13" s="4">
        <v>10</v>
      </c>
      <c r="Q13" s="4" t="s">
        <v>69</v>
      </c>
      <c r="R13" s="4">
        <v>1</v>
      </c>
      <c r="S13" s="4" t="s">
        <v>69</v>
      </c>
      <c r="T13" s="4" t="s">
        <v>80</v>
      </c>
      <c r="U13" s="4" t="s">
        <v>82</v>
      </c>
      <c r="V13" s="4">
        <v>17</v>
      </c>
      <c r="W13" s="4">
        <v>1.1000000000000001</v>
      </c>
      <c r="X13" s="4" t="s">
        <v>70</v>
      </c>
      <c r="Y13" s="4">
        <v>99</v>
      </c>
      <c r="Z13" s="4">
        <v>116</v>
      </c>
      <c r="AA13" s="4">
        <v>18.7</v>
      </c>
      <c r="AB13" s="4">
        <v>347</v>
      </c>
      <c r="AC13" s="4">
        <v>10.9</v>
      </c>
      <c r="AD13" s="4" t="s">
        <v>76</v>
      </c>
      <c r="AE13" s="4" t="s">
        <v>71</v>
      </c>
      <c r="AF13" s="4" t="s">
        <v>73</v>
      </c>
      <c r="AG13" s="4">
        <v>1</v>
      </c>
      <c r="AH13" s="4" t="s">
        <v>72</v>
      </c>
      <c r="AI13" s="4">
        <v>0.6</v>
      </c>
      <c r="AJ13" s="4">
        <v>387</v>
      </c>
      <c r="AK13" s="4">
        <v>104</v>
      </c>
      <c r="AL13" s="4">
        <v>196</v>
      </c>
      <c r="AM13" s="4">
        <v>19.8</v>
      </c>
      <c r="AN13" s="4">
        <v>64.3</v>
      </c>
      <c r="AO13" s="4">
        <v>9.59</v>
      </c>
      <c r="AP13" s="4">
        <v>1.27</v>
      </c>
      <c r="AQ13" s="4">
        <v>6.03</v>
      </c>
      <c r="AR13" s="4">
        <v>0.8</v>
      </c>
      <c r="AS13" s="4">
        <v>4.13</v>
      </c>
      <c r="AT13" s="4">
        <v>0.77</v>
      </c>
      <c r="AU13" s="4">
        <v>2</v>
      </c>
      <c r="AV13" s="4">
        <v>0.28899999999999998</v>
      </c>
      <c r="AW13" s="4">
        <v>1.96</v>
      </c>
      <c r="AX13" s="4">
        <v>0.313</v>
      </c>
      <c r="AY13" s="4">
        <v>8.1</v>
      </c>
      <c r="AZ13" s="4">
        <v>0.66</v>
      </c>
      <c r="BA13" s="4">
        <v>3.9</v>
      </c>
      <c r="BB13" s="4">
        <v>0.43</v>
      </c>
      <c r="BC13" s="4">
        <v>26</v>
      </c>
      <c r="BD13" s="4" t="s">
        <v>73</v>
      </c>
      <c r="BE13" s="4">
        <v>11.5</v>
      </c>
      <c r="BF13" s="4">
        <v>0.91</v>
      </c>
    </row>
    <row r="14" spans="1:58" x14ac:dyDescent="0.25">
      <c r="A14" s="2" t="s">
        <v>83</v>
      </c>
      <c r="B14" s="4">
        <v>62.49</v>
      </c>
      <c r="C14" s="4">
        <v>14.58</v>
      </c>
      <c r="D14" s="4">
        <v>5.5</v>
      </c>
      <c r="E14" s="4">
        <v>9.2999999999999999E-2</v>
      </c>
      <c r="F14" s="4">
        <v>2.02</v>
      </c>
      <c r="G14" s="4">
        <v>4.1900000000000004</v>
      </c>
      <c r="H14" s="4">
        <v>3.81</v>
      </c>
      <c r="I14" s="4">
        <v>3.39</v>
      </c>
      <c r="J14" s="4">
        <v>0.86399999999999999</v>
      </c>
      <c r="K14" s="4">
        <v>0.18</v>
      </c>
      <c r="L14" s="4">
        <v>0.71</v>
      </c>
      <c r="M14" s="4">
        <v>97.83</v>
      </c>
      <c r="N14" s="4">
        <v>13</v>
      </c>
      <c r="O14" s="4">
        <v>2</v>
      </c>
      <c r="P14" s="4">
        <v>93</v>
      </c>
      <c r="Q14" s="4">
        <v>30</v>
      </c>
      <c r="R14" s="4">
        <v>14</v>
      </c>
      <c r="S14" s="4" t="s">
        <v>69</v>
      </c>
      <c r="T14" s="4">
        <v>20</v>
      </c>
      <c r="U14" s="4">
        <v>60</v>
      </c>
      <c r="V14" s="4">
        <v>18</v>
      </c>
      <c r="W14" s="4">
        <v>1.2</v>
      </c>
      <c r="X14" s="4" t="s">
        <v>70</v>
      </c>
      <c r="Y14" s="4">
        <v>84</v>
      </c>
      <c r="Z14" s="4">
        <v>292</v>
      </c>
      <c r="AA14" s="4">
        <v>26.5</v>
      </c>
      <c r="AB14" s="4">
        <v>263</v>
      </c>
      <c r="AC14" s="4">
        <v>11.4</v>
      </c>
      <c r="AD14" s="4">
        <v>2</v>
      </c>
      <c r="AE14" s="4" t="s">
        <v>71</v>
      </c>
      <c r="AF14" s="4">
        <v>0.1</v>
      </c>
      <c r="AG14" s="4">
        <v>2</v>
      </c>
      <c r="AH14" s="4" t="s">
        <v>72</v>
      </c>
      <c r="AI14" s="4">
        <v>0.6</v>
      </c>
      <c r="AJ14" s="4">
        <v>827</v>
      </c>
      <c r="AK14" s="4">
        <v>55.8</v>
      </c>
      <c r="AL14" s="4">
        <v>109</v>
      </c>
      <c r="AM14" s="4">
        <v>11.5</v>
      </c>
      <c r="AN14" s="4">
        <v>41.2</v>
      </c>
      <c r="AO14" s="4">
        <v>7.41</v>
      </c>
      <c r="AP14" s="4">
        <v>1.64</v>
      </c>
      <c r="AQ14" s="4">
        <v>5.97</v>
      </c>
      <c r="AR14" s="4">
        <v>0.88</v>
      </c>
      <c r="AS14" s="4">
        <v>5.13</v>
      </c>
      <c r="AT14" s="4">
        <v>1.04</v>
      </c>
      <c r="AU14" s="4">
        <v>2.9</v>
      </c>
      <c r="AV14" s="4">
        <v>0.4</v>
      </c>
      <c r="AW14" s="4">
        <v>2.58</v>
      </c>
      <c r="AX14" s="4">
        <v>0.39</v>
      </c>
      <c r="AY14" s="4">
        <v>5.7</v>
      </c>
      <c r="AZ14" s="4">
        <v>0.82</v>
      </c>
      <c r="BA14" s="4">
        <v>4.7</v>
      </c>
      <c r="BB14" s="4">
        <v>0.4</v>
      </c>
      <c r="BC14" s="4">
        <v>17</v>
      </c>
      <c r="BD14" s="4" t="s">
        <v>73</v>
      </c>
      <c r="BE14" s="4">
        <v>9.8000000000000007</v>
      </c>
      <c r="BF14" s="4">
        <v>1.28</v>
      </c>
    </row>
    <row r="15" spans="1:58" x14ac:dyDescent="0.25">
      <c r="A15" s="2" t="s">
        <v>84</v>
      </c>
      <c r="B15" s="4">
        <v>71.349999999999994</v>
      </c>
      <c r="C15" s="4">
        <v>13.41</v>
      </c>
      <c r="D15" s="4">
        <v>2.8</v>
      </c>
      <c r="E15" s="4">
        <v>5.1999999999999998E-2</v>
      </c>
      <c r="F15" s="4">
        <v>0.46</v>
      </c>
      <c r="G15" s="4">
        <v>1.76</v>
      </c>
      <c r="H15" s="4">
        <v>3.49</v>
      </c>
      <c r="I15" s="4">
        <v>4.53</v>
      </c>
      <c r="J15" s="4">
        <v>0.29799999999999999</v>
      </c>
      <c r="K15" s="4">
        <v>0.09</v>
      </c>
      <c r="L15" s="4">
        <v>0.34</v>
      </c>
      <c r="M15" s="4">
        <v>98.57</v>
      </c>
      <c r="N15" s="4">
        <v>4</v>
      </c>
      <c r="O15" s="4">
        <v>2</v>
      </c>
      <c r="P15" s="4">
        <v>19</v>
      </c>
      <c r="Q15" s="4" t="s">
        <v>69</v>
      </c>
      <c r="R15" s="4">
        <v>3</v>
      </c>
      <c r="S15" s="4" t="s">
        <v>69</v>
      </c>
      <c r="T15" s="4" t="s">
        <v>80</v>
      </c>
      <c r="U15" s="4">
        <v>50</v>
      </c>
      <c r="V15" s="4">
        <v>16</v>
      </c>
      <c r="W15" s="4">
        <v>1.1000000000000001</v>
      </c>
      <c r="X15" s="4" t="s">
        <v>70</v>
      </c>
      <c r="Y15" s="4">
        <v>104</v>
      </c>
      <c r="Z15" s="4">
        <v>293</v>
      </c>
      <c r="AA15" s="4">
        <v>10.3</v>
      </c>
      <c r="AB15" s="4">
        <v>184</v>
      </c>
      <c r="AC15" s="4">
        <v>8.3000000000000007</v>
      </c>
      <c r="AD15" s="4" t="s">
        <v>76</v>
      </c>
      <c r="AE15" s="4" t="s">
        <v>71</v>
      </c>
      <c r="AF15" s="4" t="s">
        <v>73</v>
      </c>
      <c r="AG15" s="4">
        <v>1</v>
      </c>
      <c r="AH15" s="4" t="s">
        <v>72</v>
      </c>
      <c r="AI15" s="4">
        <v>0.4</v>
      </c>
      <c r="AJ15" s="4">
        <v>1179</v>
      </c>
      <c r="AK15" s="4">
        <v>55.4</v>
      </c>
      <c r="AL15" s="4">
        <v>100</v>
      </c>
      <c r="AM15" s="4">
        <v>9.82</v>
      </c>
      <c r="AN15" s="4">
        <v>32.4</v>
      </c>
      <c r="AO15" s="4">
        <v>4.71</v>
      </c>
      <c r="AP15" s="4">
        <v>0.88</v>
      </c>
      <c r="AQ15" s="4">
        <v>3.1</v>
      </c>
      <c r="AR15" s="4">
        <v>0.38</v>
      </c>
      <c r="AS15" s="4">
        <v>2.0699999999999998</v>
      </c>
      <c r="AT15" s="4">
        <v>0.38</v>
      </c>
      <c r="AU15" s="4">
        <v>1.1000000000000001</v>
      </c>
      <c r="AV15" s="4">
        <v>0.16900000000000001</v>
      </c>
      <c r="AW15" s="4">
        <v>1.1399999999999999</v>
      </c>
      <c r="AX15" s="4">
        <v>0.17100000000000001</v>
      </c>
      <c r="AY15" s="4">
        <v>4.2</v>
      </c>
      <c r="AZ15" s="4">
        <v>0.39</v>
      </c>
      <c r="BA15" s="4">
        <v>6.2</v>
      </c>
      <c r="BB15" s="4">
        <v>0.48</v>
      </c>
      <c r="BC15" s="4">
        <v>24</v>
      </c>
      <c r="BD15" s="4" t="s">
        <v>73</v>
      </c>
      <c r="BE15" s="4">
        <v>17.5</v>
      </c>
      <c r="BF15" s="4">
        <v>1.1599999999999999</v>
      </c>
    </row>
    <row r="16" spans="1:58" x14ac:dyDescent="0.25">
      <c r="A16" s="2" t="s">
        <v>85</v>
      </c>
      <c r="B16" s="4">
        <v>71.25</v>
      </c>
      <c r="C16" s="4">
        <v>14.16</v>
      </c>
      <c r="D16" s="4">
        <v>2.84</v>
      </c>
      <c r="E16" s="4">
        <v>5.2999999999999999E-2</v>
      </c>
      <c r="F16" s="4">
        <v>0.69</v>
      </c>
      <c r="G16" s="4">
        <v>2.2799999999999998</v>
      </c>
      <c r="H16" s="4">
        <v>3.67</v>
      </c>
      <c r="I16" s="4">
        <v>3.95</v>
      </c>
      <c r="J16" s="4">
        <v>0.35899999999999999</v>
      </c>
      <c r="K16" s="4">
        <v>0.12</v>
      </c>
      <c r="L16" s="4">
        <v>0.54</v>
      </c>
      <c r="M16" s="4">
        <v>99.9</v>
      </c>
      <c r="N16" s="4">
        <v>4</v>
      </c>
      <c r="O16" s="4">
        <v>2</v>
      </c>
      <c r="P16" s="4">
        <v>31</v>
      </c>
      <c r="Q16" s="4" t="s">
        <v>69</v>
      </c>
      <c r="R16" s="4">
        <v>4</v>
      </c>
      <c r="S16" s="4" t="s">
        <v>69</v>
      </c>
      <c r="T16" s="4" t="s">
        <v>80</v>
      </c>
      <c r="U16" s="4">
        <v>50</v>
      </c>
      <c r="V16" s="4">
        <v>17</v>
      </c>
      <c r="W16" s="4">
        <v>1.2</v>
      </c>
      <c r="X16" s="4" t="s">
        <v>70</v>
      </c>
      <c r="Y16" s="4">
        <v>109</v>
      </c>
      <c r="Z16" s="4">
        <v>331</v>
      </c>
      <c r="AA16" s="4">
        <v>21.8</v>
      </c>
      <c r="AB16" s="4">
        <v>197</v>
      </c>
      <c r="AC16" s="4">
        <v>10.5</v>
      </c>
      <c r="AD16" s="4" t="s">
        <v>76</v>
      </c>
      <c r="AE16" s="4" t="s">
        <v>71</v>
      </c>
      <c r="AF16" s="4" t="s">
        <v>73</v>
      </c>
      <c r="AG16" s="4">
        <v>1</v>
      </c>
      <c r="AH16" s="4" t="s">
        <v>72</v>
      </c>
      <c r="AI16" s="4">
        <v>0.8</v>
      </c>
      <c r="AJ16" s="4">
        <v>1111</v>
      </c>
      <c r="AK16" s="4">
        <v>69.3</v>
      </c>
      <c r="AL16" s="4">
        <v>127</v>
      </c>
      <c r="AM16" s="4">
        <v>12.9</v>
      </c>
      <c r="AN16" s="4">
        <v>44.7</v>
      </c>
      <c r="AO16" s="4">
        <v>7.17</v>
      </c>
      <c r="AP16" s="4">
        <v>1.23</v>
      </c>
      <c r="AQ16" s="4">
        <v>5.31</v>
      </c>
      <c r="AR16" s="4">
        <v>0.74</v>
      </c>
      <c r="AS16" s="4">
        <v>4.29</v>
      </c>
      <c r="AT16" s="4">
        <v>0.83</v>
      </c>
      <c r="AU16" s="4">
        <v>2.2200000000000002</v>
      </c>
      <c r="AV16" s="4">
        <v>0.316</v>
      </c>
      <c r="AW16" s="4">
        <v>2.12</v>
      </c>
      <c r="AX16" s="4">
        <v>0.29099999999999998</v>
      </c>
      <c r="AY16" s="4">
        <v>4.2</v>
      </c>
      <c r="AZ16" s="4">
        <v>1.05</v>
      </c>
      <c r="BA16" s="4">
        <v>3.9</v>
      </c>
      <c r="BB16" s="4">
        <v>0.5</v>
      </c>
      <c r="BC16" s="4">
        <v>20</v>
      </c>
      <c r="BD16" s="4" t="s">
        <v>73</v>
      </c>
      <c r="BE16" s="4">
        <v>13.7</v>
      </c>
      <c r="BF16" s="4">
        <v>1.35</v>
      </c>
    </row>
    <row r="17" spans="1:58" x14ac:dyDescent="0.25">
      <c r="A17" s="2" t="s">
        <v>86</v>
      </c>
      <c r="B17" s="4">
        <v>70.75</v>
      </c>
      <c r="C17" s="4">
        <v>13.36</v>
      </c>
      <c r="D17" s="4">
        <v>3.14</v>
      </c>
      <c r="E17" s="4">
        <v>5.2999999999999999E-2</v>
      </c>
      <c r="F17" s="4">
        <v>0.6</v>
      </c>
      <c r="G17" s="4">
        <v>1.93</v>
      </c>
      <c r="H17" s="4">
        <v>3.61</v>
      </c>
      <c r="I17" s="4">
        <v>4.49</v>
      </c>
      <c r="J17" s="4">
        <v>0.34499999999999997</v>
      </c>
      <c r="K17" s="4">
        <v>0.11</v>
      </c>
      <c r="L17" s="4">
        <v>0.36</v>
      </c>
      <c r="M17" s="4">
        <v>98.75</v>
      </c>
      <c r="N17" s="4">
        <v>5</v>
      </c>
      <c r="O17" s="4">
        <v>2</v>
      </c>
      <c r="P17" s="4">
        <v>25</v>
      </c>
      <c r="Q17" s="4" t="s">
        <v>69</v>
      </c>
      <c r="R17" s="4">
        <v>3</v>
      </c>
      <c r="S17" s="4" t="s">
        <v>69</v>
      </c>
      <c r="T17" s="4" t="s">
        <v>80</v>
      </c>
      <c r="U17" s="4">
        <v>40</v>
      </c>
      <c r="V17" s="4">
        <v>17</v>
      </c>
      <c r="W17" s="4">
        <v>1.2</v>
      </c>
      <c r="X17" s="4" t="s">
        <v>70</v>
      </c>
      <c r="Y17" s="4">
        <v>115</v>
      </c>
      <c r="Z17" s="4">
        <v>242</v>
      </c>
      <c r="AA17" s="4">
        <v>20.9</v>
      </c>
      <c r="AB17" s="4">
        <v>234</v>
      </c>
      <c r="AC17" s="4">
        <v>11.5</v>
      </c>
      <c r="AD17" s="4" t="s">
        <v>76</v>
      </c>
      <c r="AE17" s="4" t="s">
        <v>71</v>
      </c>
      <c r="AF17" s="4" t="s">
        <v>73</v>
      </c>
      <c r="AG17" s="4">
        <v>2</v>
      </c>
      <c r="AH17" s="4" t="s">
        <v>72</v>
      </c>
      <c r="AI17" s="4">
        <v>0.8</v>
      </c>
      <c r="AJ17" s="4">
        <v>1154</v>
      </c>
      <c r="AK17" s="4">
        <v>58.4</v>
      </c>
      <c r="AL17" s="4">
        <v>109</v>
      </c>
      <c r="AM17" s="4">
        <v>11.1</v>
      </c>
      <c r="AN17" s="4">
        <v>38.4</v>
      </c>
      <c r="AO17" s="4">
        <v>6.3</v>
      </c>
      <c r="AP17" s="4">
        <v>1.1200000000000001</v>
      </c>
      <c r="AQ17" s="4">
        <v>4.92</v>
      </c>
      <c r="AR17" s="4">
        <v>0.68</v>
      </c>
      <c r="AS17" s="4">
        <v>3.92</v>
      </c>
      <c r="AT17" s="4">
        <v>0.79</v>
      </c>
      <c r="AU17" s="4">
        <v>2.27</v>
      </c>
      <c r="AV17" s="4">
        <v>0.33</v>
      </c>
      <c r="AW17" s="4">
        <v>2.2200000000000002</v>
      </c>
      <c r="AX17" s="4">
        <v>0.30599999999999999</v>
      </c>
      <c r="AY17" s="4">
        <v>4.9000000000000004</v>
      </c>
      <c r="AZ17" s="4">
        <v>1.03</v>
      </c>
      <c r="BA17" s="4">
        <v>3.3</v>
      </c>
      <c r="BB17" s="4">
        <v>0.55000000000000004</v>
      </c>
      <c r="BC17" s="4">
        <v>21</v>
      </c>
      <c r="BD17" s="4" t="s">
        <v>73</v>
      </c>
      <c r="BE17" s="4">
        <v>14.3</v>
      </c>
      <c r="BF17" s="4">
        <v>1.53</v>
      </c>
    </row>
    <row r="18" spans="1:58" x14ac:dyDescent="0.25">
      <c r="A18" s="2" t="s">
        <v>87</v>
      </c>
      <c r="B18" s="4">
        <v>67.150000000000006</v>
      </c>
      <c r="C18" s="4">
        <v>14.8</v>
      </c>
      <c r="D18" s="4">
        <v>4.38</v>
      </c>
      <c r="E18" s="4">
        <v>9.0999999999999998E-2</v>
      </c>
      <c r="F18" s="4">
        <v>1.39</v>
      </c>
      <c r="G18" s="4">
        <v>3.28</v>
      </c>
      <c r="H18" s="4">
        <v>4.5999999999999996</v>
      </c>
      <c r="I18" s="4">
        <v>2.23</v>
      </c>
      <c r="J18" s="4">
        <v>0.55700000000000005</v>
      </c>
      <c r="K18" s="4">
        <v>0.14000000000000001</v>
      </c>
      <c r="L18" s="4">
        <v>0.53</v>
      </c>
      <c r="M18" s="4">
        <v>99.15</v>
      </c>
      <c r="N18" s="4">
        <v>9</v>
      </c>
      <c r="O18" s="4">
        <v>2</v>
      </c>
      <c r="P18" s="4">
        <v>58</v>
      </c>
      <c r="Q18" s="4">
        <v>20</v>
      </c>
      <c r="R18" s="4">
        <v>8</v>
      </c>
      <c r="S18" s="4" t="s">
        <v>69</v>
      </c>
      <c r="T18" s="4">
        <v>10</v>
      </c>
      <c r="U18" s="4">
        <v>60</v>
      </c>
      <c r="V18" s="4">
        <v>19</v>
      </c>
      <c r="W18" s="4">
        <v>1.1000000000000001</v>
      </c>
      <c r="X18" s="4" t="s">
        <v>70</v>
      </c>
      <c r="Y18" s="4">
        <v>42</v>
      </c>
      <c r="Z18" s="4">
        <v>318</v>
      </c>
      <c r="AA18" s="4">
        <v>21.1</v>
      </c>
      <c r="AB18" s="4">
        <v>237</v>
      </c>
      <c r="AC18" s="4">
        <v>11.1</v>
      </c>
      <c r="AD18" s="4" t="s">
        <v>76</v>
      </c>
      <c r="AE18" s="4" t="s">
        <v>71</v>
      </c>
      <c r="AF18" s="4">
        <v>0.1</v>
      </c>
      <c r="AG18" s="4">
        <v>1</v>
      </c>
      <c r="AH18" s="4" t="s">
        <v>72</v>
      </c>
      <c r="AI18" s="4">
        <v>0.3</v>
      </c>
      <c r="AJ18" s="4">
        <v>796</v>
      </c>
      <c r="AK18" s="4">
        <v>54.1</v>
      </c>
      <c r="AL18" s="4">
        <v>110</v>
      </c>
      <c r="AM18" s="4">
        <v>11.9</v>
      </c>
      <c r="AN18" s="4">
        <v>42.8</v>
      </c>
      <c r="AO18" s="4">
        <v>7.41</v>
      </c>
      <c r="AP18" s="4">
        <v>1.47</v>
      </c>
      <c r="AQ18" s="4">
        <v>5.73</v>
      </c>
      <c r="AR18" s="4">
        <v>0.78</v>
      </c>
      <c r="AS18" s="4">
        <v>4.3600000000000003</v>
      </c>
      <c r="AT18" s="4">
        <v>0.81</v>
      </c>
      <c r="AU18" s="4">
        <v>2.2599999999999998</v>
      </c>
      <c r="AV18" s="4">
        <v>0.32</v>
      </c>
      <c r="AW18" s="4">
        <v>2.0099999999999998</v>
      </c>
      <c r="AX18" s="4">
        <v>0.29099999999999998</v>
      </c>
      <c r="AY18" s="4">
        <v>4.8</v>
      </c>
      <c r="AZ18" s="4">
        <v>0.84</v>
      </c>
      <c r="BA18" s="4">
        <v>3.2</v>
      </c>
      <c r="BB18" s="4">
        <v>0.19</v>
      </c>
      <c r="BC18" s="4">
        <v>14</v>
      </c>
      <c r="BD18" s="4" t="s">
        <v>73</v>
      </c>
      <c r="BE18" s="4">
        <v>7.19</v>
      </c>
      <c r="BF18" s="4">
        <v>0.87</v>
      </c>
    </row>
    <row r="19" spans="1:58" x14ac:dyDescent="0.25">
      <c r="A19" s="2" t="s">
        <v>88</v>
      </c>
      <c r="B19" s="4">
        <v>67.599999999999994</v>
      </c>
      <c r="C19" s="4">
        <v>15.04</v>
      </c>
      <c r="D19" s="4">
        <v>3.79</v>
      </c>
      <c r="E19" s="4">
        <v>5.2999999999999999E-2</v>
      </c>
      <c r="F19" s="4">
        <v>1.27</v>
      </c>
      <c r="G19" s="4">
        <v>3.25</v>
      </c>
      <c r="H19" s="4">
        <v>3.89</v>
      </c>
      <c r="I19" s="4">
        <v>3.58</v>
      </c>
      <c r="J19" s="4">
        <v>0.47</v>
      </c>
      <c r="K19" s="4">
        <v>0.16</v>
      </c>
      <c r="L19" s="4">
        <v>0.5</v>
      </c>
      <c r="M19" s="4">
        <v>99.6</v>
      </c>
      <c r="N19" s="4">
        <v>6</v>
      </c>
      <c r="O19" s="4">
        <v>3</v>
      </c>
      <c r="P19" s="4">
        <v>62</v>
      </c>
      <c r="Q19" s="4" t="s">
        <v>69</v>
      </c>
      <c r="R19" s="4">
        <v>7</v>
      </c>
      <c r="S19" s="4" t="s">
        <v>69</v>
      </c>
      <c r="T19" s="4">
        <v>30</v>
      </c>
      <c r="U19" s="4">
        <v>60</v>
      </c>
      <c r="V19" s="4">
        <v>20</v>
      </c>
      <c r="W19" s="4">
        <v>1.1000000000000001</v>
      </c>
      <c r="X19" s="4" t="s">
        <v>70</v>
      </c>
      <c r="Y19" s="4">
        <v>102</v>
      </c>
      <c r="Z19" s="4">
        <v>535</v>
      </c>
      <c r="AA19" s="4">
        <v>9.1</v>
      </c>
      <c r="AB19" s="4">
        <v>156</v>
      </c>
      <c r="AC19" s="4">
        <v>6.1</v>
      </c>
      <c r="AD19" s="4" t="s">
        <v>76</v>
      </c>
      <c r="AE19" s="4" t="s">
        <v>71</v>
      </c>
      <c r="AF19" s="4" t="s">
        <v>73</v>
      </c>
      <c r="AG19" s="4">
        <v>1</v>
      </c>
      <c r="AH19" s="4" t="s">
        <v>72</v>
      </c>
      <c r="AI19" s="4">
        <v>0.7</v>
      </c>
      <c r="AJ19" s="4">
        <v>981</v>
      </c>
      <c r="AK19" s="4">
        <v>28.4</v>
      </c>
      <c r="AL19" s="4">
        <v>54.9</v>
      </c>
      <c r="AM19" s="4">
        <v>6.24</v>
      </c>
      <c r="AN19" s="4">
        <v>23.1</v>
      </c>
      <c r="AO19" s="4">
        <v>4.21</v>
      </c>
      <c r="AP19" s="4">
        <v>1.1100000000000001</v>
      </c>
      <c r="AQ19" s="4">
        <v>2.91</v>
      </c>
      <c r="AR19" s="4">
        <v>0.37</v>
      </c>
      <c r="AS19" s="4">
        <v>1.95</v>
      </c>
      <c r="AT19" s="4">
        <v>0.33</v>
      </c>
      <c r="AU19" s="4">
        <v>0.94</v>
      </c>
      <c r="AV19" s="4">
        <v>0.13400000000000001</v>
      </c>
      <c r="AW19" s="4">
        <v>0.84</v>
      </c>
      <c r="AX19" s="4">
        <v>0.124</v>
      </c>
      <c r="AY19" s="4">
        <v>3.8</v>
      </c>
      <c r="AZ19" s="4">
        <v>0.59</v>
      </c>
      <c r="BA19" s="4">
        <v>3.7</v>
      </c>
      <c r="BB19" s="4">
        <v>0.47</v>
      </c>
      <c r="BC19" s="4">
        <v>21</v>
      </c>
      <c r="BD19" s="4" t="s">
        <v>73</v>
      </c>
      <c r="BE19" s="4">
        <v>5.27</v>
      </c>
      <c r="BF19" s="4">
        <v>1.0900000000000001</v>
      </c>
    </row>
  </sheetData>
  <sheetProtection formatCells="0" formatColumns="0" formatRows="0" insertColumns="0" insertRows="0" insertHyperlinks="0" deleteColumns="0" deleteRows="0" sort="0" autoFilter="0" pivotTables="0"/>
  <pageMargins left="0.51" right="0.51" top="0.51" bottom="0.51" header="0.3" footer="0.3"/>
  <pageSetup orientation="landscape"/>
  <headerFooter>
    <oddHeader>&amp;12&amp;B
Activation Laboratories</oddHeader>
    <oddFooter>&amp;C&amp;"Arial,Normal"Page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693E-24C5-4840-8DFB-EF8B97A72976}">
  <dimension ref="A1:BG19"/>
  <sheetViews>
    <sheetView workbookViewId="0">
      <pane xSplit="1" ySplit="6" topLeftCell="B7" activePane="bottomRight" state="frozen"/>
      <selection pane="topRight"/>
      <selection pane="bottomLeft"/>
      <selection pane="bottomRight" activeCell="B14" sqref="B14"/>
    </sheetView>
  </sheetViews>
  <sheetFormatPr defaultRowHeight="15" x14ac:dyDescent="0.25"/>
  <cols>
    <col min="1" max="1" width="25.5703125" style="1" bestFit="1" customWidth="1"/>
    <col min="2" max="59" width="19" style="3" customWidth="1"/>
  </cols>
  <sheetData>
    <row r="1" spans="1:59" x14ac:dyDescent="0.25">
      <c r="A1" s="2" t="s">
        <v>0</v>
      </c>
    </row>
    <row r="2" spans="1:59" x14ac:dyDescent="0.25">
      <c r="A2" s="4" t="s">
        <v>1</v>
      </c>
    </row>
    <row r="3" spans="1:59" x14ac:dyDescent="0.25">
      <c r="A3" s="2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125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</row>
    <row r="4" spans="1:59" x14ac:dyDescent="0.25">
      <c r="A4" s="2" t="s">
        <v>60</v>
      </c>
      <c r="B4" s="4" t="s">
        <v>61</v>
      </c>
      <c r="C4" s="4" t="s">
        <v>61</v>
      </c>
      <c r="D4" s="4" t="s">
        <v>61</v>
      </c>
      <c r="E4" s="4" t="s">
        <v>61</v>
      </c>
      <c r="F4" s="4" t="s">
        <v>61</v>
      </c>
      <c r="G4" s="4" t="s">
        <v>61</v>
      </c>
      <c r="H4" s="4" t="s">
        <v>61</v>
      </c>
      <c r="I4" s="4" t="s">
        <v>61</v>
      </c>
      <c r="J4" s="4" t="s">
        <v>61</v>
      </c>
      <c r="K4" s="4" t="s">
        <v>61</v>
      </c>
      <c r="L4" s="4"/>
      <c r="M4" s="4" t="s">
        <v>61</v>
      </c>
      <c r="N4" s="4" t="s">
        <v>61</v>
      </c>
      <c r="O4" s="4" t="s">
        <v>62</v>
      </c>
      <c r="P4" s="4" t="s">
        <v>62</v>
      </c>
      <c r="Q4" s="4" t="s">
        <v>62</v>
      </c>
      <c r="R4" s="4" t="s">
        <v>62</v>
      </c>
      <c r="S4" s="4" t="s">
        <v>62</v>
      </c>
      <c r="T4" s="4" t="s">
        <v>62</v>
      </c>
      <c r="U4" s="4" t="s">
        <v>62</v>
      </c>
      <c r="V4" s="4" t="s">
        <v>62</v>
      </c>
      <c r="W4" s="4" t="s">
        <v>62</v>
      </c>
      <c r="X4" s="4" t="s">
        <v>62</v>
      </c>
      <c r="Y4" s="4" t="s">
        <v>62</v>
      </c>
      <c r="Z4" s="4" t="s">
        <v>62</v>
      </c>
      <c r="AA4" s="4" t="s">
        <v>62</v>
      </c>
      <c r="AB4" s="4" t="s">
        <v>62</v>
      </c>
      <c r="AC4" s="4" t="s">
        <v>62</v>
      </c>
      <c r="AD4" s="4" t="s">
        <v>62</v>
      </c>
      <c r="AE4" s="4" t="s">
        <v>62</v>
      </c>
      <c r="AF4" s="4" t="s">
        <v>62</v>
      </c>
      <c r="AG4" s="4" t="s">
        <v>62</v>
      </c>
      <c r="AH4" s="4" t="s">
        <v>62</v>
      </c>
      <c r="AI4" s="4" t="s">
        <v>62</v>
      </c>
      <c r="AJ4" s="4" t="s">
        <v>62</v>
      </c>
      <c r="AK4" s="4" t="s">
        <v>62</v>
      </c>
      <c r="AL4" s="4" t="s">
        <v>62</v>
      </c>
      <c r="AM4" s="4" t="s">
        <v>62</v>
      </c>
      <c r="AN4" s="4" t="s">
        <v>62</v>
      </c>
      <c r="AO4" s="4" t="s">
        <v>62</v>
      </c>
      <c r="AP4" s="4" t="s">
        <v>62</v>
      </c>
      <c r="AQ4" s="4" t="s">
        <v>62</v>
      </c>
      <c r="AR4" s="4" t="s">
        <v>62</v>
      </c>
      <c r="AS4" s="4" t="s">
        <v>62</v>
      </c>
      <c r="AT4" s="4" t="s">
        <v>62</v>
      </c>
      <c r="AU4" s="4" t="s">
        <v>62</v>
      </c>
      <c r="AV4" s="4" t="s">
        <v>62</v>
      </c>
      <c r="AW4" s="4" t="s">
        <v>62</v>
      </c>
      <c r="AX4" s="4" t="s">
        <v>62</v>
      </c>
      <c r="AY4" s="4" t="s">
        <v>62</v>
      </c>
      <c r="AZ4" s="4" t="s">
        <v>62</v>
      </c>
      <c r="BA4" s="4" t="s">
        <v>62</v>
      </c>
      <c r="BB4" s="4" t="s">
        <v>62</v>
      </c>
      <c r="BC4" s="4" t="s">
        <v>62</v>
      </c>
      <c r="BD4" s="4" t="s">
        <v>62</v>
      </c>
      <c r="BE4" s="4" t="s">
        <v>62</v>
      </c>
      <c r="BF4" s="4" t="s">
        <v>62</v>
      </c>
      <c r="BG4" s="4" t="s">
        <v>62</v>
      </c>
    </row>
    <row r="5" spans="1:59" x14ac:dyDescent="0.25">
      <c r="A5" s="2" t="s">
        <v>63</v>
      </c>
      <c r="B5" s="4">
        <v>0.01</v>
      </c>
      <c r="C5" s="4">
        <v>0.01</v>
      </c>
      <c r="D5" s="4">
        <v>0.01</v>
      </c>
      <c r="E5" s="4">
        <v>5.0000000000000001E-3</v>
      </c>
      <c r="F5" s="4">
        <v>0.01</v>
      </c>
      <c r="G5" s="4">
        <v>0.01</v>
      </c>
      <c r="H5" s="4">
        <v>0.01</v>
      </c>
      <c r="I5" s="4">
        <v>0.01</v>
      </c>
      <c r="J5" s="4">
        <v>1E-3</v>
      </c>
      <c r="K5" s="4">
        <v>0.01</v>
      </c>
      <c r="L5" s="4"/>
      <c r="M5" s="4"/>
      <c r="N5" s="4">
        <v>0.01</v>
      </c>
      <c r="O5" s="4">
        <v>1</v>
      </c>
      <c r="P5" s="4">
        <v>1</v>
      </c>
      <c r="Q5" s="4">
        <v>5</v>
      </c>
      <c r="R5" s="4">
        <v>20</v>
      </c>
      <c r="S5" s="4">
        <v>1</v>
      </c>
      <c r="T5" s="4">
        <v>20</v>
      </c>
      <c r="U5" s="4">
        <v>10</v>
      </c>
      <c r="V5" s="4">
        <v>30</v>
      </c>
      <c r="W5" s="4">
        <v>1</v>
      </c>
      <c r="X5" s="4">
        <v>0.5</v>
      </c>
      <c r="Y5" s="4">
        <v>5</v>
      </c>
      <c r="Z5" s="4">
        <v>1</v>
      </c>
      <c r="AA5" s="4">
        <v>2</v>
      </c>
      <c r="AB5" s="4">
        <v>0.5</v>
      </c>
      <c r="AC5" s="4">
        <v>1</v>
      </c>
      <c r="AD5" s="4">
        <v>0.2</v>
      </c>
      <c r="AE5" s="4">
        <v>2</v>
      </c>
      <c r="AF5" s="4">
        <v>0.5</v>
      </c>
      <c r="AG5" s="4">
        <v>0.1</v>
      </c>
      <c r="AH5" s="4">
        <v>1</v>
      </c>
      <c r="AI5" s="4">
        <v>0.2</v>
      </c>
      <c r="AJ5" s="4">
        <v>0.1</v>
      </c>
      <c r="AK5" s="4">
        <v>2</v>
      </c>
      <c r="AL5" s="4">
        <v>0.05</v>
      </c>
      <c r="AM5" s="4">
        <v>0.05</v>
      </c>
      <c r="AN5" s="4">
        <v>0.01</v>
      </c>
      <c r="AO5" s="4">
        <v>0.05</v>
      </c>
      <c r="AP5" s="4">
        <v>0.01</v>
      </c>
      <c r="AQ5" s="4">
        <v>5.0000000000000001E-3</v>
      </c>
      <c r="AR5" s="4">
        <v>0.01</v>
      </c>
      <c r="AS5" s="4">
        <v>0.01</v>
      </c>
      <c r="AT5" s="4">
        <v>0.01</v>
      </c>
      <c r="AU5" s="4">
        <v>0.01</v>
      </c>
      <c r="AV5" s="4">
        <v>0.01</v>
      </c>
      <c r="AW5" s="4">
        <v>5.0000000000000001E-3</v>
      </c>
      <c r="AX5" s="4">
        <v>0.01</v>
      </c>
      <c r="AY5" s="4">
        <v>2E-3</v>
      </c>
      <c r="AZ5" s="4">
        <v>0.1</v>
      </c>
      <c r="BA5" s="4">
        <v>0.01</v>
      </c>
      <c r="BB5" s="4">
        <v>0.5</v>
      </c>
      <c r="BC5" s="4">
        <v>0.05</v>
      </c>
      <c r="BD5" s="4">
        <v>5</v>
      </c>
      <c r="BE5" s="4">
        <v>0.1</v>
      </c>
      <c r="BF5" s="4">
        <v>0.05</v>
      </c>
      <c r="BG5" s="4">
        <v>0.01</v>
      </c>
    </row>
    <row r="6" spans="1:59" ht="15.75" thickBot="1" x14ac:dyDescent="0.3">
      <c r="A6" s="5" t="s">
        <v>64</v>
      </c>
      <c r="B6" s="6" t="s">
        <v>65</v>
      </c>
      <c r="C6" s="6" t="s">
        <v>65</v>
      </c>
      <c r="D6" s="6" t="s">
        <v>65</v>
      </c>
      <c r="E6" s="6" t="s">
        <v>65</v>
      </c>
      <c r="F6" s="6" t="s">
        <v>65</v>
      </c>
      <c r="G6" s="6" t="s">
        <v>65</v>
      </c>
      <c r="H6" s="6" t="s">
        <v>65</v>
      </c>
      <c r="I6" s="6" t="s">
        <v>65</v>
      </c>
      <c r="J6" s="6" t="s">
        <v>65</v>
      </c>
      <c r="K6" s="6" t="s">
        <v>65</v>
      </c>
      <c r="L6" s="6"/>
      <c r="M6" s="6" t="s">
        <v>66</v>
      </c>
      <c r="N6" s="6" t="s">
        <v>65</v>
      </c>
      <c r="O6" s="6" t="s">
        <v>65</v>
      </c>
      <c r="P6" s="6" t="s">
        <v>65</v>
      </c>
      <c r="Q6" s="6" t="s">
        <v>65</v>
      </c>
      <c r="R6" s="6" t="s">
        <v>67</v>
      </c>
      <c r="S6" s="6" t="s">
        <v>67</v>
      </c>
      <c r="T6" s="6" t="s">
        <v>67</v>
      </c>
      <c r="U6" s="6" t="s">
        <v>67</v>
      </c>
      <c r="V6" s="6" t="s">
        <v>67</v>
      </c>
      <c r="W6" s="6" t="s">
        <v>67</v>
      </c>
      <c r="X6" s="6" t="s">
        <v>67</v>
      </c>
      <c r="Y6" s="6" t="s">
        <v>67</v>
      </c>
      <c r="Z6" s="6" t="s">
        <v>67</v>
      </c>
      <c r="AA6" s="6" t="s">
        <v>65</v>
      </c>
      <c r="AB6" s="6" t="s">
        <v>67</v>
      </c>
      <c r="AC6" s="6" t="s">
        <v>65</v>
      </c>
      <c r="AD6" s="6" t="s">
        <v>67</v>
      </c>
      <c r="AE6" s="6" t="s">
        <v>67</v>
      </c>
      <c r="AF6" s="6" t="s">
        <v>67</v>
      </c>
      <c r="AG6" s="6" t="s">
        <v>67</v>
      </c>
      <c r="AH6" s="6" t="s">
        <v>67</v>
      </c>
      <c r="AI6" s="6" t="s">
        <v>67</v>
      </c>
      <c r="AJ6" s="6" t="s">
        <v>67</v>
      </c>
      <c r="AK6" s="6" t="s">
        <v>65</v>
      </c>
      <c r="AL6" s="6" t="s">
        <v>67</v>
      </c>
      <c r="AM6" s="6" t="s">
        <v>67</v>
      </c>
      <c r="AN6" s="6" t="s">
        <v>67</v>
      </c>
      <c r="AO6" s="6" t="s">
        <v>67</v>
      </c>
      <c r="AP6" s="6" t="s">
        <v>67</v>
      </c>
      <c r="AQ6" s="6" t="s">
        <v>67</v>
      </c>
      <c r="AR6" s="6" t="s">
        <v>67</v>
      </c>
      <c r="AS6" s="6" t="s">
        <v>67</v>
      </c>
      <c r="AT6" s="6" t="s">
        <v>67</v>
      </c>
      <c r="AU6" s="6" t="s">
        <v>67</v>
      </c>
      <c r="AV6" s="6" t="s">
        <v>67</v>
      </c>
      <c r="AW6" s="6" t="s">
        <v>67</v>
      </c>
      <c r="AX6" s="6" t="s">
        <v>67</v>
      </c>
      <c r="AY6" s="6" t="s">
        <v>67</v>
      </c>
      <c r="AZ6" s="6" t="s">
        <v>67</v>
      </c>
      <c r="BA6" s="6" t="s">
        <v>67</v>
      </c>
      <c r="BB6" s="6" t="s">
        <v>67</v>
      </c>
      <c r="BC6" s="6" t="s">
        <v>67</v>
      </c>
      <c r="BD6" s="6" t="s">
        <v>67</v>
      </c>
      <c r="BE6" s="6" t="s">
        <v>67</v>
      </c>
      <c r="BF6" s="6" t="s">
        <v>67</v>
      </c>
      <c r="BG6" s="6" t="s">
        <v>67</v>
      </c>
    </row>
    <row r="7" spans="1:59" ht="15.75" thickTop="1" x14ac:dyDescent="0.25">
      <c r="A7" s="2" t="s">
        <v>68</v>
      </c>
      <c r="B7" s="4">
        <v>65.5</v>
      </c>
      <c r="C7" s="4">
        <v>16.739999999999998</v>
      </c>
      <c r="D7" s="4">
        <v>3</v>
      </c>
      <c r="E7" s="4">
        <v>7.9000000000000001E-2</v>
      </c>
      <c r="F7" s="4">
        <v>0.49</v>
      </c>
      <c r="G7" s="4">
        <v>1.6</v>
      </c>
      <c r="H7" s="4">
        <v>3.75</v>
      </c>
      <c r="I7" s="4">
        <v>7.96</v>
      </c>
      <c r="J7" s="4">
        <v>0.65500000000000003</v>
      </c>
      <c r="K7" s="4">
        <v>0.11</v>
      </c>
      <c r="L7" s="4">
        <f>B7+C7+D7+E7+F7+G7+H7+I7+J7+K7</f>
        <v>99.883999999999972</v>
      </c>
      <c r="M7" s="4">
        <v>0.41</v>
      </c>
      <c r="N7" s="4">
        <v>100.3</v>
      </c>
      <c r="O7" s="4">
        <v>12</v>
      </c>
      <c r="P7" s="4">
        <v>1</v>
      </c>
      <c r="Q7" s="4">
        <v>23</v>
      </c>
      <c r="R7" s="4" t="s">
        <v>69</v>
      </c>
      <c r="S7" s="4">
        <v>2</v>
      </c>
      <c r="T7" s="4" t="s">
        <v>69</v>
      </c>
      <c r="U7" s="4">
        <v>20</v>
      </c>
      <c r="V7" s="4">
        <v>50</v>
      </c>
      <c r="W7" s="4">
        <v>20</v>
      </c>
      <c r="X7" s="4">
        <v>1.3</v>
      </c>
      <c r="Y7" s="4" t="s">
        <v>70</v>
      </c>
      <c r="Z7" s="4">
        <v>123</v>
      </c>
      <c r="AA7" s="4">
        <v>162</v>
      </c>
      <c r="AB7" s="4">
        <v>44.9</v>
      </c>
      <c r="AC7" s="4">
        <v>720</v>
      </c>
      <c r="AD7" s="4">
        <v>25.7</v>
      </c>
      <c r="AE7" s="4">
        <v>2</v>
      </c>
      <c r="AF7" s="4" t="s">
        <v>71</v>
      </c>
      <c r="AG7" s="4">
        <v>0.1</v>
      </c>
      <c r="AH7" s="4">
        <v>2</v>
      </c>
      <c r="AI7" s="4" t="s">
        <v>72</v>
      </c>
      <c r="AJ7" s="4">
        <v>0.9</v>
      </c>
      <c r="AK7" s="4">
        <v>642</v>
      </c>
      <c r="AL7" s="4">
        <v>190</v>
      </c>
      <c r="AM7" s="4">
        <v>373</v>
      </c>
      <c r="AN7" s="4">
        <v>39.700000000000003</v>
      </c>
      <c r="AO7" s="4">
        <v>133</v>
      </c>
      <c r="AP7" s="4">
        <v>20.399999999999999</v>
      </c>
      <c r="AQ7" s="4">
        <v>2.58</v>
      </c>
      <c r="AR7" s="4">
        <v>13.7</v>
      </c>
      <c r="AS7" s="4">
        <v>1.8</v>
      </c>
      <c r="AT7" s="4">
        <v>9.3000000000000007</v>
      </c>
      <c r="AU7" s="4">
        <v>1.79</v>
      </c>
      <c r="AV7" s="4">
        <v>4.84</v>
      </c>
      <c r="AW7" s="4">
        <v>0.67</v>
      </c>
      <c r="AX7" s="4">
        <v>4.37</v>
      </c>
      <c r="AY7" s="4">
        <v>0.66500000000000004</v>
      </c>
      <c r="AZ7" s="4">
        <v>15.6</v>
      </c>
      <c r="BA7" s="4">
        <v>1.6</v>
      </c>
      <c r="BB7" s="4">
        <v>3.9</v>
      </c>
      <c r="BC7" s="4">
        <v>0.51</v>
      </c>
      <c r="BD7" s="4">
        <v>29</v>
      </c>
      <c r="BE7" s="4" t="s">
        <v>73</v>
      </c>
      <c r="BF7" s="4">
        <v>26</v>
      </c>
      <c r="BG7" s="4">
        <v>1.8</v>
      </c>
    </row>
    <row r="8" spans="1:59" x14ac:dyDescent="0.25">
      <c r="A8" s="2" t="s">
        <v>74</v>
      </c>
      <c r="B8" s="4">
        <v>57.67</v>
      </c>
      <c r="C8" s="4">
        <v>15.04</v>
      </c>
      <c r="D8" s="4">
        <v>7.51</v>
      </c>
      <c r="E8" s="4">
        <v>0.125</v>
      </c>
      <c r="F8" s="4">
        <v>3.54</v>
      </c>
      <c r="G8" s="4">
        <v>6.05</v>
      </c>
      <c r="H8" s="4">
        <v>4.08</v>
      </c>
      <c r="I8" s="4">
        <v>2.09</v>
      </c>
      <c r="J8" s="4">
        <v>1.1819999999999999</v>
      </c>
      <c r="K8" s="4">
        <v>0.24</v>
      </c>
      <c r="L8" s="4">
        <f t="shared" ref="L8:L19" si="0">B8+C8+D8+E8+F8+G8+H8+I8+J8+K8</f>
        <v>97.527000000000015</v>
      </c>
      <c r="M8" s="4">
        <v>0.93</v>
      </c>
      <c r="N8" s="4">
        <v>98.47</v>
      </c>
      <c r="O8" s="4">
        <v>21</v>
      </c>
      <c r="P8" s="4">
        <v>2</v>
      </c>
      <c r="Q8" s="4">
        <v>146</v>
      </c>
      <c r="R8" s="4">
        <v>50</v>
      </c>
      <c r="S8" s="4">
        <v>21</v>
      </c>
      <c r="T8" s="4">
        <v>30</v>
      </c>
      <c r="U8" s="4">
        <v>30</v>
      </c>
      <c r="V8" s="4">
        <v>70</v>
      </c>
      <c r="W8" s="4">
        <v>19</v>
      </c>
      <c r="X8" s="4">
        <v>1.3</v>
      </c>
      <c r="Y8" s="4" t="s">
        <v>70</v>
      </c>
      <c r="Z8" s="4">
        <v>55</v>
      </c>
      <c r="AA8" s="4">
        <v>325</v>
      </c>
      <c r="AB8" s="4">
        <v>30.9</v>
      </c>
      <c r="AC8" s="4">
        <v>257</v>
      </c>
      <c r="AD8" s="4">
        <v>11.5</v>
      </c>
      <c r="AE8" s="4">
        <v>2</v>
      </c>
      <c r="AF8" s="4" t="s">
        <v>71</v>
      </c>
      <c r="AG8" s="4">
        <v>0.1</v>
      </c>
      <c r="AH8" s="4">
        <v>2</v>
      </c>
      <c r="AI8" s="4" t="s">
        <v>72</v>
      </c>
      <c r="AJ8" s="4">
        <v>0.4</v>
      </c>
      <c r="AK8" s="4">
        <v>695</v>
      </c>
      <c r="AL8" s="4">
        <v>47.7</v>
      </c>
      <c r="AM8" s="4">
        <v>93.6</v>
      </c>
      <c r="AN8" s="4">
        <v>10.6</v>
      </c>
      <c r="AO8" s="4">
        <v>38.5</v>
      </c>
      <c r="AP8" s="4">
        <v>7.34</v>
      </c>
      <c r="AQ8" s="4">
        <v>1.65</v>
      </c>
      <c r="AR8" s="4">
        <v>6.46</v>
      </c>
      <c r="AS8" s="4">
        <v>0.99</v>
      </c>
      <c r="AT8" s="4">
        <v>5.9</v>
      </c>
      <c r="AU8" s="4">
        <v>1.19</v>
      </c>
      <c r="AV8" s="4">
        <v>3.33</v>
      </c>
      <c r="AW8" s="4">
        <v>0.47499999999999998</v>
      </c>
      <c r="AX8" s="4">
        <v>3.12</v>
      </c>
      <c r="AY8" s="4">
        <v>0.46300000000000002</v>
      </c>
      <c r="AZ8" s="4">
        <v>5.6</v>
      </c>
      <c r="BA8" s="4">
        <v>0.89</v>
      </c>
      <c r="BB8" s="4">
        <v>7.8</v>
      </c>
      <c r="BC8" s="4">
        <v>0.28000000000000003</v>
      </c>
      <c r="BD8" s="4">
        <v>12</v>
      </c>
      <c r="BE8" s="4" t="s">
        <v>73</v>
      </c>
      <c r="BF8" s="4">
        <v>8.1999999999999993</v>
      </c>
      <c r="BG8" s="4">
        <v>0.93</v>
      </c>
    </row>
    <row r="9" spans="1:59" x14ac:dyDescent="0.25">
      <c r="A9" s="2" t="s">
        <v>75</v>
      </c>
      <c r="B9" s="4">
        <v>67</v>
      </c>
      <c r="C9" s="4">
        <v>15.39</v>
      </c>
      <c r="D9" s="4">
        <v>4.7</v>
      </c>
      <c r="E9" s="4">
        <v>9.5000000000000001E-2</v>
      </c>
      <c r="F9" s="4">
        <v>1.62</v>
      </c>
      <c r="G9" s="4">
        <v>3.64</v>
      </c>
      <c r="H9" s="4">
        <v>4.3899999999999997</v>
      </c>
      <c r="I9" s="4">
        <v>2.83</v>
      </c>
      <c r="J9" s="4">
        <v>0.60399999999999998</v>
      </c>
      <c r="K9" s="4">
        <v>0.15</v>
      </c>
      <c r="L9" s="4">
        <f t="shared" si="0"/>
        <v>100.41900000000001</v>
      </c>
      <c r="M9" s="4">
        <v>0.52</v>
      </c>
      <c r="N9" s="4">
        <v>100.9</v>
      </c>
      <c r="O9" s="4">
        <v>10</v>
      </c>
      <c r="P9" s="4">
        <v>2</v>
      </c>
      <c r="Q9" s="4">
        <v>63</v>
      </c>
      <c r="R9" s="4">
        <v>30</v>
      </c>
      <c r="S9" s="4">
        <v>9</v>
      </c>
      <c r="T9" s="4" t="s">
        <v>69</v>
      </c>
      <c r="U9" s="4">
        <v>10</v>
      </c>
      <c r="V9" s="4">
        <v>70</v>
      </c>
      <c r="W9" s="4">
        <v>19</v>
      </c>
      <c r="X9" s="4">
        <v>1.1000000000000001</v>
      </c>
      <c r="Y9" s="4" t="s">
        <v>70</v>
      </c>
      <c r="Z9" s="4">
        <v>60</v>
      </c>
      <c r="AA9" s="4">
        <v>337</v>
      </c>
      <c r="AB9" s="4">
        <v>19.100000000000001</v>
      </c>
      <c r="AC9" s="4">
        <v>242</v>
      </c>
      <c r="AD9" s="4">
        <v>10.1</v>
      </c>
      <c r="AE9" s="4" t="s">
        <v>76</v>
      </c>
      <c r="AF9" s="4" t="s">
        <v>71</v>
      </c>
      <c r="AG9" s="4">
        <v>0.1</v>
      </c>
      <c r="AH9" s="4">
        <v>1</v>
      </c>
      <c r="AI9" s="4" t="s">
        <v>72</v>
      </c>
      <c r="AJ9" s="4">
        <v>0.6</v>
      </c>
      <c r="AK9" s="4">
        <v>978</v>
      </c>
      <c r="AL9" s="4">
        <v>53.4</v>
      </c>
      <c r="AM9" s="4">
        <v>103</v>
      </c>
      <c r="AN9" s="4">
        <v>11.1</v>
      </c>
      <c r="AO9" s="4">
        <v>38.5</v>
      </c>
      <c r="AP9" s="4">
        <v>6.59</v>
      </c>
      <c r="AQ9" s="4">
        <v>1.44</v>
      </c>
      <c r="AR9" s="4">
        <v>5.0199999999999996</v>
      </c>
      <c r="AS9" s="4">
        <v>0.69</v>
      </c>
      <c r="AT9" s="4">
        <v>4.03</v>
      </c>
      <c r="AU9" s="4">
        <v>0.74</v>
      </c>
      <c r="AV9" s="4">
        <v>2.0699999999999998</v>
      </c>
      <c r="AW9" s="4">
        <v>0.29199999999999998</v>
      </c>
      <c r="AX9" s="4">
        <v>1.89</v>
      </c>
      <c r="AY9" s="4">
        <v>0.28699999999999998</v>
      </c>
      <c r="AZ9" s="4">
        <v>4.9000000000000004</v>
      </c>
      <c r="BA9" s="4">
        <v>0.75</v>
      </c>
      <c r="BB9" s="4">
        <v>3.3</v>
      </c>
      <c r="BC9" s="4">
        <v>0.28000000000000003</v>
      </c>
      <c r="BD9" s="4">
        <v>14</v>
      </c>
      <c r="BE9" s="4" t="s">
        <v>73</v>
      </c>
      <c r="BF9" s="4">
        <v>6.38</v>
      </c>
      <c r="BG9" s="4">
        <v>0.79</v>
      </c>
    </row>
    <row r="10" spans="1:59" x14ac:dyDescent="0.25">
      <c r="A10" s="2" t="s">
        <v>77</v>
      </c>
      <c r="B10" s="4">
        <v>48.4</v>
      </c>
      <c r="C10" s="4">
        <v>15.42</v>
      </c>
      <c r="D10" s="4">
        <v>9.8800000000000008</v>
      </c>
      <c r="E10" s="4">
        <v>0.17</v>
      </c>
      <c r="F10" s="4">
        <v>7.34</v>
      </c>
      <c r="G10" s="4">
        <v>9.2200000000000006</v>
      </c>
      <c r="H10" s="4">
        <v>3.04</v>
      </c>
      <c r="I10" s="4">
        <v>1.61</v>
      </c>
      <c r="J10" s="4">
        <v>1.2090000000000001</v>
      </c>
      <c r="K10" s="4">
        <v>0.19</v>
      </c>
      <c r="L10" s="4">
        <f t="shared" si="0"/>
        <v>96.479000000000013</v>
      </c>
      <c r="M10" s="4">
        <v>2.02</v>
      </c>
      <c r="N10" s="4">
        <v>98.51</v>
      </c>
      <c r="O10" s="4">
        <v>34</v>
      </c>
      <c r="P10" s="4">
        <v>1</v>
      </c>
      <c r="Q10" s="4">
        <v>184</v>
      </c>
      <c r="R10" s="4">
        <v>170</v>
      </c>
      <c r="S10" s="4">
        <v>37</v>
      </c>
      <c r="T10" s="4">
        <v>90</v>
      </c>
      <c r="U10" s="4">
        <v>30</v>
      </c>
      <c r="V10" s="4">
        <v>80</v>
      </c>
      <c r="W10" s="4">
        <v>15</v>
      </c>
      <c r="X10" s="4">
        <v>1.4</v>
      </c>
      <c r="Y10" s="4" t="s">
        <v>70</v>
      </c>
      <c r="Z10" s="4">
        <v>55</v>
      </c>
      <c r="AA10" s="4">
        <v>308</v>
      </c>
      <c r="AB10" s="4">
        <v>24.6</v>
      </c>
      <c r="AC10" s="4">
        <v>120</v>
      </c>
      <c r="AD10" s="4">
        <v>5</v>
      </c>
      <c r="AE10" s="4">
        <v>2</v>
      </c>
      <c r="AF10" s="4" t="s">
        <v>71</v>
      </c>
      <c r="AG10" s="4">
        <v>0.1</v>
      </c>
      <c r="AH10" s="4">
        <v>1</v>
      </c>
      <c r="AI10" s="4" t="s">
        <v>72</v>
      </c>
      <c r="AJ10" s="4">
        <v>0.5</v>
      </c>
      <c r="AK10" s="4">
        <v>257</v>
      </c>
      <c r="AL10" s="4">
        <v>16.899999999999999</v>
      </c>
      <c r="AM10" s="4">
        <v>36.200000000000003</v>
      </c>
      <c r="AN10" s="4">
        <v>4.46</v>
      </c>
      <c r="AO10" s="4">
        <v>18.5</v>
      </c>
      <c r="AP10" s="4">
        <v>4.3</v>
      </c>
      <c r="AQ10" s="4">
        <v>1.4</v>
      </c>
      <c r="AR10" s="4">
        <v>4.41</v>
      </c>
      <c r="AS10" s="4">
        <v>0.73</v>
      </c>
      <c r="AT10" s="4">
        <v>4.63</v>
      </c>
      <c r="AU10" s="4">
        <v>0.97</v>
      </c>
      <c r="AV10" s="4">
        <v>2.77</v>
      </c>
      <c r="AW10" s="4">
        <v>0.40500000000000003</v>
      </c>
      <c r="AX10" s="4">
        <v>2.5299999999999998</v>
      </c>
      <c r="AY10" s="4">
        <v>0.38100000000000001</v>
      </c>
      <c r="AZ10" s="4">
        <v>2.5</v>
      </c>
      <c r="BA10" s="4">
        <v>0.38</v>
      </c>
      <c r="BB10" s="4">
        <v>3.8</v>
      </c>
      <c r="BC10" s="4">
        <v>0.3</v>
      </c>
      <c r="BD10" s="4">
        <v>8</v>
      </c>
      <c r="BE10" s="4" t="s">
        <v>73</v>
      </c>
      <c r="BF10" s="4">
        <v>2.34</v>
      </c>
      <c r="BG10" s="4">
        <v>0.47</v>
      </c>
    </row>
    <row r="11" spans="1:59" x14ac:dyDescent="0.25">
      <c r="A11" s="2" t="s">
        <v>78</v>
      </c>
      <c r="B11" s="4">
        <v>65.33</v>
      </c>
      <c r="C11" s="4">
        <v>15.14</v>
      </c>
      <c r="D11" s="4">
        <v>4.75</v>
      </c>
      <c r="E11" s="4">
        <v>7.0000000000000007E-2</v>
      </c>
      <c r="F11" s="4">
        <v>1.66</v>
      </c>
      <c r="G11" s="4">
        <v>3.78</v>
      </c>
      <c r="H11" s="4">
        <v>4.1100000000000003</v>
      </c>
      <c r="I11" s="4">
        <v>2.85</v>
      </c>
      <c r="J11" s="4">
        <v>0.62</v>
      </c>
      <c r="K11" s="4">
        <v>0.16</v>
      </c>
      <c r="L11" s="4">
        <f t="shared" si="0"/>
        <v>98.469999999999985</v>
      </c>
      <c r="M11" s="4">
        <v>0.57999999999999996</v>
      </c>
      <c r="N11" s="4">
        <v>99.04</v>
      </c>
      <c r="O11" s="4">
        <v>10</v>
      </c>
      <c r="P11" s="4">
        <v>2</v>
      </c>
      <c r="Q11" s="4">
        <v>66</v>
      </c>
      <c r="R11" s="4">
        <v>30</v>
      </c>
      <c r="S11" s="4">
        <v>10</v>
      </c>
      <c r="T11" s="4" t="s">
        <v>69</v>
      </c>
      <c r="U11" s="4">
        <v>20</v>
      </c>
      <c r="V11" s="4">
        <v>50</v>
      </c>
      <c r="W11" s="4">
        <v>19</v>
      </c>
      <c r="X11" s="4">
        <v>1.1000000000000001</v>
      </c>
      <c r="Y11" s="4" t="s">
        <v>70</v>
      </c>
      <c r="Z11" s="4">
        <v>60</v>
      </c>
      <c r="AA11" s="4">
        <v>378</v>
      </c>
      <c r="AB11" s="4">
        <v>18.5</v>
      </c>
      <c r="AC11" s="4">
        <v>241</v>
      </c>
      <c r="AD11" s="4">
        <v>9</v>
      </c>
      <c r="AE11" s="4">
        <v>2</v>
      </c>
      <c r="AF11" s="4" t="s">
        <v>71</v>
      </c>
      <c r="AG11" s="4" t="s">
        <v>73</v>
      </c>
      <c r="AH11" s="4">
        <v>1</v>
      </c>
      <c r="AI11" s="4" t="s">
        <v>72</v>
      </c>
      <c r="AJ11" s="4">
        <v>0.4</v>
      </c>
      <c r="AK11" s="4">
        <v>1167</v>
      </c>
      <c r="AL11" s="4">
        <v>60.7</v>
      </c>
      <c r="AM11" s="4">
        <v>111</v>
      </c>
      <c r="AN11" s="4">
        <v>11.4</v>
      </c>
      <c r="AO11" s="4">
        <v>39.700000000000003</v>
      </c>
      <c r="AP11" s="4">
        <v>6.63</v>
      </c>
      <c r="AQ11" s="4">
        <v>1.39</v>
      </c>
      <c r="AR11" s="4">
        <v>4.99</v>
      </c>
      <c r="AS11" s="4">
        <v>0.69</v>
      </c>
      <c r="AT11" s="4">
        <v>3.91</v>
      </c>
      <c r="AU11" s="4">
        <v>0.72</v>
      </c>
      <c r="AV11" s="4">
        <v>1.95</v>
      </c>
      <c r="AW11" s="4">
        <v>0.28199999999999997</v>
      </c>
      <c r="AX11" s="4">
        <v>1.84</v>
      </c>
      <c r="AY11" s="4">
        <v>0.27400000000000002</v>
      </c>
      <c r="AZ11" s="4">
        <v>5.0999999999999996</v>
      </c>
      <c r="BA11" s="4">
        <v>0.74</v>
      </c>
      <c r="BB11" s="4">
        <v>4</v>
      </c>
      <c r="BC11" s="4">
        <v>0.27</v>
      </c>
      <c r="BD11" s="4">
        <v>15</v>
      </c>
      <c r="BE11" s="4" t="s">
        <v>73</v>
      </c>
      <c r="BF11" s="4">
        <v>8.9499999999999993</v>
      </c>
      <c r="BG11" s="4">
        <v>1.08</v>
      </c>
    </row>
    <row r="12" spans="1:59" x14ac:dyDescent="0.25">
      <c r="A12" s="2" t="s">
        <v>79</v>
      </c>
      <c r="B12" s="4">
        <v>70.180000000000007</v>
      </c>
      <c r="C12" s="4">
        <v>13.55</v>
      </c>
      <c r="D12" s="4">
        <v>2.97</v>
      </c>
      <c r="E12" s="4">
        <v>4.4999999999999998E-2</v>
      </c>
      <c r="F12" s="4">
        <v>0.61</v>
      </c>
      <c r="G12" s="4">
        <v>2.04</v>
      </c>
      <c r="H12" s="4">
        <v>3.3</v>
      </c>
      <c r="I12" s="4">
        <v>4.3600000000000003</v>
      </c>
      <c r="J12" s="4">
        <v>0.32</v>
      </c>
      <c r="K12" s="4">
        <v>0.1</v>
      </c>
      <c r="L12" s="4">
        <f t="shared" si="0"/>
        <v>97.474999999999994</v>
      </c>
      <c r="M12" s="4">
        <v>0.41</v>
      </c>
      <c r="N12" s="4">
        <v>97.88</v>
      </c>
      <c r="O12" s="4">
        <v>4</v>
      </c>
      <c r="P12" s="4">
        <v>2</v>
      </c>
      <c r="Q12" s="4">
        <v>28</v>
      </c>
      <c r="R12" s="4" t="s">
        <v>69</v>
      </c>
      <c r="S12" s="4">
        <v>3</v>
      </c>
      <c r="T12" s="4" t="s">
        <v>69</v>
      </c>
      <c r="U12" s="4" t="s">
        <v>80</v>
      </c>
      <c r="V12" s="4">
        <v>40</v>
      </c>
      <c r="W12" s="4">
        <v>16</v>
      </c>
      <c r="X12" s="4">
        <v>1</v>
      </c>
      <c r="Y12" s="4" t="s">
        <v>70</v>
      </c>
      <c r="Z12" s="4">
        <v>100</v>
      </c>
      <c r="AA12" s="4">
        <v>297</v>
      </c>
      <c r="AB12" s="4">
        <v>17.100000000000001</v>
      </c>
      <c r="AC12" s="4">
        <v>199</v>
      </c>
      <c r="AD12" s="4">
        <v>7.9</v>
      </c>
      <c r="AE12" s="4" t="s">
        <v>76</v>
      </c>
      <c r="AF12" s="4" t="s">
        <v>71</v>
      </c>
      <c r="AG12" s="4" t="s">
        <v>73</v>
      </c>
      <c r="AH12" s="4">
        <v>1</v>
      </c>
      <c r="AI12" s="4" t="s">
        <v>72</v>
      </c>
      <c r="AJ12" s="4">
        <v>0.4</v>
      </c>
      <c r="AK12" s="4">
        <v>1005</v>
      </c>
      <c r="AL12" s="4">
        <v>61.6</v>
      </c>
      <c r="AM12" s="4">
        <v>114</v>
      </c>
      <c r="AN12" s="4">
        <v>11.5</v>
      </c>
      <c r="AO12" s="4">
        <v>38.700000000000003</v>
      </c>
      <c r="AP12" s="4">
        <v>6.14</v>
      </c>
      <c r="AQ12" s="4">
        <v>0.99</v>
      </c>
      <c r="AR12" s="4">
        <v>4.5599999999999996</v>
      </c>
      <c r="AS12" s="4">
        <v>0.57999999999999996</v>
      </c>
      <c r="AT12" s="4">
        <v>3.38</v>
      </c>
      <c r="AU12" s="4">
        <v>0.64</v>
      </c>
      <c r="AV12" s="4">
        <v>1.83</v>
      </c>
      <c r="AW12" s="4">
        <v>0.26200000000000001</v>
      </c>
      <c r="AX12" s="4">
        <v>1.73</v>
      </c>
      <c r="AY12" s="4">
        <v>0.251</v>
      </c>
      <c r="AZ12" s="4">
        <v>4.3</v>
      </c>
      <c r="BA12" s="4">
        <v>0.76</v>
      </c>
      <c r="BB12" s="4">
        <v>5.7</v>
      </c>
      <c r="BC12" s="4">
        <v>0.47</v>
      </c>
      <c r="BD12" s="4">
        <v>20</v>
      </c>
      <c r="BE12" s="4" t="s">
        <v>73</v>
      </c>
      <c r="BF12" s="4">
        <v>13.6</v>
      </c>
      <c r="BG12" s="4">
        <v>0.95</v>
      </c>
    </row>
    <row r="13" spans="1:59" x14ac:dyDescent="0.25">
      <c r="A13" s="2" t="s">
        <v>81</v>
      </c>
      <c r="B13" s="4">
        <v>69.08</v>
      </c>
      <c r="C13" s="4">
        <v>15.24</v>
      </c>
      <c r="D13" s="4">
        <v>1.9</v>
      </c>
      <c r="E13" s="4">
        <v>3.7999999999999999E-2</v>
      </c>
      <c r="F13" s="4">
        <v>0.2</v>
      </c>
      <c r="G13" s="4">
        <v>1.05</v>
      </c>
      <c r="H13" s="4">
        <v>3.55</v>
      </c>
      <c r="I13" s="4">
        <v>6.41</v>
      </c>
      <c r="J13" s="4">
        <v>0.29399999999999998</v>
      </c>
      <c r="K13" s="4">
        <v>0.05</v>
      </c>
      <c r="L13" s="4">
        <f t="shared" si="0"/>
        <v>97.811999999999983</v>
      </c>
      <c r="M13" s="4">
        <v>0.36</v>
      </c>
      <c r="N13" s="4">
        <v>98.17</v>
      </c>
      <c r="O13" s="4">
        <v>2</v>
      </c>
      <c r="P13" s="4">
        <v>1</v>
      </c>
      <c r="Q13" s="4">
        <v>10</v>
      </c>
      <c r="R13" s="4" t="s">
        <v>69</v>
      </c>
      <c r="S13" s="4">
        <v>1</v>
      </c>
      <c r="T13" s="4" t="s">
        <v>69</v>
      </c>
      <c r="U13" s="4" t="s">
        <v>80</v>
      </c>
      <c r="V13" s="4" t="s">
        <v>82</v>
      </c>
      <c r="W13" s="4">
        <v>17</v>
      </c>
      <c r="X13" s="4">
        <v>1.1000000000000001</v>
      </c>
      <c r="Y13" s="4" t="s">
        <v>70</v>
      </c>
      <c r="Z13" s="4">
        <v>99</v>
      </c>
      <c r="AA13" s="4">
        <v>116</v>
      </c>
      <c r="AB13" s="4">
        <v>18.7</v>
      </c>
      <c r="AC13" s="4">
        <v>347</v>
      </c>
      <c r="AD13" s="4">
        <v>10.9</v>
      </c>
      <c r="AE13" s="4" t="s">
        <v>76</v>
      </c>
      <c r="AF13" s="4" t="s">
        <v>71</v>
      </c>
      <c r="AG13" s="4" t="s">
        <v>73</v>
      </c>
      <c r="AH13" s="4">
        <v>1</v>
      </c>
      <c r="AI13" s="4" t="s">
        <v>72</v>
      </c>
      <c r="AJ13" s="4">
        <v>0.6</v>
      </c>
      <c r="AK13" s="4">
        <v>387</v>
      </c>
      <c r="AL13" s="4">
        <v>104</v>
      </c>
      <c r="AM13" s="4">
        <v>196</v>
      </c>
      <c r="AN13" s="4">
        <v>19.8</v>
      </c>
      <c r="AO13" s="4">
        <v>64.3</v>
      </c>
      <c r="AP13" s="4">
        <v>9.59</v>
      </c>
      <c r="AQ13" s="4">
        <v>1.27</v>
      </c>
      <c r="AR13" s="4">
        <v>6.03</v>
      </c>
      <c r="AS13" s="4">
        <v>0.8</v>
      </c>
      <c r="AT13" s="4">
        <v>4.13</v>
      </c>
      <c r="AU13" s="4">
        <v>0.77</v>
      </c>
      <c r="AV13" s="4">
        <v>2</v>
      </c>
      <c r="AW13" s="4">
        <v>0.28899999999999998</v>
      </c>
      <c r="AX13" s="4">
        <v>1.96</v>
      </c>
      <c r="AY13" s="4">
        <v>0.313</v>
      </c>
      <c r="AZ13" s="4">
        <v>8.1</v>
      </c>
      <c r="BA13" s="4">
        <v>0.66</v>
      </c>
      <c r="BB13" s="4">
        <v>3.9</v>
      </c>
      <c r="BC13" s="4">
        <v>0.43</v>
      </c>
      <c r="BD13" s="4">
        <v>26</v>
      </c>
      <c r="BE13" s="4" t="s">
        <v>73</v>
      </c>
      <c r="BF13" s="4">
        <v>11.5</v>
      </c>
      <c r="BG13" s="4">
        <v>0.91</v>
      </c>
    </row>
    <row r="14" spans="1:59" x14ac:dyDescent="0.25">
      <c r="A14" s="2" t="s">
        <v>83</v>
      </c>
      <c r="B14" s="4">
        <v>62.49</v>
      </c>
      <c r="C14" s="4">
        <v>14.58</v>
      </c>
      <c r="D14" s="4">
        <v>5.5</v>
      </c>
      <c r="E14" s="4">
        <v>9.2999999999999999E-2</v>
      </c>
      <c r="F14" s="4">
        <v>2.02</v>
      </c>
      <c r="G14" s="4">
        <v>4.1900000000000004</v>
      </c>
      <c r="H14" s="4">
        <v>3.81</v>
      </c>
      <c r="I14" s="4">
        <v>3.39</v>
      </c>
      <c r="J14" s="4">
        <v>0.86399999999999999</v>
      </c>
      <c r="K14" s="4">
        <v>0.18</v>
      </c>
      <c r="L14" s="4">
        <f t="shared" si="0"/>
        <v>97.117000000000019</v>
      </c>
      <c r="M14" s="4">
        <v>0.71</v>
      </c>
      <c r="N14" s="4">
        <v>97.83</v>
      </c>
      <c r="O14" s="4">
        <v>13</v>
      </c>
      <c r="P14" s="4">
        <v>2</v>
      </c>
      <c r="Q14" s="4">
        <v>93</v>
      </c>
      <c r="R14" s="4">
        <v>30</v>
      </c>
      <c r="S14" s="4">
        <v>14</v>
      </c>
      <c r="T14" s="4" t="s">
        <v>69</v>
      </c>
      <c r="U14" s="4">
        <v>20</v>
      </c>
      <c r="V14" s="4">
        <v>60</v>
      </c>
      <c r="W14" s="4">
        <v>18</v>
      </c>
      <c r="X14" s="4">
        <v>1.2</v>
      </c>
      <c r="Y14" s="4" t="s">
        <v>70</v>
      </c>
      <c r="Z14" s="4">
        <v>84</v>
      </c>
      <c r="AA14" s="4">
        <v>292</v>
      </c>
      <c r="AB14" s="4">
        <v>26.5</v>
      </c>
      <c r="AC14" s="4">
        <v>263</v>
      </c>
      <c r="AD14" s="4">
        <v>11.4</v>
      </c>
      <c r="AE14" s="4">
        <v>2</v>
      </c>
      <c r="AF14" s="4" t="s">
        <v>71</v>
      </c>
      <c r="AG14" s="4">
        <v>0.1</v>
      </c>
      <c r="AH14" s="4">
        <v>2</v>
      </c>
      <c r="AI14" s="4" t="s">
        <v>72</v>
      </c>
      <c r="AJ14" s="4">
        <v>0.6</v>
      </c>
      <c r="AK14" s="4">
        <v>827</v>
      </c>
      <c r="AL14" s="4">
        <v>55.8</v>
      </c>
      <c r="AM14" s="4">
        <v>109</v>
      </c>
      <c r="AN14" s="4">
        <v>11.5</v>
      </c>
      <c r="AO14" s="4">
        <v>41.2</v>
      </c>
      <c r="AP14" s="4">
        <v>7.41</v>
      </c>
      <c r="AQ14" s="4">
        <v>1.64</v>
      </c>
      <c r="AR14" s="4">
        <v>5.97</v>
      </c>
      <c r="AS14" s="4">
        <v>0.88</v>
      </c>
      <c r="AT14" s="4">
        <v>5.13</v>
      </c>
      <c r="AU14" s="4">
        <v>1.04</v>
      </c>
      <c r="AV14" s="4">
        <v>2.9</v>
      </c>
      <c r="AW14" s="4">
        <v>0.4</v>
      </c>
      <c r="AX14" s="4">
        <v>2.58</v>
      </c>
      <c r="AY14" s="4">
        <v>0.39</v>
      </c>
      <c r="AZ14" s="4">
        <v>5.7</v>
      </c>
      <c r="BA14" s="4">
        <v>0.82</v>
      </c>
      <c r="BB14" s="4">
        <v>4.7</v>
      </c>
      <c r="BC14" s="4">
        <v>0.4</v>
      </c>
      <c r="BD14" s="4">
        <v>17</v>
      </c>
      <c r="BE14" s="4" t="s">
        <v>73</v>
      </c>
      <c r="BF14" s="4">
        <v>9.8000000000000007</v>
      </c>
      <c r="BG14" s="4">
        <v>1.28</v>
      </c>
    </row>
    <row r="15" spans="1:59" x14ac:dyDescent="0.25">
      <c r="A15" s="2" t="s">
        <v>84</v>
      </c>
      <c r="B15" s="4">
        <v>71.349999999999994</v>
      </c>
      <c r="C15" s="4">
        <v>13.41</v>
      </c>
      <c r="D15" s="4">
        <v>2.8</v>
      </c>
      <c r="E15" s="4">
        <v>5.1999999999999998E-2</v>
      </c>
      <c r="F15" s="4">
        <v>0.46</v>
      </c>
      <c r="G15" s="4">
        <v>1.76</v>
      </c>
      <c r="H15" s="4">
        <v>3.49</v>
      </c>
      <c r="I15" s="4">
        <v>4.53</v>
      </c>
      <c r="J15" s="4">
        <v>0.29799999999999999</v>
      </c>
      <c r="K15" s="4">
        <v>0.09</v>
      </c>
      <c r="L15" s="4">
        <f t="shared" si="0"/>
        <v>98.24</v>
      </c>
      <c r="M15" s="4">
        <v>0.34</v>
      </c>
      <c r="N15" s="4">
        <v>98.57</v>
      </c>
      <c r="O15" s="4">
        <v>4</v>
      </c>
      <c r="P15" s="4">
        <v>2</v>
      </c>
      <c r="Q15" s="4">
        <v>19</v>
      </c>
      <c r="R15" s="4" t="s">
        <v>69</v>
      </c>
      <c r="S15" s="4">
        <v>3</v>
      </c>
      <c r="T15" s="4" t="s">
        <v>69</v>
      </c>
      <c r="U15" s="4" t="s">
        <v>80</v>
      </c>
      <c r="V15" s="4">
        <v>50</v>
      </c>
      <c r="W15" s="4">
        <v>16</v>
      </c>
      <c r="X15" s="4">
        <v>1.1000000000000001</v>
      </c>
      <c r="Y15" s="4" t="s">
        <v>70</v>
      </c>
      <c r="Z15" s="4">
        <v>104</v>
      </c>
      <c r="AA15" s="4">
        <v>293</v>
      </c>
      <c r="AB15" s="4">
        <v>10.3</v>
      </c>
      <c r="AC15" s="4">
        <v>184</v>
      </c>
      <c r="AD15" s="4">
        <v>8.3000000000000007</v>
      </c>
      <c r="AE15" s="4" t="s">
        <v>76</v>
      </c>
      <c r="AF15" s="4" t="s">
        <v>71</v>
      </c>
      <c r="AG15" s="4" t="s">
        <v>73</v>
      </c>
      <c r="AH15" s="4">
        <v>1</v>
      </c>
      <c r="AI15" s="4" t="s">
        <v>72</v>
      </c>
      <c r="AJ15" s="4">
        <v>0.4</v>
      </c>
      <c r="AK15" s="4">
        <v>1179</v>
      </c>
      <c r="AL15" s="4">
        <v>55.4</v>
      </c>
      <c r="AM15" s="4">
        <v>100</v>
      </c>
      <c r="AN15" s="4">
        <v>9.82</v>
      </c>
      <c r="AO15" s="4">
        <v>32.4</v>
      </c>
      <c r="AP15" s="4">
        <v>4.71</v>
      </c>
      <c r="AQ15" s="4">
        <v>0.88</v>
      </c>
      <c r="AR15" s="4">
        <v>3.1</v>
      </c>
      <c r="AS15" s="4">
        <v>0.38</v>
      </c>
      <c r="AT15" s="4">
        <v>2.0699999999999998</v>
      </c>
      <c r="AU15" s="4">
        <v>0.38</v>
      </c>
      <c r="AV15" s="4">
        <v>1.1000000000000001</v>
      </c>
      <c r="AW15" s="4">
        <v>0.16900000000000001</v>
      </c>
      <c r="AX15" s="4">
        <v>1.1399999999999999</v>
      </c>
      <c r="AY15" s="4">
        <v>0.17100000000000001</v>
      </c>
      <c r="AZ15" s="4">
        <v>4.2</v>
      </c>
      <c r="BA15" s="4">
        <v>0.39</v>
      </c>
      <c r="BB15" s="4">
        <v>6.2</v>
      </c>
      <c r="BC15" s="4">
        <v>0.48</v>
      </c>
      <c r="BD15" s="4">
        <v>24</v>
      </c>
      <c r="BE15" s="4" t="s">
        <v>73</v>
      </c>
      <c r="BF15" s="4">
        <v>17.5</v>
      </c>
      <c r="BG15" s="4">
        <v>1.1599999999999999</v>
      </c>
    </row>
    <row r="16" spans="1:59" x14ac:dyDescent="0.25">
      <c r="A16" s="2" t="s">
        <v>85</v>
      </c>
      <c r="B16" s="4">
        <v>71.25</v>
      </c>
      <c r="C16" s="4">
        <v>14.16</v>
      </c>
      <c r="D16" s="4">
        <v>2.84</v>
      </c>
      <c r="E16" s="4">
        <v>5.2999999999999999E-2</v>
      </c>
      <c r="F16" s="4">
        <v>0.69</v>
      </c>
      <c r="G16" s="4">
        <v>2.2799999999999998</v>
      </c>
      <c r="H16" s="4">
        <v>3.67</v>
      </c>
      <c r="I16" s="4">
        <v>3.95</v>
      </c>
      <c r="J16" s="4">
        <v>0.35899999999999999</v>
      </c>
      <c r="K16" s="4">
        <v>0.12</v>
      </c>
      <c r="L16" s="4">
        <f t="shared" si="0"/>
        <v>99.372</v>
      </c>
      <c r="M16" s="4">
        <v>0.54</v>
      </c>
      <c r="N16" s="4">
        <v>99.9</v>
      </c>
      <c r="O16" s="4">
        <v>4</v>
      </c>
      <c r="P16" s="4">
        <v>2</v>
      </c>
      <c r="Q16" s="4">
        <v>31</v>
      </c>
      <c r="R16" s="4" t="s">
        <v>69</v>
      </c>
      <c r="S16" s="4">
        <v>4</v>
      </c>
      <c r="T16" s="4" t="s">
        <v>69</v>
      </c>
      <c r="U16" s="4" t="s">
        <v>80</v>
      </c>
      <c r="V16" s="4">
        <v>50</v>
      </c>
      <c r="W16" s="4">
        <v>17</v>
      </c>
      <c r="X16" s="4">
        <v>1.2</v>
      </c>
      <c r="Y16" s="4" t="s">
        <v>70</v>
      </c>
      <c r="Z16" s="4">
        <v>109</v>
      </c>
      <c r="AA16" s="4">
        <v>331</v>
      </c>
      <c r="AB16" s="4">
        <v>21.8</v>
      </c>
      <c r="AC16" s="4">
        <v>197</v>
      </c>
      <c r="AD16" s="4">
        <v>10.5</v>
      </c>
      <c r="AE16" s="4" t="s">
        <v>76</v>
      </c>
      <c r="AF16" s="4" t="s">
        <v>71</v>
      </c>
      <c r="AG16" s="4" t="s">
        <v>73</v>
      </c>
      <c r="AH16" s="4">
        <v>1</v>
      </c>
      <c r="AI16" s="4" t="s">
        <v>72</v>
      </c>
      <c r="AJ16" s="4">
        <v>0.8</v>
      </c>
      <c r="AK16" s="4">
        <v>1111</v>
      </c>
      <c r="AL16" s="4">
        <v>69.3</v>
      </c>
      <c r="AM16" s="4">
        <v>127</v>
      </c>
      <c r="AN16" s="4">
        <v>12.9</v>
      </c>
      <c r="AO16" s="4">
        <v>44.7</v>
      </c>
      <c r="AP16" s="4">
        <v>7.17</v>
      </c>
      <c r="AQ16" s="4">
        <v>1.23</v>
      </c>
      <c r="AR16" s="4">
        <v>5.31</v>
      </c>
      <c r="AS16" s="4">
        <v>0.74</v>
      </c>
      <c r="AT16" s="4">
        <v>4.29</v>
      </c>
      <c r="AU16" s="4">
        <v>0.83</v>
      </c>
      <c r="AV16" s="4">
        <v>2.2200000000000002</v>
      </c>
      <c r="AW16" s="4">
        <v>0.316</v>
      </c>
      <c r="AX16" s="4">
        <v>2.12</v>
      </c>
      <c r="AY16" s="4">
        <v>0.29099999999999998</v>
      </c>
      <c r="AZ16" s="4">
        <v>4.2</v>
      </c>
      <c r="BA16" s="4">
        <v>1.05</v>
      </c>
      <c r="BB16" s="4">
        <v>3.9</v>
      </c>
      <c r="BC16" s="4">
        <v>0.5</v>
      </c>
      <c r="BD16" s="4">
        <v>20</v>
      </c>
      <c r="BE16" s="4" t="s">
        <v>73</v>
      </c>
      <c r="BF16" s="4">
        <v>13.7</v>
      </c>
      <c r="BG16" s="4">
        <v>1.35</v>
      </c>
    </row>
    <row r="17" spans="1:59" x14ac:dyDescent="0.25">
      <c r="A17" s="2" t="s">
        <v>86</v>
      </c>
      <c r="B17" s="4">
        <v>70.75</v>
      </c>
      <c r="C17" s="4">
        <v>13.36</v>
      </c>
      <c r="D17" s="4">
        <v>3.14</v>
      </c>
      <c r="E17" s="4">
        <v>5.2999999999999999E-2</v>
      </c>
      <c r="F17" s="4">
        <v>0.6</v>
      </c>
      <c r="G17" s="4">
        <v>1.93</v>
      </c>
      <c r="H17" s="4">
        <v>3.61</v>
      </c>
      <c r="I17" s="4">
        <v>4.49</v>
      </c>
      <c r="J17" s="4">
        <v>0.34499999999999997</v>
      </c>
      <c r="K17" s="4">
        <v>0.11</v>
      </c>
      <c r="L17" s="4">
        <f t="shared" si="0"/>
        <v>98.387999999999991</v>
      </c>
      <c r="M17" s="4">
        <v>0.36</v>
      </c>
      <c r="N17" s="4">
        <v>98.75</v>
      </c>
      <c r="O17" s="4">
        <v>5</v>
      </c>
      <c r="P17" s="4">
        <v>2</v>
      </c>
      <c r="Q17" s="4">
        <v>25</v>
      </c>
      <c r="R17" s="4" t="s">
        <v>69</v>
      </c>
      <c r="S17" s="4">
        <v>3</v>
      </c>
      <c r="T17" s="4" t="s">
        <v>69</v>
      </c>
      <c r="U17" s="4" t="s">
        <v>80</v>
      </c>
      <c r="V17" s="4">
        <v>40</v>
      </c>
      <c r="W17" s="4">
        <v>17</v>
      </c>
      <c r="X17" s="4">
        <v>1.2</v>
      </c>
      <c r="Y17" s="4" t="s">
        <v>70</v>
      </c>
      <c r="Z17" s="4">
        <v>115</v>
      </c>
      <c r="AA17" s="4">
        <v>242</v>
      </c>
      <c r="AB17" s="4">
        <v>20.9</v>
      </c>
      <c r="AC17" s="4">
        <v>234</v>
      </c>
      <c r="AD17" s="4">
        <v>11.5</v>
      </c>
      <c r="AE17" s="4" t="s">
        <v>76</v>
      </c>
      <c r="AF17" s="4" t="s">
        <v>71</v>
      </c>
      <c r="AG17" s="4" t="s">
        <v>73</v>
      </c>
      <c r="AH17" s="4">
        <v>2</v>
      </c>
      <c r="AI17" s="4" t="s">
        <v>72</v>
      </c>
      <c r="AJ17" s="4">
        <v>0.8</v>
      </c>
      <c r="AK17" s="4">
        <v>1154</v>
      </c>
      <c r="AL17" s="4">
        <v>58.4</v>
      </c>
      <c r="AM17" s="4">
        <v>109</v>
      </c>
      <c r="AN17" s="4">
        <v>11.1</v>
      </c>
      <c r="AO17" s="4">
        <v>38.4</v>
      </c>
      <c r="AP17" s="4">
        <v>6.3</v>
      </c>
      <c r="AQ17" s="4">
        <v>1.1200000000000001</v>
      </c>
      <c r="AR17" s="4">
        <v>4.92</v>
      </c>
      <c r="AS17" s="4">
        <v>0.68</v>
      </c>
      <c r="AT17" s="4">
        <v>3.92</v>
      </c>
      <c r="AU17" s="4">
        <v>0.79</v>
      </c>
      <c r="AV17" s="4">
        <v>2.27</v>
      </c>
      <c r="AW17" s="4">
        <v>0.33</v>
      </c>
      <c r="AX17" s="4">
        <v>2.2200000000000002</v>
      </c>
      <c r="AY17" s="4">
        <v>0.30599999999999999</v>
      </c>
      <c r="AZ17" s="4">
        <v>4.9000000000000004</v>
      </c>
      <c r="BA17" s="4">
        <v>1.03</v>
      </c>
      <c r="BB17" s="4">
        <v>3.3</v>
      </c>
      <c r="BC17" s="4">
        <v>0.55000000000000004</v>
      </c>
      <c r="BD17" s="4">
        <v>21</v>
      </c>
      <c r="BE17" s="4" t="s">
        <v>73</v>
      </c>
      <c r="BF17" s="4">
        <v>14.3</v>
      </c>
      <c r="BG17" s="4">
        <v>1.53</v>
      </c>
    </row>
    <row r="18" spans="1:59" x14ac:dyDescent="0.25">
      <c r="A18" s="2" t="s">
        <v>87</v>
      </c>
      <c r="B18" s="4">
        <v>67.150000000000006</v>
      </c>
      <c r="C18" s="4">
        <v>14.8</v>
      </c>
      <c r="D18" s="4">
        <v>4.38</v>
      </c>
      <c r="E18" s="4">
        <v>9.0999999999999998E-2</v>
      </c>
      <c r="F18" s="4">
        <v>1.39</v>
      </c>
      <c r="G18" s="4">
        <v>3.28</v>
      </c>
      <c r="H18" s="4">
        <v>4.5999999999999996</v>
      </c>
      <c r="I18" s="4">
        <v>2.23</v>
      </c>
      <c r="J18" s="4">
        <v>0.55700000000000005</v>
      </c>
      <c r="K18" s="4">
        <v>0.14000000000000001</v>
      </c>
      <c r="L18" s="4">
        <f t="shared" si="0"/>
        <v>98.617999999999995</v>
      </c>
      <c r="M18" s="4">
        <v>0.53</v>
      </c>
      <c r="N18" s="4">
        <v>99.15</v>
      </c>
      <c r="O18" s="4">
        <v>9</v>
      </c>
      <c r="P18" s="4">
        <v>2</v>
      </c>
      <c r="Q18" s="4">
        <v>58</v>
      </c>
      <c r="R18" s="4">
        <v>20</v>
      </c>
      <c r="S18" s="4">
        <v>8</v>
      </c>
      <c r="T18" s="4" t="s">
        <v>69</v>
      </c>
      <c r="U18" s="4">
        <v>10</v>
      </c>
      <c r="V18" s="4">
        <v>60</v>
      </c>
      <c r="W18" s="4">
        <v>19</v>
      </c>
      <c r="X18" s="4">
        <v>1.1000000000000001</v>
      </c>
      <c r="Y18" s="4" t="s">
        <v>70</v>
      </c>
      <c r="Z18" s="4">
        <v>42</v>
      </c>
      <c r="AA18" s="4">
        <v>318</v>
      </c>
      <c r="AB18" s="4">
        <v>21.1</v>
      </c>
      <c r="AC18" s="4">
        <v>237</v>
      </c>
      <c r="AD18" s="4">
        <v>11.1</v>
      </c>
      <c r="AE18" s="4" t="s">
        <v>76</v>
      </c>
      <c r="AF18" s="4" t="s">
        <v>71</v>
      </c>
      <c r="AG18" s="4">
        <v>0.1</v>
      </c>
      <c r="AH18" s="4">
        <v>1</v>
      </c>
      <c r="AI18" s="4" t="s">
        <v>72</v>
      </c>
      <c r="AJ18" s="4">
        <v>0.3</v>
      </c>
      <c r="AK18" s="4">
        <v>796</v>
      </c>
      <c r="AL18" s="4">
        <v>54.1</v>
      </c>
      <c r="AM18" s="4">
        <v>110</v>
      </c>
      <c r="AN18" s="4">
        <v>11.9</v>
      </c>
      <c r="AO18" s="4">
        <v>42.8</v>
      </c>
      <c r="AP18" s="4">
        <v>7.41</v>
      </c>
      <c r="AQ18" s="4">
        <v>1.47</v>
      </c>
      <c r="AR18" s="4">
        <v>5.73</v>
      </c>
      <c r="AS18" s="4">
        <v>0.78</v>
      </c>
      <c r="AT18" s="4">
        <v>4.3600000000000003</v>
      </c>
      <c r="AU18" s="4">
        <v>0.81</v>
      </c>
      <c r="AV18" s="4">
        <v>2.2599999999999998</v>
      </c>
      <c r="AW18" s="4">
        <v>0.32</v>
      </c>
      <c r="AX18" s="4">
        <v>2.0099999999999998</v>
      </c>
      <c r="AY18" s="4">
        <v>0.29099999999999998</v>
      </c>
      <c r="AZ18" s="4">
        <v>4.8</v>
      </c>
      <c r="BA18" s="4">
        <v>0.84</v>
      </c>
      <c r="BB18" s="4">
        <v>3.2</v>
      </c>
      <c r="BC18" s="4">
        <v>0.19</v>
      </c>
      <c r="BD18" s="4">
        <v>14</v>
      </c>
      <c r="BE18" s="4" t="s">
        <v>73</v>
      </c>
      <c r="BF18" s="4">
        <v>7.19</v>
      </c>
      <c r="BG18" s="4">
        <v>0.87</v>
      </c>
    </row>
    <row r="19" spans="1:59" x14ac:dyDescent="0.25">
      <c r="A19" s="2" t="s">
        <v>88</v>
      </c>
      <c r="B19" s="4">
        <v>67.599999999999994</v>
      </c>
      <c r="C19" s="4">
        <v>15.04</v>
      </c>
      <c r="D19" s="4">
        <v>3.79</v>
      </c>
      <c r="E19" s="4">
        <v>5.2999999999999999E-2</v>
      </c>
      <c r="F19" s="4">
        <v>1.27</v>
      </c>
      <c r="G19" s="4">
        <v>3.25</v>
      </c>
      <c r="H19" s="4">
        <v>3.89</v>
      </c>
      <c r="I19" s="4">
        <v>3.58</v>
      </c>
      <c r="J19" s="4">
        <v>0.47</v>
      </c>
      <c r="K19" s="4">
        <v>0.16</v>
      </c>
      <c r="L19" s="4">
        <f t="shared" si="0"/>
        <v>99.10299999999998</v>
      </c>
      <c r="M19" s="4">
        <v>0.5</v>
      </c>
      <c r="N19" s="4">
        <v>99.6</v>
      </c>
      <c r="O19" s="4">
        <v>6</v>
      </c>
      <c r="P19" s="4">
        <v>3</v>
      </c>
      <c r="Q19" s="4">
        <v>62</v>
      </c>
      <c r="R19" s="4" t="s">
        <v>69</v>
      </c>
      <c r="S19" s="4">
        <v>7</v>
      </c>
      <c r="T19" s="4" t="s">
        <v>69</v>
      </c>
      <c r="U19" s="4">
        <v>30</v>
      </c>
      <c r="V19" s="4">
        <v>60</v>
      </c>
      <c r="W19" s="4">
        <v>20</v>
      </c>
      <c r="X19" s="4">
        <v>1.1000000000000001</v>
      </c>
      <c r="Y19" s="4" t="s">
        <v>70</v>
      </c>
      <c r="Z19" s="4">
        <v>102</v>
      </c>
      <c r="AA19" s="4">
        <v>535</v>
      </c>
      <c r="AB19" s="4">
        <v>9.1</v>
      </c>
      <c r="AC19" s="4">
        <v>156</v>
      </c>
      <c r="AD19" s="4">
        <v>6.1</v>
      </c>
      <c r="AE19" s="4" t="s">
        <v>76</v>
      </c>
      <c r="AF19" s="4" t="s">
        <v>71</v>
      </c>
      <c r="AG19" s="4" t="s">
        <v>73</v>
      </c>
      <c r="AH19" s="4">
        <v>1</v>
      </c>
      <c r="AI19" s="4" t="s">
        <v>72</v>
      </c>
      <c r="AJ19" s="4">
        <v>0.7</v>
      </c>
      <c r="AK19" s="4">
        <v>981</v>
      </c>
      <c r="AL19" s="4">
        <v>28.4</v>
      </c>
      <c r="AM19" s="4">
        <v>54.9</v>
      </c>
      <c r="AN19" s="4">
        <v>6.24</v>
      </c>
      <c r="AO19" s="4">
        <v>23.1</v>
      </c>
      <c r="AP19" s="4">
        <v>4.21</v>
      </c>
      <c r="AQ19" s="4">
        <v>1.1100000000000001</v>
      </c>
      <c r="AR19" s="4">
        <v>2.91</v>
      </c>
      <c r="AS19" s="4">
        <v>0.37</v>
      </c>
      <c r="AT19" s="4">
        <v>1.95</v>
      </c>
      <c r="AU19" s="4">
        <v>0.33</v>
      </c>
      <c r="AV19" s="4">
        <v>0.94</v>
      </c>
      <c r="AW19" s="4">
        <v>0.13400000000000001</v>
      </c>
      <c r="AX19" s="4">
        <v>0.84</v>
      </c>
      <c r="AY19" s="4">
        <v>0.124</v>
      </c>
      <c r="AZ19" s="4">
        <v>3.8</v>
      </c>
      <c r="BA19" s="4">
        <v>0.59</v>
      </c>
      <c r="BB19" s="4">
        <v>3.7</v>
      </c>
      <c r="BC19" s="4">
        <v>0.47</v>
      </c>
      <c r="BD19" s="4">
        <v>21</v>
      </c>
      <c r="BE19" s="4" t="s">
        <v>73</v>
      </c>
      <c r="BF19" s="4">
        <v>5.27</v>
      </c>
      <c r="BG19" s="4">
        <v>1.0900000000000001</v>
      </c>
    </row>
  </sheetData>
  <sheetProtection formatCells="0" formatColumns="0" formatRows="0" insertColumns="0" insertRows="0" insertHyperlinks="0" deleteColumns="0" deleteRows="0" sort="0" autoFilter="0" pivotTables="0"/>
  <pageMargins left="0.51" right="0.51" top="0.51" bottom="0.51" header="0.3" footer="0.3"/>
  <pageSetup orientation="landscape"/>
  <headerFooter>
    <oddHeader>&amp;12&amp;B
Activation Laboratories</oddHeader>
    <oddFooter>&amp;C&amp;"Arial,Normal"Page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3"/>
  <sheetViews>
    <sheetView workbookViewId="0">
      <pane xSplit="1" ySplit="6" topLeftCell="B7" activePane="bottomRight" state="frozen"/>
      <selection pane="topRight"/>
      <selection pane="bottomLeft"/>
      <selection pane="bottomRight" activeCell="BE33" sqref="BE33"/>
    </sheetView>
  </sheetViews>
  <sheetFormatPr defaultRowHeight="15" x14ac:dyDescent="0.25"/>
  <cols>
    <col min="1" max="1" width="42.140625" style="1" bestFit="1" customWidth="1"/>
    <col min="2" max="57" width="19" style="3" customWidth="1"/>
  </cols>
  <sheetData>
    <row r="1" spans="1:57" x14ac:dyDescent="0.25">
      <c r="A1" s="2" t="s">
        <v>0</v>
      </c>
    </row>
    <row r="2" spans="1:57" x14ac:dyDescent="0.25">
      <c r="A2" s="4" t="s">
        <v>1</v>
      </c>
    </row>
    <row r="3" spans="1:57" x14ac:dyDescent="0.25">
      <c r="A3" s="2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N3" s="4" t="s">
        <v>42</v>
      </c>
      <c r="AO3" s="4" t="s">
        <v>43</v>
      </c>
      <c r="AP3" s="4" t="s">
        <v>44</v>
      </c>
      <c r="AQ3" s="4" t="s">
        <v>45</v>
      </c>
      <c r="AR3" s="4" t="s">
        <v>46</v>
      </c>
      <c r="AS3" s="4" t="s">
        <v>47</v>
      </c>
      <c r="AT3" s="4" t="s">
        <v>48</v>
      </c>
      <c r="AU3" s="4" t="s">
        <v>49</v>
      </c>
      <c r="AV3" s="4" t="s">
        <v>50</v>
      </c>
      <c r="AW3" s="4" t="s">
        <v>51</v>
      </c>
      <c r="AX3" s="4" t="s">
        <v>52</v>
      </c>
      <c r="AY3" s="4" t="s">
        <v>53</v>
      </c>
      <c r="AZ3" s="4" t="s">
        <v>54</v>
      </c>
      <c r="BA3" s="4" t="s">
        <v>55</v>
      </c>
      <c r="BB3" s="4" t="s">
        <v>56</v>
      </c>
      <c r="BC3" s="4" t="s">
        <v>57</v>
      </c>
      <c r="BD3" s="4" t="s">
        <v>58</v>
      </c>
      <c r="BE3" s="4" t="s">
        <v>59</v>
      </c>
    </row>
    <row r="4" spans="1:57" x14ac:dyDescent="0.25">
      <c r="A4" s="2" t="s">
        <v>60</v>
      </c>
      <c r="B4" s="4" t="s">
        <v>61</v>
      </c>
      <c r="C4" s="4" t="s">
        <v>61</v>
      </c>
      <c r="D4" s="4" t="s">
        <v>61</v>
      </c>
      <c r="E4" s="4" t="s">
        <v>61</v>
      </c>
      <c r="F4" s="4" t="s">
        <v>61</v>
      </c>
      <c r="G4" s="4" t="s">
        <v>61</v>
      </c>
      <c r="H4" s="4" t="s">
        <v>61</v>
      </c>
      <c r="I4" s="4" t="s">
        <v>61</v>
      </c>
      <c r="J4" s="4" t="s">
        <v>61</v>
      </c>
      <c r="K4" s="4" t="s">
        <v>61</v>
      </c>
      <c r="L4" s="4" t="s">
        <v>61</v>
      </c>
      <c r="M4" s="4" t="s">
        <v>62</v>
      </c>
      <c r="N4" s="4" t="s">
        <v>62</v>
      </c>
      <c r="O4" s="4" t="s">
        <v>62</v>
      </c>
      <c r="P4" s="4" t="s">
        <v>62</v>
      </c>
      <c r="Q4" s="4" t="s">
        <v>62</v>
      </c>
      <c r="R4" s="4" t="s">
        <v>62</v>
      </c>
      <c r="S4" s="4" t="s">
        <v>62</v>
      </c>
      <c r="T4" s="4" t="s">
        <v>62</v>
      </c>
      <c r="U4" s="4" t="s">
        <v>62</v>
      </c>
      <c r="V4" s="4" t="s">
        <v>62</v>
      </c>
      <c r="W4" s="4" t="s">
        <v>62</v>
      </c>
      <c r="X4" s="4" t="s">
        <v>62</v>
      </c>
      <c r="Y4" s="4" t="s">
        <v>62</v>
      </c>
      <c r="Z4" s="4" t="s">
        <v>62</v>
      </c>
      <c r="AA4" s="4" t="s">
        <v>62</v>
      </c>
      <c r="AB4" s="4" t="s">
        <v>62</v>
      </c>
      <c r="AC4" s="4" t="s">
        <v>62</v>
      </c>
      <c r="AD4" s="4" t="s">
        <v>62</v>
      </c>
      <c r="AE4" s="4" t="s">
        <v>62</v>
      </c>
      <c r="AF4" s="4" t="s">
        <v>62</v>
      </c>
      <c r="AG4" s="4" t="s">
        <v>62</v>
      </c>
      <c r="AH4" s="4" t="s">
        <v>62</v>
      </c>
      <c r="AI4" s="4" t="s">
        <v>62</v>
      </c>
      <c r="AJ4" s="4" t="s">
        <v>62</v>
      </c>
      <c r="AK4" s="4" t="s">
        <v>62</v>
      </c>
      <c r="AL4" s="4" t="s">
        <v>62</v>
      </c>
      <c r="AM4" s="4" t="s">
        <v>62</v>
      </c>
      <c r="AN4" s="4" t="s">
        <v>62</v>
      </c>
      <c r="AO4" s="4" t="s">
        <v>62</v>
      </c>
      <c r="AP4" s="4" t="s">
        <v>62</v>
      </c>
      <c r="AQ4" s="4" t="s">
        <v>62</v>
      </c>
      <c r="AR4" s="4" t="s">
        <v>62</v>
      </c>
      <c r="AS4" s="4" t="s">
        <v>62</v>
      </c>
      <c r="AT4" s="4" t="s">
        <v>62</v>
      </c>
      <c r="AU4" s="4" t="s">
        <v>62</v>
      </c>
      <c r="AV4" s="4" t="s">
        <v>62</v>
      </c>
      <c r="AW4" s="4" t="s">
        <v>62</v>
      </c>
      <c r="AX4" s="4" t="s">
        <v>62</v>
      </c>
      <c r="AY4" s="4" t="s">
        <v>62</v>
      </c>
      <c r="AZ4" s="4" t="s">
        <v>62</v>
      </c>
      <c r="BA4" s="4" t="s">
        <v>62</v>
      </c>
      <c r="BB4" s="4" t="s">
        <v>62</v>
      </c>
      <c r="BC4" s="4" t="s">
        <v>62</v>
      </c>
      <c r="BD4" s="4" t="s">
        <v>62</v>
      </c>
      <c r="BE4" s="4" t="s">
        <v>62</v>
      </c>
    </row>
    <row r="5" spans="1:57" x14ac:dyDescent="0.25">
      <c r="A5" s="2" t="s">
        <v>63</v>
      </c>
      <c r="B5" s="4">
        <v>0.01</v>
      </c>
      <c r="C5" s="4">
        <v>0.01</v>
      </c>
      <c r="D5" s="4">
        <v>0.01</v>
      </c>
      <c r="E5" s="4">
        <v>5.0000000000000001E-3</v>
      </c>
      <c r="F5" s="4">
        <v>0.01</v>
      </c>
      <c r="G5" s="4">
        <v>0.01</v>
      </c>
      <c r="H5" s="4">
        <v>0.01</v>
      </c>
      <c r="I5" s="4">
        <v>0.01</v>
      </c>
      <c r="J5" s="4">
        <v>1E-3</v>
      </c>
      <c r="K5" s="4">
        <v>0.01</v>
      </c>
      <c r="L5" s="4">
        <v>0.01</v>
      </c>
      <c r="M5" s="4">
        <v>1</v>
      </c>
      <c r="N5" s="4">
        <v>1</v>
      </c>
      <c r="O5" s="4">
        <v>5</v>
      </c>
      <c r="P5" s="4">
        <v>20</v>
      </c>
      <c r="Q5" s="4">
        <v>1</v>
      </c>
      <c r="R5" s="4">
        <v>20</v>
      </c>
      <c r="S5" s="4">
        <v>10</v>
      </c>
      <c r="T5" s="4">
        <v>30</v>
      </c>
      <c r="U5" s="4">
        <v>1</v>
      </c>
      <c r="V5" s="4">
        <v>0.5</v>
      </c>
      <c r="W5" s="4">
        <v>5</v>
      </c>
      <c r="X5" s="4">
        <v>1</v>
      </c>
      <c r="Y5" s="4">
        <v>2</v>
      </c>
      <c r="Z5" s="4">
        <v>0.5</v>
      </c>
      <c r="AA5" s="4">
        <v>1</v>
      </c>
      <c r="AB5" s="4">
        <v>0.2</v>
      </c>
      <c r="AC5" s="4">
        <v>2</v>
      </c>
      <c r="AD5" s="4">
        <v>0.5</v>
      </c>
      <c r="AE5" s="4">
        <v>0.1</v>
      </c>
      <c r="AF5" s="4">
        <v>1</v>
      </c>
      <c r="AG5" s="4">
        <v>0.2</v>
      </c>
      <c r="AH5" s="4">
        <v>0.1</v>
      </c>
      <c r="AI5" s="4">
        <v>2</v>
      </c>
      <c r="AJ5" s="4">
        <v>0.05</v>
      </c>
      <c r="AK5" s="4">
        <v>0.05</v>
      </c>
      <c r="AL5" s="4">
        <v>0.01</v>
      </c>
      <c r="AM5" s="4">
        <v>0.05</v>
      </c>
      <c r="AN5" s="4">
        <v>0.01</v>
      </c>
      <c r="AO5" s="4">
        <v>5.0000000000000001E-3</v>
      </c>
      <c r="AP5" s="4">
        <v>0.01</v>
      </c>
      <c r="AQ5" s="4">
        <v>0.01</v>
      </c>
      <c r="AR5" s="4">
        <v>0.01</v>
      </c>
      <c r="AS5" s="4">
        <v>0.01</v>
      </c>
      <c r="AT5" s="4">
        <v>0.01</v>
      </c>
      <c r="AU5" s="4">
        <v>5.0000000000000001E-3</v>
      </c>
      <c r="AV5" s="4">
        <v>0.01</v>
      </c>
      <c r="AW5" s="4">
        <v>2E-3</v>
      </c>
      <c r="AX5" s="4">
        <v>0.1</v>
      </c>
      <c r="AY5" s="4">
        <v>0.01</v>
      </c>
      <c r="AZ5" s="4">
        <v>0.5</v>
      </c>
      <c r="BA5" s="4">
        <v>0.05</v>
      </c>
      <c r="BB5" s="4">
        <v>5</v>
      </c>
      <c r="BC5" s="4">
        <v>0.1</v>
      </c>
      <c r="BD5" s="4">
        <v>0.05</v>
      </c>
      <c r="BE5" s="4">
        <v>0.01</v>
      </c>
    </row>
    <row r="6" spans="1:57" x14ac:dyDescent="0.25">
      <c r="A6" s="5" t="s">
        <v>64</v>
      </c>
      <c r="B6" s="6" t="s">
        <v>65</v>
      </c>
      <c r="C6" s="6" t="s">
        <v>65</v>
      </c>
      <c r="D6" s="6" t="s">
        <v>65</v>
      </c>
      <c r="E6" s="6" t="s">
        <v>65</v>
      </c>
      <c r="F6" s="6" t="s">
        <v>65</v>
      </c>
      <c r="G6" s="6" t="s">
        <v>65</v>
      </c>
      <c r="H6" s="6" t="s">
        <v>65</v>
      </c>
      <c r="I6" s="6" t="s">
        <v>65</v>
      </c>
      <c r="J6" s="6" t="s">
        <v>65</v>
      </c>
      <c r="K6" s="6" t="s">
        <v>65</v>
      </c>
      <c r="L6" s="6" t="s">
        <v>65</v>
      </c>
      <c r="M6" s="6" t="s">
        <v>65</v>
      </c>
      <c r="N6" s="6" t="s">
        <v>65</v>
      </c>
      <c r="O6" s="6" t="s">
        <v>65</v>
      </c>
      <c r="P6" s="6" t="s">
        <v>67</v>
      </c>
      <c r="Q6" s="6" t="s">
        <v>67</v>
      </c>
      <c r="R6" s="6" t="s">
        <v>67</v>
      </c>
      <c r="S6" s="6" t="s">
        <v>67</v>
      </c>
      <c r="T6" s="6" t="s">
        <v>67</v>
      </c>
      <c r="U6" s="6" t="s">
        <v>67</v>
      </c>
      <c r="V6" s="6" t="s">
        <v>67</v>
      </c>
      <c r="W6" s="6" t="s">
        <v>67</v>
      </c>
      <c r="X6" s="6" t="s">
        <v>67</v>
      </c>
      <c r="Y6" s="6" t="s">
        <v>65</v>
      </c>
      <c r="Z6" s="6" t="s">
        <v>67</v>
      </c>
      <c r="AA6" s="6" t="s">
        <v>65</v>
      </c>
      <c r="AB6" s="6" t="s">
        <v>67</v>
      </c>
      <c r="AC6" s="6" t="s">
        <v>67</v>
      </c>
      <c r="AD6" s="6" t="s">
        <v>67</v>
      </c>
      <c r="AE6" s="6" t="s">
        <v>67</v>
      </c>
      <c r="AF6" s="6" t="s">
        <v>67</v>
      </c>
      <c r="AG6" s="6" t="s">
        <v>67</v>
      </c>
      <c r="AH6" s="6" t="s">
        <v>67</v>
      </c>
      <c r="AI6" s="6" t="s">
        <v>65</v>
      </c>
      <c r="AJ6" s="6" t="s">
        <v>67</v>
      </c>
      <c r="AK6" s="6" t="s">
        <v>67</v>
      </c>
      <c r="AL6" s="6" t="s">
        <v>67</v>
      </c>
      <c r="AM6" s="6" t="s">
        <v>67</v>
      </c>
      <c r="AN6" s="6" t="s">
        <v>67</v>
      </c>
      <c r="AO6" s="6" t="s">
        <v>67</v>
      </c>
      <c r="AP6" s="6" t="s">
        <v>67</v>
      </c>
      <c r="AQ6" s="6" t="s">
        <v>67</v>
      </c>
      <c r="AR6" s="6" t="s">
        <v>67</v>
      </c>
      <c r="AS6" s="6" t="s">
        <v>67</v>
      </c>
      <c r="AT6" s="6" t="s">
        <v>67</v>
      </c>
      <c r="AU6" s="6" t="s">
        <v>67</v>
      </c>
      <c r="AV6" s="6" t="s">
        <v>67</v>
      </c>
      <c r="AW6" s="6" t="s">
        <v>67</v>
      </c>
      <c r="AX6" s="6" t="s">
        <v>67</v>
      </c>
      <c r="AY6" s="6" t="s">
        <v>67</v>
      </c>
      <c r="AZ6" s="6" t="s">
        <v>67</v>
      </c>
      <c r="BA6" s="6" t="s">
        <v>67</v>
      </c>
      <c r="BB6" s="6" t="s">
        <v>67</v>
      </c>
      <c r="BC6" s="6" t="s">
        <v>67</v>
      </c>
      <c r="BD6" s="6" t="s">
        <v>67</v>
      </c>
      <c r="BE6" s="6" t="s">
        <v>67</v>
      </c>
    </row>
    <row r="7" spans="1:57" x14ac:dyDescent="0.25">
      <c r="A7" s="2" t="s">
        <v>89</v>
      </c>
      <c r="B7" s="4">
        <v>11.35</v>
      </c>
      <c r="C7" s="4">
        <v>1.86</v>
      </c>
      <c r="D7" s="4">
        <v>0.75</v>
      </c>
      <c r="E7" s="4">
        <v>1.0999999999999999E-2</v>
      </c>
      <c r="F7" s="4">
        <v>0.34</v>
      </c>
      <c r="G7" s="4">
        <v>42.38</v>
      </c>
      <c r="H7" s="4">
        <v>0.87</v>
      </c>
      <c r="I7" s="4">
        <v>0.54</v>
      </c>
      <c r="J7" s="4">
        <v>0.11899999999999999</v>
      </c>
      <c r="K7" s="4">
        <v>29.59</v>
      </c>
      <c r="L7" s="4"/>
      <c r="M7" s="4"/>
      <c r="N7" s="4"/>
      <c r="O7" s="4">
        <v>1593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25">
      <c r="A8" s="2" t="s">
        <v>90</v>
      </c>
      <c r="B8" s="4">
        <v>11.2</v>
      </c>
      <c r="C8" s="4">
        <v>1.8</v>
      </c>
      <c r="D8" s="4">
        <v>0.79</v>
      </c>
      <c r="E8" s="4">
        <v>1.1599999999999999E-2</v>
      </c>
      <c r="F8" s="4">
        <v>0.33</v>
      </c>
      <c r="G8" s="4">
        <v>43.6</v>
      </c>
      <c r="H8" s="4">
        <v>0.86</v>
      </c>
      <c r="I8" s="4">
        <v>0.51</v>
      </c>
      <c r="J8" s="4">
        <v>0.11</v>
      </c>
      <c r="K8" s="4">
        <v>30.2</v>
      </c>
      <c r="L8" s="4"/>
      <c r="M8" s="4"/>
      <c r="N8" s="4"/>
      <c r="O8" s="4">
        <v>1740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7" x14ac:dyDescent="0.25">
      <c r="A9" s="2" t="s">
        <v>91</v>
      </c>
      <c r="B9" s="4">
        <v>73.540000000000006</v>
      </c>
      <c r="C9" s="4">
        <v>13.12</v>
      </c>
      <c r="D9" s="4">
        <v>3.33</v>
      </c>
      <c r="E9" s="4">
        <v>0.14399999999999999</v>
      </c>
      <c r="F9" s="4">
        <v>0.14000000000000001</v>
      </c>
      <c r="G9" s="4">
        <v>0.6</v>
      </c>
      <c r="H9" s="4">
        <v>2.5</v>
      </c>
      <c r="I9" s="4">
        <v>5.47</v>
      </c>
      <c r="J9" s="4">
        <v>0.29199999999999998</v>
      </c>
      <c r="K9" s="4">
        <v>0.04</v>
      </c>
      <c r="L9" s="4"/>
      <c r="M9" s="4">
        <v>5</v>
      </c>
      <c r="N9" s="4">
        <v>4</v>
      </c>
      <c r="O9" s="4" t="s">
        <v>70</v>
      </c>
      <c r="P9" s="4"/>
      <c r="Q9" s="4"/>
      <c r="R9" s="4"/>
      <c r="S9" s="4"/>
      <c r="T9" s="4"/>
      <c r="U9" s="4"/>
      <c r="V9" s="4"/>
      <c r="W9" s="4"/>
      <c r="X9" s="4"/>
      <c r="Y9" s="4">
        <v>41</v>
      </c>
      <c r="Z9" s="4"/>
      <c r="AA9" s="4">
        <v>418</v>
      </c>
      <c r="AB9" s="4"/>
      <c r="AC9" s="4"/>
      <c r="AD9" s="4"/>
      <c r="AE9" s="4"/>
      <c r="AF9" s="4"/>
      <c r="AG9" s="4"/>
      <c r="AH9" s="4"/>
      <c r="AI9" s="4">
        <v>489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25">
      <c r="A10" s="2" t="s">
        <v>92</v>
      </c>
      <c r="B10" s="4">
        <v>72.8</v>
      </c>
      <c r="C10" s="4">
        <v>13</v>
      </c>
      <c r="D10" s="4">
        <v>3.21</v>
      </c>
      <c r="E10" s="4">
        <v>0.14000000000000001</v>
      </c>
      <c r="F10" s="4">
        <v>0.16</v>
      </c>
      <c r="G10" s="4">
        <v>0.59</v>
      </c>
      <c r="H10" s="4">
        <v>2.57</v>
      </c>
      <c r="I10" s="4">
        <v>5.43</v>
      </c>
      <c r="J10" s="4">
        <v>0.3</v>
      </c>
      <c r="K10" s="4">
        <v>0.05</v>
      </c>
      <c r="L10" s="4"/>
      <c r="M10" s="4">
        <v>5</v>
      </c>
      <c r="N10" s="4">
        <v>4</v>
      </c>
      <c r="O10" s="4">
        <v>5</v>
      </c>
      <c r="P10" s="4"/>
      <c r="Q10" s="4"/>
      <c r="R10" s="4"/>
      <c r="S10" s="4"/>
      <c r="T10" s="4"/>
      <c r="U10" s="4"/>
      <c r="V10" s="4"/>
      <c r="W10" s="4"/>
      <c r="X10" s="4"/>
      <c r="Y10" s="4">
        <v>43</v>
      </c>
      <c r="Z10" s="4"/>
      <c r="AA10" s="4">
        <v>403</v>
      </c>
      <c r="AB10" s="4"/>
      <c r="AC10" s="4"/>
      <c r="AD10" s="4"/>
      <c r="AE10" s="4"/>
      <c r="AF10" s="4"/>
      <c r="AG10" s="4"/>
      <c r="AH10" s="4"/>
      <c r="AI10" s="4">
        <v>506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7" x14ac:dyDescent="0.25">
      <c r="A11" s="2" t="s">
        <v>93</v>
      </c>
      <c r="B11" s="4">
        <v>3.87</v>
      </c>
      <c r="C11" s="4">
        <v>52.32</v>
      </c>
      <c r="D11" s="4">
        <v>8.58</v>
      </c>
      <c r="E11" s="4" t="s">
        <v>94</v>
      </c>
      <c r="F11" s="4">
        <v>0.02</v>
      </c>
      <c r="G11" s="4">
        <v>0.04</v>
      </c>
      <c r="H11" s="4"/>
      <c r="I11" s="4" t="s">
        <v>95</v>
      </c>
      <c r="J11" s="4">
        <v>2.5910000000000002</v>
      </c>
      <c r="K11" s="4">
        <v>0.06</v>
      </c>
      <c r="L11" s="4"/>
      <c r="M11" s="4"/>
      <c r="N11" s="4"/>
      <c r="O11" s="4">
        <v>389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>
        <v>1011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25">
      <c r="A12" s="2" t="s">
        <v>96</v>
      </c>
      <c r="B12" s="4">
        <v>3.79</v>
      </c>
      <c r="C12" s="4">
        <v>54.5</v>
      </c>
      <c r="D12" s="4">
        <v>8.6999999999999993</v>
      </c>
      <c r="E12" s="4">
        <v>4.0000000000000001E-3</v>
      </c>
      <c r="F12" s="4">
        <v>1.2E-2</v>
      </c>
      <c r="G12" s="4">
        <v>1.7999999999999999E-2</v>
      </c>
      <c r="H12" s="4"/>
      <c r="I12" s="4">
        <v>8.9999999999999993E-3</v>
      </c>
      <c r="J12" s="4">
        <v>2.64</v>
      </c>
      <c r="K12" s="4">
        <v>0.05</v>
      </c>
      <c r="L12" s="4"/>
      <c r="M12" s="4"/>
      <c r="N12" s="4"/>
      <c r="O12" s="4">
        <v>403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>
        <v>1037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25">
      <c r="A13" s="2" t="s">
        <v>97</v>
      </c>
      <c r="B13" s="4">
        <v>49.74</v>
      </c>
      <c r="C13" s="4">
        <v>20.32</v>
      </c>
      <c r="D13" s="4">
        <v>6.1</v>
      </c>
      <c r="E13" s="4">
        <v>0.108</v>
      </c>
      <c r="F13" s="4">
        <v>0.5</v>
      </c>
      <c r="G13" s="4">
        <v>8.07</v>
      </c>
      <c r="H13" s="4">
        <v>6.88</v>
      </c>
      <c r="I13" s="4">
        <v>1.65</v>
      </c>
      <c r="J13" s="4">
        <v>0.28599999999999998</v>
      </c>
      <c r="K13" s="4">
        <v>0.14000000000000001</v>
      </c>
      <c r="L13" s="4"/>
      <c r="M13" s="4">
        <v>1</v>
      </c>
      <c r="N13" s="4">
        <v>3</v>
      </c>
      <c r="O13" s="4">
        <v>7</v>
      </c>
      <c r="P13" s="4"/>
      <c r="Q13" s="4"/>
      <c r="R13" s="4"/>
      <c r="S13" s="4"/>
      <c r="T13" s="4"/>
      <c r="U13" s="4"/>
      <c r="V13" s="4"/>
      <c r="W13" s="4"/>
      <c r="X13" s="4"/>
      <c r="Y13" s="4">
        <v>1178</v>
      </c>
      <c r="Z13" s="4"/>
      <c r="AA13" s="4">
        <v>547</v>
      </c>
      <c r="AB13" s="4"/>
      <c r="AC13" s="4"/>
      <c r="AD13" s="4"/>
      <c r="AE13" s="4"/>
      <c r="AF13" s="4"/>
      <c r="AG13" s="4"/>
      <c r="AH13" s="4"/>
      <c r="AI13" s="4">
        <v>332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7" x14ac:dyDescent="0.25">
      <c r="A14" s="2" t="s">
        <v>98</v>
      </c>
      <c r="B14" s="4">
        <v>49.9</v>
      </c>
      <c r="C14" s="4">
        <v>20.69</v>
      </c>
      <c r="D14" s="4">
        <v>6.21</v>
      </c>
      <c r="E14" s="4">
        <v>0.108</v>
      </c>
      <c r="F14" s="4">
        <v>0.54</v>
      </c>
      <c r="G14" s="4">
        <v>8.0500000000000007</v>
      </c>
      <c r="H14" s="4">
        <v>7.1</v>
      </c>
      <c r="I14" s="4">
        <v>1.66</v>
      </c>
      <c r="J14" s="4">
        <v>0.28699999999999998</v>
      </c>
      <c r="K14" s="4">
        <v>0.13100000000000001</v>
      </c>
      <c r="L14" s="4"/>
      <c r="M14" s="4">
        <v>1.1000000000000001</v>
      </c>
      <c r="N14" s="4">
        <v>2.6</v>
      </c>
      <c r="O14" s="4">
        <v>8</v>
      </c>
      <c r="P14" s="4"/>
      <c r="Q14" s="4"/>
      <c r="R14" s="4"/>
      <c r="S14" s="4"/>
      <c r="T14" s="4"/>
      <c r="U14" s="4"/>
      <c r="V14" s="4"/>
      <c r="W14" s="4"/>
      <c r="X14" s="4"/>
      <c r="Y14" s="4">
        <v>1191</v>
      </c>
      <c r="Z14" s="4"/>
      <c r="AA14" s="4">
        <v>517</v>
      </c>
      <c r="AB14" s="4"/>
      <c r="AC14" s="4"/>
      <c r="AD14" s="4"/>
      <c r="AE14" s="4"/>
      <c r="AF14" s="4"/>
      <c r="AG14" s="4"/>
      <c r="AH14" s="4"/>
      <c r="AI14" s="4">
        <v>340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x14ac:dyDescent="0.25">
      <c r="A15" s="2" t="s">
        <v>99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44</v>
      </c>
      <c r="R15" s="4" t="s">
        <v>69</v>
      </c>
      <c r="S15" s="4">
        <v>390</v>
      </c>
      <c r="T15" s="4"/>
      <c r="U15" s="4"/>
      <c r="V15" s="4"/>
      <c r="W15" s="4"/>
      <c r="X15" s="4"/>
      <c r="Y15" s="4"/>
      <c r="Z15" s="4">
        <v>164</v>
      </c>
      <c r="AA15" s="4"/>
      <c r="AB15" s="4"/>
      <c r="AC15" s="4">
        <v>19</v>
      </c>
      <c r="AD15" s="4"/>
      <c r="AE15" s="4"/>
      <c r="AF15" s="4"/>
      <c r="AG15" s="4"/>
      <c r="AH15" s="4"/>
      <c r="AI15" s="4"/>
      <c r="AJ15" s="4">
        <v>767</v>
      </c>
      <c r="AK15" s="4">
        <v>1300</v>
      </c>
      <c r="AL15" s="4">
        <v>123</v>
      </c>
      <c r="AM15" s="4">
        <v>381</v>
      </c>
      <c r="AN15" s="4">
        <v>48</v>
      </c>
      <c r="AO15" s="4">
        <v>7.72</v>
      </c>
      <c r="AP15" s="4"/>
      <c r="AQ15" s="4">
        <v>5.15</v>
      </c>
      <c r="AR15" s="4">
        <v>31.4</v>
      </c>
      <c r="AS15" s="4">
        <v>6.33</v>
      </c>
      <c r="AT15" s="4">
        <v>18.5</v>
      </c>
      <c r="AU15" s="4">
        <v>2.69</v>
      </c>
      <c r="AV15" s="4">
        <v>17.3</v>
      </c>
      <c r="AW15" s="4">
        <v>2.5099999999999998</v>
      </c>
      <c r="AX15" s="4"/>
      <c r="AY15" s="4"/>
      <c r="AZ15" s="4"/>
      <c r="BA15" s="4"/>
      <c r="BB15" s="4" t="s">
        <v>70</v>
      </c>
      <c r="BC15" s="4"/>
      <c r="BD15" s="4">
        <v>35</v>
      </c>
      <c r="BE15" s="4">
        <v>377</v>
      </c>
    </row>
    <row r="16" spans="1:57" x14ac:dyDescent="0.25">
      <c r="A16" s="2" t="s">
        <v>100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47</v>
      </c>
      <c r="R16" s="4">
        <v>9</v>
      </c>
      <c r="S16" s="4">
        <v>420</v>
      </c>
      <c r="T16" s="4"/>
      <c r="U16" s="4"/>
      <c r="V16" s="4"/>
      <c r="W16" s="4"/>
      <c r="X16" s="4"/>
      <c r="Y16" s="4"/>
      <c r="Z16" s="4">
        <v>178</v>
      </c>
      <c r="AA16" s="4"/>
      <c r="AB16" s="4"/>
      <c r="AC16" s="4">
        <v>21</v>
      </c>
      <c r="AD16" s="4"/>
      <c r="AE16" s="4"/>
      <c r="AF16" s="4"/>
      <c r="AG16" s="4"/>
      <c r="AH16" s="4"/>
      <c r="AI16" s="4"/>
      <c r="AJ16" s="4">
        <v>789</v>
      </c>
      <c r="AK16" s="4">
        <v>1331</v>
      </c>
      <c r="AL16" s="4">
        <v>127</v>
      </c>
      <c r="AM16" s="4">
        <v>378</v>
      </c>
      <c r="AN16" s="4">
        <v>48</v>
      </c>
      <c r="AO16" s="4">
        <v>7.77</v>
      </c>
      <c r="AP16" s="4"/>
      <c r="AQ16" s="4">
        <v>5.37</v>
      </c>
      <c r="AR16" s="4">
        <v>32.1</v>
      </c>
      <c r="AS16" s="4">
        <v>6.34</v>
      </c>
      <c r="AT16" s="4">
        <v>18.7</v>
      </c>
      <c r="AU16" s="4">
        <v>2.66</v>
      </c>
      <c r="AV16" s="4">
        <v>17.600000000000001</v>
      </c>
      <c r="AW16" s="4">
        <v>2.58</v>
      </c>
      <c r="AX16" s="4"/>
      <c r="AY16" s="4"/>
      <c r="AZ16" s="4"/>
      <c r="BA16" s="4"/>
      <c r="BB16" s="4">
        <v>20</v>
      </c>
      <c r="BC16" s="4"/>
      <c r="BD16" s="4">
        <v>37.1</v>
      </c>
      <c r="BE16" s="4">
        <v>396</v>
      </c>
    </row>
    <row r="17" spans="1:57" x14ac:dyDescent="0.25">
      <c r="A17" s="2" t="s">
        <v>101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v>381</v>
      </c>
      <c r="Y17" s="4"/>
      <c r="Z17" s="4" t="s">
        <v>102</v>
      </c>
      <c r="AA17" s="4"/>
      <c r="AB17" s="4"/>
      <c r="AC17" s="4"/>
      <c r="AD17" s="4"/>
      <c r="AE17" s="4"/>
      <c r="AF17" s="4"/>
      <c r="AG17" s="4"/>
      <c r="AH17" s="4">
        <v>11.3</v>
      </c>
      <c r="AI17" s="4"/>
      <c r="AJ17" s="4">
        <v>1950</v>
      </c>
      <c r="AK17" s="4">
        <v>425</v>
      </c>
      <c r="AL17" s="4">
        <v>746</v>
      </c>
      <c r="AM17" s="4" t="s">
        <v>103</v>
      </c>
      <c r="AN17" s="4" t="s">
        <v>104</v>
      </c>
      <c r="AO17" s="4">
        <v>19.2</v>
      </c>
      <c r="AP17" s="4" t="s">
        <v>104</v>
      </c>
      <c r="AQ17" s="4">
        <v>493</v>
      </c>
      <c r="AR17" s="4" t="s">
        <v>104</v>
      </c>
      <c r="AS17" s="4">
        <v>609</v>
      </c>
      <c r="AT17" s="4" t="s">
        <v>104</v>
      </c>
      <c r="AU17" s="4">
        <v>269</v>
      </c>
      <c r="AV17" s="4" t="s">
        <v>104</v>
      </c>
      <c r="AW17" s="4">
        <v>245</v>
      </c>
      <c r="AX17" s="4"/>
      <c r="AY17" s="4"/>
      <c r="AZ17" s="4"/>
      <c r="BA17" s="4"/>
      <c r="BB17" s="4"/>
      <c r="BC17" s="4"/>
      <c r="BD17" s="4">
        <v>67.599999999999994</v>
      </c>
      <c r="BE17" s="4"/>
    </row>
    <row r="18" spans="1:57" x14ac:dyDescent="0.25">
      <c r="A18" s="2" t="s">
        <v>105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v>369.42</v>
      </c>
      <c r="Y18" s="4"/>
      <c r="Z18" s="4">
        <v>17008</v>
      </c>
      <c r="AA18" s="4"/>
      <c r="AB18" s="4"/>
      <c r="AC18" s="4"/>
      <c r="AD18" s="4"/>
      <c r="AE18" s="4"/>
      <c r="AF18" s="4"/>
      <c r="AG18" s="4"/>
      <c r="AH18" s="4">
        <v>11.88</v>
      </c>
      <c r="AI18" s="4"/>
      <c r="AJ18" s="4">
        <v>1960</v>
      </c>
      <c r="AK18" s="4">
        <v>432</v>
      </c>
      <c r="AL18" s="4">
        <v>737</v>
      </c>
      <c r="AM18" s="4">
        <v>3429</v>
      </c>
      <c r="AN18" s="4">
        <v>1725</v>
      </c>
      <c r="AO18" s="4">
        <v>18.91</v>
      </c>
      <c r="AP18" s="4">
        <v>2168</v>
      </c>
      <c r="AQ18" s="4">
        <v>468</v>
      </c>
      <c r="AR18" s="4">
        <v>3224</v>
      </c>
      <c r="AS18" s="4">
        <v>560</v>
      </c>
      <c r="AT18" s="4">
        <v>1750</v>
      </c>
      <c r="AU18" s="4">
        <v>271</v>
      </c>
      <c r="AV18" s="4">
        <v>1844</v>
      </c>
      <c r="AW18" s="4">
        <v>264</v>
      </c>
      <c r="AX18" s="4"/>
      <c r="AY18" s="4"/>
      <c r="AZ18" s="4"/>
      <c r="BA18" s="4"/>
      <c r="BB18" s="4"/>
      <c r="BC18" s="4"/>
      <c r="BD18" s="4">
        <v>67</v>
      </c>
      <c r="BE18" s="4"/>
    </row>
    <row r="19" spans="1:57" x14ac:dyDescent="0.25">
      <c r="A19" s="2" t="s">
        <v>106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32</v>
      </c>
      <c r="R19" s="4">
        <v>70</v>
      </c>
      <c r="S19" s="4"/>
      <c r="T19" s="4">
        <v>600</v>
      </c>
      <c r="U19" s="4"/>
      <c r="V19" s="4"/>
      <c r="W19" s="4"/>
      <c r="X19" s="4"/>
      <c r="Y19" s="4"/>
      <c r="Z19" s="4">
        <v>956</v>
      </c>
      <c r="AA19" s="4"/>
      <c r="AB19" s="4"/>
      <c r="AC19" s="4"/>
      <c r="AD19" s="4"/>
      <c r="AE19" s="4"/>
      <c r="AF19" s="4"/>
      <c r="AG19" s="4"/>
      <c r="AH19" s="4"/>
      <c r="AI19" s="4"/>
      <c r="AJ19" s="4" t="s">
        <v>103</v>
      </c>
      <c r="AK19" s="4" t="s">
        <v>107</v>
      </c>
      <c r="AL19" s="4" t="s">
        <v>104</v>
      </c>
      <c r="AM19" s="4"/>
      <c r="AN19" s="4">
        <v>845</v>
      </c>
      <c r="AO19" s="4">
        <v>199</v>
      </c>
      <c r="AP19" s="4"/>
      <c r="AQ19" s="4"/>
      <c r="AR19" s="4"/>
      <c r="AS19" s="4"/>
      <c r="AT19" s="4"/>
      <c r="AU19" s="4"/>
      <c r="AV19" s="4">
        <v>52.5</v>
      </c>
      <c r="AW19" s="4"/>
      <c r="AX19" s="4"/>
      <c r="AY19" s="4"/>
      <c r="AZ19" s="4"/>
      <c r="BA19" s="4"/>
      <c r="BB19" s="4">
        <v>1110</v>
      </c>
      <c r="BC19" s="4"/>
      <c r="BD19" s="4"/>
      <c r="BE19" s="4"/>
    </row>
    <row r="20" spans="1:57" x14ac:dyDescent="0.25">
      <c r="A20" s="2" t="s">
        <v>108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32.5</v>
      </c>
      <c r="R20" s="4">
        <v>70.8</v>
      </c>
      <c r="S20" s="4"/>
      <c r="T20" s="4">
        <v>600</v>
      </c>
      <c r="U20" s="4"/>
      <c r="V20" s="4"/>
      <c r="W20" s="4"/>
      <c r="X20" s="4"/>
      <c r="Y20" s="4"/>
      <c r="Z20" s="4">
        <v>959</v>
      </c>
      <c r="AA20" s="4"/>
      <c r="AB20" s="4"/>
      <c r="AC20" s="4"/>
      <c r="AD20" s="4"/>
      <c r="AE20" s="4"/>
      <c r="AF20" s="4"/>
      <c r="AG20" s="4"/>
      <c r="AH20" s="4"/>
      <c r="AI20" s="4"/>
      <c r="AJ20" s="4">
        <v>19300</v>
      </c>
      <c r="AK20" s="4">
        <v>29000</v>
      </c>
      <c r="AL20" s="4">
        <v>2800</v>
      </c>
      <c r="AM20" s="4"/>
      <c r="AN20" s="4">
        <v>900</v>
      </c>
      <c r="AO20" s="4">
        <v>211</v>
      </c>
      <c r="AP20" s="4"/>
      <c r="AQ20" s="4"/>
      <c r="AR20" s="4"/>
      <c r="AS20" s="4"/>
      <c r="AT20" s="4"/>
      <c r="AU20" s="4"/>
      <c r="AV20" s="4">
        <v>54.5</v>
      </c>
      <c r="AW20" s="4"/>
      <c r="AX20" s="4"/>
      <c r="AY20" s="4"/>
      <c r="AZ20" s="4"/>
      <c r="BA20" s="4"/>
      <c r="BB20" s="4">
        <v>1100</v>
      </c>
      <c r="BC20" s="4"/>
      <c r="BD20" s="4"/>
      <c r="BE20" s="4"/>
    </row>
    <row r="21" spans="1:57" x14ac:dyDescent="0.25">
      <c r="A21" s="2" t="s">
        <v>109</v>
      </c>
      <c r="B21" s="4">
        <v>47.27</v>
      </c>
      <c r="C21" s="4">
        <v>18.88</v>
      </c>
      <c r="D21" s="4">
        <v>9.9499999999999993</v>
      </c>
      <c r="E21" s="4">
        <v>0.14799999999999999</v>
      </c>
      <c r="F21" s="4">
        <v>10.07</v>
      </c>
      <c r="G21" s="4">
        <v>11.42</v>
      </c>
      <c r="H21" s="4">
        <v>1.93</v>
      </c>
      <c r="I21" s="4">
        <v>0.22</v>
      </c>
      <c r="J21" s="4">
        <v>0.495</v>
      </c>
      <c r="K21" s="4">
        <v>0.08</v>
      </c>
      <c r="L21" s="4"/>
      <c r="M21" s="4">
        <v>31</v>
      </c>
      <c r="N21" s="4"/>
      <c r="O21" s="4">
        <v>152</v>
      </c>
      <c r="P21" s="4"/>
      <c r="Q21" s="4"/>
      <c r="R21" s="4"/>
      <c r="S21" s="4"/>
      <c r="T21" s="4"/>
      <c r="U21" s="4"/>
      <c r="V21" s="4"/>
      <c r="W21" s="4"/>
      <c r="X21" s="4"/>
      <c r="Y21" s="4">
        <v>143</v>
      </c>
      <c r="Z21" s="4"/>
      <c r="AA21" s="4">
        <v>36</v>
      </c>
      <c r="AB21" s="4"/>
      <c r="AC21" s="4"/>
      <c r="AD21" s="4"/>
      <c r="AE21" s="4"/>
      <c r="AF21" s="4"/>
      <c r="AG21" s="4"/>
      <c r="AH21" s="4"/>
      <c r="AI21" s="4">
        <v>103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x14ac:dyDescent="0.25">
      <c r="A22" s="2" t="s">
        <v>110</v>
      </c>
      <c r="B22" s="4">
        <v>47.15</v>
      </c>
      <c r="C22" s="4">
        <v>18.34</v>
      </c>
      <c r="D22" s="4">
        <v>9.9700000000000006</v>
      </c>
      <c r="E22" s="4">
        <v>0.15</v>
      </c>
      <c r="F22" s="4">
        <v>10.130000000000001</v>
      </c>
      <c r="G22" s="4">
        <v>11.49</v>
      </c>
      <c r="H22" s="4">
        <v>1.89</v>
      </c>
      <c r="I22" s="4">
        <v>0.23400000000000001</v>
      </c>
      <c r="J22" s="4">
        <v>0.48</v>
      </c>
      <c r="K22" s="4">
        <v>7.0000000000000007E-2</v>
      </c>
      <c r="L22" s="4"/>
      <c r="M22" s="4">
        <v>31</v>
      </c>
      <c r="N22" s="4"/>
      <c r="O22" s="4">
        <v>148</v>
      </c>
      <c r="P22" s="4"/>
      <c r="Q22" s="4"/>
      <c r="R22" s="4"/>
      <c r="S22" s="4"/>
      <c r="T22" s="4"/>
      <c r="U22" s="4"/>
      <c r="V22" s="4"/>
      <c r="W22" s="4"/>
      <c r="X22" s="4"/>
      <c r="Y22" s="4">
        <v>144</v>
      </c>
      <c r="Z22" s="4"/>
      <c r="AA22" s="4">
        <v>38</v>
      </c>
      <c r="AB22" s="4"/>
      <c r="AC22" s="4"/>
      <c r="AD22" s="4"/>
      <c r="AE22" s="4"/>
      <c r="AF22" s="4"/>
      <c r="AG22" s="4"/>
      <c r="AH22" s="4"/>
      <c r="AI22" s="4">
        <v>118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x14ac:dyDescent="0.25">
      <c r="A23" s="2" t="s">
        <v>111</v>
      </c>
      <c r="B23" s="4">
        <v>49.98</v>
      </c>
      <c r="C23" s="4">
        <v>14.23</v>
      </c>
      <c r="D23" s="4">
        <v>12.29</v>
      </c>
      <c r="E23" s="4"/>
      <c r="F23" s="4">
        <v>7.27</v>
      </c>
      <c r="G23" s="4">
        <v>11.58</v>
      </c>
      <c r="H23" s="4">
        <v>2.2400000000000002</v>
      </c>
      <c r="I23" s="4">
        <v>0.51</v>
      </c>
      <c r="J23" s="4">
        <v>2.7749999999999999</v>
      </c>
      <c r="K23" s="4">
        <v>0.27</v>
      </c>
      <c r="L23" s="4"/>
      <c r="M23" s="4">
        <v>31</v>
      </c>
      <c r="N23" s="4"/>
      <c r="O23" s="4">
        <v>328</v>
      </c>
      <c r="P23" s="4"/>
      <c r="Q23" s="4"/>
      <c r="R23" s="4"/>
      <c r="S23" s="4"/>
      <c r="T23" s="4"/>
      <c r="U23" s="4"/>
      <c r="V23" s="4"/>
      <c r="W23" s="4"/>
      <c r="X23" s="4"/>
      <c r="Y23" s="4">
        <v>417</v>
      </c>
      <c r="Z23" s="4"/>
      <c r="AA23" s="4">
        <v>162</v>
      </c>
      <c r="AB23" s="4"/>
      <c r="AC23" s="4"/>
      <c r="AD23" s="4"/>
      <c r="AE23" s="4"/>
      <c r="AF23" s="4"/>
      <c r="AG23" s="4"/>
      <c r="AH23" s="4"/>
      <c r="AI23" s="4">
        <v>131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25">
      <c r="A24" s="2" t="s">
        <v>112</v>
      </c>
      <c r="B24" s="4">
        <v>49.9</v>
      </c>
      <c r="C24" s="4">
        <v>13.5</v>
      </c>
      <c r="D24" s="4">
        <v>12.3</v>
      </c>
      <c r="E24" s="4"/>
      <c r="F24" s="4">
        <v>7.23</v>
      </c>
      <c r="G24" s="4">
        <v>11.4</v>
      </c>
      <c r="H24" s="4">
        <v>2.2200000000000002</v>
      </c>
      <c r="I24" s="4">
        <v>0.52</v>
      </c>
      <c r="J24" s="4">
        <v>2.73</v>
      </c>
      <c r="K24" s="4">
        <v>0.27</v>
      </c>
      <c r="L24" s="4"/>
      <c r="M24" s="4">
        <v>32</v>
      </c>
      <c r="N24" s="4"/>
      <c r="O24" s="4">
        <v>317</v>
      </c>
      <c r="P24" s="4"/>
      <c r="Q24" s="4"/>
      <c r="R24" s="4"/>
      <c r="S24" s="4"/>
      <c r="T24" s="4"/>
      <c r="U24" s="4"/>
      <c r="V24" s="4"/>
      <c r="W24" s="4"/>
      <c r="X24" s="4"/>
      <c r="Y24" s="4">
        <v>389</v>
      </c>
      <c r="Z24" s="4"/>
      <c r="AA24" s="4">
        <v>172</v>
      </c>
      <c r="AB24" s="4"/>
      <c r="AC24" s="4"/>
      <c r="AD24" s="4"/>
      <c r="AE24" s="4"/>
      <c r="AF24" s="4"/>
      <c r="AG24" s="4"/>
      <c r="AH24" s="4"/>
      <c r="AI24" s="4">
        <v>130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x14ac:dyDescent="0.25">
      <c r="A25" s="2" t="s">
        <v>113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460</v>
      </c>
      <c r="U25" s="4"/>
      <c r="V25" s="4"/>
      <c r="W25" s="4">
        <v>221</v>
      </c>
      <c r="X25" s="4"/>
      <c r="Y25" s="4"/>
      <c r="Z25" s="4">
        <v>163</v>
      </c>
      <c r="AA25" s="4"/>
      <c r="AB25" s="4">
        <v>34</v>
      </c>
      <c r="AC25" s="4">
        <v>35</v>
      </c>
      <c r="AD25" s="4"/>
      <c r="AE25" s="4"/>
      <c r="AF25" s="4"/>
      <c r="AG25" s="4"/>
      <c r="AH25" s="4"/>
      <c r="AI25" s="4"/>
      <c r="AJ25" s="4" t="s">
        <v>103</v>
      </c>
      <c r="AK25" s="4" t="s">
        <v>107</v>
      </c>
      <c r="AL25" s="4" t="s">
        <v>104</v>
      </c>
      <c r="AM25" s="4" t="s">
        <v>103</v>
      </c>
      <c r="AN25" s="4">
        <v>529</v>
      </c>
      <c r="AO25" s="4">
        <v>88</v>
      </c>
      <c r="AP25" s="4"/>
      <c r="AQ25" s="4"/>
      <c r="AR25" s="4"/>
      <c r="AS25" s="4">
        <v>7.97</v>
      </c>
      <c r="AT25" s="4"/>
      <c r="AU25" s="4"/>
      <c r="AV25" s="4">
        <v>19.600000000000001</v>
      </c>
      <c r="AW25" s="4"/>
      <c r="AX25" s="4"/>
      <c r="AY25" s="4"/>
      <c r="AZ25" s="4"/>
      <c r="BA25" s="4"/>
      <c r="BB25" s="4">
        <v>1660</v>
      </c>
      <c r="BC25" s="4"/>
      <c r="BD25" s="4">
        <v>972</v>
      </c>
      <c r="BE25" s="4"/>
    </row>
    <row r="26" spans="1:57" x14ac:dyDescent="0.25">
      <c r="A26" s="2" t="s">
        <v>114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v>469</v>
      </c>
      <c r="U26" s="4"/>
      <c r="V26" s="4"/>
      <c r="W26" s="4">
        <v>224</v>
      </c>
      <c r="X26" s="4"/>
      <c r="Y26" s="4"/>
      <c r="Z26" s="4">
        <v>167</v>
      </c>
      <c r="AA26" s="4"/>
      <c r="AB26" s="4">
        <v>31</v>
      </c>
      <c r="AC26" s="4">
        <v>34.4</v>
      </c>
      <c r="AD26" s="4"/>
      <c r="AE26" s="4"/>
      <c r="AF26" s="4"/>
      <c r="AG26" s="4"/>
      <c r="AH26" s="4"/>
      <c r="AI26" s="4"/>
      <c r="AJ26" s="4">
        <v>21100</v>
      </c>
      <c r="AK26" s="4">
        <v>27600</v>
      </c>
      <c r="AL26" s="4">
        <v>2300</v>
      </c>
      <c r="AM26" s="4">
        <v>6500</v>
      </c>
      <c r="AN26" s="4">
        <v>539</v>
      </c>
      <c r="AO26" s="4">
        <v>87.22</v>
      </c>
      <c r="AP26" s="4"/>
      <c r="AQ26" s="4"/>
      <c r="AR26" s="4"/>
      <c r="AS26" s="4">
        <v>7.86</v>
      </c>
      <c r="AT26" s="4"/>
      <c r="AU26" s="4"/>
      <c r="AV26" s="4">
        <v>17.850000000000001</v>
      </c>
      <c r="AW26" s="4"/>
      <c r="AX26" s="4"/>
      <c r="AY26" s="4"/>
      <c r="AZ26" s="4"/>
      <c r="BA26" s="4"/>
      <c r="BB26" s="4">
        <v>1600</v>
      </c>
      <c r="BC26" s="4"/>
      <c r="BD26" s="4">
        <v>946</v>
      </c>
      <c r="BE26" s="4"/>
    </row>
    <row r="27" spans="1:57" x14ac:dyDescent="0.25">
      <c r="A27" s="2" t="s">
        <v>115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v>290</v>
      </c>
      <c r="Q27" s="4">
        <v>1</v>
      </c>
      <c r="R27" s="4">
        <v>30</v>
      </c>
      <c r="S27" s="4">
        <v>80</v>
      </c>
      <c r="T27" s="4"/>
      <c r="U27" s="4"/>
      <c r="V27" s="4"/>
      <c r="W27" s="4">
        <v>115</v>
      </c>
      <c r="X27" s="4" t="s">
        <v>104</v>
      </c>
      <c r="Y27" s="4"/>
      <c r="Z27" s="4">
        <v>5790</v>
      </c>
      <c r="AA27" s="4"/>
      <c r="AB27" s="4" t="s">
        <v>104</v>
      </c>
      <c r="AC27" s="4"/>
      <c r="AD27" s="4"/>
      <c r="AE27" s="4"/>
      <c r="AF27" s="4">
        <v>502</v>
      </c>
      <c r="AG27" s="4"/>
      <c r="AH27" s="4">
        <v>1.1000000000000001</v>
      </c>
      <c r="AI27" s="4"/>
      <c r="AJ27" s="4">
        <v>1720</v>
      </c>
      <c r="AK27" s="4" t="s">
        <v>107</v>
      </c>
      <c r="AL27" s="4">
        <v>460</v>
      </c>
      <c r="AM27" s="4">
        <v>1520</v>
      </c>
      <c r="AN27" s="4">
        <v>413</v>
      </c>
      <c r="AO27" s="4">
        <v>25.3</v>
      </c>
      <c r="AP27" s="4">
        <v>449</v>
      </c>
      <c r="AQ27" s="4">
        <v>115</v>
      </c>
      <c r="AR27" s="4">
        <v>932</v>
      </c>
      <c r="AS27" s="4">
        <v>218</v>
      </c>
      <c r="AT27" s="4">
        <v>746</v>
      </c>
      <c r="AU27" s="4">
        <v>112</v>
      </c>
      <c r="AV27" s="4">
        <v>723</v>
      </c>
      <c r="AW27" s="4"/>
      <c r="AX27" s="4">
        <v>477</v>
      </c>
      <c r="AY27" s="4"/>
      <c r="AZ27" s="4"/>
      <c r="BA27" s="4"/>
      <c r="BB27" s="4"/>
      <c r="BC27" s="4"/>
      <c r="BD27" s="4">
        <v>758</v>
      </c>
      <c r="BE27" s="4">
        <v>141</v>
      </c>
    </row>
    <row r="28" spans="1:57" x14ac:dyDescent="0.25">
      <c r="A28" s="2" t="s">
        <v>116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v>277</v>
      </c>
      <c r="Q28" s="4">
        <v>1.58</v>
      </c>
      <c r="R28" s="4">
        <v>24.7</v>
      </c>
      <c r="S28" s="4">
        <v>79.7</v>
      </c>
      <c r="T28" s="4"/>
      <c r="U28" s="4"/>
      <c r="V28" s="4"/>
      <c r="W28" s="4">
        <v>124</v>
      </c>
      <c r="X28" s="4">
        <v>1050</v>
      </c>
      <c r="Y28" s="4"/>
      <c r="Z28" s="4">
        <v>5480</v>
      </c>
      <c r="AA28" s="4"/>
      <c r="AB28" s="4">
        <v>4050</v>
      </c>
      <c r="AC28" s="4"/>
      <c r="AD28" s="4"/>
      <c r="AE28" s="4"/>
      <c r="AF28" s="4">
        <v>498</v>
      </c>
      <c r="AG28" s="4"/>
      <c r="AH28" s="4">
        <v>1.07</v>
      </c>
      <c r="AI28" s="4"/>
      <c r="AJ28" s="4">
        <v>1661</v>
      </c>
      <c r="AK28" s="4">
        <v>3960</v>
      </c>
      <c r="AL28" s="4">
        <v>435</v>
      </c>
      <c r="AM28" s="4">
        <v>1456</v>
      </c>
      <c r="AN28" s="4">
        <v>381</v>
      </c>
      <c r="AO28" s="4">
        <v>23.5</v>
      </c>
      <c r="AP28" s="4">
        <v>433</v>
      </c>
      <c r="AQ28" s="4">
        <v>106</v>
      </c>
      <c r="AR28" s="4">
        <v>847</v>
      </c>
      <c r="AS28" s="4">
        <v>208</v>
      </c>
      <c r="AT28" s="4">
        <v>701</v>
      </c>
      <c r="AU28" s="4">
        <v>106</v>
      </c>
      <c r="AV28" s="4">
        <v>678</v>
      </c>
      <c r="AW28" s="4"/>
      <c r="AX28" s="4">
        <v>479</v>
      </c>
      <c r="AY28" s="4"/>
      <c r="AZ28" s="4"/>
      <c r="BA28" s="4"/>
      <c r="BB28" s="4"/>
      <c r="BC28" s="4"/>
      <c r="BD28" s="4">
        <v>719</v>
      </c>
      <c r="BE28" s="4">
        <v>137</v>
      </c>
    </row>
    <row r="29" spans="1:57" x14ac:dyDescent="0.25">
      <c r="A29" s="2" t="s">
        <v>117</v>
      </c>
      <c r="B29" s="4">
        <v>52.86</v>
      </c>
      <c r="C29" s="4">
        <v>15.4</v>
      </c>
      <c r="D29" s="4">
        <v>10.97</v>
      </c>
      <c r="E29" s="4">
        <v>0.17</v>
      </c>
      <c r="F29" s="4">
        <v>6.23</v>
      </c>
      <c r="G29" s="4">
        <v>11.04</v>
      </c>
      <c r="H29" s="4">
        <v>2.2400000000000002</v>
      </c>
      <c r="I29" s="4">
        <v>0.62</v>
      </c>
      <c r="J29" s="4">
        <v>1.0920000000000001</v>
      </c>
      <c r="K29" s="4">
        <v>0.13</v>
      </c>
      <c r="L29" s="4"/>
      <c r="M29" s="4">
        <v>35</v>
      </c>
      <c r="N29" s="4" t="s">
        <v>118</v>
      </c>
      <c r="O29" s="4">
        <v>271</v>
      </c>
      <c r="P29" s="4">
        <v>90</v>
      </c>
      <c r="Q29" s="4">
        <v>44</v>
      </c>
      <c r="R29" s="4">
        <v>80</v>
      </c>
      <c r="S29" s="4">
        <v>110</v>
      </c>
      <c r="T29" s="4">
        <v>80</v>
      </c>
      <c r="U29" s="4">
        <v>18</v>
      </c>
      <c r="V29" s="4"/>
      <c r="W29" s="4" t="s">
        <v>70</v>
      </c>
      <c r="X29" s="4"/>
      <c r="Y29" s="4">
        <v>192</v>
      </c>
      <c r="Z29" s="4"/>
      <c r="AA29" s="4">
        <v>90</v>
      </c>
      <c r="AB29" s="4">
        <v>7.5</v>
      </c>
      <c r="AC29" s="4"/>
      <c r="AD29" s="4"/>
      <c r="AE29" s="4"/>
      <c r="AF29" s="4"/>
      <c r="AG29" s="4"/>
      <c r="AH29" s="4"/>
      <c r="AI29" s="4">
        <v>173</v>
      </c>
      <c r="AJ29" s="4">
        <v>11</v>
      </c>
      <c r="AK29" s="4">
        <v>23.5</v>
      </c>
      <c r="AL29" s="4"/>
      <c r="AM29" s="4">
        <v>13.5</v>
      </c>
      <c r="AN29" s="4">
        <v>3.4</v>
      </c>
      <c r="AO29" s="4">
        <v>1.1000000000000001</v>
      </c>
      <c r="AP29" s="4"/>
      <c r="AQ29" s="4">
        <v>0.64</v>
      </c>
      <c r="AR29" s="4">
        <v>4</v>
      </c>
      <c r="AS29" s="4">
        <v>0.8</v>
      </c>
      <c r="AT29" s="4"/>
      <c r="AU29" s="4"/>
      <c r="AV29" s="4">
        <v>2.1</v>
      </c>
      <c r="AW29" s="4">
        <v>0.32</v>
      </c>
      <c r="AX29" s="4">
        <v>2.6</v>
      </c>
      <c r="AY29" s="4"/>
      <c r="AZ29" s="4"/>
      <c r="BA29" s="4"/>
      <c r="BB29" s="4">
        <v>7</v>
      </c>
      <c r="BC29" s="4"/>
      <c r="BD29" s="4">
        <v>2.2000000000000002</v>
      </c>
      <c r="BE29" s="4">
        <v>0.52</v>
      </c>
    </row>
    <row r="30" spans="1:57" x14ac:dyDescent="0.25">
      <c r="A30" s="2" t="s">
        <v>119</v>
      </c>
      <c r="B30" s="4">
        <v>52.68</v>
      </c>
      <c r="C30" s="4">
        <v>15.45</v>
      </c>
      <c r="D30" s="4">
        <v>10.83</v>
      </c>
      <c r="E30" s="4">
        <v>0.16700000000000001</v>
      </c>
      <c r="F30" s="4">
        <v>6.37</v>
      </c>
      <c r="G30" s="4">
        <v>10.86</v>
      </c>
      <c r="H30" s="4">
        <v>2.2000000000000002</v>
      </c>
      <c r="I30" s="4">
        <v>0.626</v>
      </c>
      <c r="J30" s="4">
        <v>1.06</v>
      </c>
      <c r="K30" s="4">
        <v>0.14000000000000001</v>
      </c>
      <c r="L30" s="4"/>
      <c r="M30" s="4">
        <v>36</v>
      </c>
      <c r="N30" s="4">
        <v>1.3</v>
      </c>
      <c r="O30" s="4">
        <v>260</v>
      </c>
      <c r="P30" s="4">
        <v>92</v>
      </c>
      <c r="Q30" s="4">
        <v>43</v>
      </c>
      <c r="R30" s="4">
        <v>70</v>
      </c>
      <c r="S30" s="4">
        <v>110</v>
      </c>
      <c r="T30" s="4">
        <v>80</v>
      </c>
      <c r="U30" s="4">
        <v>17</v>
      </c>
      <c r="V30" s="4"/>
      <c r="W30" s="4">
        <v>1.2</v>
      </c>
      <c r="X30" s="4"/>
      <c r="Y30" s="4">
        <v>190</v>
      </c>
      <c r="Z30" s="4"/>
      <c r="AA30" s="4">
        <v>100</v>
      </c>
      <c r="AB30" s="4">
        <v>7.9</v>
      </c>
      <c r="AC30" s="4"/>
      <c r="AD30" s="4"/>
      <c r="AE30" s="4"/>
      <c r="AF30" s="4"/>
      <c r="AG30" s="4"/>
      <c r="AH30" s="4"/>
      <c r="AI30" s="4">
        <v>170</v>
      </c>
      <c r="AJ30" s="4">
        <v>10</v>
      </c>
      <c r="AK30" s="4">
        <v>23</v>
      </c>
      <c r="AL30" s="4"/>
      <c r="AM30" s="4">
        <v>13</v>
      </c>
      <c r="AN30" s="4">
        <v>3.3</v>
      </c>
      <c r="AO30" s="4">
        <v>1</v>
      </c>
      <c r="AP30" s="4"/>
      <c r="AQ30" s="4">
        <v>0.63</v>
      </c>
      <c r="AR30" s="4">
        <v>3.6</v>
      </c>
      <c r="AS30" s="4">
        <v>0.76</v>
      </c>
      <c r="AT30" s="4"/>
      <c r="AU30" s="4"/>
      <c r="AV30" s="4">
        <v>2.1</v>
      </c>
      <c r="AW30" s="4">
        <v>0.33</v>
      </c>
      <c r="AX30" s="4">
        <v>2.6</v>
      </c>
      <c r="AY30" s="4"/>
      <c r="AZ30" s="4"/>
      <c r="BA30" s="4"/>
      <c r="BB30" s="4">
        <v>9.3000000000000007</v>
      </c>
      <c r="BC30" s="4"/>
      <c r="BD30" s="4">
        <v>2.4</v>
      </c>
      <c r="BE30" s="4">
        <v>0.53</v>
      </c>
    </row>
    <row r="31" spans="1:57" x14ac:dyDescent="0.25">
      <c r="A31" s="2" t="s">
        <v>120</v>
      </c>
      <c r="B31" s="4">
        <v>67.03</v>
      </c>
      <c r="C31" s="4">
        <v>15.39</v>
      </c>
      <c r="D31" s="4">
        <v>4.71</v>
      </c>
      <c r="E31" s="4">
        <v>9.5000000000000001E-2</v>
      </c>
      <c r="F31" s="4">
        <v>1.62</v>
      </c>
      <c r="G31" s="4">
        <v>3.64</v>
      </c>
      <c r="H31" s="4">
        <v>4.3899999999999997</v>
      </c>
      <c r="I31" s="4">
        <v>2.83</v>
      </c>
      <c r="J31" s="4">
        <v>0.60699999999999998</v>
      </c>
      <c r="K31" s="4">
        <v>0.16</v>
      </c>
      <c r="L31" s="4">
        <v>101</v>
      </c>
      <c r="M31" s="4">
        <v>10</v>
      </c>
      <c r="N31" s="4">
        <v>2</v>
      </c>
      <c r="O31" s="4">
        <v>63</v>
      </c>
      <c r="P31" s="4">
        <v>30</v>
      </c>
      <c r="Q31" s="4">
        <v>9</v>
      </c>
      <c r="R31" s="4" t="s">
        <v>69</v>
      </c>
      <c r="S31" s="4">
        <v>10</v>
      </c>
      <c r="T31" s="4">
        <v>60</v>
      </c>
      <c r="U31" s="4">
        <v>19</v>
      </c>
      <c r="V31" s="4">
        <v>1.1000000000000001</v>
      </c>
      <c r="W31" s="4" t="s">
        <v>70</v>
      </c>
      <c r="X31" s="4">
        <v>59</v>
      </c>
      <c r="Y31" s="4">
        <v>337</v>
      </c>
      <c r="Z31" s="4">
        <v>19</v>
      </c>
      <c r="AA31" s="4">
        <v>239</v>
      </c>
      <c r="AB31" s="4">
        <v>10</v>
      </c>
      <c r="AC31" s="4">
        <v>2</v>
      </c>
      <c r="AD31" s="4" t="s">
        <v>71</v>
      </c>
      <c r="AE31" s="4">
        <v>0.1</v>
      </c>
      <c r="AF31" s="4">
        <v>1</v>
      </c>
      <c r="AG31" s="4" t="s">
        <v>72</v>
      </c>
      <c r="AH31" s="4">
        <v>0.6</v>
      </c>
      <c r="AI31" s="4">
        <v>978</v>
      </c>
      <c r="AJ31" s="4">
        <v>53.3</v>
      </c>
      <c r="AK31" s="4">
        <v>101</v>
      </c>
      <c r="AL31" s="4">
        <v>11.1</v>
      </c>
      <c r="AM31" s="4">
        <v>38.200000000000003</v>
      </c>
      <c r="AN31" s="4">
        <v>6.64</v>
      </c>
      <c r="AO31" s="4">
        <v>1.4</v>
      </c>
      <c r="AP31" s="4">
        <v>5.05</v>
      </c>
      <c r="AQ31" s="4">
        <v>0.69</v>
      </c>
      <c r="AR31" s="4">
        <v>4.0599999999999996</v>
      </c>
      <c r="AS31" s="4">
        <v>0.73</v>
      </c>
      <c r="AT31" s="4">
        <v>2.06</v>
      </c>
      <c r="AU31" s="4">
        <v>0.28699999999999998</v>
      </c>
      <c r="AV31" s="4">
        <v>1.84</v>
      </c>
      <c r="AW31" s="4">
        <v>0.28199999999999997</v>
      </c>
      <c r="AX31" s="4">
        <v>4.9000000000000004</v>
      </c>
      <c r="AY31" s="4">
        <v>0.77</v>
      </c>
      <c r="AZ31" s="4">
        <v>3.2</v>
      </c>
      <c r="BA31" s="4">
        <v>0.28000000000000003</v>
      </c>
      <c r="BB31" s="4">
        <v>14</v>
      </c>
      <c r="BC31" s="4" t="s">
        <v>73</v>
      </c>
      <c r="BD31" s="4">
        <v>6.3</v>
      </c>
      <c r="BE31" s="4">
        <v>0.78</v>
      </c>
    </row>
    <row r="32" spans="1:57" x14ac:dyDescent="0.25">
      <c r="A32" s="2" t="s">
        <v>121</v>
      </c>
      <c r="B32" s="4">
        <v>66.98</v>
      </c>
      <c r="C32" s="4">
        <v>15.4</v>
      </c>
      <c r="D32" s="4">
        <v>4.6900000000000004</v>
      </c>
      <c r="E32" s="4">
        <v>9.5000000000000001E-2</v>
      </c>
      <c r="F32" s="4">
        <v>1.62</v>
      </c>
      <c r="G32" s="4">
        <v>3.64</v>
      </c>
      <c r="H32" s="4">
        <v>4.3899999999999997</v>
      </c>
      <c r="I32" s="4">
        <v>2.84</v>
      </c>
      <c r="J32" s="4">
        <v>0.60099999999999998</v>
      </c>
      <c r="K32" s="4">
        <v>0.15</v>
      </c>
      <c r="L32" s="4">
        <v>100.9</v>
      </c>
      <c r="M32" s="4">
        <v>10</v>
      </c>
      <c r="N32" s="4">
        <v>2</v>
      </c>
      <c r="O32" s="4">
        <v>63</v>
      </c>
      <c r="P32" s="4">
        <v>30</v>
      </c>
      <c r="Q32" s="4">
        <v>9</v>
      </c>
      <c r="R32" s="4" t="s">
        <v>69</v>
      </c>
      <c r="S32" s="4">
        <v>10</v>
      </c>
      <c r="T32" s="4">
        <v>70</v>
      </c>
      <c r="U32" s="4">
        <v>19</v>
      </c>
      <c r="V32" s="4">
        <v>1.1000000000000001</v>
      </c>
      <c r="W32" s="4" t="s">
        <v>70</v>
      </c>
      <c r="X32" s="4">
        <v>60</v>
      </c>
      <c r="Y32" s="4">
        <v>338</v>
      </c>
      <c r="Z32" s="4">
        <v>19.2</v>
      </c>
      <c r="AA32" s="4">
        <v>244</v>
      </c>
      <c r="AB32" s="4">
        <v>10.3</v>
      </c>
      <c r="AC32" s="4" t="s">
        <v>76</v>
      </c>
      <c r="AD32" s="4" t="s">
        <v>71</v>
      </c>
      <c r="AE32" s="4">
        <v>0.1</v>
      </c>
      <c r="AF32" s="4">
        <v>1</v>
      </c>
      <c r="AG32" s="4" t="s">
        <v>72</v>
      </c>
      <c r="AH32" s="4">
        <v>0.6</v>
      </c>
      <c r="AI32" s="4">
        <v>978</v>
      </c>
      <c r="AJ32" s="4">
        <v>53.4</v>
      </c>
      <c r="AK32" s="4">
        <v>105</v>
      </c>
      <c r="AL32" s="4">
        <v>11.2</v>
      </c>
      <c r="AM32" s="4">
        <v>38.9</v>
      </c>
      <c r="AN32" s="4">
        <v>6.54</v>
      </c>
      <c r="AO32" s="4">
        <v>1.48</v>
      </c>
      <c r="AP32" s="4">
        <v>4.99</v>
      </c>
      <c r="AQ32" s="4">
        <v>0.7</v>
      </c>
      <c r="AR32" s="4">
        <v>4.01</v>
      </c>
      <c r="AS32" s="4">
        <v>0.74</v>
      </c>
      <c r="AT32" s="4">
        <v>2.09</v>
      </c>
      <c r="AU32" s="4">
        <v>0.29699999999999999</v>
      </c>
      <c r="AV32" s="4">
        <v>1.94</v>
      </c>
      <c r="AW32" s="4">
        <v>0.29199999999999998</v>
      </c>
      <c r="AX32" s="4">
        <v>4.9000000000000004</v>
      </c>
      <c r="AY32" s="4">
        <v>0.74</v>
      </c>
      <c r="AZ32" s="4">
        <v>3.5</v>
      </c>
      <c r="BA32" s="4">
        <v>0.28999999999999998</v>
      </c>
      <c r="BB32" s="4">
        <v>14</v>
      </c>
      <c r="BC32" s="4" t="s">
        <v>73</v>
      </c>
      <c r="BD32" s="4">
        <v>6.46</v>
      </c>
      <c r="BE32" s="4">
        <v>0.81</v>
      </c>
    </row>
    <row r="33" spans="1:57" x14ac:dyDescent="0.25">
      <c r="A33" s="2" t="s">
        <v>122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69</v>
      </c>
      <c r="Q33" s="4" t="s">
        <v>118</v>
      </c>
      <c r="R33" s="4" t="s">
        <v>69</v>
      </c>
      <c r="S33" s="4" t="s">
        <v>80</v>
      </c>
      <c r="T33" s="4" t="s">
        <v>82</v>
      </c>
      <c r="U33" s="4" t="s">
        <v>118</v>
      </c>
      <c r="V33" s="4" t="s">
        <v>71</v>
      </c>
      <c r="W33" s="4" t="s">
        <v>70</v>
      </c>
      <c r="X33" s="4" t="s">
        <v>118</v>
      </c>
      <c r="Y33" s="4"/>
      <c r="Z33" s="4" t="s">
        <v>71</v>
      </c>
      <c r="AA33" s="4"/>
      <c r="AB33" s="4" t="s">
        <v>72</v>
      </c>
      <c r="AC33" s="4" t="s">
        <v>76</v>
      </c>
      <c r="AD33" s="4" t="s">
        <v>71</v>
      </c>
      <c r="AE33" s="4" t="s">
        <v>73</v>
      </c>
      <c r="AF33" s="4" t="s">
        <v>118</v>
      </c>
      <c r="AG33" s="4" t="s">
        <v>72</v>
      </c>
      <c r="AH33" s="4" t="s">
        <v>73</v>
      </c>
      <c r="AI33" s="4"/>
      <c r="AJ33" s="4" t="s">
        <v>123</v>
      </c>
      <c r="AK33" s="4" t="s">
        <v>123</v>
      </c>
      <c r="AL33" s="4" t="s">
        <v>95</v>
      </c>
      <c r="AM33" s="4" t="s">
        <v>123</v>
      </c>
      <c r="AN33" s="4" t="s">
        <v>95</v>
      </c>
      <c r="AO33" s="4" t="s">
        <v>94</v>
      </c>
      <c r="AP33" s="4" t="s">
        <v>95</v>
      </c>
      <c r="AQ33" s="4" t="s">
        <v>95</v>
      </c>
      <c r="AR33" s="4" t="s">
        <v>95</v>
      </c>
      <c r="AS33" s="4" t="s">
        <v>95</v>
      </c>
      <c r="AT33" s="4" t="s">
        <v>95</v>
      </c>
      <c r="AU33" s="4" t="s">
        <v>94</v>
      </c>
      <c r="AV33" s="4" t="s">
        <v>95</v>
      </c>
      <c r="AW33" s="4" t="s">
        <v>124</v>
      </c>
      <c r="AX33" s="4" t="s">
        <v>73</v>
      </c>
      <c r="AY33" s="4" t="s">
        <v>95</v>
      </c>
      <c r="AZ33" s="4" t="s">
        <v>71</v>
      </c>
      <c r="BA33" s="4" t="s">
        <v>123</v>
      </c>
      <c r="BB33" s="4" t="s">
        <v>70</v>
      </c>
      <c r="BC33" s="4" t="s">
        <v>73</v>
      </c>
      <c r="BD33" s="4" t="s">
        <v>123</v>
      </c>
      <c r="BE33" s="4" t="s">
        <v>95</v>
      </c>
    </row>
  </sheetData>
  <sheetProtection formatCells="0" formatColumns="0" formatRows="0" insertColumns="0" insertRows="0" insertHyperlinks="0" deleteColumns="0" deleteRows="0" sort="0" autoFilter="0" pivotTables="0"/>
  <pageMargins left="0.51" right="0.51" top="0.51" bottom="0.51" header="0.3" footer="0.3"/>
  <pageSetup orientation="landscape"/>
  <headerFooter>
    <oddHeader>&amp;12&amp;B
Activation Laboratories
Activation Laboratories</oddHeader>
    <oddFooter>&amp;C&amp;"Arial,Normal"Page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Normalized Data</vt:lpstr>
      <vt:lpstr>OG Results</vt:lpstr>
      <vt:lpstr>Totals for normal</vt:lpstr>
      <vt:lpstr>QC</vt:lpstr>
      <vt:lpstr>'Normalized Data'!Print_Titles</vt:lpstr>
      <vt:lpstr>'OG Results'!Print_Titles</vt:lpstr>
      <vt:lpstr>QC!Print_Titles</vt:lpstr>
      <vt:lpstr>'Totals for normal'!Print_Titles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/>
  <dc:creator>Activation Laboratories</dc:creator>
  <cp:keywords/>
  <dc:description/>
  <cp:lastModifiedBy>Gekosky, Maya R</cp:lastModifiedBy>
  <dcterms:created xsi:type="dcterms:W3CDTF">2024-07-05T13:29:39Z</dcterms:created>
  <dcterms:modified xsi:type="dcterms:W3CDTF">2025-04-21T21:15:39Z</dcterms:modified>
  <cp:category/>
</cp:coreProperties>
</file>