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4. Oregon\"/>
    </mc:Choice>
  </mc:AlternateContent>
  <bookViews>
    <workbookView xWindow="0" yWindow="0" windowWidth="22032" windowHeight="10668"/>
  </bookViews>
  <sheets>
    <sheet name="Metadata" sheetId="2" r:id="rId1"/>
    <sheet name="Production Model_with lags" sheetId="1" r:id="rId2"/>
  </sheets>
  <definedNames>
    <definedName name="_r2">'Production Model_with lags'!$E$3</definedName>
    <definedName name="_r3">'Production Model_with lags'!$H$3</definedName>
    <definedName name="B1979_">'Production Model_with lags'!$B$4</definedName>
    <definedName name="B1980_">'Production Model_with lags'!$E$4</definedName>
    <definedName name="B1982_">'Production Model_with lags'!$H$4</definedName>
    <definedName name="Bo">'Production Model_with lags'!$B$2</definedName>
    <definedName name="Bo2_">'Production Model_with lags'!$E$2</definedName>
    <definedName name="Bo3_">'Production Model_with lags'!$H$2</definedName>
    <definedName name="lnB1979_">'Production Model_with lags'!$L$4</definedName>
    <definedName name="lnB1980_">'Production Model_with lags'!$L$7</definedName>
    <definedName name="lnB1982_">'Production Model_with lags'!$L$10</definedName>
    <definedName name="lnBo">'Production Model_with lags'!$L$2</definedName>
    <definedName name="lnBo2">'Production Model_with lags'!$L$5</definedName>
    <definedName name="lnBo3">'Production Model_with lags'!$L$8</definedName>
    <definedName name="lnr">'Production Model_with lags'!$L$3</definedName>
    <definedName name="lnr2_">'Production Model_with lags'!$L$6</definedName>
    <definedName name="lnr3_">'Production Model_with lags'!$L$9</definedName>
    <definedName name="nlnL">'Production Model_with lags'!$J$53</definedName>
    <definedName name="nlnL_1">'Production Model_with lags'!$J$53</definedName>
    <definedName name="nlnL2">'Production Model_with lags'!$K$53</definedName>
    <definedName name="nlnL3">'Production Model_with lags'!$L$53</definedName>
    <definedName name="procLL">'Production Model_with lags'!$B$8</definedName>
    <definedName name="procLL2">'Production Model_with lags'!$B$10</definedName>
    <definedName name="procLL3">'Production Model_with lags'!$B$12</definedName>
    <definedName name="r_">'Production Model_with lags'!$B$3</definedName>
    <definedName name="sigma_obs">'Production Model_with lags'!$B$5</definedName>
    <definedName name="sigma_proc">'Production Model_with lags'!$B$6</definedName>
    <definedName name="solver_adj" localSheetId="1" hidden="1">'Production Model_with lags'!$L$5,'Production Model_with lags'!$L$6,'Production Model_with lags'!$L$10,'Production Model_with lags'!$F$15:$F$52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'Production Model_with lags'!$H$2</definedName>
    <definedName name="solver_lhs2" localSheetId="1" hidden="1">'Production Model_with lags'!$H$3</definedName>
    <definedName name="solver_lhs3" localSheetId="1" hidden="1">'Production Model_with lags'!$B$3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'Production Model_with lags'!$K$53</definedName>
    <definedName name="solver_pre" localSheetId="1" hidden="1">0.001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C16" i="1" s="1"/>
  <c r="H4" i="1"/>
  <c r="D16" i="1" s="1"/>
  <c r="L16" i="1" s="1"/>
  <c r="B8" i="1"/>
  <c r="B10" i="1"/>
  <c r="B12" i="1"/>
  <c r="B15" i="1"/>
  <c r="J15" i="1" s="1"/>
  <c r="D15" i="1"/>
  <c r="L15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/>
  <c r="W52" i="1"/>
  <c r="X52" i="1" s="1"/>
  <c r="AE15" i="1" l="1"/>
  <c r="D17" i="1"/>
  <c r="L17" i="1" s="1"/>
  <c r="Z15" i="1"/>
  <c r="D19" i="1"/>
  <c r="D22" i="1" s="1"/>
  <c r="L22" i="1" s="1"/>
  <c r="AD16" i="1"/>
  <c r="C15" i="1"/>
  <c r="C17" i="1" s="1"/>
  <c r="C19" i="1" s="1"/>
  <c r="C21" i="1" s="1"/>
  <c r="D20" i="1"/>
  <c r="AE19" i="1" s="1"/>
  <c r="B16" i="1"/>
  <c r="Z16" i="1" s="1"/>
  <c r="K19" i="1"/>
  <c r="J16" i="1"/>
  <c r="K15" i="1"/>
  <c r="AB15" i="1"/>
  <c r="AB19" i="1"/>
  <c r="AC15" i="1"/>
  <c r="C18" i="1"/>
  <c r="AC18" i="1" s="1"/>
  <c r="AB16" i="1"/>
  <c r="K16" i="1"/>
  <c r="AB17" i="1"/>
  <c r="AC16" i="1"/>
  <c r="L20" i="1"/>
  <c r="AE16" i="1"/>
  <c r="AD17" i="1"/>
  <c r="AD15" i="1"/>
  <c r="D18" i="1"/>
  <c r="AE18" i="1" l="1"/>
  <c r="L19" i="1"/>
  <c r="AA15" i="1"/>
  <c r="D25" i="1"/>
  <c r="AD25" i="1" s="1"/>
  <c r="AD19" i="1"/>
  <c r="B17" i="1"/>
  <c r="Z17" i="1" s="1"/>
  <c r="AD22" i="1"/>
  <c r="K17" i="1"/>
  <c r="AD20" i="1"/>
  <c r="D23" i="1"/>
  <c r="AA16" i="1"/>
  <c r="J17" i="1"/>
  <c r="B18" i="1"/>
  <c r="L18" i="1"/>
  <c r="AE17" i="1"/>
  <c r="AD18" i="1"/>
  <c r="D21" i="1"/>
  <c r="AC17" i="1"/>
  <c r="C20" i="1"/>
  <c r="AC20" i="1" s="1"/>
  <c r="AB18" i="1"/>
  <c r="K18" i="1"/>
  <c r="C23" i="1"/>
  <c r="K21" i="1"/>
  <c r="AB21" i="1"/>
  <c r="L25" i="1" l="1"/>
  <c r="D28" i="1"/>
  <c r="L23" i="1"/>
  <c r="AE22" i="1"/>
  <c r="AD23" i="1"/>
  <c r="D26" i="1"/>
  <c r="AE20" i="1"/>
  <c r="AD21" i="1"/>
  <c r="D24" i="1"/>
  <c r="L21" i="1"/>
  <c r="AE21" i="1"/>
  <c r="AB23" i="1"/>
  <c r="K23" i="1"/>
  <c r="C25" i="1"/>
  <c r="AC19" i="1"/>
  <c r="C22" i="1"/>
  <c r="K20" i="1"/>
  <c r="AB20" i="1"/>
  <c r="L28" i="1"/>
  <c r="D31" i="1"/>
  <c r="AD28" i="1"/>
  <c r="B19" i="1"/>
  <c r="J18" i="1"/>
  <c r="AA17" i="1"/>
  <c r="Z18" i="1"/>
  <c r="D29" i="1" l="1"/>
  <c r="AE25" i="1"/>
  <c r="L26" i="1"/>
  <c r="AD26" i="1"/>
  <c r="AD31" i="1"/>
  <c r="D34" i="1"/>
  <c r="AA18" i="1"/>
  <c r="J19" i="1"/>
  <c r="Z19" i="1"/>
  <c r="B20" i="1"/>
  <c r="AC21" i="1"/>
  <c r="C24" i="1"/>
  <c r="AC24" i="1" s="1"/>
  <c r="K22" i="1"/>
  <c r="AB22" i="1"/>
  <c r="AC22" i="1"/>
  <c r="L24" i="1"/>
  <c r="AD24" i="1"/>
  <c r="D27" i="1"/>
  <c r="AE23" i="1"/>
  <c r="AE24" i="1"/>
  <c r="K25" i="1"/>
  <c r="AB25" i="1"/>
  <c r="C27" i="1"/>
  <c r="AE28" i="1" l="1"/>
  <c r="AD29" i="1"/>
  <c r="D32" i="1"/>
  <c r="L29" i="1"/>
  <c r="AE26" i="1"/>
  <c r="D30" i="1"/>
  <c r="L27" i="1"/>
  <c r="AD27" i="1"/>
  <c r="AE27" i="1"/>
  <c r="Z20" i="1"/>
  <c r="AA19" i="1"/>
  <c r="J20" i="1"/>
  <c r="B21" i="1"/>
  <c r="AD34" i="1"/>
  <c r="D37" i="1"/>
  <c r="C29" i="1"/>
  <c r="K27" i="1"/>
  <c r="AB27" i="1"/>
  <c r="AC23" i="1"/>
  <c r="C26" i="1"/>
  <c r="AB24" i="1"/>
  <c r="K24" i="1"/>
  <c r="AD32" i="1" l="1"/>
  <c r="AE31" i="1"/>
  <c r="D35" i="1"/>
  <c r="AC25" i="1"/>
  <c r="C28" i="1"/>
  <c r="AC28" i="1" s="1"/>
  <c r="K26" i="1"/>
  <c r="AB26" i="1"/>
  <c r="AD37" i="1"/>
  <c r="D40" i="1"/>
  <c r="K29" i="1"/>
  <c r="AB29" i="1"/>
  <c r="C31" i="1"/>
  <c r="AD30" i="1"/>
  <c r="AE29" i="1"/>
  <c r="D33" i="1"/>
  <c r="AE30" i="1"/>
  <c r="AC26" i="1"/>
  <c r="AA20" i="1"/>
  <c r="J21" i="1"/>
  <c r="Z21" i="1"/>
  <c r="B22" i="1"/>
  <c r="AE34" i="1" l="1"/>
  <c r="AD35" i="1"/>
  <c r="L35" i="1"/>
  <c r="D38" i="1"/>
  <c r="J22" i="1"/>
  <c r="Z22" i="1"/>
  <c r="B23" i="1"/>
  <c r="AA21" i="1"/>
  <c r="C33" i="1"/>
  <c r="AB31" i="1"/>
  <c r="AD40" i="1"/>
  <c r="D43" i="1"/>
  <c r="L40" i="1"/>
  <c r="D36" i="1"/>
  <c r="AD33" i="1"/>
  <c r="AE32" i="1"/>
  <c r="AE33" i="1"/>
  <c r="AC27" i="1"/>
  <c r="C30" i="1"/>
  <c r="K28" i="1"/>
  <c r="AB28" i="1"/>
  <c r="D41" i="1" l="1"/>
  <c r="AD38" i="1"/>
  <c r="L38" i="1"/>
  <c r="AE37" i="1"/>
  <c r="AD36" i="1"/>
  <c r="AE35" i="1"/>
  <c r="D39" i="1"/>
  <c r="L36" i="1"/>
  <c r="AE36" i="1"/>
  <c r="AA22" i="1"/>
  <c r="J23" i="1"/>
  <c r="B24" i="1"/>
  <c r="Z23" i="1"/>
  <c r="AD43" i="1"/>
  <c r="D46" i="1"/>
  <c r="L43" i="1"/>
  <c r="AB33" i="1"/>
  <c r="C35" i="1"/>
  <c r="AC29" i="1"/>
  <c r="AB30" i="1"/>
  <c r="C32" i="1"/>
  <c r="AC30" i="1"/>
  <c r="L41" i="1" l="1"/>
  <c r="D44" i="1"/>
  <c r="AE40" i="1"/>
  <c r="AD41" i="1"/>
  <c r="L46" i="1"/>
  <c r="D49" i="1"/>
  <c r="AD46" i="1"/>
  <c r="J24" i="1"/>
  <c r="Z24" i="1"/>
  <c r="B25" i="1"/>
  <c r="AA23" i="1"/>
  <c r="AB35" i="1"/>
  <c r="C37" i="1"/>
  <c r="K35" i="1"/>
  <c r="L39" i="1"/>
  <c r="AE38" i="1"/>
  <c r="D42" i="1"/>
  <c r="AD39" i="1"/>
  <c r="AE39" i="1"/>
  <c r="AB32" i="1"/>
  <c r="C34" i="1"/>
  <c r="AC31" i="1"/>
  <c r="AC32" i="1"/>
  <c r="D47" i="1" l="1"/>
  <c r="L44" i="1"/>
  <c r="AE43" i="1"/>
  <c r="AD44" i="1"/>
  <c r="AC33" i="1"/>
  <c r="C36" i="1"/>
  <c r="AC36" i="1" s="1"/>
  <c r="AB34" i="1"/>
  <c r="C39" i="1"/>
  <c r="AB37" i="1"/>
  <c r="AA24" i="1"/>
  <c r="J25" i="1"/>
  <c r="B26" i="1"/>
  <c r="Z25" i="1"/>
  <c r="L42" i="1"/>
  <c r="D45" i="1"/>
  <c r="AE41" i="1"/>
  <c r="AD42" i="1"/>
  <c r="AE42" i="1"/>
  <c r="AC34" i="1"/>
  <c r="AD49" i="1"/>
  <c r="L49" i="1"/>
  <c r="D52" i="1"/>
  <c r="D50" i="1" l="1"/>
  <c r="L47" i="1"/>
  <c r="AE46" i="1"/>
  <c r="AD47" i="1"/>
  <c r="L52" i="1"/>
  <c r="AE52" i="1"/>
  <c r="AD52" i="1"/>
  <c r="C41" i="1"/>
  <c r="K39" i="1"/>
  <c r="AB39" i="1"/>
  <c r="AE44" i="1"/>
  <c r="AD45" i="1"/>
  <c r="D48" i="1"/>
  <c r="L45" i="1"/>
  <c r="AE45" i="1"/>
  <c r="AA25" i="1"/>
  <c r="J26" i="1"/>
  <c r="Z26" i="1"/>
  <c r="B27" i="1"/>
  <c r="K36" i="1"/>
  <c r="AC35" i="1"/>
  <c r="AB36" i="1"/>
  <c r="C38" i="1"/>
  <c r="AE49" i="1" l="1"/>
  <c r="AD50" i="1"/>
  <c r="L50" i="1"/>
  <c r="AD48" i="1"/>
  <c r="AE47" i="1"/>
  <c r="D51" i="1"/>
  <c r="AE48" i="1"/>
  <c r="K41" i="1"/>
  <c r="AB41" i="1"/>
  <c r="C43" i="1"/>
  <c r="AC37" i="1"/>
  <c r="C40" i="1"/>
  <c r="K38" i="1"/>
  <c r="AB38" i="1"/>
  <c r="AA26" i="1"/>
  <c r="J27" i="1"/>
  <c r="Z27" i="1"/>
  <c r="B28" i="1"/>
  <c r="AC38" i="1"/>
  <c r="K43" i="1" l="1"/>
  <c r="C45" i="1"/>
  <c r="AB43" i="1"/>
  <c r="L51" i="1"/>
  <c r="L53" i="1" s="1"/>
  <c r="B11" i="1" s="1"/>
  <c r="AE50" i="1"/>
  <c r="AD51" i="1"/>
  <c r="AE51" i="1"/>
  <c r="C42" i="1"/>
  <c r="AC42" i="1" s="1"/>
  <c r="AC39" i="1"/>
  <c r="K40" i="1"/>
  <c r="AB40" i="1"/>
  <c r="AA27" i="1"/>
  <c r="J28" i="1"/>
  <c r="Z28" i="1"/>
  <c r="B29" i="1"/>
  <c r="AC40" i="1"/>
  <c r="AA28" i="1" l="1"/>
  <c r="J29" i="1"/>
  <c r="Z29" i="1"/>
  <c r="B30" i="1"/>
  <c r="K45" i="1"/>
  <c r="C47" i="1"/>
  <c r="AB45" i="1"/>
  <c r="AC41" i="1"/>
  <c r="C44" i="1"/>
  <c r="AC44" i="1" s="1"/>
  <c r="AB42" i="1"/>
  <c r="K42" i="1"/>
  <c r="Z30" i="1" l="1"/>
  <c r="AA29" i="1"/>
  <c r="B31" i="1"/>
  <c r="AC43" i="1"/>
  <c r="C46" i="1"/>
  <c r="AB44" i="1"/>
  <c r="K44" i="1"/>
  <c r="K47" i="1"/>
  <c r="AB47" i="1"/>
  <c r="C49" i="1"/>
  <c r="AC45" i="1" l="1"/>
  <c r="C48" i="1"/>
  <c r="AB46" i="1"/>
  <c r="K46" i="1"/>
  <c r="AA30" i="1"/>
  <c r="Z31" i="1"/>
  <c r="B32" i="1"/>
  <c r="AB49" i="1"/>
  <c r="C51" i="1"/>
  <c r="K49" i="1"/>
  <c r="AC48" i="1"/>
  <c r="AC46" i="1"/>
  <c r="AA31" i="1" l="1"/>
  <c r="B33" i="1"/>
  <c r="Z32" i="1"/>
  <c r="AC47" i="1"/>
  <c r="AB48" i="1"/>
  <c r="C50" i="1"/>
  <c r="AB51" i="1"/>
  <c r="K51" i="1"/>
  <c r="K50" i="1" l="1"/>
  <c r="AC49" i="1"/>
  <c r="C52" i="1"/>
  <c r="AB50" i="1"/>
  <c r="AC50" i="1"/>
  <c r="AA32" i="1"/>
  <c r="B34" i="1"/>
  <c r="Z33" i="1"/>
  <c r="AC52" i="1" l="1"/>
  <c r="AC51" i="1"/>
  <c r="K52" i="1"/>
  <c r="K53" i="1" s="1"/>
  <c r="B9" i="1" s="1"/>
  <c r="AB52" i="1"/>
  <c r="Z34" i="1"/>
  <c r="AA33" i="1"/>
  <c r="B35" i="1"/>
  <c r="B36" i="1" l="1"/>
  <c r="AA34" i="1"/>
  <c r="Z35" i="1"/>
  <c r="J35" i="1"/>
  <c r="Z36" i="1" l="1"/>
  <c r="AA35" i="1"/>
  <c r="J36" i="1"/>
  <c r="B37" i="1"/>
  <c r="Z37" i="1" l="1"/>
  <c r="AA36" i="1"/>
  <c r="B38" i="1"/>
  <c r="AA37" i="1" l="1"/>
  <c r="J38" i="1"/>
  <c r="Z38" i="1"/>
  <c r="B39" i="1"/>
  <c r="AA38" i="1" l="1"/>
  <c r="J39" i="1"/>
  <c r="Z39" i="1"/>
  <c r="B40" i="1"/>
  <c r="AA39" i="1" l="1"/>
  <c r="J40" i="1"/>
  <c r="Z40" i="1"/>
  <c r="B41" i="1"/>
  <c r="J41" i="1" l="1"/>
  <c r="Z41" i="1"/>
  <c r="B42" i="1"/>
  <c r="AA40" i="1"/>
  <c r="B43" i="1" l="1"/>
  <c r="J42" i="1"/>
  <c r="AA41" i="1"/>
  <c r="Z42" i="1"/>
  <c r="AA42" i="1" l="1"/>
  <c r="J43" i="1"/>
  <c r="Z43" i="1"/>
  <c r="B44" i="1"/>
  <c r="B45" i="1" l="1"/>
  <c r="J44" i="1"/>
  <c r="AA43" i="1"/>
  <c r="Z44" i="1"/>
  <c r="AA44" i="1" l="1"/>
  <c r="J45" i="1"/>
  <c r="Z45" i="1"/>
  <c r="B46" i="1"/>
  <c r="B47" i="1" l="1"/>
  <c r="AA45" i="1"/>
  <c r="J46" i="1"/>
  <c r="Z46" i="1"/>
  <c r="AA46" i="1" l="1"/>
  <c r="J47" i="1"/>
  <c r="Z47" i="1"/>
  <c r="B48" i="1"/>
  <c r="Z48" i="1" l="1"/>
  <c r="AA47" i="1"/>
  <c r="B49" i="1"/>
  <c r="B50" i="1" l="1"/>
  <c r="AA48" i="1"/>
  <c r="J49" i="1"/>
  <c r="Z49" i="1"/>
  <c r="J50" i="1" l="1"/>
  <c r="Z50" i="1"/>
  <c r="B51" i="1"/>
  <c r="AA49" i="1"/>
  <c r="AA50" i="1" l="1"/>
  <c r="J51" i="1"/>
  <c r="B52" i="1"/>
  <c r="Z51" i="1"/>
  <c r="AA51" i="1" l="1"/>
  <c r="J52" i="1"/>
  <c r="J53" i="1" s="1"/>
  <c r="B7" i="1" s="1"/>
  <c r="Z52" i="1"/>
  <c r="AA52" i="1"/>
</calcChain>
</file>

<file path=xl/sharedStrings.xml><?xml version="1.0" encoding="utf-8"?>
<sst xmlns="http://schemas.openxmlformats.org/spreadsheetml/2006/main" count="80" uniqueCount="70">
  <si>
    <t>Prod_yr3</t>
  </si>
  <si>
    <t>Depletion_yr3</t>
  </si>
  <si>
    <t>Prod_yr2</t>
  </si>
  <si>
    <t>Depletion_yr2</t>
  </si>
  <si>
    <t>Prod_yr1</t>
  </si>
  <si>
    <t>Depletion_yr1</t>
  </si>
  <si>
    <t>normal dist</t>
  </si>
  <si>
    <t>random #</t>
  </si>
  <si>
    <t>sqDeviation_yr3</t>
  </si>
  <si>
    <t>sqDeviation_yr2</t>
  </si>
  <si>
    <t>sqDeviation_yr1</t>
  </si>
  <si>
    <t>obsBiomass</t>
  </si>
  <si>
    <t>Catch</t>
  </si>
  <si>
    <t>proc_dev_yr3</t>
  </si>
  <si>
    <t>proc_dev_yr2</t>
  </si>
  <si>
    <t>proc_dev_yr1</t>
  </si>
  <si>
    <t>predBiomass_yr3</t>
  </si>
  <si>
    <t>predBiomass_yr2</t>
  </si>
  <si>
    <t>predBiomass_yr1</t>
  </si>
  <si>
    <t>Year</t>
  </si>
  <si>
    <t>just some random numbers</t>
  </si>
  <si>
    <t>process deviation on likelihoods three year lag</t>
  </si>
  <si>
    <t>procLL3</t>
  </si>
  <si>
    <t>negative log likelihood three year lag</t>
  </si>
  <si>
    <t>nlnL3</t>
  </si>
  <si>
    <t>lnB1982_</t>
  </si>
  <si>
    <t>process deviation on likelihoods two year lag</t>
  </si>
  <si>
    <t>procLL2</t>
  </si>
  <si>
    <t>lnr3</t>
  </si>
  <si>
    <t>negative log likelihood two year lag</t>
  </si>
  <si>
    <t>nlnL2</t>
  </si>
  <si>
    <t>lnBo3</t>
  </si>
  <si>
    <t>process deviation on likelihoods no lag</t>
  </si>
  <si>
    <t>procLL</t>
  </si>
  <si>
    <t>lnB1980_</t>
  </si>
  <si>
    <t>negative log likelihood no lag</t>
  </si>
  <si>
    <t>nlnL</t>
  </si>
  <si>
    <t>lnr2</t>
  </si>
  <si>
    <t>proc error std dev</t>
  </si>
  <si>
    <t>sigma_proc</t>
  </si>
  <si>
    <t>lnBo2</t>
  </si>
  <si>
    <t>obs error std dev</t>
  </si>
  <si>
    <t>sigma_obs</t>
  </si>
  <si>
    <t>lnB1979_</t>
  </si>
  <si>
    <t>B1982</t>
  </si>
  <si>
    <t>B1980</t>
  </si>
  <si>
    <t>B1979</t>
  </si>
  <si>
    <t>lnr</t>
  </si>
  <si>
    <t>growth rate</t>
  </si>
  <si>
    <t>r3</t>
  </si>
  <si>
    <t>r2</t>
  </si>
  <si>
    <t>r</t>
  </si>
  <si>
    <t>lnBo</t>
  </si>
  <si>
    <t>unfished biomass</t>
  </si>
  <si>
    <t>Bo3</t>
  </si>
  <si>
    <t>Bo2</t>
  </si>
  <si>
    <t>Bo</t>
  </si>
  <si>
    <t>Transformed parameters</t>
  </si>
  <si>
    <t>Description</t>
  </si>
  <si>
    <t>Value</t>
  </si>
  <si>
    <t>Parameter</t>
  </si>
  <si>
    <t xml:space="preserve">Received from Troy Buell </t>
  </si>
  <si>
    <t>via email  (troy.v.buell@state.or.us)</t>
  </si>
  <si>
    <t>Copied from "ODFW Historical Herring Data_Public Version.docx"</t>
  </si>
  <si>
    <t>Found HERE</t>
  </si>
  <si>
    <t>Notes on data:</t>
  </si>
  <si>
    <r>
      <t>1</t>
    </r>
    <r>
      <rPr>
        <sz val="8"/>
        <color theme="1"/>
        <rFont val="Arial"/>
        <family val="2"/>
      </rPr>
      <t xml:space="preserve"> Quota set at 20% of the previous year's estimated spawning biomass.</t>
    </r>
  </si>
  <si>
    <r>
      <t xml:space="preserve">2 </t>
    </r>
    <r>
      <rPr>
        <sz val="8"/>
        <color theme="1"/>
        <rFont val="Arial"/>
        <family val="2"/>
      </rPr>
      <t>Limited Entry for the Yaquina Bay Roe Herring fishery began</t>
    </r>
  </si>
  <si>
    <r>
      <t xml:space="preserve">3 </t>
    </r>
    <r>
      <rPr>
        <sz val="8"/>
        <color theme="1"/>
        <rFont val="Arial"/>
        <family val="2"/>
      </rPr>
      <t>Corrected biomass estimate values; original biomass estimates utilized an incorrect eggs to fish weight conversion factor. Quota value does not equal 20% of corrected biomass estimate.</t>
    </r>
  </si>
  <si>
    <r>
      <t>4</t>
    </r>
    <r>
      <rPr>
        <sz val="8"/>
        <color theme="1"/>
        <rFont val="Arial"/>
        <family val="2"/>
      </rPr>
      <t xml:space="preserve"> Pre-season quota based on 2015 hydro-acoustic estimate of herring biomass, does not equal 20% of egg deposition biomass estimate.  Quota adjusted in-season (not shown) based on same-year hydro-acoustic survey estimates.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</si>
</sst>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4" fontId="1" fillId="2" borderId="2" xfId="0" applyNumberFormat="1" applyFont="1" applyFill="1" applyBorder="1" applyAlignment="1">
      <alignment horizontal="right" vertical="center"/>
    </xf>
    <xf numFmtId="0" fontId="0" fillId="2" borderId="0" xfId="0" applyFill="1"/>
    <xf numFmtId="15" fontId="0" fillId="0" borderId="0" xfId="0" applyNumberFormat="1"/>
    <xf numFmtId="0" fontId="2" fillId="0" borderId="0" xfId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0.10739938757655293"/>
          <c:w val="0.82883814523184607"/>
          <c:h val="0.68540828229804607"/>
        </c:manualLayout>
      </c:layout>
      <c:lineChart>
        <c:grouping val="standard"/>
        <c:varyColors val="0"/>
        <c:ser>
          <c:idx val="1"/>
          <c:order val="0"/>
          <c:tx>
            <c:strRef>
              <c:f>'Production Model_with lags'!$B$14</c:f>
              <c:strCache>
                <c:ptCount val="1"/>
                <c:pt idx="0">
                  <c:v>predBiomass_yr1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'Production Model_with lags'!$A$15:$A$52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'Production Model_with lags'!$B$15:$B$52</c:f>
              <c:numCache>
                <c:formatCode>General</c:formatCode>
                <c:ptCount val="38"/>
                <c:pt idx="0">
                  <c:v>298.19387944135718</c:v>
                </c:pt>
                <c:pt idx="1">
                  <c:v>264.4304330982884</c:v>
                </c:pt>
                <c:pt idx="2">
                  <c:v>269.65763852954149</c:v>
                </c:pt>
                <c:pt idx="3">
                  <c:v>298.41101047751999</c:v>
                </c:pt>
                <c:pt idx="4">
                  <c:v>326.20425640503447</c:v>
                </c:pt>
                <c:pt idx="5">
                  <c:v>379.64228745657783</c:v>
                </c:pt>
                <c:pt idx="6">
                  <c:v>556.79051034036013</c:v>
                </c:pt>
                <c:pt idx="7">
                  <c:v>1520.2165286801992</c:v>
                </c:pt>
                <c:pt idx="8">
                  <c:v>1532.5481332957461</c:v>
                </c:pt>
                <c:pt idx="9">
                  <c:v>1359.6648215104003</c:v>
                </c:pt>
                <c:pt idx="10">
                  <c:v>1420.8548952270128</c:v>
                </c:pt>
                <c:pt idx="11">
                  <c:v>1314.3708076488126</c:v>
                </c:pt>
                <c:pt idx="12">
                  <c:v>1220.2777588621996</c:v>
                </c:pt>
                <c:pt idx="13">
                  <c:v>981.88396508074436</c:v>
                </c:pt>
                <c:pt idx="14">
                  <c:v>530.91003460099205</c:v>
                </c:pt>
                <c:pt idx="15">
                  <c:v>291.56239128700702</c:v>
                </c:pt>
                <c:pt idx="16">
                  <c:v>187.57316094947515</c:v>
                </c:pt>
                <c:pt idx="17">
                  <c:v>108.02850099594789</c:v>
                </c:pt>
                <c:pt idx="18">
                  <c:v>61.169452350147466</c:v>
                </c:pt>
                <c:pt idx="19">
                  <c:v>18.664664135144758</c:v>
                </c:pt>
                <c:pt idx="20">
                  <c:v>13.843492512459122</c:v>
                </c:pt>
                <c:pt idx="21">
                  <c:v>44.668685306187072</c:v>
                </c:pt>
                <c:pt idx="22">
                  <c:v>140.40120142956326</c:v>
                </c:pt>
                <c:pt idx="23">
                  <c:v>444.68880354757721</c:v>
                </c:pt>
                <c:pt idx="24">
                  <c:v>318.23178199151482</c:v>
                </c:pt>
                <c:pt idx="25">
                  <c:v>312.68617868015701</c:v>
                </c:pt>
                <c:pt idx="26">
                  <c:v>109.33825139359787</c:v>
                </c:pt>
                <c:pt idx="27">
                  <c:v>35.903328790920504</c:v>
                </c:pt>
                <c:pt idx="28">
                  <c:v>112.78301619489152</c:v>
                </c:pt>
                <c:pt idx="29">
                  <c:v>142.20731695390467</c:v>
                </c:pt>
                <c:pt idx="30">
                  <c:v>342.15276981664164</c:v>
                </c:pt>
                <c:pt idx="31">
                  <c:v>64.345436648897191</c:v>
                </c:pt>
                <c:pt idx="32">
                  <c:v>126.69763793839411</c:v>
                </c:pt>
                <c:pt idx="33">
                  <c:v>145.05967996877928</c:v>
                </c:pt>
                <c:pt idx="34">
                  <c:v>161.32549879619572</c:v>
                </c:pt>
                <c:pt idx="35">
                  <c:v>68.351468594550198</c:v>
                </c:pt>
                <c:pt idx="36">
                  <c:v>94.031834109605313</c:v>
                </c:pt>
                <c:pt idx="37">
                  <c:v>311.55727556494787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3-4C4B-90CF-DBA1BB76AF3C}"/>
            </c:ext>
          </c:extLst>
        </c:ser>
        <c:ser>
          <c:idx val="0"/>
          <c:order val="1"/>
          <c:tx>
            <c:strRef>
              <c:f>'Production Model_with lags'!$I$14</c:f>
              <c:strCache>
                <c:ptCount val="1"/>
                <c:pt idx="0">
                  <c:v>obsBiomass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'Production Model_with lags'!$A$15:$A$52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'Production Model_with lags'!$I$15:$I$52</c:f>
              <c:numCache>
                <c:formatCode>General</c:formatCode>
                <c:ptCount val="38"/>
                <c:pt idx="0">
                  <c:v>305</c:v>
                </c:pt>
                <c:pt idx="1">
                  <c:v>256</c:v>
                </c:pt>
                <c:pt idx="2">
                  <c:v>265.5</c:v>
                </c:pt>
                <c:pt idx="3">
                  <c:v>315.5</c:v>
                </c:pt>
                <c:pt idx="4">
                  <c:v>310.5</c:v>
                </c:pt>
                <c:pt idx="5">
                  <c:v>333.5</c:v>
                </c:pt>
                <c:pt idx="6">
                  <c:v>460</c:v>
                </c:pt>
                <c:pt idx="7" formatCode="#,##0.00">
                  <c:v>2060</c:v>
                </c:pt>
                <c:pt idx="8" formatCode="#,##0.00">
                  <c:v>1545</c:v>
                </c:pt>
                <c:pt idx="9" formatCode="#,##0.00">
                  <c:v>1360</c:v>
                </c:pt>
                <c:pt idx="10" formatCode="#,##0.00">
                  <c:v>1490</c:v>
                </c:pt>
                <c:pt idx="11" formatCode="#,##0.00">
                  <c:v>1320</c:v>
                </c:pt>
                <c:pt idx="12" formatCode="#,##0.00">
                  <c:v>1290</c:v>
                </c:pt>
                <c:pt idx="13" formatCode="#,##0.00">
                  <c:v>1140</c:v>
                </c:pt>
                <c:pt idx="14">
                  <c:v>560</c:v>
                </c:pt>
                <c:pt idx="20">
                  <c:v>10</c:v>
                </c:pt>
                <c:pt idx="21">
                  <c:v>45</c:v>
                </c:pt>
                <c:pt idx="23">
                  <c:v>693</c:v>
                </c:pt>
                <c:pt idx="24">
                  <c:v>264</c:v>
                </c:pt>
                <c:pt idx="25">
                  <c:v>462.5</c:v>
                </c:pt>
                <c:pt idx="26">
                  <c:v>111.6</c:v>
                </c:pt>
                <c:pt idx="27">
                  <c:v>17.5</c:v>
                </c:pt>
                <c:pt idx="28">
                  <c:v>145.5</c:v>
                </c:pt>
                <c:pt idx="29">
                  <c:v>119.6</c:v>
                </c:pt>
                <c:pt idx="30">
                  <c:v>736.5</c:v>
                </c:pt>
                <c:pt idx="31">
                  <c:v>31.3</c:v>
                </c:pt>
                <c:pt idx="32">
                  <c:v>148.30000000000001</c:v>
                </c:pt>
                <c:pt idx="34">
                  <c:v>217.4</c:v>
                </c:pt>
                <c:pt idx="35">
                  <c:v>43.9</c:v>
                </c:pt>
                <c:pt idx="36">
                  <c:v>76.400000000000006</c:v>
                </c:pt>
                <c:pt idx="37">
                  <c:v>427.6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3-4C4B-90CF-DBA1BB76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8792"/>
        <c:axId val="553982728"/>
      </c:lineChart>
      <c:catAx>
        <c:axId val="55397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2728"/>
        <c:crosses val="autoZero"/>
        <c:auto val="1"/>
        <c:lblAlgn val="ctr"/>
        <c:lblOffset val="100"/>
        <c:noMultiLvlLbl val="0"/>
      </c:catAx>
      <c:valAx>
        <c:axId val="5539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'Production Model_with lags'!$E$14</c:f>
              <c:strCache>
                <c:ptCount val="1"/>
                <c:pt idx="0">
                  <c:v>proc_dev_yr1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'Production Model_with lags'!$A$15:$A$52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'Production Model_with lags'!$E$15:$E$52</c:f>
              <c:numCache>
                <c:formatCode>General</c:formatCode>
                <c:ptCount val="38"/>
                <c:pt idx="0">
                  <c:v>-0.13795287550513843</c:v>
                </c:pt>
                <c:pt idx="1">
                  <c:v>2.5726993721310071E-2</c:v>
                </c:pt>
                <c:pt idx="2">
                  <c:v>7.8583524369082447E-2</c:v>
                </c:pt>
                <c:pt idx="3">
                  <c:v>-6.6372058964101477E-2</c:v>
                </c:pt>
                <c:pt idx="4">
                  <c:v>0.1571999397077822</c:v>
                </c:pt>
                <c:pt idx="5">
                  <c:v>0.39423066436749749</c:v>
                </c:pt>
                <c:pt idx="6">
                  <c:v>1.0032964369477539</c:v>
                </c:pt>
                <c:pt idx="7">
                  <c:v>0.1163120587832836</c:v>
                </c:pt>
                <c:pt idx="8">
                  <c:v>0.13343064756081813</c:v>
                </c:pt>
                <c:pt idx="9">
                  <c:v>0.21736158572976358</c:v>
                </c:pt>
                <c:pt idx="10">
                  <c:v>0.18002207639339471</c:v>
                </c:pt>
                <c:pt idx="11">
                  <c:v>0.14874867545032727</c:v>
                </c:pt>
                <c:pt idx="12">
                  <c:v>-2.6030326319788116E-2</c:v>
                </c:pt>
                <c:pt idx="13">
                  <c:v>-0.42654745416202061</c:v>
                </c:pt>
                <c:pt idx="14">
                  <c:v>-0.58366629513081125</c:v>
                </c:pt>
                <c:pt idx="15">
                  <c:v>-0.60114358544547297</c:v>
                </c:pt>
                <c:pt idx="16">
                  <c:v>-0.46944740864258583</c:v>
                </c:pt>
                <c:pt idx="17">
                  <c:v>-0.27051619815416361</c:v>
                </c:pt>
                <c:pt idx="18">
                  <c:v>-8.2809641668863662E-2</c:v>
                </c:pt>
                <c:pt idx="19">
                  <c:v>-5.2553148068234384E-2</c:v>
                </c:pt>
                <c:pt idx="20">
                  <c:v>0.95356393536656459</c:v>
                </c:pt>
                <c:pt idx="21">
                  <c:v>0.93236308034009885</c:v>
                </c:pt>
                <c:pt idx="22">
                  <c:v>0.95577204138206651</c:v>
                </c:pt>
                <c:pt idx="23">
                  <c:v>-0.47985108441524954</c:v>
                </c:pt>
                <c:pt idx="24">
                  <c:v>0.13748776180239677</c:v>
                </c:pt>
                <c:pt idx="25">
                  <c:v>-1.2188305356065412</c:v>
                </c:pt>
                <c:pt idx="26">
                  <c:v>-1.3158590956015745</c:v>
                </c:pt>
                <c:pt idx="27">
                  <c:v>0.93033595026532268</c:v>
                </c:pt>
                <c:pt idx="28">
                  <c:v>3.0146567003208873E-2</c:v>
                </c:pt>
                <c:pt idx="29">
                  <c:v>0.68117264914133924</c:v>
                </c:pt>
                <c:pt idx="30">
                  <c:v>-1.8340189083122596</c:v>
                </c:pt>
                <c:pt idx="31">
                  <c:v>0.46789019412177074</c:v>
                </c:pt>
                <c:pt idx="32">
                  <c:v>-6.4029471491034121E-2</c:v>
                </c:pt>
                <c:pt idx="33">
                  <c:v>-9.0046063209799965E-2</c:v>
                </c:pt>
                <c:pt idx="34">
                  <c:v>-1.0523794906142148</c:v>
                </c:pt>
                <c:pt idx="35">
                  <c:v>0.10998015305872363</c:v>
                </c:pt>
                <c:pt idx="36">
                  <c:v>0.99318187599128416</c:v>
                </c:pt>
                <c:pt idx="37">
                  <c:v>1.5889488907470769E-2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0-4D19-A87F-1D990FD4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33840"/>
        <c:axId val="568034168"/>
      </c:lineChart>
      <c:catAx>
        <c:axId val="5680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4168"/>
        <c:crosses val="autoZero"/>
        <c:auto val="1"/>
        <c:lblAlgn val="ctr"/>
        <c:lblOffset val="100"/>
        <c:noMultiLvlLbl val="0"/>
      </c:catAx>
      <c:valAx>
        <c:axId val="5680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ProdBiomass_yr1</a:t>
            </a:r>
          </a:p>
          <a:p>
            <a:pPr>
              <a:defRPr/>
            </a:pPr>
            <a:r>
              <a:rPr lang="en-US"/>
              <a:t> vs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'Production Model_with lags'!$B$15:$B$52</c:f>
              <c:numCache>
                <c:formatCode>General</c:formatCode>
                <c:ptCount val="38"/>
                <c:pt idx="0">
                  <c:v>298.19387944135718</c:v>
                </c:pt>
                <c:pt idx="1">
                  <c:v>264.4304330982884</c:v>
                </c:pt>
                <c:pt idx="2">
                  <c:v>269.65763852954149</c:v>
                </c:pt>
                <c:pt idx="3">
                  <c:v>298.41101047751999</c:v>
                </c:pt>
                <c:pt idx="4">
                  <c:v>326.20425640503447</c:v>
                </c:pt>
                <c:pt idx="5">
                  <c:v>379.64228745657783</c:v>
                </c:pt>
                <c:pt idx="6">
                  <c:v>556.79051034036013</c:v>
                </c:pt>
                <c:pt idx="7">
                  <c:v>1520.2165286801992</c:v>
                </c:pt>
                <c:pt idx="8">
                  <c:v>1532.5481332957461</c:v>
                </c:pt>
                <c:pt idx="9">
                  <c:v>1359.6648215104003</c:v>
                </c:pt>
                <c:pt idx="10">
                  <c:v>1420.8548952270128</c:v>
                </c:pt>
                <c:pt idx="11">
                  <c:v>1314.3708076488126</c:v>
                </c:pt>
                <c:pt idx="12">
                  <c:v>1220.2777588621996</c:v>
                </c:pt>
                <c:pt idx="13">
                  <c:v>981.88396508074436</c:v>
                </c:pt>
                <c:pt idx="14">
                  <c:v>530.91003460099205</c:v>
                </c:pt>
                <c:pt idx="15">
                  <c:v>291.56239128700702</c:v>
                </c:pt>
                <c:pt idx="16">
                  <c:v>187.57316094947515</c:v>
                </c:pt>
                <c:pt idx="17">
                  <c:v>108.02850099594789</c:v>
                </c:pt>
                <c:pt idx="18">
                  <c:v>61.169452350147466</c:v>
                </c:pt>
                <c:pt idx="19">
                  <c:v>18.664664135144758</c:v>
                </c:pt>
                <c:pt idx="20">
                  <c:v>13.843492512459122</c:v>
                </c:pt>
                <c:pt idx="21">
                  <c:v>44.668685306187072</c:v>
                </c:pt>
                <c:pt idx="22">
                  <c:v>140.40120142956326</c:v>
                </c:pt>
                <c:pt idx="23">
                  <c:v>444.68880354757721</c:v>
                </c:pt>
                <c:pt idx="24">
                  <c:v>318.23178199151482</c:v>
                </c:pt>
                <c:pt idx="25">
                  <c:v>312.68617868015701</c:v>
                </c:pt>
                <c:pt idx="26">
                  <c:v>109.33825139359787</c:v>
                </c:pt>
                <c:pt idx="27">
                  <c:v>35.903328790920504</c:v>
                </c:pt>
                <c:pt idx="28">
                  <c:v>112.78301619489152</c:v>
                </c:pt>
                <c:pt idx="29">
                  <c:v>142.20731695390467</c:v>
                </c:pt>
                <c:pt idx="30">
                  <c:v>342.15276981664164</c:v>
                </c:pt>
                <c:pt idx="31">
                  <c:v>64.345436648897191</c:v>
                </c:pt>
                <c:pt idx="32">
                  <c:v>126.69763793839411</c:v>
                </c:pt>
                <c:pt idx="33">
                  <c:v>145.05967996877928</c:v>
                </c:pt>
                <c:pt idx="34">
                  <c:v>161.32549879619572</c:v>
                </c:pt>
                <c:pt idx="35">
                  <c:v>68.351468594550198</c:v>
                </c:pt>
                <c:pt idx="36">
                  <c:v>94.031834109605313</c:v>
                </c:pt>
                <c:pt idx="37">
                  <c:v>311.55727556494787</c:v>
                </c:pt>
              </c:numCache>
            </c:numRef>
          </c:xVal>
          <c:yVal>
            <c:numRef>
              <c:f>'Production Model_with lags'!$AA$15:$AA$52</c:f>
              <c:numCache>
                <c:formatCode>General</c:formatCode>
                <c:ptCount val="38"/>
                <c:pt idx="0">
                  <c:v>-0.11322649011549782</c:v>
                </c:pt>
                <c:pt idx="1">
                  <c:v>1.9767790605668061E-2</c:v>
                </c:pt>
                <c:pt idx="2">
                  <c:v>0.10662917655428672</c:v>
                </c:pt>
                <c:pt idx="3">
                  <c:v>9.3137467960848611E-2</c:v>
                </c:pt>
                <c:pt idx="4">
                  <c:v>0.16381770011361085</c:v>
                </c:pt>
                <c:pt idx="5">
                  <c:v>0.46661878493723885</c:v>
                </c:pt>
                <c:pt idx="6">
                  <c:v>1.7303204714299225</c:v>
                </c:pt>
                <c:pt idx="7">
                  <c:v>8.1117422307286566E-3</c:v>
                </c:pt>
                <c:pt idx="8">
                  <c:v>-0.11280775332880413</c:v>
                </c:pt>
                <c:pt idx="9">
                  <c:v>4.5003792661664009E-2</c:v>
                </c:pt>
                <c:pt idx="10">
                  <c:v>-7.4943675062038612E-2</c:v>
                </c:pt>
                <c:pt idx="11">
                  <c:v>-7.1587902165089645E-2</c:v>
                </c:pt>
                <c:pt idx="12">
                  <c:v>-0.19536027109412876</c:v>
                </c:pt>
                <c:pt idx="13">
                  <c:v>-0.45929452615377708</c:v>
                </c:pt>
                <c:pt idx="14">
                  <c:v>-0.45082523914596545</c:v>
                </c:pt>
                <c:pt idx="15">
                  <c:v>-0.35666201624463756</c:v>
                </c:pt>
                <c:pt idx="16">
                  <c:v>-0.42407271675159042</c:v>
                </c:pt>
                <c:pt idx="17">
                  <c:v>-0.43376561012873899</c:v>
                </c:pt>
                <c:pt idx="18">
                  <c:v>-0.69486952362587617</c:v>
                </c:pt>
                <c:pt idx="19">
                  <c:v>-0.25830476175607026</c:v>
                </c:pt>
                <c:pt idx="20">
                  <c:v>2.226691910728837</c:v>
                </c:pt>
                <c:pt idx="21">
                  <c:v>2.1431684292287922</c:v>
                </c:pt>
                <c:pt idx="22">
                  <c:v>2.1672720676159569</c:v>
                </c:pt>
                <c:pt idx="23">
                  <c:v>-0.28437194853396563</c:v>
                </c:pt>
                <c:pt idx="24">
                  <c:v>-1.7426302541666546E-2</c:v>
                </c:pt>
                <c:pt idx="25">
                  <c:v>-0.65032592148743906</c:v>
                </c:pt>
                <c:pt idx="26">
                  <c:v>-0.67163066599926657</c:v>
                </c:pt>
                <c:pt idx="27">
                  <c:v>2.1412969212875024</c:v>
                </c:pt>
                <c:pt idx="28">
                  <c:v>0.26089301165848688</c:v>
                </c:pt>
                <c:pt idx="29">
                  <c:v>1.4060138194404417</c:v>
                </c:pt>
                <c:pt idx="30">
                  <c:v>-0.8119394541701952</c:v>
                </c:pt>
                <c:pt idx="31">
                  <c:v>0.96902289481262793</c:v>
                </c:pt>
                <c:pt idx="32">
                  <c:v>0.14492805334945227</c:v>
                </c:pt>
                <c:pt idx="33">
                  <c:v>0.1121319089557986</c:v>
                </c:pt>
                <c:pt idx="34">
                  <c:v>-0.57631329762135519</c:v>
                </c:pt>
                <c:pt idx="35">
                  <c:v>0.37571051570796332</c:v>
                </c:pt>
                <c:pt idx="36">
                  <c:v>2.313317011362245</c:v>
                </c:pt>
                <c:pt idx="3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C-4EB4-8D8A-B599EFE4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7048"/>
        <c:axId val="565404424"/>
      </c:scatterChart>
      <c:valAx>
        <c:axId val="56540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4424"/>
        <c:crosses val="autoZero"/>
        <c:crossBetween val="midCat"/>
      </c:valAx>
      <c:valAx>
        <c:axId val="5654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'Production Model_with lags'!$C$14</c:f>
              <c:strCache>
                <c:ptCount val="1"/>
                <c:pt idx="0">
                  <c:v>predBiomass_yr2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'Production Model_with lags'!$A$15:$A$52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'Production Model_with lags'!$C$15:$C$52</c:f>
              <c:numCache>
                <c:formatCode>General</c:formatCode>
                <c:ptCount val="38"/>
                <c:pt idx="0">
                  <c:v>125.93813896725894</c:v>
                </c:pt>
                <c:pt idx="1">
                  <c:v>125.93813896725894</c:v>
                </c:pt>
                <c:pt idx="2">
                  <c:v>393.49446374804029</c:v>
                </c:pt>
                <c:pt idx="3">
                  <c:v>306.35471591617704</c:v>
                </c:pt>
                <c:pt idx="4">
                  <c:v>89.315526479879523</c:v>
                </c:pt>
                <c:pt idx="5">
                  <c:v>333.70778144386594</c:v>
                </c:pt>
                <c:pt idx="6">
                  <c:v>306.82965811907894</c:v>
                </c:pt>
                <c:pt idx="7">
                  <c:v>211.90087120261182</c:v>
                </c:pt>
                <c:pt idx="8">
                  <c:v>297.93484147443093</c:v>
                </c:pt>
                <c:pt idx="9">
                  <c:v>330.32757876832045</c:v>
                </c:pt>
                <c:pt idx="10">
                  <c:v>153.45944283014822</c:v>
                </c:pt>
                <c:pt idx="11">
                  <c:v>100.44014705798271</c:v>
                </c:pt>
                <c:pt idx="12">
                  <c:v>154.54509672828092</c:v>
                </c:pt>
                <c:pt idx="13">
                  <c:v>73.863697377631183</c:v>
                </c:pt>
                <c:pt idx="14">
                  <c:v>209.62543944055042</c:v>
                </c:pt>
                <c:pt idx="15">
                  <c:v>40.080909133887168</c:v>
                </c:pt>
                <c:pt idx="16">
                  <c:v>382.30667052290596</c:v>
                </c:pt>
                <c:pt idx="17">
                  <c:v>154.56670922244177</c:v>
                </c:pt>
                <c:pt idx="18">
                  <c:v>114.08805657416704</c:v>
                </c:pt>
                <c:pt idx="19">
                  <c:v>375.25218099584305</c:v>
                </c:pt>
                <c:pt idx="20">
                  <c:v>307.71098419445178</c:v>
                </c:pt>
                <c:pt idx="21">
                  <c:v>188.74379442854021</c:v>
                </c:pt>
                <c:pt idx="22">
                  <c:v>386.92733369840636</c:v>
                </c:pt>
                <c:pt idx="23">
                  <c:v>470.165654946411</c:v>
                </c:pt>
                <c:pt idx="24">
                  <c:v>163.05465566539763</c:v>
                </c:pt>
                <c:pt idx="25">
                  <c:v>0.1</c:v>
                </c:pt>
                <c:pt idx="26">
                  <c:v>338.8602125188545</c:v>
                </c:pt>
                <c:pt idx="27">
                  <c:v>0.43527714510453935</c:v>
                </c:pt>
                <c:pt idx="28">
                  <c:v>325.6296137227003</c:v>
                </c:pt>
                <c:pt idx="29">
                  <c:v>1.9018213328609606</c:v>
                </c:pt>
                <c:pt idx="30">
                  <c:v>400.69374359359341</c:v>
                </c:pt>
                <c:pt idx="31">
                  <c:v>8.2987817665511336</c:v>
                </c:pt>
                <c:pt idx="32">
                  <c:v>114.63019019017941</c:v>
                </c:pt>
                <c:pt idx="33">
                  <c:v>35.611318061952915</c:v>
                </c:pt>
                <c:pt idx="34">
                  <c:v>379.84928215632652</c:v>
                </c:pt>
                <c:pt idx="35">
                  <c:v>142.12770443143333</c:v>
                </c:pt>
                <c:pt idx="36">
                  <c:v>185.94694236433895</c:v>
                </c:pt>
                <c:pt idx="37">
                  <c:v>415.17618248878529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3-4495-BF70-43ABA74201DE}"/>
            </c:ext>
          </c:extLst>
        </c:ser>
        <c:ser>
          <c:idx val="0"/>
          <c:order val="1"/>
          <c:tx>
            <c:strRef>
              <c:f>'Production Model_with lags'!$I$14</c:f>
              <c:strCache>
                <c:ptCount val="1"/>
                <c:pt idx="0">
                  <c:v>obsBiomass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'Production Model_with lags'!$A$15:$A$52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'Production Model_with lags'!$I$15:$I$52</c:f>
              <c:numCache>
                <c:formatCode>General</c:formatCode>
                <c:ptCount val="38"/>
                <c:pt idx="0">
                  <c:v>305</c:v>
                </c:pt>
                <c:pt idx="1">
                  <c:v>256</c:v>
                </c:pt>
                <c:pt idx="2">
                  <c:v>265.5</c:v>
                </c:pt>
                <c:pt idx="3">
                  <c:v>315.5</c:v>
                </c:pt>
                <c:pt idx="4">
                  <c:v>310.5</c:v>
                </c:pt>
                <c:pt idx="5">
                  <c:v>333.5</c:v>
                </c:pt>
                <c:pt idx="6">
                  <c:v>460</c:v>
                </c:pt>
                <c:pt idx="7" formatCode="#,##0.00">
                  <c:v>2060</c:v>
                </c:pt>
                <c:pt idx="8" formatCode="#,##0.00">
                  <c:v>1545</c:v>
                </c:pt>
                <c:pt idx="9" formatCode="#,##0.00">
                  <c:v>1360</c:v>
                </c:pt>
                <c:pt idx="10" formatCode="#,##0.00">
                  <c:v>1490</c:v>
                </c:pt>
                <c:pt idx="11" formatCode="#,##0.00">
                  <c:v>1320</c:v>
                </c:pt>
                <c:pt idx="12" formatCode="#,##0.00">
                  <c:v>1290</c:v>
                </c:pt>
                <c:pt idx="13" formatCode="#,##0.00">
                  <c:v>1140</c:v>
                </c:pt>
                <c:pt idx="14">
                  <c:v>560</c:v>
                </c:pt>
                <c:pt idx="20">
                  <c:v>10</c:v>
                </c:pt>
                <c:pt idx="21">
                  <c:v>45</c:v>
                </c:pt>
                <c:pt idx="23">
                  <c:v>693</c:v>
                </c:pt>
                <c:pt idx="24">
                  <c:v>264</c:v>
                </c:pt>
                <c:pt idx="25">
                  <c:v>462.5</c:v>
                </c:pt>
                <c:pt idx="26">
                  <c:v>111.6</c:v>
                </c:pt>
                <c:pt idx="27">
                  <c:v>17.5</c:v>
                </c:pt>
                <c:pt idx="28">
                  <c:v>145.5</c:v>
                </c:pt>
                <c:pt idx="29">
                  <c:v>119.6</c:v>
                </c:pt>
                <c:pt idx="30">
                  <c:v>736.5</c:v>
                </c:pt>
                <c:pt idx="31">
                  <c:v>31.3</c:v>
                </c:pt>
                <c:pt idx="32">
                  <c:v>148.30000000000001</c:v>
                </c:pt>
                <c:pt idx="34">
                  <c:v>217.4</c:v>
                </c:pt>
                <c:pt idx="35">
                  <c:v>43.9</c:v>
                </c:pt>
                <c:pt idx="36">
                  <c:v>76.400000000000006</c:v>
                </c:pt>
                <c:pt idx="37">
                  <c:v>427.6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3-4495-BF70-43ABA742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81640"/>
        <c:axId val="559585576"/>
      </c:lineChart>
      <c:catAx>
        <c:axId val="5595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85576"/>
        <c:crosses val="autoZero"/>
        <c:auto val="1"/>
        <c:lblAlgn val="ctr"/>
        <c:lblOffset val="100"/>
        <c:noMultiLvlLbl val="0"/>
      </c:catAx>
      <c:valAx>
        <c:axId val="5595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'Production Model_with lags'!$F$14</c:f>
              <c:strCache>
                <c:ptCount val="1"/>
                <c:pt idx="0">
                  <c:v>proc_dev_yr2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'Production Model_with lags'!$A$15:$A$52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'Production Model_with lags'!$F$15:$F$52</c:f>
              <c:numCache>
                <c:formatCode>General</c:formatCode>
                <c:ptCount val="38"/>
                <c:pt idx="0">
                  <c:v>0.21278053147628789</c:v>
                </c:pt>
                <c:pt idx="1">
                  <c:v>-2.9651995861924303E-2</c:v>
                </c:pt>
                <c:pt idx="2">
                  <c:v>0.14719059958006295</c:v>
                </c:pt>
                <c:pt idx="3">
                  <c:v>-4.9805096769057464E-2</c:v>
                </c:pt>
                <c:pt idx="4">
                  <c:v>0.27765346973838179</c:v>
                </c:pt>
                <c:pt idx="5">
                  <c:v>-8.2530987745302736E-2</c:v>
                </c:pt>
                <c:pt idx="6">
                  <c:v>5.7174556223863082E-2</c:v>
                </c:pt>
                <c:pt idx="7">
                  <c:v>-0.13655582661710433</c:v>
                </c:pt>
                <c:pt idx="8">
                  <c:v>0.20071417943117706</c:v>
                </c:pt>
                <c:pt idx="9">
                  <c:v>-0.25184134647172407</c:v>
                </c:pt>
                <c:pt idx="10">
                  <c:v>7.972176845547739E-2</c:v>
                </c:pt>
                <c:pt idx="11">
                  <c:v>-9.8791836105652023E-2</c:v>
                </c:pt>
                <c:pt idx="12">
                  <c:v>6.3403279979785718E-2</c:v>
                </c:pt>
                <c:pt idx="13">
                  <c:v>5.1042049751024263E-2</c:v>
                </c:pt>
                <c:pt idx="14">
                  <c:v>6.1301668930950251E-2</c:v>
                </c:pt>
                <c:pt idx="15">
                  <c:v>5.1769035936870877E-2</c:v>
                </c:pt>
                <c:pt idx="16">
                  <c:v>6.4519964855722756E-2</c:v>
                </c:pt>
                <c:pt idx="17">
                  <c:v>5.1063180147644494E-2</c:v>
                </c:pt>
                <c:pt idx="18">
                  <c:v>5.401990339476137E-2</c:v>
                </c:pt>
                <c:pt idx="19">
                  <c:v>7.4841072905101433E-2</c:v>
                </c:pt>
                <c:pt idx="20">
                  <c:v>9.0208756200444731E-2</c:v>
                </c:pt>
                <c:pt idx="21">
                  <c:v>7.5299106142085293E-2</c:v>
                </c:pt>
                <c:pt idx="22">
                  <c:v>0.11493778165871486</c:v>
                </c:pt>
                <c:pt idx="23">
                  <c:v>5.0073265873202995E-2</c:v>
                </c:pt>
                <c:pt idx="24">
                  <c:v>7.6185618428053423E-2</c:v>
                </c:pt>
                <c:pt idx="25">
                  <c:v>4.7246094741314644E-2</c:v>
                </c:pt>
                <c:pt idx="26">
                  <c:v>0.12872245202237928</c:v>
                </c:pt>
                <c:pt idx="27">
                  <c:v>5.1806323015092734E-2</c:v>
                </c:pt>
                <c:pt idx="28">
                  <c:v>0.23373160666705639</c:v>
                </c:pt>
                <c:pt idx="29">
                  <c:v>5.3975551054775341E-2</c:v>
                </c:pt>
                <c:pt idx="30">
                  <c:v>0.17037763335012182</c:v>
                </c:pt>
                <c:pt idx="31">
                  <c:v>5.2453625962788616E-2</c:v>
                </c:pt>
                <c:pt idx="32">
                  <c:v>8.8232004500303829E-2</c:v>
                </c:pt>
                <c:pt idx="33">
                  <c:v>4.7684128767346838E-2</c:v>
                </c:pt>
                <c:pt idx="34">
                  <c:v>9.5930310534804414E-2</c:v>
                </c:pt>
                <c:pt idx="35">
                  <c:v>5.478699577631907E-2</c:v>
                </c:pt>
                <c:pt idx="36">
                  <c:v>5.6565993645472032E-2</c:v>
                </c:pt>
                <c:pt idx="37">
                  <c:v>5.3549481948669431E-2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7-4C6F-88ED-95FABE6A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33840"/>
        <c:axId val="568034168"/>
      </c:lineChart>
      <c:catAx>
        <c:axId val="5680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4168"/>
        <c:crosses val="autoZero"/>
        <c:auto val="1"/>
        <c:lblAlgn val="ctr"/>
        <c:lblOffset val="100"/>
        <c:noMultiLvlLbl val="0"/>
      </c:catAx>
      <c:valAx>
        <c:axId val="5680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ProdBiomass_yr2</a:t>
            </a:r>
          </a:p>
          <a:p>
            <a:pPr>
              <a:defRPr/>
            </a:pPr>
            <a:r>
              <a:rPr lang="en-US"/>
              <a:t> vs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'Production Model_with lags'!$B$15:$B$52</c:f>
              <c:numCache>
                <c:formatCode>General</c:formatCode>
                <c:ptCount val="38"/>
                <c:pt idx="0">
                  <c:v>298.19387944135718</c:v>
                </c:pt>
                <c:pt idx="1">
                  <c:v>264.4304330982884</c:v>
                </c:pt>
                <c:pt idx="2">
                  <c:v>269.65763852954149</c:v>
                </c:pt>
                <c:pt idx="3">
                  <c:v>298.41101047751999</c:v>
                </c:pt>
                <c:pt idx="4">
                  <c:v>326.20425640503447</c:v>
                </c:pt>
                <c:pt idx="5">
                  <c:v>379.64228745657783</c:v>
                </c:pt>
                <c:pt idx="6">
                  <c:v>556.79051034036013</c:v>
                </c:pt>
                <c:pt idx="7">
                  <c:v>1520.2165286801992</c:v>
                </c:pt>
                <c:pt idx="8">
                  <c:v>1532.5481332957461</c:v>
                </c:pt>
                <c:pt idx="9">
                  <c:v>1359.6648215104003</c:v>
                </c:pt>
                <c:pt idx="10">
                  <c:v>1420.8548952270128</c:v>
                </c:pt>
                <c:pt idx="11">
                  <c:v>1314.3708076488126</c:v>
                </c:pt>
                <c:pt idx="12">
                  <c:v>1220.2777588621996</c:v>
                </c:pt>
                <c:pt idx="13">
                  <c:v>981.88396508074436</c:v>
                </c:pt>
                <c:pt idx="14">
                  <c:v>530.91003460099205</c:v>
                </c:pt>
                <c:pt idx="15">
                  <c:v>291.56239128700702</c:v>
                </c:pt>
                <c:pt idx="16">
                  <c:v>187.57316094947515</c:v>
                </c:pt>
                <c:pt idx="17">
                  <c:v>108.02850099594789</c:v>
                </c:pt>
                <c:pt idx="18">
                  <c:v>61.169452350147466</c:v>
                </c:pt>
                <c:pt idx="19">
                  <c:v>18.664664135144758</c:v>
                </c:pt>
                <c:pt idx="20">
                  <c:v>13.843492512459122</c:v>
                </c:pt>
                <c:pt idx="21">
                  <c:v>44.668685306187072</c:v>
                </c:pt>
                <c:pt idx="22">
                  <c:v>140.40120142956326</c:v>
                </c:pt>
                <c:pt idx="23">
                  <c:v>444.68880354757721</c:v>
                </c:pt>
                <c:pt idx="24">
                  <c:v>318.23178199151482</c:v>
                </c:pt>
                <c:pt idx="25">
                  <c:v>312.68617868015701</c:v>
                </c:pt>
                <c:pt idx="26">
                  <c:v>109.33825139359787</c:v>
                </c:pt>
                <c:pt idx="27">
                  <c:v>35.903328790920504</c:v>
                </c:pt>
                <c:pt idx="28">
                  <c:v>112.78301619489152</c:v>
                </c:pt>
                <c:pt idx="29">
                  <c:v>142.20731695390467</c:v>
                </c:pt>
                <c:pt idx="30">
                  <c:v>342.15276981664164</c:v>
                </c:pt>
                <c:pt idx="31">
                  <c:v>64.345436648897191</c:v>
                </c:pt>
                <c:pt idx="32">
                  <c:v>126.69763793839411</c:v>
                </c:pt>
                <c:pt idx="33">
                  <c:v>145.05967996877928</c:v>
                </c:pt>
                <c:pt idx="34">
                  <c:v>161.32549879619572</c:v>
                </c:pt>
                <c:pt idx="35">
                  <c:v>68.351468594550198</c:v>
                </c:pt>
                <c:pt idx="36">
                  <c:v>94.031834109605313</c:v>
                </c:pt>
                <c:pt idx="37">
                  <c:v>311.55727556494787</c:v>
                </c:pt>
              </c:numCache>
            </c:numRef>
          </c:xVal>
          <c:yVal>
            <c:numRef>
              <c:f>'Production Model_with lags'!$AC$15:$AC$52</c:f>
              <c:numCache>
                <c:formatCode>General</c:formatCode>
                <c:ptCount val="38"/>
                <c:pt idx="0">
                  <c:v>0</c:v>
                </c:pt>
                <c:pt idx="1">
                  <c:v>2.1245059437502083</c:v>
                </c:pt>
                <c:pt idx="2">
                  <c:v>-0.2214510135717182</c:v>
                </c:pt>
                <c:pt idx="3">
                  <c:v>-0.70845715166233159</c:v>
                </c:pt>
                <c:pt idx="4">
                  <c:v>2.7362796212038418</c:v>
                </c:pt>
                <c:pt idx="5">
                  <c:v>-8.0543891450455291E-2</c:v>
                </c:pt>
                <c:pt idx="6">
                  <c:v>-0.30938595538122904</c:v>
                </c:pt>
                <c:pt idx="7">
                  <c:v>0.40601046037963939</c:v>
                </c:pt>
                <c:pt idx="8">
                  <c:v>0.10872423357262666</c:v>
                </c:pt>
                <c:pt idx="9">
                  <c:v>-0.53543254425698739</c:v>
                </c:pt>
                <c:pt idx="10">
                  <c:v>-0.34549386335807469</c:v>
                </c:pt>
                <c:pt idx="11">
                  <c:v>0.53867851904940134</c:v>
                </c:pt>
                <c:pt idx="12">
                  <c:v>-0.52205732215822209</c:v>
                </c:pt>
                <c:pt idx="13">
                  <c:v>1.8380036050569166</c:v>
                </c:pt>
                <c:pt idx="14">
                  <c:v>-0.80879749499461839</c:v>
                </c:pt>
                <c:pt idx="15">
                  <c:v>8.5383732251641344</c:v>
                </c:pt>
                <c:pt idx="16">
                  <c:v>-0.59569968002119678</c:v>
                </c:pt>
                <c:pt idx="17">
                  <c:v>-0.26188467653808067</c:v>
                </c:pt>
                <c:pt idx="18">
                  <c:v>2.2891451766635789</c:v>
                </c:pt>
                <c:pt idx="19">
                  <c:v>-0.17998881877821643</c:v>
                </c:pt>
                <c:pt idx="20">
                  <c:v>-0.38661989944022485</c:v>
                </c:pt>
                <c:pt idx="21">
                  <c:v>1.0500135375041424</c:v>
                </c:pt>
                <c:pt idx="22">
                  <c:v>0.2151264953353888</c:v>
                </c:pt>
                <c:pt idx="23">
                  <c:v>-0.65319743381940054</c:v>
                </c:pt>
                <c:pt idx="24">
                  <c:v>-0.99938670871069635</c:v>
                </c:pt>
                <c:pt idx="25">
                  <c:v>3387.6021251885445</c:v>
                </c:pt>
                <c:pt idx="26">
                  <c:v>-0.99871546694175461</c:v>
                </c:pt>
                <c:pt idx="27">
                  <c:v>747.0972005651588</c:v>
                </c:pt>
                <c:pt idx="28">
                  <c:v>-0.99415955658602817</c:v>
                </c:pt>
                <c:pt idx="29">
                  <c:v>209.68947785479887</c:v>
                </c:pt>
                <c:pt idx="30">
                  <c:v>-0.97928896595159154</c:v>
                </c:pt>
                <c:pt idx="31">
                  <c:v>12.812893677021975</c:v>
                </c:pt>
                <c:pt idx="32">
                  <c:v>-0.68933735516907646</c:v>
                </c:pt>
                <c:pt idx="33">
                  <c:v>9.6665325191138329</c:v>
                </c:pt>
                <c:pt idx="34">
                  <c:v>-0.62583132018940912</c:v>
                </c:pt>
                <c:pt idx="35">
                  <c:v>0.30830891210267408</c:v>
                </c:pt>
                <c:pt idx="36">
                  <c:v>1.2327669237781891</c:v>
                </c:pt>
                <c:pt idx="3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4-4BCB-A0E9-CE5865325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7048"/>
        <c:axId val="565404424"/>
      </c:scatterChart>
      <c:valAx>
        <c:axId val="56540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4424"/>
        <c:crosses val="autoZero"/>
        <c:crossBetween val="midCat"/>
      </c:valAx>
      <c:valAx>
        <c:axId val="5654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'Production Model_with lags'!$D$14</c:f>
              <c:strCache>
                <c:ptCount val="1"/>
                <c:pt idx="0">
                  <c:v>predBiomass_yr3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'Production Model_with lags'!$A$15:$A$52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'Production Model_with lags'!$D$15:$D$52</c:f>
              <c:numCache>
                <c:formatCode>General</c:formatCode>
                <c:ptCount val="38"/>
                <c:pt idx="0">
                  <c:v>571.38579420160363</c:v>
                </c:pt>
                <c:pt idx="1">
                  <c:v>571.38579420160363</c:v>
                </c:pt>
                <c:pt idx="2">
                  <c:v>571.38579420160363</c:v>
                </c:pt>
                <c:pt idx="3">
                  <c:v>394.22520489635832</c:v>
                </c:pt>
                <c:pt idx="4">
                  <c:v>490.40607066531629</c:v>
                </c:pt>
                <c:pt idx="5">
                  <c:v>512.99717477378988</c:v>
                </c:pt>
                <c:pt idx="6">
                  <c:v>556.18670029674843</c:v>
                </c:pt>
                <c:pt idx="7">
                  <c:v>1413.0000750481229</c:v>
                </c:pt>
                <c:pt idx="8">
                  <c:v>1216.712043676202</c:v>
                </c:pt>
                <c:pt idx="9">
                  <c:v>1070.4169400816882</c:v>
                </c:pt>
                <c:pt idx="10">
                  <c:v>1431.3443081854768</c:v>
                </c:pt>
                <c:pt idx="11">
                  <c:v>967.4497428920663</c:v>
                </c:pt>
                <c:pt idx="12">
                  <c:v>940.80353588365006</c:v>
                </c:pt>
                <c:pt idx="13">
                  <c:v>1085.0719587492526</c:v>
                </c:pt>
                <c:pt idx="14">
                  <c:v>416.06438196819806</c:v>
                </c:pt>
                <c:pt idx="15">
                  <c:v>345.05599745125483</c:v>
                </c:pt>
                <c:pt idx="16">
                  <c:v>709.91210416858723</c:v>
                </c:pt>
                <c:pt idx="17">
                  <c:v>97.554881900521835</c:v>
                </c:pt>
                <c:pt idx="18">
                  <c:v>165.77776930942861</c:v>
                </c:pt>
                <c:pt idx="19">
                  <c:v>546.14494481046017</c:v>
                </c:pt>
                <c:pt idx="20">
                  <c:v>25.658169239364369</c:v>
                </c:pt>
                <c:pt idx="21">
                  <c:v>68.722164675358471</c:v>
                </c:pt>
                <c:pt idx="22">
                  <c:v>444.25109178415579</c:v>
                </c:pt>
                <c:pt idx="23">
                  <c:v>264.30043338837089</c:v>
                </c:pt>
                <c:pt idx="24">
                  <c:v>154.86117913603866</c:v>
                </c:pt>
                <c:pt idx="25">
                  <c:v>369.56237233028173</c:v>
                </c:pt>
                <c:pt idx="26">
                  <c:v>129.16202844378395</c:v>
                </c:pt>
                <c:pt idx="27">
                  <c:v>38.480439853889635</c:v>
                </c:pt>
                <c:pt idx="28">
                  <c:v>147.47783472787646</c:v>
                </c:pt>
                <c:pt idx="29">
                  <c:v>130.69803541523751</c:v>
                </c:pt>
                <c:pt idx="30">
                  <c:v>315.67844504770346</c:v>
                </c:pt>
                <c:pt idx="31">
                  <c:v>60.17068834819284</c:v>
                </c:pt>
                <c:pt idx="32">
                  <c:v>121.15922125932858</c:v>
                </c:pt>
                <c:pt idx="33">
                  <c:v>173.46272391088337</c:v>
                </c:pt>
                <c:pt idx="34">
                  <c:v>185.95975065958893</c:v>
                </c:pt>
                <c:pt idx="35">
                  <c:v>56.588947585994795</c:v>
                </c:pt>
                <c:pt idx="36">
                  <c:v>94.988528071957646</c:v>
                </c:pt>
                <c:pt idx="37">
                  <c:v>351.5061175627763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4-4661-86A2-F7587D9CC3F5}"/>
            </c:ext>
          </c:extLst>
        </c:ser>
        <c:ser>
          <c:idx val="0"/>
          <c:order val="1"/>
          <c:tx>
            <c:strRef>
              <c:f>'Production Model_with lags'!$I$14</c:f>
              <c:strCache>
                <c:ptCount val="1"/>
                <c:pt idx="0">
                  <c:v>obsBiomass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'Production Model_with lags'!$A$15:$A$52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'Production Model_with lags'!$I$15:$I$52</c:f>
              <c:numCache>
                <c:formatCode>General</c:formatCode>
                <c:ptCount val="38"/>
                <c:pt idx="0">
                  <c:v>305</c:v>
                </c:pt>
                <c:pt idx="1">
                  <c:v>256</c:v>
                </c:pt>
                <c:pt idx="2">
                  <c:v>265.5</c:v>
                </c:pt>
                <c:pt idx="3">
                  <c:v>315.5</c:v>
                </c:pt>
                <c:pt idx="4">
                  <c:v>310.5</c:v>
                </c:pt>
                <c:pt idx="5">
                  <c:v>333.5</c:v>
                </c:pt>
                <c:pt idx="6">
                  <c:v>460</c:v>
                </c:pt>
                <c:pt idx="7" formatCode="#,##0.00">
                  <c:v>2060</c:v>
                </c:pt>
                <c:pt idx="8" formatCode="#,##0.00">
                  <c:v>1545</c:v>
                </c:pt>
                <c:pt idx="9" formatCode="#,##0.00">
                  <c:v>1360</c:v>
                </c:pt>
                <c:pt idx="10" formatCode="#,##0.00">
                  <c:v>1490</c:v>
                </c:pt>
                <c:pt idx="11" formatCode="#,##0.00">
                  <c:v>1320</c:v>
                </c:pt>
                <c:pt idx="12" formatCode="#,##0.00">
                  <c:v>1290</c:v>
                </c:pt>
                <c:pt idx="13" formatCode="#,##0.00">
                  <c:v>1140</c:v>
                </c:pt>
                <c:pt idx="14">
                  <c:v>560</c:v>
                </c:pt>
                <c:pt idx="20">
                  <c:v>10</c:v>
                </c:pt>
                <c:pt idx="21">
                  <c:v>45</c:v>
                </c:pt>
                <c:pt idx="23">
                  <c:v>693</c:v>
                </c:pt>
                <c:pt idx="24">
                  <c:v>264</c:v>
                </c:pt>
                <c:pt idx="25">
                  <c:v>462.5</c:v>
                </c:pt>
                <c:pt idx="26">
                  <c:v>111.6</c:v>
                </c:pt>
                <c:pt idx="27">
                  <c:v>17.5</c:v>
                </c:pt>
                <c:pt idx="28">
                  <c:v>145.5</c:v>
                </c:pt>
                <c:pt idx="29">
                  <c:v>119.6</c:v>
                </c:pt>
                <c:pt idx="30">
                  <c:v>736.5</c:v>
                </c:pt>
                <c:pt idx="31">
                  <c:v>31.3</c:v>
                </c:pt>
                <c:pt idx="32">
                  <c:v>148.30000000000001</c:v>
                </c:pt>
                <c:pt idx="34">
                  <c:v>217.4</c:v>
                </c:pt>
                <c:pt idx="35">
                  <c:v>43.9</c:v>
                </c:pt>
                <c:pt idx="36">
                  <c:v>76.400000000000006</c:v>
                </c:pt>
                <c:pt idx="37">
                  <c:v>427.6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4-4661-86A2-F7587D9C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81640"/>
        <c:axId val="559585576"/>
      </c:lineChart>
      <c:catAx>
        <c:axId val="5595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85576"/>
        <c:crosses val="autoZero"/>
        <c:auto val="1"/>
        <c:lblAlgn val="ctr"/>
        <c:lblOffset val="100"/>
        <c:noMultiLvlLbl val="0"/>
      </c:catAx>
      <c:valAx>
        <c:axId val="5595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proc_dev_yr3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'Production Model_with lags'!$F$14</c:f>
              <c:strCache>
                <c:ptCount val="1"/>
                <c:pt idx="0">
                  <c:v>proc_dev_yr2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'Production Model_with lags'!$A$15:$A$52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'Production Model_with lags'!$G$15:$G$52</c:f>
              <c:numCache>
                <c:formatCode>General</c:formatCode>
                <c:ptCount val="38"/>
                <c:pt idx="0">
                  <c:v>-0.27966473630262884</c:v>
                </c:pt>
                <c:pt idx="1">
                  <c:v>-5.6547324813434087E-2</c:v>
                </c:pt>
                <c:pt idx="2">
                  <c:v>-2.5099833326897452E-2</c:v>
                </c:pt>
                <c:pt idx="3">
                  <c:v>0.35729122051312168</c:v>
                </c:pt>
                <c:pt idx="4">
                  <c:v>1.1897541491271908</c:v>
                </c:pt>
                <c:pt idx="5">
                  <c:v>1.0068251642784474</c:v>
                </c:pt>
                <c:pt idx="6">
                  <c:v>0.79673833453972065</c:v>
                </c:pt>
                <c:pt idx="7">
                  <c:v>5.9013394235222977E-2</c:v>
                </c:pt>
                <c:pt idx="8">
                  <c:v>-3.8047769697698379E-3</c:v>
                </c:pt>
                <c:pt idx="9">
                  <c:v>5.2342439393207867E-2</c:v>
                </c:pt>
                <c:pt idx="10">
                  <c:v>-7.1874515414791895E-2</c:v>
                </c:pt>
                <c:pt idx="11">
                  <c:v>-0.5625681074549197</c:v>
                </c:pt>
                <c:pt idx="12">
                  <c:v>-0.74775267717213434</c:v>
                </c:pt>
                <c:pt idx="13">
                  <c:v>-0.20273633830502022</c:v>
                </c:pt>
                <c:pt idx="14">
                  <c:v>-1.2314176801048351</c:v>
                </c:pt>
                <c:pt idx="15">
                  <c:v>-0.72186748851643046</c:v>
                </c:pt>
                <c:pt idx="16">
                  <c:v>-0.18344716683305146</c:v>
                </c:pt>
                <c:pt idx="17">
                  <c:v>-0.57332222989609083</c:v>
                </c:pt>
                <c:pt idx="18">
                  <c:v>-0.47657976760833048</c:v>
                </c:pt>
                <c:pt idx="19">
                  <c:v>-0.19091267229658615</c:v>
                </c:pt>
                <c:pt idx="20">
                  <c:v>2.331478465784742</c:v>
                </c:pt>
                <c:pt idx="21">
                  <c:v>0.81174941317543681</c:v>
                </c:pt>
                <c:pt idx="22">
                  <c:v>-0.18444618371690177</c:v>
                </c:pt>
                <c:pt idx="23">
                  <c:v>-0.71655376093787881</c:v>
                </c:pt>
                <c:pt idx="24">
                  <c:v>-0.28869093540469759</c:v>
                </c:pt>
                <c:pt idx="25">
                  <c:v>-0.91908348773719983</c:v>
                </c:pt>
                <c:pt idx="26">
                  <c:v>1.1167477623650378E-2</c:v>
                </c:pt>
                <c:pt idx="27">
                  <c:v>2.1038394121120105</c:v>
                </c:pt>
                <c:pt idx="28">
                  <c:v>-0.89713082631905749</c:v>
                </c:pt>
                <c:pt idx="29">
                  <c:v>-7.6437133182433198E-2</c:v>
                </c:pt>
                <c:pt idx="30">
                  <c:v>-0.59925089792633746</c:v>
                </c:pt>
                <c:pt idx="31">
                  <c:v>1.1276294582381952</c:v>
                </c:pt>
                <c:pt idx="32">
                  <c:v>-0.76195340283775392</c:v>
                </c:pt>
                <c:pt idx="33">
                  <c:v>-0.60282188622978194</c:v>
                </c:pt>
                <c:pt idx="34">
                  <c:v>0.63609262607565609</c:v>
                </c:pt>
                <c:pt idx="35">
                  <c:v>-1.0504083914680624E-2</c:v>
                </c:pt>
                <c:pt idx="36">
                  <c:v>-9.3415271089732806E-3</c:v>
                </c:pt>
                <c:pt idx="37">
                  <c:v>-1.3233376973232921E-2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4-42E9-9378-8E4CF2C6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33840"/>
        <c:axId val="568034168"/>
      </c:lineChart>
      <c:catAx>
        <c:axId val="5680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4168"/>
        <c:crosses val="autoZero"/>
        <c:auto val="1"/>
        <c:lblAlgn val="ctr"/>
        <c:lblOffset val="100"/>
        <c:noMultiLvlLbl val="0"/>
      </c:catAx>
      <c:valAx>
        <c:axId val="5680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ProdBiomass_yr3</a:t>
            </a:r>
          </a:p>
          <a:p>
            <a:pPr>
              <a:defRPr/>
            </a:pPr>
            <a:r>
              <a:rPr lang="en-US"/>
              <a:t> vs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'Production Model_with lags'!$B$15:$B$52</c:f>
              <c:numCache>
                <c:formatCode>General</c:formatCode>
                <c:ptCount val="38"/>
                <c:pt idx="0">
                  <c:v>298.19387944135718</c:v>
                </c:pt>
                <c:pt idx="1">
                  <c:v>264.4304330982884</c:v>
                </c:pt>
                <c:pt idx="2">
                  <c:v>269.65763852954149</c:v>
                </c:pt>
                <c:pt idx="3">
                  <c:v>298.41101047751999</c:v>
                </c:pt>
                <c:pt idx="4">
                  <c:v>326.20425640503447</c:v>
                </c:pt>
                <c:pt idx="5">
                  <c:v>379.64228745657783</c:v>
                </c:pt>
                <c:pt idx="6">
                  <c:v>556.79051034036013</c:v>
                </c:pt>
                <c:pt idx="7">
                  <c:v>1520.2165286801992</c:v>
                </c:pt>
                <c:pt idx="8">
                  <c:v>1532.5481332957461</c:v>
                </c:pt>
                <c:pt idx="9">
                  <c:v>1359.6648215104003</c:v>
                </c:pt>
                <c:pt idx="10">
                  <c:v>1420.8548952270128</c:v>
                </c:pt>
                <c:pt idx="11">
                  <c:v>1314.3708076488126</c:v>
                </c:pt>
                <c:pt idx="12">
                  <c:v>1220.2777588621996</c:v>
                </c:pt>
                <c:pt idx="13">
                  <c:v>981.88396508074436</c:v>
                </c:pt>
                <c:pt idx="14">
                  <c:v>530.91003460099205</c:v>
                </c:pt>
                <c:pt idx="15">
                  <c:v>291.56239128700702</c:v>
                </c:pt>
                <c:pt idx="16">
                  <c:v>187.57316094947515</c:v>
                </c:pt>
                <c:pt idx="17">
                  <c:v>108.02850099594789</c:v>
                </c:pt>
                <c:pt idx="18">
                  <c:v>61.169452350147466</c:v>
                </c:pt>
                <c:pt idx="19">
                  <c:v>18.664664135144758</c:v>
                </c:pt>
                <c:pt idx="20">
                  <c:v>13.843492512459122</c:v>
                </c:pt>
                <c:pt idx="21">
                  <c:v>44.668685306187072</c:v>
                </c:pt>
                <c:pt idx="22">
                  <c:v>140.40120142956326</c:v>
                </c:pt>
                <c:pt idx="23">
                  <c:v>444.68880354757721</c:v>
                </c:pt>
                <c:pt idx="24">
                  <c:v>318.23178199151482</c:v>
                </c:pt>
                <c:pt idx="25">
                  <c:v>312.68617868015701</c:v>
                </c:pt>
                <c:pt idx="26">
                  <c:v>109.33825139359787</c:v>
                </c:pt>
                <c:pt idx="27">
                  <c:v>35.903328790920504</c:v>
                </c:pt>
                <c:pt idx="28">
                  <c:v>112.78301619489152</c:v>
                </c:pt>
                <c:pt idx="29">
                  <c:v>142.20731695390467</c:v>
                </c:pt>
                <c:pt idx="30">
                  <c:v>342.15276981664164</c:v>
                </c:pt>
                <c:pt idx="31">
                  <c:v>64.345436648897191</c:v>
                </c:pt>
                <c:pt idx="32">
                  <c:v>126.69763793839411</c:v>
                </c:pt>
                <c:pt idx="33">
                  <c:v>145.05967996877928</c:v>
                </c:pt>
                <c:pt idx="34">
                  <c:v>161.32549879619572</c:v>
                </c:pt>
                <c:pt idx="35">
                  <c:v>68.351468594550198</c:v>
                </c:pt>
                <c:pt idx="36">
                  <c:v>94.031834109605313</c:v>
                </c:pt>
                <c:pt idx="37">
                  <c:v>311.55727556494787</c:v>
                </c:pt>
              </c:numCache>
            </c:numRef>
          </c:xVal>
          <c:yVal>
            <c:numRef>
              <c:f>'Production Model_with lags'!$AE$15:$AE$52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-0.31005424199037268</c:v>
                </c:pt>
                <c:pt idx="3">
                  <c:v>0.2439744201394832</c:v>
                </c:pt>
                <c:pt idx="4">
                  <c:v>4.6066118385983776E-2</c:v>
                </c:pt>
                <c:pt idx="5">
                  <c:v>8.4190571891557306E-2</c:v>
                </c:pt>
                <c:pt idx="6">
                  <c:v>1.5405139574431199</c:v>
                </c:pt>
                <c:pt idx="7">
                  <c:v>-0.13891579684823147</c:v>
                </c:pt>
                <c:pt idx="8">
                  <c:v>-0.1202380664799655</c:v>
                </c:pt>
                <c:pt idx="9">
                  <c:v>0.33718390898806661</c:v>
                </c:pt>
                <c:pt idx="10">
                  <c:v>-0.32409711810115921</c:v>
                </c:pt>
                <c:pt idx="11">
                  <c:v>-2.7542729949734484E-2</c:v>
                </c:pt>
                <c:pt idx="12">
                  <c:v>0.15334596157751301</c:v>
                </c:pt>
                <c:pt idx="13">
                  <c:v>-0.6165559540882527</c:v>
                </c:pt>
                <c:pt idx="14">
                  <c:v>-0.17066681887316845</c:v>
                </c:pt>
                <c:pt idx="15">
                  <c:v>1.0573823072554323</c:v>
                </c:pt>
                <c:pt idx="16">
                  <c:v>-0.86258174592645775</c:v>
                </c:pt>
                <c:pt idx="17">
                  <c:v>0.69932827634884198</c:v>
                </c:pt>
                <c:pt idx="18">
                  <c:v>2.294440183901052</c:v>
                </c:pt>
                <c:pt idx="19">
                  <c:v>-0.95301948780599066</c:v>
                </c:pt>
                <c:pt idx="20">
                  <c:v>1.6783736608115432</c:v>
                </c:pt>
                <c:pt idx="21">
                  <c:v>5.4644513728981794</c:v>
                </c:pt>
                <c:pt idx="22">
                  <c:v>-0.40506520236806953</c:v>
                </c:pt>
                <c:pt idx="23">
                  <c:v>-0.41407141429661959</c:v>
                </c:pt>
                <c:pt idx="24">
                  <c:v>1.3864106833749317</c:v>
                </c:pt>
                <c:pt idx="25">
                  <c:v>-0.65050005597336491</c:v>
                </c:pt>
                <c:pt idx="26">
                  <c:v>-0.70207621916809915</c:v>
                </c:pt>
                <c:pt idx="27">
                  <c:v>2.8325402539017306</c:v>
                </c:pt>
                <c:pt idx="28">
                  <c:v>-0.11377844910457723</c:v>
                </c:pt>
                <c:pt idx="29">
                  <c:v>1.4153266270971039</c:v>
                </c:pt>
                <c:pt idx="30">
                  <c:v>-0.80939247106624523</c:v>
                </c:pt>
                <c:pt idx="31">
                  <c:v>1.0135920758993189</c:v>
                </c:pt>
                <c:pt idx="32">
                  <c:v>0.43169229801836251</c:v>
                </c:pt>
                <c:pt idx="33">
                  <c:v>7.2044451205124191E-2</c:v>
                </c:pt>
                <c:pt idx="34">
                  <c:v>-0.69569249590152205</c:v>
                </c:pt>
                <c:pt idx="35">
                  <c:v>0.67857032378291426</c:v>
                </c:pt>
                <c:pt idx="36">
                  <c:v>2.7005112585437288</c:v>
                </c:pt>
                <c:pt idx="3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9-4B26-82F7-134D0DCC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7048"/>
        <c:axId val="565404424"/>
      </c:scatterChart>
      <c:valAx>
        <c:axId val="56540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4424"/>
        <c:crosses val="autoZero"/>
        <c:crossBetween val="midCat"/>
      </c:valAx>
      <c:valAx>
        <c:axId val="5654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6</xdr:row>
      <xdr:rowOff>144780</xdr:rowOff>
    </xdr:from>
    <xdr:to>
      <xdr:col>21</xdr:col>
      <xdr:colOff>556260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13F74-918A-409F-9F38-5EDE33A64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274320</xdr:colOff>
      <xdr:row>22</xdr:row>
      <xdr:rowOff>3810</xdr:rowOff>
    </xdr:from>
    <xdr:to>
      <xdr:col>21</xdr:col>
      <xdr:colOff>579120</xdr:colOff>
      <xdr:row>37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64A4F-DA46-47D5-AB7F-D0CF6D002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274320</xdr:colOff>
      <xdr:row>37</xdr:row>
      <xdr:rowOff>57150</xdr:rowOff>
    </xdr:from>
    <xdr:to>
      <xdr:col>21</xdr:col>
      <xdr:colOff>579120</xdr:colOff>
      <xdr:row>52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05EB63-7F28-4B5F-A59A-03F9C89A2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99060</xdr:colOff>
      <xdr:row>6</xdr:row>
      <xdr:rowOff>110490</xdr:rowOff>
    </xdr:from>
    <xdr:to>
      <xdr:col>39</xdr:col>
      <xdr:colOff>403860</xdr:colOff>
      <xdr:row>21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C73D9-130E-471F-9CEB-A9A7DB29E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129540</xdr:colOff>
      <xdr:row>22</xdr:row>
      <xdr:rowOff>0</xdr:rowOff>
    </xdr:from>
    <xdr:to>
      <xdr:col>39</xdr:col>
      <xdr:colOff>434340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3B87BB-1EE2-40F7-8D5F-4260594A2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114300</xdr:colOff>
      <xdr:row>37</xdr:row>
      <xdr:rowOff>38100</xdr:rowOff>
    </xdr:from>
    <xdr:to>
      <xdr:col>39</xdr:col>
      <xdr:colOff>419100</xdr:colOff>
      <xdr:row>52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C21C2F-9464-4FC4-B38E-C060DAD8D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83820</xdr:colOff>
      <xdr:row>6</xdr:row>
      <xdr:rowOff>152400</xdr:rowOff>
    </xdr:from>
    <xdr:to>
      <xdr:col>48</xdr:col>
      <xdr:colOff>388620</xdr:colOff>
      <xdr:row>21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072C3C-1F7D-4756-BE17-E14C2092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83820</xdr:colOff>
      <xdr:row>22</xdr:row>
      <xdr:rowOff>7620</xdr:rowOff>
    </xdr:from>
    <xdr:to>
      <xdr:col>48</xdr:col>
      <xdr:colOff>388620</xdr:colOff>
      <xdr:row>37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78A6A9-1F44-4858-8DCC-0ACB3720B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83820</xdr:colOff>
      <xdr:row>37</xdr:row>
      <xdr:rowOff>30480</xdr:rowOff>
    </xdr:from>
    <xdr:to>
      <xdr:col>48</xdr:col>
      <xdr:colOff>388620</xdr:colOff>
      <xdr:row>52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7CCB86-0A8F-4BDE-A0D7-6F7E78131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AppData/Roaming/Microsoft/Excel/ODFW%20Historical%20Herring%20Data_Public%20Version.doc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8" sqref="A8"/>
    </sheetView>
  </sheetViews>
  <sheetFormatPr defaultRowHeight="14.4" x14ac:dyDescent="0.3"/>
  <cols>
    <col min="1" max="1" width="9.109375" bestFit="1" customWidth="1"/>
  </cols>
  <sheetData>
    <row r="1" spans="1:3" x14ac:dyDescent="0.3">
      <c r="A1" t="s">
        <v>61</v>
      </c>
    </row>
    <row r="2" spans="1:3" x14ac:dyDescent="0.3">
      <c r="A2" s="5">
        <v>42844</v>
      </c>
    </row>
    <row r="3" spans="1:3" x14ac:dyDescent="0.3">
      <c r="A3" t="s">
        <v>62</v>
      </c>
    </row>
    <row r="4" spans="1:3" x14ac:dyDescent="0.3">
      <c r="A4" t="s">
        <v>63</v>
      </c>
    </row>
    <row r="5" spans="1:3" x14ac:dyDescent="0.3">
      <c r="A5" s="6" t="s">
        <v>64</v>
      </c>
    </row>
    <row r="7" spans="1:3" x14ac:dyDescent="0.3">
      <c r="A7" t="s">
        <v>65</v>
      </c>
    </row>
    <row r="8" spans="1:3" x14ac:dyDescent="0.3">
      <c r="A8" s="7" t="s">
        <v>66</v>
      </c>
    </row>
    <row r="9" spans="1:3" x14ac:dyDescent="0.3">
      <c r="A9" s="7" t="s">
        <v>67</v>
      </c>
    </row>
    <row r="10" spans="1:3" x14ac:dyDescent="0.3">
      <c r="A10" s="7" t="s">
        <v>68</v>
      </c>
      <c r="B10" s="7"/>
      <c r="C10" s="7"/>
    </row>
    <row r="11" spans="1:3" x14ac:dyDescent="0.3">
      <c r="A11" s="7" t="s">
        <v>69</v>
      </c>
      <c r="B11" s="7"/>
      <c r="C11" s="7"/>
    </row>
  </sheetData>
  <hyperlinks>
    <hyperlink ref="A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selection activeCell="H23" sqref="H23"/>
    </sheetView>
  </sheetViews>
  <sheetFormatPr defaultRowHeight="14.4" x14ac:dyDescent="0.3"/>
  <cols>
    <col min="1" max="1" width="10.33203125" bestFit="1" customWidth="1"/>
    <col min="2" max="2" width="14.5546875" bestFit="1" customWidth="1"/>
    <col min="3" max="4" width="14.5546875" customWidth="1"/>
    <col min="5" max="5" width="12.6640625" bestFit="1" customWidth="1"/>
    <col min="6" max="7" width="12.109375" bestFit="1" customWidth="1"/>
    <col min="9" max="9" width="10.6640625" bestFit="1" customWidth="1"/>
    <col min="10" max="10" width="15.88671875" customWidth="1"/>
    <col min="11" max="12" width="14.21875" bestFit="1" customWidth="1"/>
    <col min="26" max="26" width="12.44140625" bestFit="1" customWidth="1"/>
    <col min="27" max="27" width="12.6640625" bestFit="1" customWidth="1"/>
    <col min="28" max="28" width="12.44140625" bestFit="1" customWidth="1"/>
    <col min="29" max="29" width="12.6640625" bestFit="1" customWidth="1"/>
    <col min="30" max="30" width="12.44140625" bestFit="1" customWidth="1"/>
    <col min="31" max="31" width="12.6640625" bestFit="1" customWidth="1"/>
  </cols>
  <sheetData>
    <row r="1" spans="1:31" x14ac:dyDescent="0.3">
      <c r="A1" t="s">
        <v>60</v>
      </c>
      <c r="B1" t="s">
        <v>59</v>
      </c>
      <c r="C1" t="s">
        <v>58</v>
      </c>
      <c r="D1" t="s">
        <v>60</v>
      </c>
      <c r="E1" t="s">
        <v>59</v>
      </c>
      <c r="F1" t="s">
        <v>58</v>
      </c>
      <c r="G1" t="s">
        <v>60</v>
      </c>
      <c r="H1" t="s">
        <v>59</v>
      </c>
      <c r="I1" t="s">
        <v>58</v>
      </c>
      <c r="K1" t="s">
        <v>57</v>
      </c>
    </row>
    <row r="2" spans="1:31" x14ac:dyDescent="0.3">
      <c r="A2" t="s">
        <v>56</v>
      </c>
      <c r="B2">
        <f>EXP(lnBo)</f>
        <v>1217.8482188593805</v>
      </c>
      <c r="C2" t="s">
        <v>53</v>
      </c>
      <c r="D2" t="s">
        <v>55</v>
      </c>
      <c r="E2">
        <f>EXP(lnBo2)</f>
        <v>322.97116209313236</v>
      </c>
      <c r="F2" t="s">
        <v>53</v>
      </c>
      <c r="G2" t="s">
        <v>54</v>
      </c>
      <c r="H2">
        <v>869.00474922089666</v>
      </c>
      <c r="I2" t="s">
        <v>53</v>
      </c>
      <c r="K2" t="s">
        <v>52</v>
      </c>
      <c r="L2">
        <v>7.104840825446761</v>
      </c>
    </row>
    <row r="3" spans="1:31" x14ac:dyDescent="0.3">
      <c r="A3" t="s">
        <v>51</v>
      </c>
      <c r="B3">
        <f>EXP(lnr)</f>
        <v>0.24625384391098948</v>
      </c>
      <c r="C3" t="s">
        <v>48</v>
      </c>
      <c r="D3" t="s">
        <v>50</v>
      </c>
      <c r="E3">
        <f>EXP(lnr2_)</f>
        <v>3.1528787095237352</v>
      </c>
      <c r="F3" t="s">
        <v>48</v>
      </c>
      <c r="G3" t="s">
        <v>49</v>
      </c>
      <c r="H3">
        <v>7.6896863640654885E-4</v>
      </c>
      <c r="I3" t="s">
        <v>48</v>
      </c>
      <c r="K3" t="s">
        <v>47</v>
      </c>
      <c r="L3">
        <v>-1.4013923892609501</v>
      </c>
    </row>
    <row r="4" spans="1:31" x14ac:dyDescent="0.3">
      <c r="A4" t="s">
        <v>46</v>
      </c>
      <c r="B4">
        <f>EXP(lnB1979_)</f>
        <v>298.19387944135718</v>
      </c>
      <c r="D4" t="s">
        <v>45</v>
      </c>
      <c r="E4">
        <f>EXP(lnB1980_)</f>
        <v>125.93813896725894</v>
      </c>
      <c r="G4" t="s">
        <v>44</v>
      </c>
      <c r="H4">
        <f>lnB1982_</f>
        <v>571.38579420160363</v>
      </c>
      <c r="K4" t="s">
        <v>43</v>
      </c>
      <c r="L4">
        <v>5.6977438771077811</v>
      </c>
    </row>
    <row r="5" spans="1:31" x14ac:dyDescent="0.3">
      <c r="A5" t="s">
        <v>42</v>
      </c>
      <c r="B5">
        <v>0.4</v>
      </c>
      <c r="C5" t="s">
        <v>41</v>
      </c>
      <c r="K5" t="s">
        <v>40</v>
      </c>
      <c r="L5">
        <v>5.7775630377914204</v>
      </c>
    </row>
    <row r="6" spans="1:31" x14ac:dyDescent="0.3">
      <c r="A6" t="s">
        <v>39</v>
      </c>
      <c r="B6">
        <v>0.1</v>
      </c>
      <c r="C6" t="s">
        <v>38</v>
      </c>
      <c r="K6" t="s">
        <v>37</v>
      </c>
      <c r="L6">
        <v>1.1483159115463546</v>
      </c>
    </row>
    <row r="7" spans="1:31" x14ac:dyDescent="0.3">
      <c r="A7" t="s">
        <v>36</v>
      </c>
      <c r="B7">
        <f>nlnL</f>
        <v>24.622167003126712</v>
      </c>
      <c r="C7" t="s">
        <v>35</v>
      </c>
      <c r="K7" t="s">
        <v>34</v>
      </c>
      <c r="L7">
        <v>4.8357908258135618</v>
      </c>
    </row>
    <row r="8" spans="1:31" x14ac:dyDescent="0.3">
      <c r="A8" t="s">
        <v>33</v>
      </c>
      <c r="B8">
        <f>SUMPRODUCT(E15:E52,E15:E52)</f>
        <v>15.727682537533081</v>
      </c>
      <c r="C8" t="s">
        <v>32</v>
      </c>
      <c r="K8" t="s">
        <v>31</v>
      </c>
      <c r="L8">
        <v>7.104840825446761</v>
      </c>
    </row>
    <row r="9" spans="1:31" x14ac:dyDescent="0.3">
      <c r="A9" t="s">
        <v>30</v>
      </c>
      <c r="B9">
        <f>nlnL2</f>
        <v>502.25659093389379</v>
      </c>
      <c r="C9" t="s">
        <v>29</v>
      </c>
      <c r="K9" t="s">
        <v>28</v>
      </c>
      <c r="L9">
        <v>-1.4013923892609501</v>
      </c>
    </row>
    <row r="10" spans="1:31" x14ac:dyDescent="0.3">
      <c r="A10" t="s">
        <v>27</v>
      </c>
      <c r="B10">
        <f>SUMPRODUCT(F15:F52,F15:F52)</f>
        <v>0.49876740331909136</v>
      </c>
      <c r="C10" t="s">
        <v>26</v>
      </c>
      <c r="K10" t="s">
        <v>25</v>
      </c>
      <c r="L10">
        <v>571.38579420160363</v>
      </c>
    </row>
    <row r="11" spans="1:31" x14ac:dyDescent="0.3">
      <c r="A11" t="s">
        <v>24</v>
      </c>
      <c r="B11">
        <f>nlnL3</f>
        <v>44.50544744199636</v>
      </c>
      <c r="C11" t="s">
        <v>23</v>
      </c>
    </row>
    <row r="12" spans="1:31" x14ac:dyDescent="0.3">
      <c r="A12" t="s">
        <v>22</v>
      </c>
      <c r="B12">
        <f>SUMPRODUCT(G15:G52,G15:G52)</f>
        <v>22.652042326834092</v>
      </c>
      <c r="C12" t="s">
        <v>21</v>
      </c>
    </row>
    <row r="13" spans="1:31" x14ac:dyDescent="0.3">
      <c r="W13" t="s">
        <v>20</v>
      </c>
    </row>
    <row r="14" spans="1:31" x14ac:dyDescent="0.3">
      <c r="A14" t="s">
        <v>19</v>
      </c>
      <c r="B14" t="s">
        <v>18</v>
      </c>
      <c r="C14" t="s">
        <v>17</v>
      </c>
      <c r="D14" t="s">
        <v>16</v>
      </c>
      <c r="E14" t="s">
        <v>15</v>
      </c>
      <c r="F14" t="s">
        <v>14</v>
      </c>
      <c r="G14" t="s">
        <v>13</v>
      </c>
      <c r="H14" s="4" t="s">
        <v>12</v>
      </c>
      <c r="I14" s="4" t="s">
        <v>11</v>
      </c>
      <c r="J14" t="s">
        <v>10</v>
      </c>
      <c r="K14" t="s">
        <v>9</v>
      </c>
      <c r="L14" t="s">
        <v>8</v>
      </c>
      <c r="W14" t="s">
        <v>7</v>
      </c>
      <c r="X14" t="s">
        <v>6</v>
      </c>
      <c r="Z14" t="s">
        <v>5</v>
      </c>
      <c r="AA14" t="s">
        <v>4</v>
      </c>
      <c r="AB14" t="s">
        <v>3</v>
      </c>
      <c r="AC14" t="s">
        <v>2</v>
      </c>
      <c r="AD14" t="s">
        <v>1</v>
      </c>
      <c r="AE14" t="s">
        <v>0</v>
      </c>
    </row>
    <row r="15" spans="1:31" x14ac:dyDescent="0.3">
      <c r="A15">
        <v>1979</v>
      </c>
      <c r="B15">
        <f>B1979_</f>
        <v>298.19387944135718</v>
      </c>
      <c r="C15">
        <f>B1980_</f>
        <v>125.93813896725894</v>
      </c>
      <c r="D15">
        <f>B1982_</f>
        <v>571.38579420160363</v>
      </c>
      <c r="E15">
        <v>-0.13795287550513843</v>
      </c>
      <c r="F15">
        <v>0.21278053147628789</v>
      </c>
      <c r="G15">
        <v>-0.27966473630262884</v>
      </c>
      <c r="H15" s="2">
        <v>50.1</v>
      </c>
      <c r="I15" s="2">
        <v>305</v>
      </c>
      <c r="J15">
        <f>(LN(I15)-LN(B15))^2</f>
        <v>5.0931008782543542E-4</v>
      </c>
      <c r="K15">
        <f>(LN(I15)-LN(C15))^2</f>
        <v>0.78237731239325659</v>
      </c>
      <c r="L15">
        <f>(LN(I15)-LN(D15))^2</f>
        <v>0.39407364255376065</v>
      </c>
      <c r="W15">
        <f ca="1">RAND()</f>
        <v>0.40538041999532082</v>
      </c>
      <c r="X15">
        <f ca="1">_xlfn.NORM.S.DIST(W15,TRUE)*sigma_proc</f>
        <v>6.5740104941650321E-2</v>
      </c>
      <c r="Z15">
        <f>B15/Bo</f>
        <v>0.24485307349764929</v>
      </c>
      <c r="AA15">
        <f>(B16-B15)/B15</f>
        <v>-0.11322649011549782</v>
      </c>
      <c r="AB15">
        <f>C15/Bo2_</f>
        <v>0.38993617309691342</v>
      </c>
      <c r="AC15">
        <f>(C16-C15)/C15</f>
        <v>0</v>
      </c>
      <c r="AD15">
        <f>D15/Bo3_</f>
        <v>0.65751745857991883</v>
      </c>
      <c r="AE15">
        <f>(D16-D15)/D15</f>
        <v>0</v>
      </c>
    </row>
    <row r="16" spans="1:31" x14ac:dyDescent="0.3">
      <c r="A16">
        <v>1980</v>
      </c>
      <c r="B16">
        <f>IF((B15+r_*B15*(1-B15/Bo)-H15)*EXP(E15) &lt; 0, 0.1,(B15+r_*B15*(1-B15/Bo)-H15)*EXP(E15))</f>
        <v>264.4304330982884</v>
      </c>
      <c r="C16">
        <f>B1980_</f>
        <v>125.93813896725894</v>
      </c>
      <c r="D16">
        <f>B1982_</f>
        <v>571.38579420160363</v>
      </c>
      <c r="E16">
        <v>2.5726993721310071E-2</v>
      </c>
      <c r="F16">
        <v>-2.9651995861924303E-2</v>
      </c>
      <c r="G16">
        <v>-5.6547324813434087E-2</v>
      </c>
      <c r="H16" s="2">
        <v>52.6</v>
      </c>
      <c r="I16" s="2">
        <v>256</v>
      </c>
      <c r="J16">
        <f>(LN(I16)-LN(B16))^2</f>
        <v>1.0498092073592939E-3</v>
      </c>
      <c r="K16">
        <f>(LN(I16)-LN(C16))^2</f>
        <v>0.50322937474238161</v>
      </c>
      <c r="L16">
        <f>(LN(I16)-LN(D16))^2</f>
        <v>0.64462782961771892</v>
      </c>
      <c r="W16">
        <f ca="1">RAND()</f>
        <v>0.91820604911431303</v>
      </c>
      <c r="X16">
        <f ca="1">_xlfn.NORM.S.DIST(W16,TRUE)*sigma_proc</f>
        <v>8.2074449882481582E-2</v>
      </c>
      <c r="Z16">
        <f>B16/Bo</f>
        <v>0.21712921939151844</v>
      </c>
      <c r="AA16">
        <f>(B17-B16)/B16</f>
        <v>1.9767790605668061E-2</v>
      </c>
      <c r="AB16">
        <f>C16/Bo2_</f>
        <v>0.38993617309691342</v>
      </c>
      <c r="AC16">
        <f>(C17-C16)/C16</f>
        <v>2.1245059437502083</v>
      </c>
      <c r="AD16">
        <f>D16/Bo3_</f>
        <v>0.65751745857991883</v>
      </c>
      <c r="AE16">
        <f>(D17-D16)/D16</f>
        <v>0</v>
      </c>
    </row>
    <row r="17" spans="1:31" x14ac:dyDescent="0.3">
      <c r="A17">
        <v>1981</v>
      </c>
      <c r="B17">
        <f>IF((B16+r_*B16*(1-B16/Bo)-H16)*EXP(E16) &lt; 0, 0.1,(B16+r_*B16*(1-B16/Bo)-H16)*EXP(E16))</f>
        <v>269.65763852954149</v>
      </c>
      <c r="C17">
        <f>IF((C15+_r2*C15*(1-C15/Bo2_)-H15)*EXP(F15) &lt; 0, 0.1,(C15+_r2*C15*(1-C15/Bo2_)-H15)*EXP(F15))</f>
        <v>393.49446374804029</v>
      </c>
      <c r="D17">
        <f>B1982_</f>
        <v>571.38579420160363</v>
      </c>
      <c r="E17">
        <v>7.8583524369082447E-2</v>
      </c>
      <c r="F17">
        <v>0.14719059958006295</v>
      </c>
      <c r="G17">
        <v>-2.5099833326897452E-2</v>
      </c>
      <c r="H17" s="2">
        <v>45.5</v>
      </c>
      <c r="I17" s="2">
        <v>265.5</v>
      </c>
      <c r="J17">
        <f>(LN(I17)-LN(B17))^2</f>
        <v>2.4143902392785986E-4</v>
      </c>
      <c r="K17">
        <f>(LN(I17)-LN(C17))^2</f>
        <v>0.15480460049415326</v>
      </c>
      <c r="L17">
        <f>(LN(I17)-LN(D17))^2</f>
        <v>0.58744527662906032</v>
      </c>
      <c r="W17">
        <f ca="1">RAND()</f>
        <v>0.47015475690460506</v>
      </c>
      <c r="X17">
        <f ca="1">_xlfn.NORM.S.DIST(W17,TRUE)*sigma_proc</f>
        <v>6.8087777229232246E-2</v>
      </c>
      <c r="Z17">
        <f>B17/Bo</f>
        <v>0.22142138433482214</v>
      </c>
      <c r="AA17">
        <f>(B18-B17)/B17</f>
        <v>0.10662917655428672</v>
      </c>
      <c r="AB17">
        <f>C17/Bo2_</f>
        <v>1.218357890524516</v>
      </c>
      <c r="AC17">
        <f>(C18-C17)/C17</f>
        <v>-0.2214510135717182</v>
      </c>
      <c r="AD17">
        <f>D17/Bo3_</f>
        <v>0.65751745857991883</v>
      </c>
      <c r="AE17">
        <f>(D18-D17)/D17</f>
        <v>-0.31005424199037268</v>
      </c>
    </row>
    <row r="18" spans="1:31" x14ac:dyDescent="0.3">
      <c r="A18">
        <v>1982</v>
      </c>
      <c r="B18">
        <f>IF((B17+r_*B17*(1-B17/Bo)-H17)*EXP(E17) &lt; 0, 0.1,(B17+r_*B17*(1-B17/Bo)-H17)*EXP(E17))</f>
        <v>298.41101047751999</v>
      </c>
      <c r="C18">
        <f>IF((C16+_r2*C16*(1-C16/Bo2_)-H16)*EXP(F16) &lt; 0, 0.1,(C16+_r2*C16*(1-C16/Bo2_)-H16)*EXP(F16))</f>
        <v>306.35471591617704</v>
      </c>
      <c r="D18">
        <f>IF((D15+_r3*D15*(1-D15/Bo3_)-H15)*EXP(G15) &lt; 0, 0.1,(D15+_r3*D15*(1-D15/Bo3_)-H15)*EXP(G15))</f>
        <v>394.22520489635832</v>
      </c>
      <c r="E18">
        <v>-6.6372058964101477E-2</v>
      </c>
      <c r="F18">
        <v>-4.9805096769057464E-2</v>
      </c>
      <c r="G18">
        <v>0.35729122051312168</v>
      </c>
      <c r="H18" s="2">
        <v>5.3</v>
      </c>
      <c r="I18" s="2">
        <v>315.5</v>
      </c>
      <c r="J18">
        <f>(LN(I18)-LN(B18))^2</f>
        <v>3.101032607942335E-3</v>
      </c>
      <c r="K18">
        <f>(LN(I18)-LN(C18))^2</f>
        <v>8.6524511030195241E-4</v>
      </c>
      <c r="L18">
        <f>(LN(I18)-LN(D18))^2</f>
        <v>4.9623643785807352E-2</v>
      </c>
      <c r="W18">
        <f ca="1">RAND()</f>
        <v>0.22035374883730652</v>
      </c>
      <c r="X18">
        <f ca="1">_xlfn.NORM.S.DIST(W18,TRUE)*sigma_proc</f>
        <v>5.8720216841218802E-2</v>
      </c>
      <c r="Z18">
        <f>B18/Bo</f>
        <v>0.24503136421795446</v>
      </c>
      <c r="AA18">
        <f>(B19-B18)/B18</f>
        <v>9.3137467960848611E-2</v>
      </c>
      <c r="AB18">
        <f>C18/Bo2_</f>
        <v>0.94855130077476146</v>
      </c>
      <c r="AC18">
        <f>(C19-C18)/C18</f>
        <v>-0.70845715166233159</v>
      </c>
      <c r="AD18">
        <f>D18/Bo3_</f>
        <v>0.4536513813644858</v>
      </c>
      <c r="AE18">
        <f>(D19-D18)/D18</f>
        <v>0.2439744201394832</v>
      </c>
    </row>
    <row r="19" spans="1:31" x14ac:dyDescent="0.3">
      <c r="A19">
        <v>1983</v>
      </c>
      <c r="B19">
        <f>IF((B18+r_*B18*(1-B18/Bo)-H18)*EXP(E18) &lt; 0, 0.1,(B18+r_*B18*(1-B18/Bo)-H18)*EXP(E18))</f>
        <v>326.20425640503447</v>
      </c>
      <c r="C19">
        <f>IF((C17+_r2*C17*(1-C17/Bo2_)-H17)*EXP(F17) &lt; 0, 0.1,(C17+_r2*C17*(1-C17/Bo2_)-H17)*EXP(F17))</f>
        <v>89.315526479879523</v>
      </c>
      <c r="D19">
        <f>IF((D16+_r3*D16*(1-D16/Bo3_)-H16)*EXP(G16) &lt; 0, 0.1,(D16+_r3*D16*(1-D16/Bo3_)-H16)*EXP(G16))</f>
        <v>490.40607066531629</v>
      </c>
      <c r="E19">
        <v>0.1571999397077822</v>
      </c>
      <c r="F19">
        <v>0.27765346973838179</v>
      </c>
      <c r="G19">
        <v>1.1897541491271908</v>
      </c>
      <c r="H19" s="2">
        <v>60.6</v>
      </c>
      <c r="I19" s="2">
        <v>310.5</v>
      </c>
      <c r="J19">
        <f>(LN(I19)-LN(B19))^2</f>
        <v>2.4344195329711513E-3</v>
      </c>
      <c r="K19">
        <f>(LN(I19)-LN(C19))^2</f>
        <v>1.5525373312166066</v>
      </c>
      <c r="L19">
        <f>(LN(I19)-LN(D19))^2</f>
        <v>0.2088945765182332</v>
      </c>
      <c r="W19">
        <f ca="1">RAND()</f>
        <v>2.6834289147109947E-2</v>
      </c>
      <c r="X19">
        <f ca="1">_xlfn.NORM.S.DIST(W19,TRUE)*sigma_proc</f>
        <v>5.107040478630729E-2</v>
      </c>
      <c r="Z19">
        <f>B19/Bo</f>
        <v>0.26785296505220724</v>
      </c>
      <c r="AA19">
        <f>(B20-B19)/B19</f>
        <v>0.16381770011361085</v>
      </c>
      <c r="AB19">
        <f>C19/Bo2_</f>
        <v>0.27654334802227448</v>
      </c>
      <c r="AC19">
        <f>(C20-C19)/C19</f>
        <v>2.7362796212038418</v>
      </c>
      <c r="AD19">
        <f>D19/Bo3_</f>
        <v>0.56433071407836177</v>
      </c>
      <c r="AE19">
        <f>(D20-D19)/D19</f>
        <v>4.6066118385983776E-2</v>
      </c>
    </row>
    <row r="20" spans="1:31" x14ac:dyDescent="0.3">
      <c r="A20">
        <v>1984</v>
      </c>
      <c r="B20">
        <f>IF((B19+r_*B19*(1-B19/Bo)-H19)*EXP(E19) &lt; 0, 0.1,(B19+r_*B19*(1-B19/Bo)-H19)*EXP(E19))</f>
        <v>379.64228745657783</v>
      </c>
      <c r="C20">
        <f>IF((C18+_r2*C18*(1-C18/Bo2_)-H18)*EXP(F18) &lt; 0, 0.1,(C18+_r2*C18*(1-C18/Bo2_)-H18)*EXP(F18))</f>
        <v>333.70778144386594</v>
      </c>
      <c r="D20">
        <f>IF((D17+_r3*D17*(1-D17/Bo3_)-H17)*EXP(G17) &lt; 0, 0.1,(D17+_r3*D17*(1-D17/Bo3_)-H17)*EXP(G17))</f>
        <v>512.99717477378988</v>
      </c>
      <c r="E20">
        <v>0.39423066436749749</v>
      </c>
      <c r="F20">
        <v>-8.2530987745302736E-2</v>
      </c>
      <c r="G20">
        <v>1.0068251642784474</v>
      </c>
      <c r="H20" s="2">
        <v>68.599999999999994</v>
      </c>
      <c r="I20" s="2">
        <v>333.5</v>
      </c>
      <c r="J20">
        <f>(LN(I20)-LN(B20))^2</f>
        <v>1.6792685660515814E-2</v>
      </c>
      <c r="K20">
        <f>(LN(I20)-LN(C20))^2</f>
        <v>3.8792818426675999E-7</v>
      </c>
      <c r="L20">
        <f>(LN(I20)-LN(D20))^2</f>
        <v>0.18544002010305247</v>
      </c>
      <c r="W20">
        <f ca="1">RAND()</f>
        <v>0.88384576925769132</v>
      </c>
      <c r="X20">
        <f ca="1">_xlfn.NORM.S.DIST(W20,TRUE)*sigma_proc</f>
        <v>8.1161026231722583E-2</v>
      </c>
      <c r="Z20">
        <f>B20/Bo</f>
        <v>0.31173202175567122</v>
      </c>
      <c r="AA20">
        <f>(B21-B20)/B20</f>
        <v>0.46661878493723885</v>
      </c>
      <c r="AB20">
        <f>C20/Bo2_</f>
        <v>1.0332432755951058</v>
      </c>
      <c r="AC20">
        <f>(C21-C20)/C20</f>
        <v>-8.0543891450455291E-2</v>
      </c>
      <c r="AD20">
        <f>D20/Bo3_</f>
        <v>0.59032723956194233</v>
      </c>
      <c r="AE20">
        <f>(D21-D20)/D20</f>
        <v>8.4190571891557306E-2</v>
      </c>
    </row>
    <row r="21" spans="1:31" x14ac:dyDescent="0.3">
      <c r="A21">
        <v>1985</v>
      </c>
      <c r="B21">
        <f>IF((B20+r_*B20*(1-B20/Bo)-H20)*EXP(E20) &lt; 0, 0.1,(B20+r_*B20*(1-B20/Bo)-H20)*EXP(E20))</f>
        <v>556.79051034036013</v>
      </c>
      <c r="C21">
        <f>IF((C19+_r2*C19*(1-C19/Bo2_)-H19)*EXP(F19) &lt; 0, 0.1,(C19+_r2*C19*(1-C19/Bo2_)-H19)*EXP(F19))</f>
        <v>306.82965811907894</v>
      </c>
      <c r="D21">
        <f>IF((D18+_r3*D18*(1-D18/Bo3_)-H18)*EXP(G18) &lt; 0, 0.1,(D18+_r3*D18*(1-D18/Bo3_)-H18)*EXP(G18))</f>
        <v>556.18670029674843</v>
      </c>
      <c r="E21">
        <v>1.0032964369477539</v>
      </c>
      <c r="F21">
        <v>5.7174556223863082E-2</v>
      </c>
      <c r="G21">
        <v>0.79673833453972065</v>
      </c>
      <c r="H21" s="2">
        <v>73.8</v>
      </c>
      <c r="I21" s="2">
        <v>460</v>
      </c>
      <c r="J21">
        <f>(LN(I21)-LN(B21))^2</f>
        <v>3.6466705501787898E-2</v>
      </c>
      <c r="K21">
        <f>(LN(I21)-LN(C21))^2</f>
        <v>0.16397134629024038</v>
      </c>
      <c r="L21">
        <f>(LN(I21)-LN(D21))^2</f>
        <v>3.6053480311360117E-2</v>
      </c>
      <c r="W21">
        <f ca="1">RAND()</f>
        <v>0.13374697550482539</v>
      </c>
      <c r="X21">
        <f ca="1">_xlfn.NORM.S.DIST(W21,TRUE)*sigma_proc</f>
        <v>5.5319867112120363E-2</v>
      </c>
      <c r="Z21">
        <f>B21/Bo</f>
        <v>0.45719203897333144</v>
      </c>
      <c r="AA21">
        <f>(B22-B21)/B21</f>
        <v>1.7303204714299225</v>
      </c>
      <c r="AB21">
        <f>C21/Bo2_</f>
        <v>0.95002184136366075</v>
      </c>
      <c r="AC21">
        <f>(C22-C21)/C21</f>
        <v>-0.30938595538122904</v>
      </c>
      <c r="AD21">
        <f>D21/Bo3_</f>
        <v>0.64002722746382656</v>
      </c>
      <c r="AE21">
        <f>(D22-D21)/D21</f>
        <v>1.5405139574431199</v>
      </c>
    </row>
    <row r="22" spans="1:31" x14ac:dyDescent="0.3">
      <c r="A22">
        <v>1986</v>
      </c>
      <c r="B22">
        <f>IF((B21+r_*B21*(1-B21/Bo)-H21)*EXP(E21) &lt; 0, 0.1,(B21+r_*B21*(1-B21/Bo)-H21)*EXP(E21))</f>
        <v>1520.2165286801992</v>
      </c>
      <c r="C22">
        <f>IF((C20+_r2*C20*(1-C20/Bo2_)-H20)*EXP(F20) &lt; 0, 0.1,(C20+_r2*C20*(1-C20/Bo2_)-H20)*EXP(F20))</f>
        <v>211.90087120261182</v>
      </c>
      <c r="D22">
        <f>IF((D19+_r3*D19*(1-D19/Bo3_)-H19)*EXP(G19) &lt; 0, 0.1,(D19+_r3*D19*(1-D19/Bo3_)-H19)*EXP(G19))</f>
        <v>1413.0000750481229</v>
      </c>
      <c r="E22">
        <v>0.1163120587832836</v>
      </c>
      <c r="F22">
        <v>-0.13655582661710433</v>
      </c>
      <c r="G22">
        <v>5.9013394235222977E-2</v>
      </c>
      <c r="H22" s="2">
        <v>63</v>
      </c>
      <c r="I22" s="3">
        <v>2060</v>
      </c>
      <c r="J22">
        <f>(LN(I22)-LN(B22))^2</f>
        <v>9.2326770194668423E-2</v>
      </c>
      <c r="K22">
        <f>(LN(I22)-LN(C22))^2</f>
        <v>5.1726346494143929</v>
      </c>
      <c r="L22">
        <f>(LN(I22)-LN(D22))^2</f>
        <v>0.14212208287797401</v>
      </c>
      <c r="W22">
        <f ca="1">RAND()</f>
        <v>0.85242550288178387</v>
      </c>
      <c r="X22">
        <f ca="1">_xlfn.NORM.S.DIST(W22,TRUE)*sigma_proc</f>
        <v>8.030110147907786E-2</v>
      </c>
      <c r="Z22">
        <f>B22/Bo</f>
        <v>1.2482807833836738</v>
      </c>
      <c r="AA22">
        <f>(B23-B22)/B22</f>
        <v>8.1117422307286566E-3</v>
      </c>
      <c r="AB22">
        <f>C22/Bo2_</f>
        <v>0.65609842634033011</v>
      </c>
      <c r="AC22">
        <f>(C23-C22)/C22</f>
        <v>0.40601046037963939</v>
      </c>
      <c r="AD22">
        <f>D22/Bo3_</f>
        <v>1.6259981045154741</v>
      </c>
      <c r="AE22">
        <f>(D23-D22)/D22</f>
        <v>-0.13891579684823147</v>
      </c>
    </row>
    <row r="23" spans="1:31" x14ac:dyDescent="0.3">
      <c r="A23">
        <v>1987</v>
      </c>
      <c r="B23">
        <f>IF((B22+r_*B22*(1-B22/Bo)-H22)*EXP(E22) &lt; 0, 0.1,(B22+r_*B22*(1-B22/Bo)-H22)*EXP(E22))</f>
        <v>1532.5481332957461</v>
      </c>
      <c r="C23">
        <f>IF((C21+_r2*C21*(1-C21/Bo2_)-H21)*EXP(F21) &lt; 0, 0.1,(C21+_r2*C21*(1-C21/Bo2_)-H21)*EXP(F21))</f>
        <v>297.93484147443093</v>
      </c>
      <c r="D23">
        <f>IF((D20+_r3*D20*(1-D20/Bo3_)-H20)*EXP(G20) &lt; 0, 0.1,(D20+_r3*D20*(1-D20/Bo3_)-H20)*EXP(G20))</f>
        <v>1216.712043676202</v>
      </c>
      <c r="E23">
        <v>0.13343064756081813</v>
      </c>
      <c r="F23">
        <v>0.20071417943117706</v>
      </c>
      <c r="G23">
        <v>-3.8047769697698379E-3</v>
      </c>
      <c r="H23" s="2">
        <v>245.2</v>
      </c>
      <c r="I23" s="3">
        <v>1545</v>
      </c>
      <c r="J23">
        <f>(LN(I23)-LN(B23))^2</f>
        <v>6.5482303569242925E-5</v>
      </c>
      <c r="K23">
        <f>(LN(I23)-LN(C23))^2</f>
        <v>2.7090012264731094</v>
      </c>
      <c r="L23">
        <f>(LN(I23)-LN(D23))^2</f>
        <v>5.7059706234181308E-2</v>
      </c>
      <c r="W23">
        <f ca="1">RAND()</f>
        <v>0.10615997438816371</v>
      </c>
      <c r="X23">
        <f ca="1">_xlfn.NORM.S.DIST(W23,TRUE)*sigma_proc</f>
        <v>5.4227228637670558E-2</v>
      </c>
      <c r="Z23">
        <f>B23/Bo</f>
        <v>1.2584065153300541</v>
      </c>
      <c r="AA23">
        <f>(B24-B23)/B23</f>
        <v>-0.11280775332880413</v>
      </c>
      <c r="AB23">
        <f>C23/Bo2_</f>
        <v>0.92248125047312446</v>
      </c>
      <c r="AC23">
        <f>(C24-C23)/C23</f>
        <v>0.10872423357262666</v>
      </c>
      <c r="AD23">
        <f>D23/Bo3_</f>
        <v>1.4001212821529931</v>
      </c>
      <c r="AE23">
        <f>(D24-D23)/D23</f>
        <v>-0.1202380664799655</v>
      </c>
    </row>
    <row r="24" spans="1:31" x14ac:dyDescent="0.3">
      <c r="A24">
        <v>1988</v>
      </c>
      <c r="B24">
        <f>IF((B23+r_*B23*(1-B23/Bo)-H23)*EXP(E23) &lt; 0, 0.1,(B23+r_*B23*(1-B23/Bo)-H23)*EXP(E23))</f>
        <v>1359.6648215104003</v>
      </c>
      <c r="C24">
        <f>IF((C22+_r2*C22*(1-C22/Bo2_)-H22)*EXP(F22) &lt; 0, 0.1,(C22+_r2*C22*(1-C22/Bo2_)-H22)*EXP(F22))</f>
        <v>330.32757876832045</v>
      </c>
      <c r="D24">
        <f>IF((D21+_r3*D21*(1-D21/Bo3_)-H21)*EXP(G21) &lt; 0, 0.1,(D21+_r3*D21*(1-D21/Bo3_)-H21)*EXP(G21))</f>
        <v>1070.4169400816882</v>
      </c>
      <c r="E24">
        <v>0.21736158572976358</v>
      </c>
      <c r="F24">
        <v>-0.25184134647172407</v>
      </c>
      <c r="G24">
        <v>5.2342439393207867E-2</v>
      </c>
      <c r="H24" s="2">
        <v>177.4</v>
      </c>
      <c r="I24" s="3">
        <v>1360</v>
      </c>
      <c r="J24">
        <f>(LN(I24)-LN(B24))^2</f>
        <v>6.0754927559649124E-8</v>
      </c>
      <c r="K24">
        <f>(LN(I24)-LN(C24))^2</f>
        <v>2.0026641090417194</v>
      </c>
      <c r="L24">
        <f>(LN(I24)-LN(D24))^2</f>
        <v>5.7329820075202008E-2</v>
      </c>
      <c r="W24">
        <f ca="1">RAND()</f>
        <v>0.950083812642184</v>
      </c>
      <c r="X24">
        <f ca="1">_xlfn.NORM.S.DIST(W24,TRUE)*sigma_proc</f>
        <v>8.2896516620459923E-2</v>
      </c>
      <c r="Z24">
        <f>B24/Bo</f>
        <v>1.1164485035613414</v>
      </c>
      <c r="AA24">
        <f>(B25-B24)/B24</f>
        <v>4.5003792661664009E-2</v>
      </c>
      <c r="AB24">
        <f>C24/Bo2_</f>
        <v>1.0227773174159331</v>
      </c>
      <c r="AC24">
        <f>(C25-C24)/C24</f>
        <v>-0.53543254425698739</v>
      </c>
      <c r="AD24">
        <f>D24/Bo3_</f>
        <v>1.231773406349467</v>
      </c>
      <c r="AE24">
        <f>(D25-D24)/D24</f>
        <v>0.33718390898806661</v>
      </c>
    </row>
    <row r="25" spans="1:31" x14ac:dyDescent="0.3">
      <c r="A25">
        <v>1989</v>
      </c>
      <c r="B25">
        <f>IF((B24+r_*B24*(1-B24/Bo)-H24)*EXP(E24) &lt; 0, 0.1,(B24+r_*B24*(1-B24/Bo)-H24)*EXP(E24))</f>
        <v>1420.8548952270128</v>
      </c>
      <c r="C25">
        <f>IF((C23+_r2*C23*(1-C23/Bo2_)-H23)*EXP(F23) &lt; 0, 0.1,(C23+_r2*C23*(1-C23/Bo2_)-H23)*EXP(F23))</f>
        <v>153.45944283014822</v>
      </c>
      <c r="D25">
        <f>IF((D22+_r3*D22*(1-D22/Bo3_)-H22)*EXP(G22) &lt; 0, 0.1,(D22+_r3*D22*(1-D22/Bo3_)-H22)*EXP(G22))</f>
        <v>1431.3443081854768</v>
      </c>
      <c r="E25">
        <v>0.18002207639339471</v>
      </c>
      <c r="F25">
        <v>7.972176845547739E-2</v>
      </c>
      <c r="G25">
        <v>-7.1874515414791895E-2</v>
      </c>
      <c r="H25" s="2">
        <v>264.7</v>
      </c>
      <c r="I25" s="3">
        <v>1490</v>
      </c>
      <c r="J25">
        <f>(LN(I25)-LN(B25))^2</f>
        <v>2.2579024098745414E-3</v>
      </c>
      <c r="K25">
        <f>(LN(I25)-LN(C25))^2</f>
        <v>5.1669612559665028</v>
      </c>
      <c r="L25">
        <f>(LN(I25)-LN(D25))^2</f>
        <v>1.6129895875490812E-3</v>
      </c>
      <c r="W25">
        <f ca="1">RAND()</f>
        <v>0.79817844256735559</v>
      </c>
      <c r="X25">
        <f ca="1">_xlfn.NORM.S.DIST(W25,TRUE)*sigma_proc</f>
        <v>7.8761652723389031E-2</v>
      </c>
      <c r="Z25">
        <f>B25/Bo</f>
        <v>1.166692920533041</v>
      </c>
      <c r="AA25">
        <f>(B26-B25)/B25</f>
        <v>-7.4943675062038612E-2</v>
      </c>
      <c r="AB25">
        <f>C25/Bo2_</f>
        <v>0.47514905614358371</v>
      </c>
      <c r="AC25">
        <f>(C26-C25)/C25</f>
        <v>-0.34549386335807469</v>
      </c>
      <c r="AD25">
        <f>D25/Bo3_</f>
        <v>1.6471075784899265</v>
      </c>
      <c r="AE25">
        <f>(D26-D25)/D25</f>
        <v>-0.32409711810115921</v>
      </c>
    </row>
    <row r="26" spans="1:31" x14ac:dyDescent="0.3">
      <c r="A26">
        <v>1990</v>
      </c>
      <c r="B26">
        <f>IF((B25+r_*B25*(1-B25/Bo)-H25)*EXP(E25) &lt; 0, 0.1,(B25+r_*B25*(1-B25/Bo)-H25)*EXP(E25))</f>
        <v>1314.3708076488126</v>
      </c>
      <c r="C26">
        <f>IF((C24+_r2*C24*(1-C24/Bo2_)-H24)*EXP(F24) &lt; 0, 0.1,(C24+_r2*C24*(1-C24/Bo2_)-H24)*EXP(F24))</f>
        <v>100.44014705798271</v>
      </c>
      <c r="D26">
        <f>IF((D23+_r3*D23*(1-D23/Bo3_)-H23)*EXP(G23) &lt; 0, 0.1,(D23+_r3*D23*(1-D23/Bo3_)-H23)*EXP(G23))</f>
        <v>967.4497428920663</v>
      </c>
      <c r="E26">
        <v>0.14874867545032727</v>
      </c>
      <c r="F26">
        <v>-9.8791836105652023E-2</v>
      </c>
      <c r="G26">
        <v>-0.5625681074549197</v>
      </c>
      <c r="H26" s="2">
        <v>237.1</v>
      </c>
      <c r="I26" s="3">
        <v>1320</v>
      </c>
      <c r="J26">
        <f>(LN(I26)-LN(B26))^2</f>
        <v>1.8264159062545592E-5</v>
      </c>
      <c r="K26">
        <f>(LN(I26)-LN(C26))^2</f>
        <v>6.6348745189988891</v>
      </c>
      <c r="L26">
        <f>(LN(I26)-LN(D26))^2</f>
        <v>9.6549116667574167E-2</v>
      </c>
      <c r="W26">
        <f ca="1">RAND()</f>
        <v>0.78234222331511905</v>
      </c>
      <c r="X26">
        <f ca="1">_xlfn.NORM.S.DIST(W26,TRUE)*sigma_proc</f>
        <v>7.8299326059212804E-2</v>
      </c>
      <c r="Z26">
        <f>B26/Bo</f>
        <v>1.079256665399432</v>
      </c>
      <c r="AA26">
        <f>(B27-B26)/B26</f>
        <v>-7.1587902165089645E-2</v>
      </c>
      <c r="AB26">
        <f>C26/Bo2_</f>
        <v>0.31098797306559423</v>
      </c>
      <c r="AC26">
        <f>(C27-C26)/C26</f>
        <v>0.53867851904940134</v>
      </c>
      <c r="AD26">
        <f>D26/Bo3_</f>
        <v>1.1132847590987622</v>
      </c>
      <c r="AE26">
        <f>(D27-D26)/D26</f>
        <v>-2.7542729949734484E-2</v>
      </c>
    </row>
    <row r="27" spans="1:31" x14ac:dyDescent="0.3">
      <c r="A27">
        <v>1991</v>
      </c>
      <c r="B27">
        <f>IF((B26+r_*B26*(1-B26/Bo)-H26)*EXP(E26) &lt; 0, 0.1,(B26+r_*B26*(1-B26/Bo)-H26)*EXP(E26))</f>
        <v>1220.2777588621996</v>
      </c>
      <c r="C27">
        <f>IF((C25+_r2*C25*(1-C25/Bo2_)-H25)*EXP(F25) &lt; 0, 0.1,(C25+_r2*C25*(1-C25/Bo2_)-H25)*EXP(F25))</f>
        <v>154.54509672828092</v>
      </c>
      <c r="D27">
        <f>IF((D24+_r3*D24*(1-D24/Bo3_)-H24)*EXP(G24) &lt; 0, 0.1,(D24+_r3*D24*(1-D24/Bo3_)-H24)*EXP(G24))</f>
        <v>940.80353588365006</v>
      </c>
      <c r="E27">
        <v>-2.6030326319788116E-2</v>
      </c>
      <c r="F27">
        <v>6.3403279979785718E-2</v>
      </c>
      <c r="G27">
        <v>-0.74775267717213434</v>
      </c>
      <c r="H27" s="2">
        <v>211.9</v>
      </c>
      <c r="I27" s="3">
        <v>1290</v>
      </c>
      <c r="J27">
        <f>(LN(I27)-LN(B27))^2</f>
        <v>3.0873263515955505E-3</v>
      </c>
      <c r="K27">
        <f>(LN(I27)-LN(C27))^2</f>
        <v>4.5025086489402835</v>
      </c>
      <c r="L27">
        <f>(LN(I27)-LN(D27))^2</f>
        <v>9.9643231741997754E-2</v>
      </c>
      <c r="W27">
        <f ca="1">RAND()</f>
        <v>0.6113606323004015</v>
      </c>
      <c r="X27">
        <f ca="1">_xlfn.NORM.S.DIST(W27,TRUE)*sigma_proc</f>
        <v>7.2951957050073776E-2</v>
      </c>
      <c r="Z27">
        <f>B27/Bo</f>
        <v>1.0019949448257965</v>
      </c>
      <c r="AA27">
        <f>(B28-B27)/B27</f>
        <v>-0.19536027109412876</v>
      </c>
      <c r="AB27">
        <f>C27/Bo2_</f>
        <v>0.4785105138387436</v>
      </c>
      <c r="AC27">
        <f>(C28-C27)/C27</f>
        <v>-0.52205732215822209</v>
      </c>
      <c r="AD27">
        <f>D27/Bo3_</f>
        <v>1.0826218576217499</v>
      </c>
      <c r="AE27">
        <f>(D28-D27)/D27</f>
        <v>0.15334596157751301</v>
      </c>
    </row>
    <row r="28" spans="1:31" x14ac:dyDescent="0.3">
      <c r="A28">
        <v>1992</v>
      </c>
      <c r="B28">
        <f>IF((B27+r_*B27*(1-B27/Bo)-H27)*EXP(E27) &lt; 0, 0.1,(B27+r_*B27*(1-B27/Bo)-H27)*EXP(E27))</f>
        <v>981.88396508074436</v>
      </c>
      <c r="C28">
        <f>IF((C26+_r2*C26*(1-C26/Bo2_)-H26)*EXP(F26) &lt; 0, 0.1,(C26+_r2*C26*(1-C26/Bo2_)-H26)*EXP(F26))</f>
        <v>73.863697377631183</v>
      </c>
      <c r="D28">
        <f>IF((D25+_r3*D25*(1-D25/Bo3_)-H25)*EXP(G25) &lt; 0, 0.1,(D25+_r3*D25*(1-D25/Bo3_)-H25)*EXP(G25))</f>
        <v>1085.0719587492526</v>
      </c>
      <c r="E28">
        <v>-0.42654745416202061</v>
      </c>
      <c r="F28">
        <v>5.1042049751024263E-2</v>
      </c>
      <c r="G28">
        <v>-0.20273633830502022</v>
      </c>
      <c r="H28" s="2">
        <v>215.4</v>
      </c>
      <c r="I28" s="3">
        <v>1140</v>
      </c>
      <c r="J28">
        <f>(LN(I28)-LN(B28))^2</f>
        <v>2.2293596100002502E-2</v>
      </c>
      <c r="K28">
        <f>(LN(I28)-LN(C28))^2</f>
        <v>7.4887719845691496</v>
      </c>
      <c r="L28">
        <f>(LN(I28)-LN(D28))^2</f>
        <v>2.4385775966836599E-3</v>
      </c>
      <c r="W28">
        <f ca="1">RAND()</f>
        <v>0.64007346932188336</v>
      </c>
      <c r="X28">
        <f ca="1">_xlfn.NORM.S.DIST(W28,TRUE)*sigma_proc</f>
        <v>7.3893758184976524E-2</v>
      </c>
      <c r="Z28">
        <f>B28/Bo</f>
        <v>0.80624494076968234</v>
      </c>
      <c r="AA28">
        <f>(B29-B28)/B28</f>
        <v>-0.45929452615377708</v>
      </c>
      <c r="AB28">
        <f>C28/Bo2_</f>
        <v>0.22870059635953427</v>
      </c>
      <c r="AC28">
        <f>(C29-C28)/C28</f>
        <v>1.8380036050569166</v>
      </c>
      <c r="AD28">
        <f>D28/Bo3_</f>
        <v>1.2486375474035905</v>
      </c>
      <c r="AE28">
        <f>(D29-D28)/D28</f>
        <v>-0.6165559540882527</v>
      </c>
    </row>
    <row r="29" spans="1:31" x14ac:dyDescent="0.3">
      <c r="A29">
        <v>1993</v>
      </c>
      <c r="B29">
        <f>IF((B28+r_*B28*(1-B28/Bo)-H28)*EXP(E28) &lt; 0, 0.1,(B28+r_*B28*(1-B28/Bo)-H28)*EXP(E28))</f>
        <v>530.91003460099205</v>
      </c>
      <c r="C29">
        <f>IF((C27+_r2*C27*(1-C27/Bo2_)-H27)*EXP(F27) &lt; 0, 0.1,(C27+_r2*C27*(1-C27/Bo2_)-H27)*EXP(F27))</f>
        <v>209.62543944055042</v>
      </c>
      <c r="D29">
        <f>IF((D26+_r3*D26*(1-D26/Bo3_)-H26)*EXP(G26) &lt; 0, 0.1,(D26+_r3*D26*(1-D26/Bo3_)-H26)*EXP(G26))</f>
        <v>416.06438196819806</v>
      </c>
      <c r="E29">
        <v>-0.58366629513081125</v>
      </c>
      <c r="F29">
        <v>6.1301668930950251E-2</v>
      </c>
      <c r="G29">
        <v>-1.2314176801048351</v>
      </c>
      <c r="H29" s="2">
        <v>82</v>
      </c>
      <c r="I29" s="2">
        <v>560</v>
      </c>
      <c r="J29">
        <f>(LN(I29)-LN(B29))^2</f>
        <v>2.845604015576758E-3</v>
      </c>
      <c r="K29">
        <f>(LN(I29)-LN(C29))^2</f>
        <v>0.96553119128937825</v>
      </c>
      <c r="L29">
        <f>(LN(I29)-LN(D29))^2</f>
        <v>8.8266491395709246E-2</v>
      </c>
      <c r="W29">
        <f ca="1">RAND()</f>
        <v>0.53349325957163651</v>
      </c>
      <c r="X29">
        <f ca="1">_xlfn.NORM.S.DIST(W29,TRUE)*sigma_proc</f>
        <v>7.0315391213314912E-2</v>
      </c>
      <c r="Z29">
        <f>B29/Bo</f>
        <v>0.43594105273499101</v>
      </c>
      <c r="AA29">
        <f>(B30-B29)/B29</f>
        <v>-0.45082523914596545</v>
      </c>
      <c r="AB29">
        <f>C29/Bo2_</f>
        <v>0.64905311694702505</v>
      </c>
      <c r="AC29">
        <f>(C30-C29)/C29</f>
        <v>-0.80879749499461839</v>
      </c>
      <c r="AD29">
        <f>D29/Bo3_</f>
        <v>0.47878263305375396</v>
      </c>
      <c r="AE29">
        <f>(D30-D29)/D29</f>
        <v>-0.17066681887316845</v>
      </c>
    </row>
    <row r="30" spans="1:31" x14ac:dyDescent="0.3">
      <c r="A30">
        <v>1994</v>
      </c>
      <c r="B30">
        <f>IF((B29+r_*B29*(1-B29/Bo)-H29)*EXP(E29) &lt; 0, 0.1,(B29+r_*B29*(1-B29/Bo)-H29)*EXP(E29))</f>
        <v>291.56239128700702</v>
      </c>
      <c r="C30">
        <f>IF((C28+_r2*C28*(1-C28/Bo2_)-H28)*EXP(F28) &lt; 0, 0.1,(C28+_r2*C28*(1-C28/Bo2_)-H28)*EXP(F28))</f>
        <v>40.080909133887168</v>
      </c>
      <c r="D30">
        <f>IF((D27+_r3*D27*(1-D27/Bo3_)-H27)*EXP(G27) &lt; 0, 0.1,(D27+_r3*D27*(1-D27/Bo3_)-H27)*EXP(G27))</f>
        <v>345.05599745125483</v>
      </c>
      <c r="E30">
        <v>-0.60114358544547297</v>
      </c>
      <c r="F30">
        <v>5.1769035936870877E-2</v>
      </c>
      <c r="G30">
        <v>-0.72186748851643046</v>
      </c>
      <c r="H30" s="2">
        <v>4</v>
      </c>
      <c r="I30" s="2"/>
      <c r="W30">
        <f ca="1">RAND()</f>
        <v>0.55938768544341044</v>
      </c>
      <c r="X30">
        <f ca="1">_xlfn.NORM.S.DIST(W30,TRUE)*sigma_proc</f>
        <v>7.1205141805605221E-2</v>
      </c>
      <c r="Z30">
        <f>B30/Bo</f>
        <v>0.23940782338219474</v>
      </c>
      <c r="AA30">
        <f>(B31-B30)/B30</f>
        <v>-0.35666201624463756</v>
      </c>
      <c r="AB30">
        <f>C30/Bo2_</f>
        <v>0.12410058184182211</v>
      </c>
      <c r="AC30">
        <f>(C31-C30)/C30</f>
        <v>8.5383732251641344</v>
      </c>
      <c r="AD30">
        <f>D30/Bo3_</f>
        <v>0.39707032413875026</v>
      </c>
      <c r="AE30">
        <f>(D31-D30)/D30</f>
        <v>1.0573823072554323</v>
      </c>
    </row>
    <row r="31" spans="1:31" x14ac:dyDescent="0.3">
      <c r="A31">
        <v>1995</v>
      </c>
      <c r="B31">
        <f>IF((B30+r_*B30*(1-B30/Bo)-H30)*EXP(E30) &lt; 0, 0.1,(B30+r_*B30*(1-B30/Bo)-H30)*EXP(E30))</f>
        <v>187.57316094947515</v>
      </c>
      <c r="C31">
        <f>IF((C29+_r2*C29*(1-C29/Bo2_)-H29)*EXP(F29) &lt; 0, 0.1,(C29+_r2*C29*(1-C29/Bo2_)-H29)*EXP(F29))</f>
        <v>382.30667052290596</v>
      </c>
      <c r="D31">
        <f>IF((D28+_r3*D28*(1-D28/Bo3_)-H28)*EXP(G28) &lt; 0, 0.1,(D28+_r3*D28*(1-D28/Bo3_)-H28)*EXP(G28))</f>
        <v>709.91210416858723</v>
      </c>
      <c r="E31">
        <v>-0.46944740864258583</v>
      </c>
      <c r="F31">
        <v>6.4519964855722756E-2</v>
      </c>
      <c r="G31">
        <v>-0.18344716683305146</v>
      </c>
      <c r="H31" s="2">
        <v>53.9</v>
      </c>
      <c r="I31" s="2"/>
      <c r="W31">
        <f ca="1">RAND()</f>
        <v>0.18133269758676385</v>
      </c>
      <c r="X31">
        <f ca="1">_xlfn.NORM.S.DIST(W31,TRUE)*sigma_proc</f>
        <v>5.7194677876621719E-2</v>
      </c>
      <c r="Z31">
        <f>B31/Bo</f>
        <v>0.15402014638996109</v>
      </c>
      <c r="AA31">
        <f>(B32-B31)/B31</f>
        <v>-0.42407271675159042</v>
      </c>
      <c r="AB31">
        <f>C31/Bo2_</f>
        <v>1.1837176670673264</v>
      </c>
      <c r="AC31">
        <f>(C32-C31)/C31</f>
        <v>-0.59569968002119678</v>
      </c>
      <c r="AD31">
        <f>D31/Bo3_</f>
        <v>0.81692545961924445</v>
      </c>
      <c r="AE31">
        <f>(D32-D31)/D31</f>
        <v>-0.86258174592645775</v>
      </c>
    </row>
    <row r="32" spans="1:31" x14ac:dyDescent="0.3">
      <c r="A32">
        <v>1996</v>
      </c>
      <c r="B32">
        <f>IF((B31+r_*B31*(1-B31/Bo)-H31)*EXP(E31) &lt; 0, 0.1,(B31+r_*B31*(1-B31/Bo)-H31)*EXP(E31))</f>
        <v>108.02850099594789</v>
      </c>
      <c r="C32">
        <f>IF((C30+_r2*C30*(1-C30/Bo2_)-H30)*EXP(F30) &lt; 0, 0.1,(C30+_r2*C30*(1-C30/Bo2_)-H30)*EXP(F30))</f>
        <v>154.56670922244177</v>
      </c>
      <c r="D32">
        <f>IF((D29+_r3*D29*(1-D29/Bo3_)-H29)*EXP(G29) &lt; 0, 0.1,(D29+_r3*D29*(1-D29/Bo3_)-H29)*EXP(G29))</f>
        <v>97.554881900521835</v>
      </c>
      <c r="E32">
        <v>-0.27051619815416361</v>
      </c>
      <c r="F32">
        <v>5.1063180147644494E-2</v>
      </c>
      <c r="G32">
        <v>-0.57332222989609083</v>
      </c>
      <c r="H32" s="2">
        <v>52.1</v>
      </c>
      <c r="I32" s="2"/>
      <c r="W32">
        <f ca="1">RAND()</f>
        <v>0.55654681424960861</v>
      </c>
      <c r="X32">
        <f ca="1">_xlfn.NORM.S.DIST(W32,TRUE)*sigma_proc</f>
        <v>7.110814495996863E-2</v>
      </c>
      <c r="Z32">
        <f>B32/Bo</f>
        <v>8.8704404475892631E-2</v>
      </c>
      <c r="AA32">
        <f>(B33-B32)/B32</f>
        <v>-0.43376561012873899</v>
      </c>
      <c r="AB32">
        <f>C32/Bo2_</f>
        <v>0.47857743155988253</v>
      </c>
      <c r="AC32">
        <f>(C33-C32)/C32</f>
        <v>-0.26188467653808067</v>
      </c>
      <c r="AD32">
        <f>D32/Bo3_</f>
        <v>0.11226047036910251</v>
      </c>
      <c r="AE32">
        <f>(D33-D32)/D32</f>
        <v>0.69932827634884198</v>
      </c>
    </row>
    <row r="33" spans="1:31" x14ac:dyDescent="0.3">
      <c r="A33">
        <v>1997</v>
      </c>
      <c r="B33">
        <f>IF((B32+r_*B32*(1-B32/Bo)-H32)*EXP(E32) &lt; 0, 0.1,(B32+r_*B32*(1-B32/Bo)-H32)*EXP(E32))</f>
        <v>61.169452350147466</v>
      </c>
      <c r="C33">
        <f>IF((C31+_r2*C31*(1-C31/Bo2_)-H31)*EXP(F31) &lt; 0, 0.1,(C31+_r2*C31*(1-C31/Bo2_)-H31)*EXP(F31))</f>
        <v>114.08805657416704</v>
      </c>
      <c r="D33">
        <f>IF((D30+_r3*D30*(1-D30/Bo3_)-H30)*EXP(G30) &lt; 0, 0.1,(D30+_r3*D30*(1-D30/Bo3_)-H30)*EXP(G30))</f>
        <v>165.77776930942861</v>
      </c>
      <c r="E33">
        <v>-8.2809641668863662E-2</v>
      </c>
      <c r="F33">
        <v>5.401990339476137E-2</v>
      </c>
      <c r="G33">
        <v>-0.47657976760833048</v>
      </c>
      <c r="H33" s="2">
        <v>55.2</v>
      </c>
      <c r="I33" s="2"/>
      <c r="W33">
        <f ca="1">RAND()</f>
        <v>0.54845143005733654</v>
      </c>
      <c r="X33">
        <f ca="1">_xlfn.NORM.S.DIST(W33,TRUE)*sigma_proc</f>
        <v>7.0830901465310139E-2</v>
      </c>
      <c r="Z33">
        <f>B33/Bo</f>
        <v>5.0227484347300615E-2</v>
      </c>
      <c r="AA33">
        <f>(B34-B33)/B33</f>
        <v>-0.69486952362587617</v>
      </c>
      <c r="AB33">
        <f>C33/Bo2_</f>
        <v>0.35324533569739724</v>
      </c>
      <c r="AC33">
        <f>(C34-C33)/C33</f>
        <v>2.2891451766635789</v>
      </c>
      <c r="AD33">
        <f>D33/Bo3_</f>
        <v>0.19076739161443723</v>
      </c>
      <c r="AE33">
        <f>(D34-D33)/D33</f>
        <v>2.294440183901052</v>
      </c>
    </row>
    <row r="34" spans="1:31" x14ac:dyDescent="0.3">
      <c r="A34">
        <v>1998</v>
      </c>
      <c r="B34">
        <f>IF((B33+r_*B33*(1-B33/Bo)-H33)*EXP(E33) &lt; 0, 0.1,(B33+r_*B33*(1-B33/Bo)-H33)*EXP(E33))</f>
        <v>18.664664135144758</v>
      </c>
      <c r="C34">
        <f>IF((C32+_r2*C32*(1-C32/Bo2_)-H32)*EXP(F32) &lt; 0, 0.1,(C32+_r2*C32*(1-C32/Bo2_)-H32)*EXP(F32))</f>
        <v>375.25218099584305</v>
      </c>
      <c r="D34">
        <f>IF((D31+_r3*D31*(1-D31/Bo3_)-H31)*EXP(G31) &lt; 0, 0.1,(D31+_r3*D31*(1-D31/Bo3_)-H31)*EXP(G31))</f>
        <v>546.14494481046017</v>
      </c>
      <c r="E34">
        <v>-5.2553148068234384E-2</v>
      </c>
      <c r="F34">
        <v>7.4841072905101433E-2</v>
      </c>
      <c r="G34">
        <v>-0.19091267229658615</v>
      </c>
      <c r="H34" s="2">
        <v>8.6</v>
      </c>
      <c r="I34" s="2"/>
      <c r="W34">
        <f ca="1">RAND()</f>
        <v>8.3644098974724357E-2</v>
      </c>
      <c r="X34">
        <f ca="1">_xlfn.NORM.S.DIST(W34,TRUE)*sigma_proc</f>
        <v>5.3333029807340296E-2</v>
      </c>
      <c r="Z34">
        <f>B34/Bo</f>
        <v>1.5325936225965679E-2</v>
      </c>
      <c r="AA34">
        <f>(B35-B34)/B34</f>
        <v>-0.25830476175607026</v>
      </c>
      <c r="AB34">
        <f>C34/Bo2_</f>
        <v>1.1618751920880008</v>
      </c>
      <c r="AC34">
        <f>(C35-C34)/C34</f>
        <v>-0.17998881877821643</v>
      </c>
      <c r="AD34">
        <f>D34/Bo3_</f>
        <v>0.62847176071259059</v>
      </c>
      <c r="AE34">
        <f>(D35-D34)/D34</f>
        <v>-0.95301948780599066</v>
      </c>
    </row>
    <row r="35" spans="1:31" x14ac:dyDescent="0.3">
      <c r="A35">
        <v>1999</v>
      </c>
      <c r="B35">
        <f>IF((B34+r_*B34*(1-B34/Bo)-H34)*EXP(E34) &lt; 0, 0.1,(B34+r_*B34*(1-B34/Bo)-H34)*EXP(E34))</f>
        <v>13.843492512459122</v>
      </c>
      <c r="C35">
        <f>IF((C33+_r2*C33*(1-C33/Bo2_)-H33)*EXP(F33) &lt; 0, 0.1,(C33+_r2*C33*(1-C33/Bo2_)-H33)*EXP(F33))</f>
        <v>307.71098419445178</v>
      </c>
      <c r="D35">
        <f>IF((D32+_r3*D32*(1-D32/Bo3_)-H32)*EXP(G32) &lt; 0, 0.1,(D32+_r3*D32*(1-D32/Bo3_)-H32)*EXP(G32))</f>
        <v>25.658169239364369</v>
      </c>
      <c r="E35">
        <v>0.95356393536656459</v>
      </c>
      <c r="F35">
        <v>9.0208756200444731E-2</v>
      </c>
      <c r="G35">
        <v>2.331478465784742</v>
      </c>
      <c r="H35" s="2"/>
      <c r="I35" s="2">
        <v>10</v>
      </c>
      <c r="J35">
        <f>(LN(I35)-LN(B35))^2</f>
        <v>0.1057746664228004</v>
      </c>
      <c r="K35">
        <f>(LN(I35)-LN(C35))^2</f>
        <v>11.741422305506893</v>
      </c>
      <c r="L35">
        <f>(LN(I35)-LN(D35))^2</f>
        <v>0.88788578789647665</v>
      </c>
      <c r="W35">
        <f ca="1">RAND()</f>
        <v>0.46914192831805435</v>
      </c>
      <c r="X35">
        <f ca="1">_xlfn.NORM.S.DIST(W35,TRUE)*sigma_proc</f>
        <v>6.8051590450132426E-2</v>
      </c>
      <c r="Z35">
        <f>B35/Bo</f>
        <v>1.1367173920428887E-2</v>
      </c>
      <c r="AA35">
        <f>(B36-B35)/B35</f>
        <v>2.226691910728837</v>
      </c>
      <c r="AB35">
        <f>C35/Bo2_</f>
        <v>0.95275064869636827</v>
      </c>
      <c r="AC35">
        <f>(C36-C35)/C35</f>
        <v>-0.38661989944022485</v>
      </c>
      <c r="AD35">
        <f>D35/Bo3_</f>
        <v>2.9525925217748369E-2</v>
      </c>
      <c r="AE35">
        <f>(D36-D35)/D35</f>
        <v>1.6783736608115432</v>
      </c>
    </row>
    <row r="36" spans="1:31" x14ac:dyDescent="0.3">
      <c r="A36">
        <v>2000</v>
      </c>
      <c r="B36">
        <f>IF((B35+r_*B35*(1-B35/Bo)-H35)*EXP(E35) &lt; 0, 0.1,(B35+r_*B35*(1-B35/Bo)-H35)*EXP(E35))</f>
        <v>44.668685306187072</v>
      </c>
      <c r="C36">
        <f>IF((C34+_r2*C34*(1-C34/Bo2_)-H34)*EXP(F34) &lt; 0, 0.1,(C34+_r2*C34*(1-C34/Bo2_)-H34)*EXP(F34))</f>
        <v>188.74379442854021</v>
      </c>
      <c r="D36">
        <f>IF((D33+_r3*D33*(1-D33/Bo3_)-H33)*EXP(G33) &lt; 0, 0.1,(D33+_r3*D33*(1-D33/Bo3_)-H33)*EXP(G33))</f>
        <v>68.722164675358471</v>
      </c>
      <c r="E36">
        <v>0.93236308034009885</v>
      </c>
      <c r="F36">
        <v>7.5299106142085293E-2</v>
      </c>
      <c r="G36">
        <v>0.81174941317543681</v>
      </c>
      <c r="H36" s="2">
        <v>0</v>
      </c>
      <c r="I36" s="2">
        <v>45</v>
      </c>
      <c r="J36">
        <f>(LN(I36)-LN(B36))^2</f>
        <v>5.4608938405872881E-5</v>
      </c>
      <c r="K36">
        <f>(LN(I36)-LN(C36))^2</f>
        <v>2.0555760371068157</v>
      </c>
      <c r="L36">
        <f>(LN(I36)-LN(D36))^2</f>
        <v>0.17927542460748166</v>
      </c>
      <c r="W36">
        <f ca="1">RAND()</f>
        <v>0.91971810397377651</v>
      </c>
      <c r="X36">
        <f ca="1">_xlfn.NORM.S.DIST(W36,TRUE)*sigma_proc</f>
        <v>8.2113995526467171E-2</v>
      </c>
      <c r="Z36">
        <f>B36/Bo</f>
        <v>3.6678368136895692E-2</v>
      </c>
      <c r="AA36">
        <f>(B37-B36)/B36</f>
        <v>2.1431684292287922</v>
      </c>
      <c r="AB36">
        <f>C36/Bo2_</f>
        <v>0.58439828870576938</v>
      </c>
      <c r="AC36">
        <f>(C37-C36)/C36</f>
        <v>1.0500135375041424</v>
      </c>
      <c r="AD36">
        <f>D36/Bo3_</f>
        <v>7.9081460414308552E-2</v>
      </c>
      <c r="AE36">
        <f>(D37-D36)/D36</f>
        <v>5.4644513728981794</v>
      </c>
    </row>
    <row r="37" spans="1:31" x14ac:dyDescent="0.3">
      <c r="A37">
        <v>2001</v>
      </c>
      <c r="B37">
        <f>IF((B36+r_*B36*(1-B36/Bo)-H36)*EXP(E36) &lt; 0, 0.1,(B36+r_*B36*(1-B36/Bo)-H36)*EXP(E36))</f>
        <v>140.40120142956326</v>
      </c>
      <c r="C37">
        <f>IF((C35+_r2*C35*(1-C35/Bo2_)-H35)*EXP(F35) &lt; 0, 0.1,(C35+_r2*C35*(1-C35/Bo2_)-H35)*EXP(F35))</f>
        <v>386.92733369840636</v>
      </c>
      <c r="D37">
        <f>IF((D34+_r3*D34*(1-D34/Bo3_)-H34)*EXP(G34) &lt; 0, 0.1,(D34+_r3*D34*(1-D34/Bo3_)-H34)*EXP(G34))</f>
        <v>444.25109178415579</v>
      </c>
      <c r="E37">
        <v>0.95577204138206651</v>
      </c>
      <c r="F37">
        <v>0.11493778165871486</v>
      </c>
      <c r="G37">
        <v>-0.18444618371690177</v>
      </c>
      <c r="H37" s="2"/>
      <c r="I37" s="2"/>
      <c r="W37">
        <f ca="1">RAND()</f>
        <v>1.4838113897644334E-2</v>
      </c>
      <c r="X37">
        <f ca="1">_xlfn.NORM.S.DIST(W37,TRUE)*sigma_proc</f>
        <v>5.0591933378480315E-2</v>
      </c>
      <c r="Z37">
        <f>B37/Bo</f>
        <v>0.11528628876352182</v>
      </c>
      <c r="AA37">
        <f>(B38-B37)/B37</f>
        <v>2.1672720676159569</v>
      </c>
      <c r="AB37">
        <f>C37/Bo2_</f>
        <v>1.1980244031410814</v>
      </c>
      <c r="AC37">
        <f>(C38-C37)/C37</f>
        <v>0.2151264953353888</v>
      </c>
      <c r="AD37">
        <f>D37/Bo3_</f>
        <v>0.51121825534606991</v>
      </c>
      <c r="AE37">
        <f>(D38-D37)/D37</f>
        <v>-0.40506520236806953</v>
      </c>
    </row>
    <row r="38" spans="1:31" x14ac:dyDescent="0.3">
      <c r="A38">
        <v>2002</v>
      </c>
      <c r="B38">
        <f>IF((B37+r_*B37*(1-B37/Bo)-H37)*EXP(E37) &lt; 0, 0.1,(B37+r_*B37*(1-B37/Bo)-H37)*EXP(E37))</f>
        <v>444.68880354757721</v>
      </c>
      <c r="C38">
        <f>IF((C36+_r2*C36*(1-C36/Bo2_)-H36)*EXP(F36) &lt; 0, 0.1,(C36+_r2*C36*(1-C36/Bo2_)-H36)*EXP(F36))</f>
        <v>470.165654946411</v>
      </c>
      <c r="D38">
        <f>IF((D35+_r3*D35*(1-D35/Bo3_)-H35)*EXP(G35) &lt; 0, 0.1,(D35+_r3*D35*(1-D35/Bo3_)-H35)*EXP(G35))</f>
        <v>264.30043338837089</v>
      </c>
      <c r="E38">
        <v>-0.47985108441524954</v>
      </c>
      <c r="F38">
        <v>5.0073265873202995E-2</v>
      </c>
      <c r="G38">
        <v>-0.71655376093787881</v>
      </c>
      <c r="H38" s="2"/>
      <c r="I38" s="2">
        <v>693</v>
      </c>
      <c r="J38">
        <f>(LN(I38)-LN(B38))^2</f>
        <v>0.19683000705579815</v>
      </c>
      <c r="K38">
        <f>(LN(I38)-LN(C38))^2</f>
        <v>0.15050125261415798</v>
      </c>
      <c r="L38">
        <f>(LN(I38)-LN(D38))^2</f>
        <v>0.92918714410831205</v>
      </c>
      <c r="W38">
        <f ca="1">RAND()</f>
        <v>0.75257350365840014</v>
      </c>
      <c r="X38">
        <f ca="1">_xlfn.NORM.S.DIST(W38,TRUE)*sigma_proc</f>
        <v>7.7414687762967338E-2</v>
      </c>
      <c r="Z38">
        <f>B38/Bo</f>
        <v>0.36514304217980997</v>
      </c>
      <c r="AA38">
        <f>(B39-B38)/B38</f>
        <v>-0.28437194853396563</v>
      </c>
      <c r="AB38">
        <f>C38/Bo2_</f>
        <v>1.4557511943150931</v>
      </c>
      <c r="AC38">
        <f>(C39-C38)/C38</f>
        <v>-0.65319743381940054</v>
      </c>
      <c r="AD38">
        <f>D38/Bo3_</f>
        <v>0.30414152929006266</v>
      </c>
      <c r="AE38">
        <f>(D39-D38)/D38</f>
        <v>-0.41407141429661959</v>
      </c>
    </row>
    <row r="39" spans="1:31" x14ac:dyDescent="0.3">
      <c r="A39">
        <v>2003</v>
      </c>
      <c r="B39">
        <f>IF((B38+r_*B38*(1-B38/Bo)-H38)*EXP(E38) &lt; 0, 0.1,(B38+r_*B38*(1-B38/Bo)-H38)*EXP(E38))</f>
        <v>318.23178199151482</v>
      </c>
      <c r="C39">
        <f>IF((C37+_r2*C37*(1-C37/Bo2_)-H37)*EXP(F37) &lt; 0, 0.1,(C37+_r2*C37*(1-C37/Bo2_)-H37)*EXP(F37))</f>
        <v>163.05465566539763</v>
      </c>
      <c r="D39">
        <f>IF((D36+_r3*D36*(1-D36/Bo3_)-H36)*EXP(G36) &lt; 0, 0.1,(D36+_r3*D36*(1-D36/Bo3_)-H36)*EXP(G36))</f>
        <v>154.86117913603866</v>
      </c>
      <c r="E39">
        <v>0.13748776180239677</v>
      </c>
      <c r="F39">
        <v>7.6185618428053423E-2</v>
      </c>
      <c r="G39">
        <v>-0.28869093540469759</v>
      </c>
      <c r="H39" s="2">
        <v>103.6</v>
      </c>
      <c r="I39" s="2">
        <v>264</v>
      </c>
      <c r="J39">
        <f>(LN(I39)-LN(B39))^2</f>
        <v>3.4905780830898743E-2</v>
      </c>
      <c r="K39">
        <f>(LN(I39)-LN(C39))^2</f>
        <v>0.23219257498728443</v>
      </c>
      <c r="L39">
        <f>(LN(I39)-LN(D39))^2</f>
        <v>0.28453690281181176</v>
      </c>
      <c r="W39">
        <f ca="1">RAND()</f>
        <v>0.95609291706186783</v>
      </c>
      <c r="X39">
        <f ca="1">_xlfn.NORM.S.DIST(W39,TRUE)*sigma_proc</f>
        <v>8.304873535382723E-2</v>
      </c>
      <c r="Z39">
        <f>B39/Bo</f>
        <v>0.26130660378151738</v>
      </c>
      <c r="AA39">
        <f>(B40-B39)/B39</f>
        <v>-1.7426302541666546E-2</v>
      </c>
      <c r="AB39">
        <f>C39/Bo2_</f>
        <v>0.5048582499089469</v>
      </c>
      <c r="AC39">
        <f>(C40-C39)/C39</f>
        <v>-0.99938670871069635</v>
      </c>
      <c r="AD39">
        <f>D39/Bo3_</f>
        <v>0.17820521611058965</v>
      </c>
      <c r="AE39">
        <f>(D40-D39)/D39</f>
        <v>1.3864106833749317</v>
      </c>
    </row>
    <row r="40" spans="1:31" x14ac:dyDescent="0.3">
      <c r="A40">
        <v>2004</v>
      </c>
      <c r="B40">
        <f>IF((B39+r_*B39*(1-B39/Bo)-H39)*EXP(E39) &lt; 0, 0.1,(B39+r_*B39*(1-B39/Bo)-H39)*EXP(E39))</f>
        <v>312.68617868015701</v>
      </c>
      <c r="C40">
        <f>IF((C38+_r2*C38*(1-C38/Bo2_)-H38)*EXP(F38) &lt; 0, 0.1,(C38+_r2*C38*(1-C38/Bo2_)-H38)*EXP(F38))</f>
        <v>0.1</v>
      </c>
      <c r="D40">
        <f>IF((D37+_r3*D37*(1-D37/Bo3_)-H37)*EXP(G37) &lt; 0, 0.1,(D37+_r3*D37*(1-D37/Bo3_)-H37)*EXP(G37))</f>
        <v>369.56237233028173</v>
      </c>
      <c r="E40">
        <v>-1.2188305356065412</v>
      </c>
      <c r="F40">
        <v>4.7246094741314644E-2</v>
      </c>
      <c r="G40">
        <v>-0.91908348773719983</v>
      </c>
      <c r="H40" s="2"/>
      <c r="I40" s="2">
        <v>462.5</v>
      </c>
      <c r="J40">
        <f>(LN(I40)-LN(B40))^2</f>
        <v>0.15323035719599287</v>
      </c>
      <c r="K40">
        <f>(LN(I40)-LN(C40))^2</f>
        <v>71.22063084145914</v>
      </c>
      <c r="L40">
        <f>(LN(I40)-LN(D40))^2</f>
        <v>5.0322615865161825E-2</v>
      </c>
      <c r="W40">
        <f ca="1">RAND()</f>
        <v>0.35854007961017342</v>
      </c>
      <c r="X40">
        <f ca="1">_xlfn.NORM.S.DIST(W40,TRUE)*sigma_proc</f>
        <v>6.4003041022072132E-2</v>
      </c>
      <c r="Z40">
        <f>B40/Bo</f>
        <v>0.2567529958478853</v>
      </c>
      <c r="AA40">
        <f>(B41-B40)/B40</f>
        <v>-0.65032592148743906</v>
      </c>
      <c r="AB40">
        <f>C40/Bo2_</f>
        <v>3.0962516700225974E-4</v>
      </c>
      <c r="AC40">
        <f>(C41-C40)/C40</f>
        <v>3387.6021251885445</v>
      </c>
      <c r="AD40">
        <f>D40/Bo3_</f>
        <v>0.42527083155944967</v>
      </c>
      <c r="AE40">
        <f>(D41-D40)/D40</f>
        <v>-0.65050005597336491</v>
      </c>
    </row>
    <row r="41" spans="1:31" x14ac:dyDescent="0.3">
      <c r="A41">
        <v>2005</v>
      </c>
      <c r="B41">
        <f>IF((B40+r_*B40*(1-B40/Bo)-H40)*EXP(E40) &lt; 0, 0.1,(B40+r_*B40*(1-B40/Bo)-H40)*EXP(E40))</f>
        <v>109.33825139359787</v>
      </c>
      <c r="C41">
        <f>IF((C39+_r2*C39*(1-C39/Bo2_)-H39)*EXP(F39) &lt; 0, 0.1,(C39+_r2*C39*(1-C39/Bo2_)-H39)*EXP(F39))</f>
        <v>338.8602125188545</v>
      </c>
      <c r="D41">
        <f>IF((D38+_r3*D38*(1-D38/Bo3_)-H38)*EXP(G38) &lt; 0, 0.1,(D38+_r3*D38*(1-D38/Bo3_)-H38)*EXP(G38))</f>
        <v>129.16202844378395</v>
      </c>
      <c r="E41">
        <v>-1.3158590956015745</v>
      </c>
      <c r="F41">
        <v>0.12872245202237928</v>
      </c>
      <c r="G41">
        <v>1.1167477623650378E-2</v>
      </c>
      <c r="H41" s="2">
        <v>0</v>
      </c>
      <c r="I41" s="2">
        <v>111.6</v>
      </c>
      <c r="J41">
        <f>(LN(I41)-LN(B41))^2</f>
        <v>4.1921534597134935E-4</v>
      </c>
      <c r="K41">
        <f>(LN(I41)-LN(C41))^2</f>
        <v>1.2335803406507928</v>
      </c>
      <c r="L41">
        <f>(LN(I41)-LN(D41))^2</f>
        <v>2.1358828899388237E-2</v>
      </c>
      <c r="W41">
        <f ca="1">RAND()</f>
        <v>0.8741919736803665</v>
      </c>
      <c r="X41">
        <f ca="1">_xlfn.NORM.S.DIST(W41,TRUE)*sigma_proc</f>
        <v>8.0899314184244009E-2</v>
      </c>
      <c r="Z41">
        <f>B41/Bo</f>
        <v>8.9779867228448662E-2</v>
      </c>
      <c r="AA41">
        <f>(B42-B41)/B41</f>
        <v>-0.67163066599926657</v>
      </c>
      <c r="AB41">
        <f>C41/Bo2_</f>
        <v>1.0491964989157154</v>
      </c>
      <c r="AC41">
        <f>(C42-C41)/C41</f>
        <v>-0.99871546694175461</v>
      </c>
      <c r="AD41">
        <f>D41/Bo3_</f>
        <v>0.14863213182618823</v>
      </c>
      <c r="AE41">
        <f>(D42-D41)/D41</f>
        <v>-0.70207621916809915</v>
      </c>
    </row>
    <row r="42" spans="1:31" x14ac:dyDescent="0.3">
      <c r="A42">
        <v>2006</v>
      </c>
      <c r="B42">
        <f>IF((B41+r_*B41*(1-B41/Bo)-H41)*EXP(E41) &lt; 0, 0.1,(B41+r_*B41*(1-B41/Bo)-H41)*EXP(E41))</f>
        <v>35.903328790920504</v>
      </c>
      <c r="C42">
        <f>IF((C40+_r2*C40*(1-C40/Bo2_)-H40)*EXP(F40) &lt; 0, 0.1,(C40+_r2*C40*(1-C40/Bo2_)-H40)*EXP(F40))</f>
        <v>0.43527714510453935</v>
      </c>
      <c r="D42">
        <f>IF((D39+_r3*D39*(1-D39/Bo3_)-H39)*EXP(G39) &lt; 0, 0.1,(D39+_r3*D39*(1-D39/Bo3_)-H39)*EXP(G39))</f>
        <v>38.480439853889635</v>
      </c>
      <c r="E42">
        <v>0.93033595026532268</v>
      </c>
      <c r="F42">
        <v>5.1806323015092734E-2</v>
      </c>
      <c r="G42">
        <v>2.1038394121120105</v>
      </c>
      <c r="H42" s="2">
        <v>0</v>
      </c>
      <c r="I42" s="2">
        <v>17.5</v>
      </c>
      <c r="J42">
        <f>(LN(I42)-LN(B42))^2</f>
        <v>0.51642783258892999</v>
      </c>
      <c r="K42">
        <f>(LN(I42)-LN(C42))^2</f>
        <v>13.645438124306438</v>
      </c>
      <c r="L42">
        <f>(LN(I42)-LN(D42))^2</f>
        <v>0.62086390319806961</v>
      </c>
      <c r="W42">
        <f ca="1">RAND()</f>
        <v>0.95735978222366791</v>
      </c>
      <c r="X42">
        <f ca="1">_xlfn.NORM.S.DIST(W42,TRUE)*sigma_proc</f>
        <v>8.3080715474012662E-2</v>
      </c>
      <c r="Z42">
        <f>B42/Bo</f>
        <v>2.9480955208479966E-2</v>
      </c>
      <c r="AA42">
        <f>(B43-B42)/B42</f>
        <v>2.1412969212875024</v>
      </c>
      <c r="AB42">
        <f>C42/Bo2_</f>
        <v>1.3477275874525982E-3</v>
      </c>
      <c r="AC42">
        <f>(C43-C42)/C42</f>
        <v>747.0972005651588</v>
      </c>
      <c r="AD42">
        <f>D42/Bo3_</f>
        <v>4.4281046666763496E-2</v>
      </c>
      <c r="AE42">
        <f>(D43-D42)/D42</f>
        <v>2.8325402539017306</v>
      </c>
    </row>
    <row r="43" spans="1:31" x14ac:dyDescent="0.3">
      <c r="A43">
        <v>2007</v>
      </c>
      <c r="B43">
        <f>IF((B42+r_*B42*(1-B42/Bo)-H42)*EXP(E42) &lt; 0, 0.1,(B42+r_*B42*(1-B42/Bo)-H42)*EXP(E42))</f>
        <v>112.78301619489152</v>
      </c>
      <c r="C43">
        <f>IF((C41+_r2*C41*(1-C41/Bo2_)-H41)*EXP(F41) &lt; 0, 0.1,(C41+_r2*C41*(1-C41/Bo2_)-H41)*EXP(F41))</f>
        <v>325.6296137227003</v>
      </c>
      <c r="D43">
        <f>IF((D40+_r3*D40*(1-D40/Bo3_)-H40)*EXP(G40) &lt; 0, 0.1,(D40+_r3*D40*(1-D40/Bo3_)-H40)*EXP(G40))</f>
        <v>147.47783472787646</v>
      </c>
      <c r="E43">
        <v>3.0146567003208873E-2</v>
      </c>
      <c r="F43">
        <v>0.23373160666705639</v>
      </c>
      <c r="G43">
        <v>-0.89713082631905749</v>
      </c>
      <c r="H43" s="2">
        <v>0</v>
      </c>
      <c r="I43" s="2">
        <v>145.5</v>
      </c>
      <c r="J43">
        <f>(LN(I43)-LN(B43))^2</f>
        <v>6.4877349423124675E-2</v>
      </c>
      <c r="K43">
        <f>(LN(I43)-LN(C43))^2</f>
        <v>0.6489663779686472</v>
      </c>
      <c r="L43">
        <f>(LN(I43)-LN(D43))^2</f>
        <v>1.8229873406863309E-4</v>
      </c>
      <c r="W43">
        <f ca="1">RAND()</f>
        <v>0.73570704006376086</v>
      </c>
      <c r="X43">
        <f ca="1">_xlfn.NORM.S.DIST(W43,TRUE)*sigma_proc</f>
        <v>7.6904549782629839E-2</v>
      </c>
      <c r="Z43">
        <f>B43/Bo</f>
        <v>9.2608433833012871E-2</v>
      </c>
      <c r="AA43">
        <f>(B44-B43)/B43</f>
        <v>0.26089301165848688</v>
      </c>
      <c r="AB43">
        <f>C43/Bo2_</f>
        <v>1.0082312352977241</v>
      </c>
      <c r="AC43">
        <f>(C44-C43)/C43</f>
        <v>-0.99415955658602817</v>
      </c>
      <c r="AD43">
        <f>D43/Bo3_</f>
        <v>0.16970889383527216</v>
      </c>
      <c r="AE43">
        <f>(D44-D43)/D43</f>
        <v>-0.11377844910457723</v>
      </c>
    </row>
    <row r="44" spans="1:31" x14ac:dyDescent="0.3">
      <c r="A44">
        <v>2008</v>
      </c>
      <c r="B44">
        <f>IF((B43+r_*B43*(1-B43/Bo)-H43)*EXP(E43) &lt; 0, 0.1,(B43+r_*B43*(1-B43/Bo)-H43)*EXP(E43))</f>
        <v>142.20731695390467</v>
      </c>
      <c r="C44">
        <f>IF((C42+_r2*C42*(1-C42/Bo2_)-H42)*EXP(F42) &lt; 0, 0.1,(C42+_r2*C42*(1-C42/Bo2_)-H42)*EXP(F42))</f>
        <v>1.9018213328609606</v>
      </c>
      <c r="D44">
        <f>IF((D41+_r3*D41*(1-D41/Bo3_)-H41)*EXP(G41) &lt; 0, 0.1,(D41+_r3*D41*(1-D41/Bo3_)-H41)*EXP(G41))</f>
        <v>130.69803541523751</v>
      </c>
      <c r="E44">
        <v>0.68117264914133924</v>
      </c>
      <c r="F44">
        <v>5.3975551054775341E-2</v>
      </c>
      <c r="G44">
        <v>-7.6437133182433198E-2</v>
      </c>
      <c r="H44" s="2">
        <v>0</v>
      </c>
      <c r="I44" s="2">
        <v>119.6</v>
      </c>
      <c r="J44">
        <f>(LN(I44)-LN(B44))^2</f>
        <v>2.9975080669271695E-2</v>
      </c>
      <c r="K44">
        <f>(LN(I44)-LN(C44))^2</f>
        <v>17.150703772998792</v>
      </c>
      <c r="L44">
        <f>(LN(I44)-LN(D44))^2</f>
        <v>7.8742104008405409E-3</v>
      </c>
      <c r="W44">
        <f ca="1">RAND()</f>
        <v>0.98068939171171354</v>
      </c>
      <c r="X44">
        <f ca="1">_xlfn.NORM.S.DIST(W44,TRUE)*sigma_proc</f>
        <v>8.3662703161248256E-2</v>
      </c>
      <c r="Z44">
        <f>B44/Bo</f>
        <v>0.11676932704068331</v>
      </c>
      <c r="AA44">
        <f>(B45-B44)/B44</f>
        <v>1.4060138194404417</v>
      </c>
      <c r="AB44">
        <f>C44/Bo2_</f>
        <v>5.8885174779553509E-3</v>
      </c>
      <c r="AC44">
        <f>(C45-C44)/C44</f>
        <v>209.68947785479887</v>
      </c>
      <c r="AD44">
        <f>D44/Bo3_</f>
        <v>0.15039967909544155</v>
      </c>
      <c r="AE44">
        <f>(D45-D44)/D44</f>
        <v>1.4153266270971039</v>
      </c>
    </row>
    <row r="45" spans="1:31" x14ac:dyDescent="0.3">
      <c r="A45">
        <v>2009</v>
      </c>
      <c r="B45">
        <f>IF((B44+r_*B44*(1-B44/Bo)-H44)*EXP(E44) &lt; 0, 0.1,(B44+r_*B44*(1-B44/Bo)-H44)*EXP(E44))</f>
        <v>342.15276981664164</v>
      </c>
      <c r="C45">
        <f>IF((C43+_r2*C43*(1-C43/Bo2_)-H43)*EXP(F43) &lt; 0, 0.1,(C43+_r2*C43*(1-C43/Bo2_)-H43)*EXP(F43))</f>
        <v>400.69374359359341</v>
      </c>
      <c r="D45">
        <f>IF((D42+_r3*D42*(1-D42/Bo3_)-H42)*EXP(G42) &lt; 0, 0.1,(D42+_r3*D42*(1-D42/Bo3_)-H42)*EXP(G42))</f>
        <v>315.67844504770346</v>
      </c>
      <c r="E45">
        <v>-1.8340189083122596</v>
      </c>
      <c r="F45">
        <v>0.17037763335012182</v>
      </c>
      <c r="G45">
        <v>-0.59925089792633746</v>
      </c>
      <c r="H45" s="2">
        <v>0</v>
      </c>
      <c r="I45" s="2">
        <v>736.5</v>
      </c>
      <c r="J45">
        <f>(LN(I45)-LN(B45))^2</f>
        <v>0.58775514069315182</v>
      </c>
      <c r="K45">
        <f>(LN(I45)-LN(C45))^2</f>
        <v>0.3705300945075391</v>
      </c>
      <c r="L45">
        <f>(LN(I45)-LN(D45))^2</f>
        <v>0.71772262647128793</v>
      </c>
      <c r="W45">
        <f ca="1">RAND()</f>
        <v>0.69349054290812495</v>
      </c>
      <c r="X45">
        <f ca="1">_xlfn.NORM.S.DIST(W45,TRUE)*sigma_proc</f>
        <v>7.5599912065675692E-2</v>
      </c>
      <c r="Z45">
        <f>B45/Bo</f>
        <v>0.28094861454664449</v>
      </c>
      <c r="AA45">
        <f>(B46-B45)/B45</f>
        <v>-0.8119394541701952</v>
      </c>
      <c r="AB45">
        <f>C45/Bo2_</f>
        <v>1.2406486727692698</v>
      </c>
      <c r="AC45">
        <f>(C46-C45)/C45</f>
        <v>-0.97928896595159154</v>
      </c>
      <c r="AD45">
        <f>D45/Bo3_</f>
        <v>0.36326434962607962</v>
      </c>
      <c r="AE45">
        <f>(D46-D45)/D45</f>
        <v>-0.80939247106624523</v>
      </c>
    </row>
    <row r="46" spans="1:31" x14ac:dyDescent="0.3">
      <c r="A46">
        <v>2010</v>
      </c>
      <c r="B46">
        <f>IF((B45+r_*B45*(1-B45/Bo)-H45)*EXP(E45) &lt; 0, 0.1,(B45+r_*B45*(1-B45/Bo)-H45)*EXP(E45))</f>
        <v>64.345436648897191</v>
      </c>
      <c r="C46">
        <f>IF((C44+_r2*C44*(1-C44/Bo2_)-H44)*EXP(F44) &lt; 0, 0.1,(C44+_r2*C44*(1-C44/Bo2_)-H44)*EXP(F44))</f>
        <v>8.2987817665511336</v>
      </c>
      <c r="D46">
        <f>IF((D43+_r3*D43*(1-D43/Bo3_)-H43)*EXP(G43) &lt; 0, 0.1,(D43+_r3*D43*(1-D43/Bo3_)-H43)*EXP(G43))</f>
        <v>60.17068834819284</v>
      </c>
      <c r="E46">
        <v>0.46789019412177074</v>
      </c>
      <c r="F46">
        <v>5.2453625962788616E-2</v>
      </c>
      <c r="G46">
        <v>1.1276294582381952</v>
      </c>
      <c r="H46" s="2">
        <v>0</v>
      </c>
      <c r="I46" s="2">
        <v>31.3</v>
      </c>
      <c r="J46">
        <f>(LN(I46)-LN(B46))^2</f>
        <v>0.51933342378515857</v>
      </c>
      <c r="K46">
        <f>(LN(I46)-LN(C46))^2</f>
        <v>1.7622811238014775</v>
      </c>
      <c r="L46">
        <f>(LN(I46)-LN(D46))^2</f>
        <v>0.42715012632207272</v>
      </c>
      <c r="W46">
        <f ca="1">RAND()</f>
        <v>0.2764581183338074</v>
      </c>
      <c r="X46">
        <f ca="1">_xlfn.NORM.S.DIST(W46,TRUE)*sigma_proc</f>
        <v>6.0890188835895011E-2</v>
      </c>
      <c r="Z46">
        <f>B46/Bo</f>
        <v>5.2835349801769405E-2</v>
      </c>
      <c r="AA46">
        <f>(B47-B46)/B46</f>
        <v>0.96902289481262793</v>
      </c>
      <c r="AB46">
        <f>C46/Bo2_</f>
        <v>2.5695116903837027E-2</v>
      </c>
      <c r="AC46">
        <f>(C47-C46)/C46</f>
        <v>12.812893677021975</v>
      </c>
      <c r="AD46">
        <f>D46/Bo3_</f>
        <v>6.9240920031954575E-2</v>
      </c>
      <c r="AE46">
        <f>(D47-D46)/D46</f>
        <v>1.0135920758993189</v>
      </c>
    </row>
    <row r="47" spans="1:31" x14ac:dyDescent="0.3">
      <c r="A47">
        <v>2011</v>
      </c>
      <c r="B47">
        <f>IF((B46+r_*B46*(1-B46/Bo)-H46)*EXP(E46) &lt; 0, 0.1,(B46+r_*B46*(1-B46/Bo)-H46)*EXP(E46))</f>
        <v>126.69763793839411</v>
      </c>
      <c r="C47">
        <f>IF((C45+_r2*C45*(1-C45/Bo2_)-H45)*EXP(F45) &lt; 0, 0.1,(C45+_r2*C45*(1-C45/Bo2_)-H45)*EXP(F45))</f>
        <v>114.63019019017941</v>
      </c>
      <c r="D47">
        <f>IF((D44+_r3*D44*(1-D44/Bo3_)-H44)*EXP(G44) &lt; 0, 0.1,(D44+_r3*D44*(1-D44/Bo3_)-H44)*EXP(G44))</f>
        <v>121.15922125932858</v>
      </c>
      <c r="E47">
        <v>-6.4029471491034121E-2</v>
      </c>
      <c r="F47">
        <v>8.8232004500303829E-2</v>
      </c>
      <c r="G47">
        <v>-0.76195340283775392</v>
      </c>
      <c r="H47" s="2">
        <v>0</v>
      </c>
      <c r="I47" s="2">
        <v>148.30000000000001</v>
      </c>
      <c r="J47">
        <f>(LN(I47)-LN(B47))^2</f>
        <v>2.4785402937671796E-2</v>
      </c>
      <c r="K47">
        <f>(LN(I47)-LN(C47))^2</f>
        <v>6.6319661202117533E-2</v>
      </c>
      <c r="L47">
        <f>(LN(I47)-LN(D47))^2</f>
        <v>4.0857220255801817E-2</v>
      </c>
      <c r="W47">
        <f ca="1">RAND()</f>
        <v>0.58862833197951792</v>
      </c>
      <c r="X47">
        <f ca="1">_xlfn.NORM.S.DIST(W47,TRUE)*sigma_proc</f>
        <v>7.2194468805990814E-2</v>
      </c>
      <c r="Z47">
        <f>B47/Bo</f>
        <v>0.1040340134151178</v>
      </c>
      <c r="AA47">
        <f>(B48-B47)/B47</f>
        <v>0.14492805334945227</v>
      </c>
      <c r="AB47">
        <f>C47/Bo2_</f>
        <v>0.35492391781135091</v>
      </c>
      <c r="AC47">
        <f>(C48-C47)/C47</f>
        <v>-0.68933735516907646</v>
      </c>
      <c r="AD47">
        <f>D47/Bo3_</f>
        <v>0.13942296790432213</v>
      </c>
      <c r="AE47">
        <f>(D48-D47)/D47</f>
        <v>0.43169229801836251</v>
      </c>
    </row>
    <row r="48" spans="1:31" x14ac:dyDescent="0.3">
      <c r="A48">
        <v>2012</v>
      </c>
      <c r="B48">
        <f>IF((B47+r_*B47*(1-B47/Bo)-H47)*EXP(E47) &lt; 0, 0.1,(B47+r_*B47*(1-B47/Bo)-H47)*EXP(E47))</f>
        <v>145.05967996877928</v>
      </c>
      <c r="C48">
        <f>IF((C46+_r2*C46*(1-C46/Bo2_)-H46)*EXP(F46) &lt; 0, 0.1,(C46+_r2*C46*(1-C46/Bo2_)-H46)*EXP(F46))</f>
        <v>35.611318061952915</v>
      </c>
      <c r="D48">
        <f>IF((D45+_r3*D45*(1-D45/Bo3_)-H45)*EXP(G45) &lt; 0, 0.1,(D45+_r3*D45*(1-D45/Bo3_)-H45)*EXP(G45))</f>
        <v>173.46272391088337</v>
      </c>
      <c r="E48">
        <v>-9.0046063209799965E-2</v>
      </c>
      <c r="F48">
        <v>4.7684128767346838E-2</v>
      </c>
      <c r="G48">
        <v>-0.60282188622978194</v>
      </c>
      <c r="H48" s="2">
        <v>0</v>
      </c>
      <c r="I48" s="2"/>
      <c r="W48">
        <f ca="1">RAND()</f>
        <v>0.84765191367073589</v>
      </c>
      <c r="X48">
        <f ca="1">_xlfn.NORM.S.DIST(W48,TRUE)*sigma_proc</f>
        <v>8.0168407314784862E-2</v>
      </c>
      <c r="Z48">
        <f>B48/Bo</f>
        <v>0.11911146046150163</v>
      </c>
      <c r="AA48">
        <f>(B49-B48)/B48</f>
        <v>0.1121319089557986</v>
      </c>
      <c r="AB48">
        <f>C48/Bo2_</f>
        <v>0.1102616030210276</v>
      </c>
      <c r="AC48">
        <f>(C49-C48)/C48</f>
        <v>9.6665325191138329</v>
      </c>
      <c r="AD48">
        <f>D48/Bo3_</f>
        <v>0.19961078931547935</v>
      </c>
      <c r="AE48">
        <f>(D49-D48)/D48</f>
        <v>7.2044451205124191E-2</v>
      </c>
    </row>
    <row r="49" spans="1:31" x14ac:dyDescent="0.3">
      <c r="A49">
        <v>2013</v>
      </c>
      <c r="B49">
        <f>IF((B48+r_*B48*(1-B48/Bo)-H48)*EXP(E48) &lt; 0, 0.1,(B48+r_*B48*(1-B48/Bo)-H48)*EXP(E48))</f>
        <v>161.32549879619572</v>
      </c>
      <c r="C49">
        <f>IF((C47+_r2*C47*(1-C47/Bo2_)-H47)*EXP(F47) &lt; 0, 0.1,(C47+_r2*C47*(1-C47/Bo2_)-H47)*EXP(F47))</f>
        <v>379.84928215632652</v>
      </c>
      <c r="D49">
        <f>IF((D46+_r3*D46*(1-D46/Bo3_)-H46)*EXP(G46) &lt; 0, 0.1,(D46+_r3*D46*(1-D46/Bo3_)-H46)*EXP(G46))</f>
        <v>185.95975065958893</v>
      </c>
      <c r="E49">
        <v>-1.0523794906142148</v>
      </c>
      <c r="F49">
        <v>9.5930310534804414E-2</v>
      </c>
      <c r="G49">
        <v>0.63609262607565609</v>
      </c>
      <c r="H49" s="2">
        <v>0</v>
      </c>
      <c r="I49" s="2">
        <v>217.4</v>
      </c>
      <c r="J49">
        <f>(LN(I49)-LN(B49))^2</f>
        <v>8.8991790896976661E-2</v>
      </c>
      <c r="K49">
        <f>(LN(I49)-LN(C49))^2</f>
        <v>0.31140370123796984</v>
      </c>
      <c r="L49">
        <f>(LN(I49)-LN(D49))^2</f>
        <v>2.4401163795964548E-2</v>
      </c>
      <c r="W49">
        <f ca="1">RAND()</f>
        <v>2.6296134805946281E-2</v>
      </c>
      <c r="X49">
        <f ca="1">_xlfn.NORM.S.DIST(W49,TRUE)*sigma_proc</f>
        <v>5.104894310876068E-2</v>
      </c>
      <c r="Z49">
        <f>B49/Bo</f>
        <v>0.13246765590156293</v>
      </c>
      <c r="AA49">
        <f>(B50-B49)/B49</f>
        <v>-0.57631329762135519</v>
      </c>
      <c r="AB49">
        <f>C49/Bo2_</f>
        <v>1.1761089742334108</v>
      </c>
      <c r="AC49">
        <f>(C50-C49)/C49</f>
        <v>-0.62583132018940912</v>
      </c>
      <c r="AD49">
        <f>D49/Bo3_</f>
        <v>0.21399163908633473</v>
      </c>
      <c r="AE49">
        <f>(D50-D49)/D49</f>
        <v>-0.69569249590152205</v>
      </c>
    </row>
    <row r="50" spans="1:31" x14ac:dyDescent="0.3">
      <c r="A50">
        <v>2014</v>
      </c>
      <c r="B50">
        <f>IF((B49+r_*B49*(1-B49/Bo)-H49)*EXP(E49) &lt; 0, 0.1,(B49+r_*B49*(1-B49/Bo)-H49)*EXP(E49))</f>
        <v>68.351468594550198</v>
      </c>
      <c r="C50">
        <f>IF((C48+_r2*C48*(1-C48/Bo2_)-H48)*EXP(F48) &lt; 0, 0.1,(C48+_r2*C48*(1-C48/Bo2_)-H48)*EXP(F48))</f>
        <v>142.12770443143333</v>
      </c>
      <c r="D50">
        <f>IF((D47+_r3*D47*(1-D47/Bo3_)-H47)*EXP(G47) &lt; 0, 0.1,(D47+_r3*D47*(1-D47/Bo3_)-H47)*EXP(G47))</f>
        <v>56.588947585994795</v>
      </c>
      <c r="E50">
        <v>0.10998015305872363</v>
      </c>
      <c r="F50">
        <v>5.478699577631907E-2</v>
      </c>
      <c r="G50">
        <v>-1.0504083914680624E-2</v>
      </c>
      <c r="H50" s="2">
        <v>0</v>
      </c>
      <c r="I50" s="2">
        <v>43.9</v>
      </c>
      <c r="J50">
        <f>(LN(I50)-LN(B50))^2</f>
        <v>0.19602643724804922</v>
      </c>
      <c r="K50">
        <f>(LN(I50)-LN(C50))^2</f>
        <v>1.3801824372939515</v>
      </c>
      <c r="L50">
        <f>(LN(I50)-LN(D50))^2</f>
        <v>6.4464891979287606E-2</v>
      </c>
      <c r="W50">
        <f ca="1">RAND()</f>
        <v>0.13465967043896565</v>
      </c>
      <c r="X50">
        <f ca="1">_xlfn.NORM.S.DIST(W50,TRUE)*sigma_proc</f>
        <v>5.5355951949606234E-2</v>
      </c>
      <c r="Z50">
        <f>B50/Bo</f>
        <v>5.6124784300762225E-2</v>
      </c>
      <c r="AA50">
        <f>(B51-B50)/B50</f>
        <v>0.37571051570796332</v>
      </c>
      <c r="AB50">
        <f>C50/Bo2_</f>
        <v>0.44006314220230353</v>
      </c>
      <c r="AC50">
        <f>(C51-C50)/C50</f>
        <v>0.30830891210267408</v>
      </c>
      <c r="AD50">
        <f>D50/Bo3_</f>
        <v>6.5119261588304819E-2</v>
      </c>
      <c r="AE50">
        <f>(D51-D50)/D50</f>
        <v>0.67857032378291426</v>
      </c>
    </row>
    <row r="51" spans="1:31" x14ac:dyDescent="0.3">
      <c r="A51">
        <v>2015</v>
      </c>
      <c r="B51">
        <f>IF((B50+r_*B50*(1-B50/Bo)-H50)*EXP(E50) &lt; 0, 0.1,(B50+r_*B50*(1-B50/Bo)-H50)*EXP(E50))</f>
        <v>94.031834109605313</v>
      </c>
      <c r="C51">
        <f>IF((C49+_r2*C49*(1-C49/Bo2_)-H49)*EXP(F49) &lt; 0, 0.1,(C49+_r2*C49*(1-C49/Bo2_)-H49)*EXP(F49))</f>
        <v>185.94694236433895</v>
      </c>
      <c r="D51">
        <f>IF((D48+_r3*D48*(1-D48/Bo3_)-H48)*EXP(G48) &lt; 0, 0.1,(D48+_r3*D48*(1-D48/Bo3_)-H48)*EXP(G48))</f>
        <v>94.988528071957646</v>
      </c>
      <c r="E51">
        <v>0.99318187599128416</v>
      </c>
      <c r="F51">
        <v>5.6565993645472032E-2</v>
      </c>
      <c r="G51">
        <v>-9.3415271089732806E-3</v>
      </c>
      <c r="H51" s="2"/>
      <c r="I51" s="2">
        <v>76.400000000000006</v>
      </c>
      <c r="J51">
        <f>(LN(I51)-LN(B51))^2</f>
        <v>4.3118808852070804E-2</v>
      </c>
      <c r="K51">
        <f>(LN(I51)-LN(C51))^2</f>
        <v>0.79117232349410227</v>
      </c>
      <c r="L51">
        <f>(LN(I51)-LN(D51))^2</f>
        <v>4.7425267249097215E-2</v>
      </c>
      <c r="W51">
        <f ca="1">RAND()</f>
        <v>0.290120019449429</v>
      </c>
      <c r="X51">
        <f ca="1">_xlfn.NORM.S.DIST(W51,TRUE)*sigma_proc</f>
        <v>6.141377895879966E-2</v>
      </c>
      <c r="Z51">
        <f>B51/Bo</f>
        <v>7.7211455954399807E-2</v>
      </c>
      <c r="AA51">
        <f>(B52-B51)/B51</f>
        <v>2.313317011362245</v>
      </c>
      <c r="AB51">
        <f>C51/Bo2_</f>
        <v>0.5757385308311801</v>
      </c>
      <c r="AC51">
        <f>(C52-C51)/C51</f>
        <v>1.2327669237781891</v>
      </c>
      <c r="AD51">
        <f>D51/Bo3_</f>
        <v>0.1093072600087851</v>
      </c>
      <c r="AE51">
        <f>(D52-D51)/D51</f>
        <v>2.7005112585437288</v>
      </c>
    </row>
    <row r="52" spans="1:31" ht="15" thickBot="1" x14ac:dyDescent="0.35">
      <c r="A52">
        <v>2016</v>
      </c>
      <c r="B52">
        <f>IF((B51+r_*B51*(1-B51/Bo)-H51)*EXP(E51) &lt; 0, 0.1,(B51+r_*B51*(1-B51/Bo)-H51)*EXP(E51))</f>
        <v>311.55727556494787</v>
      </c>
      <c r="C52">
        <f>IF((C50+_r2*C50*(1-C50/Bo2_)-H50)*EXP(F50) &lt; 0, 0.1,(C50+_r2*C50*(1-C50/Bo2_)-H50)*EXP(F50))</f>
        <v>415.17618248878529</v>
      </c>
      <c r="D52">
        <f>IF((D49+_r3*D49*(1-D49/Bo3_)-H49)*EXP(G49) &lt; 0, 0.1,(D49+_r3*D49*(1-D49/Bo3_)-H49)*EXP(G49))</f>
        <v>351.5061175627763</v>
      </c>
      <c r="E52">
        <v>1.5889488907470769E-2</v>
      </c>
      <c r="F52">
        <v>5.3549481948669431E-2</v>
      </c>
      <c r="G52">
        <v>-1.3233376973232921E-2</v>
      </c>
      <c r="H52" s="1">
        <v>0</v>
      </c>
      <c r="I52" s="1">
        <v>427.6</v>
      </c>
      <c r="J52">
        <f>(LN(I52)-LN(B52))^2</f>
        <v>0.10023871819408262</v>
      </c>
      <c r="K52">
        <f>(LN(I52)-LN(C52))^2</f>
        <v>8.6937777932182599E-4</v>
      </c>
      <c r="L52">
        <f>(LN(I52)-LN(D52))^2</f>
        <v>3.8400738560938084E-2</v>
      </c>
      <c r="W52">
        <f ca="1">RAND()</f>
        <v>0.62668361099639802</v>
      </c>
      <c r="X52">
        <f ca="1">_xlfn.NORM.S.DIST(W52,TRUE)*sigma_proc</f>
        <v>7.3456667552411536E-2</v>
      </c>
      <c r="Z52">
        <f>B52/Bo</f>
        <v>0.25582603048575958</v>
      </c>
      <c r="AA52">
        <f>(B53-B52)/B52</f>
        <v>-1</v>
      </c>
      <c r="AB52">
        <f>C52/Bo2_</f>
        <v>1.2854899483845079</v>
      </c>
      <c r="AC52">
        <f>(C53-C52)/C52</f>
        <v>-1</v>
      </c>
      <c r="AD52">
        <f>D52/Bo3_</f>
        <v>0.40449274630307597</v>
      </c>
      <c r="AE52">
        <f>(D53-D52)/D52</f>
        <v>-1</v>
      </c>
    </row>
    <row r="53" spans="1:31" x14ac:dyDescent="0.3">
      <c r="J53">
        <f>0.5*SUM(J15:J52)/sigma_obs^2+procLL</f>
        <v>24.622167003126712</v>
      </c>
      <c r="K53">
        <f>0.5*SUM(K15:K52)/sigma_obs^2+procLL2</f>
        <v>502.25659093389379</v>
      </c>
      <c r="L53">
        <f>0.5*SUM(L15:L52)/sigma_obs^2+procLL3</f>
        <v>44.50544744199636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Metadata</vt:lpstr>
      <vt:lpstr>Production Model_with lags</vt:lpstr>
      <vt:lpstr>_r2</vt:lpstr>
      <vt:lpstr>_r3</vt:lpstr>
      <vt:lpstr>B1979_</vt:lpstr>
      <vt:lpstr>B1980_</vt:lpstr>
      <vt:lpstr>B1982_</vt:lpstr>
      <vt:lpstr>Bo</vt:lpstr>
      <vt:lpstr>Bo2_</vt:lpstr>
      <vt:lpstr>Bo3_</vt:lpstr>
      <vt:lpstr>lnB1979_</vt:lpstr>
      <vt:lpstr>lnB1980_</vt:lpstr>
      <vt:lpstr>lnB1982_</vt:lpstr>
      <vt:lpstr>lnBo</vt:lpstr>
      <vt:lpstr>lnBo2</vt:lpstr>
      <vt:lpstr>lnBo3</vt:lpstr>
      <vt:lpstr>lnr</vt:lpstr>
      <vt:lpstr>lnr2_</vt:lpstr>
      <vt:lpstr>lnr3_</vt:lpstr>
      <vt:lpstr>nlnL</vt:lpstr>
      <vt:lpstr>nlnL_1</vt:lpstr>
      <vt:lpstr>nlnL2</vt:lpstr>
      <vt:lpstr>nlnL3</vt:lpstr>
      <vt:lpstr>procLL</vt:lpstr>
      <vt:lpstr>procLL2</vt:lpstr>
      <vt:lpstr>procLL3</vt:lpstr>
      <vt:lpstr>r_</vt:lpstr>
      <vt:lpstr>sigma_obs</vt:lpstr>
      <vt:lpstr>sigma_proc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2017-07-13T19:56:35Z</dcterms:created>
  <dcterms:modified xsi:type="dcterms:W3CDTF">2017-07-13T19:57:57Z</dcterms:modified>
</cp:coreProperties>
</file>