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1600" windowHeight="10410" activeTab="2"/>
  </bookViews>
  <sheets>
    <sheet name="RACGP 2017" sheetId="1" r:id="rId1"/>
    <sheet name="Ross' Notes" sheetId="2" r:id="rId2"/>
    <sheet name="ES calculator" sheetId="3" r:id="rId3"/>
  </sheets>
  <definedNames>
    <definedName name="_xlnm._FilterDatabase" localSheetId="0" hidden="1">'RACGP 2017'!$A$3:$AS$124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7" i="3" l="1"/>
  <c r="T7" i="3"/>
  <c r="K41" i="3" l="1"/>
  <c r="I41" i="3"/>
  <c r="E41" i="3"/>
  <c r="H41" i="3"/>
  <c r="K39" i="3"/>
  <c r="I39" i="3"/>
  <c r="E39" i="3"/>
  <c r="H39" i="3"/>
  <c r="M39" i="3"/>
  <c r="M41" i="3" l="1"/>
  <c r="N41" i="3"/>
  <c r="N39" i="3"/>
  <c r="O39" i="3"/>
  <c r="Q39" i="3" s="1"/>
  <c r="S39" i="3" s="1"/>
  <c r="E61" i="3"/>
  <c r="E60" i="3"/>
  <c r="E59" i="3"/>
  <c r="E58" i="3"/>
  <c r="M61" i="3"/>
  <c r="H61" i="3"/>
  <c r="M60" i="3"/>
  <c r="H60" i="3"/>
  <c r="M59" i="3"/>
  <c r="H59" i="3"/>
  <c r="M58" i="3"/>
  <c r="H58" i="3"/>
  <c r="M57" i="3"/>
  <c r="H57" i="3"/>
  <c r="E57" i="3"/>
  <c r="M56" i="3"/>
  <c r="E56" i="3"/>
  <c r="H56" i="3"/>
  <c r="P41" i="3" l="1"/>
  <c r="O41" i="3"/>
  <c r="Q41" i="3" s="1"/>
  <c r="S41" i="3" s="1"/>
  <c r="P39" i="3"/>
  <c r="R39" i="3"/>
  <c r="T39" i="3" s="1"/>
  <c r="N57" i="3"/>
  <c r="O57" i="3" s="1"/>
  <c r="Q57" i="3" s="1"/>
  <c r="N60" i="3"/>
  <c r="O60" i="3" s="1"/>
  <c r="Q60" i="3" s="1"/>
  <c r="S60" i="3" s="1"/>
  <c r="N58" i="3"/>
  <c r="N56" i="3"/>
  <c r="N61" i="3"/>
  <c r="O61" i="3" s="1"/>
  <c r="Q61" i="3" s="1"/>
  <c r="S61" i="3" s="1"/>
  <c r="N59" i="3"/>
  <c r="O59" i="3" s="1"/>
  <c r="Q59" i="3" s="1"/>
  <c r="S59" i="3" s="1"/>
  <c r="O58" i="3"/>
  <c r="Q58" i="3" s="1"/>
  <c r="S58" i="3" s="1"/>
  <c r="S57" i="3"/>
  <c r="R57" i="3"/>
  <c r="O56" i="3"/>
  <c r="Q56" i="3" s="1"/>
  <c r="S56" i="3" s="1"/>
  <c r="H17" i="3"/>
  <c r="M17" i="3" s="1"/>
  <c r="E17" i="3"/>
  <c r="R41" i="3" l="1"/>
  <c r="T41" i="3" s="1"/>
  <c r="P57" i="3"/>
  <c r="N17" i="3"/>
  <c r="R61" i="3"/>
  <c r="T61" i="3" s="1"/>
  <c r="P60" i="3"/>
  <c r="P61" i="3"/>
  <c r="R60" i="3"/>
  <c r="T60" i="3" s="1"/>
  <c r="R58" i="3"/>
  <c r="T58" i="3" s="1"/>
  <c r="R59" i="3"/>
  <c r="T59" i="3" s="1"/>
  <c r="P58" i="3"/>
  <c r="P59" i="3"/>
  <c r="T57" i="3"/>
  <c r="R56" i="3"/>
  <c r="T56" i="3" s="1"/>
  <c r="P56" i="3"/>
  <c r="O17" i="3"/>
  <c r="Q17" i="3" s="1"/>
  <c r="P17" i="3"/>
  <c r="M76" i="3"/>
  <c r="H76" i="3"/>
  <c r="I70" i="3"/>
  <c r="K70" i="3"/>
  <c r="M70" i="3" s="1"/>
  <c r="I71" i="3"/>
  <c r="K71" i="3"/>
  <c r="I72" i="3"/>
  <c r="K72" i="3"/>
  <c r="M72" i="3" s="1"/>
  <c r="I73" i="3"/>
  <c r="K73" i="3"/>
  <c r="I74" i="3"/>
  <c r="K74" i="3"/>
  <c r="M74" i="3" s="1"/>
  <c r="I75" i="3"/>
  <c r="K75" i="3"/>
  <c r="K69" i="3"/>
  <c r="I69" i="3"/>
  <c r="M69" i="3" s="1"/>
  <c r="N69" i="3" s="1"/>
  <c r="H75" i="3"/>
  <c r="H74" i="3"/>
  <c r="H73" i="3"/>
  <c r="H72" i="3"/>
  <c r="H71" i="3"/>
  <c r="H70" i="3"/>
  <c r="H69" i="3"/>
  <c r="E75" i="3"/>
  <c r="E74" i="3"/>
  <c r="E73" i="3"/>
  <c r="E72" i="3"/>
  <c r="E70" i="3"/>
  <c r="E71" i="3"/>
  <c r="E69" i="3"/>
  <c r="M64" i="3"/>
  <c r="N64" i="3"/>
  <c r="O64" i="3" s="1"/>
  <c r="Q64" i="3" s="1"/>
  <c r="M65" i="3"/>
  <c r="M66" i="3"/>
  <c r="M67" i="3"/>
  <c r="M68" i="3"/>
  <c r="N68" i="3"/>
  <c r="O68" i="3" s="1"/>
  <c r="Q68" i="3" s="1"/>
  <c r="H68" i="3"/>
  <c r="H67" i="3"/>
  <c r="H66" i="3"/>
  <c r="H65" i="3"/>
  <c r="H64" i="3"/>
  <c r="E68" i="3"/>
  <c r="E67" i="3"/>
  <c r="N67" i="3" s="1"/>
  <c r="O67" i="3" s="1"/>
  <c r="Q67" i="3" s="1"/>
  <c r="E66" i="3"/>
  <c r="N66" i="3" s="1"/>
  <c r="O66" i="3" s="1"/>
  <c r="Q66" i="3" s="1"/>
  <c r="E65" i="3"/>
  <c r="E64" i="3"/>
  <c r="M63" i="3"/>
  <c r="N63" i="3"/>
  <c r="O63" i="3" s="1"/>
  <c r="Q63" i="3" s="1"/>
  <c r="S63" i="3" s="1"/>
  <c r="H63" i="3"/>
  <c r="M73" i="3" l="1"/>
  <c r="N73" i="3" s="1"/>
  <c r="O73" i="3" s="1"/>
  <c r="Q73" i="3" s="1"/>
  <c r="S73" i="3" s="1"/>
  <c r="N65" i="3"/>
  <c r="O65" i="3" s="1"/>
  <c r="Q65" i="3" s="1"/>
  <c r="M75" i="3"/>
  <c r="N75" i="3" s="1"/>
  <c r="M71" i="3"/>
  <c r="N71" i="3" s="1"/>
  <c r="N74" i="3"/>
  <c r="N72" i="3"/>
  <c r="N70" i="3"/>
  <c r="O70" i="3" s="1"/>
  <c r="Q70" i="3" s="1"/>
  <c r="S70" i="3" s="1"/>
  <c r="N76" i="3"/>
  <c r="O76" i="3" s="1"/>
  <c r="Q76" i="3" s="1"/>
  <c r="S76" i="3" s="1"/>
  <c r="R63" i="3"/>
  <c r="T63" i="3" s="1"/>
  <c r="O72" i="3"/>
  <c r="Q72" i="3" s="1"/>
  <c r="S72" i="3" s="1"/>
  <c r="P72" i="3"/>
  <c r="O75" i="3"/>
  <c r="Q75" i="3" s="1"/>
  <c r="S75" i="3" s="1"/>
  <c r="O74" i="3"/>
  <c r="Q74" i="3" s="1"/>
  <c r="S74" i="3" s="1"/>
  <c r="O69" i="3"/>
  <c r="Q69" i="3" s="1"/>
  <c r="S69" i="3" s="1"/>
  <c r="S68" i="3"/>
  <c r="R68" i="3"/>
  <c r="S66" i="3"/>
  <c r="R66" i="3"/>
  <c r="S67" i="3"/>
  <c r="R67" i="3"/>
  <c r="S65" i="3"/>
  <c r="R65" i="3"/>
  <c r="S64" i="3"/>
  <c r="R64" i="3"/>
  <c r="P68" i="3"/>
  <c r="P67" i="3"/>
  <c r="P66" i="3"/>
  <c r="P65" i="3"/>
  <c r="P64" i="3"/>
  <c r="P63" i="3"/>
  <c r="M62" i="3"/>
  <c r="N62" i="3" s="1"/>
  <c r="H62" i="3"/>
  <c r="M55" i="3"/>
  <c r="H55" i="3"/>
  <c r="E54" i="3"/>
  <c r="E53" i="3"/>
  <c r="E52" i="3"/>
  <c r="H52" i="3"/>
  <c r="H53" i="3"/>
  <c r="H54" i="3"/>
  <c r="H51" i="3"/>
  <c r="E51" i="3"/>
  <c r="H45" i="3"/>
  <c r="H46" i="3"/>
  <c r="H47" i="3"/>
  <c r="M47" i="3" s="1"/>
  <c r="N47" i="3" s="1"/>
  <c r="H48" i="3"/>
  <c r="M48" i="3" s="1"/>
  <c r="N48" i="3" s="1"/>
  <c r="H49" i="3"/>
  <c r="H50" i="3"/>
  <c r="M50" i="3" s="1"/>
  <c r="N50" i="3" s="1"/>
  <c r="H44" i="3"/>
  <c r="M44" i="3" s="1"/>
  <c r="N44" i="3" s="1"/>
  <c r="H43" i="3"/>
  <c r="M43" i="3" s="1"/>
  <c r="N43" i="3" s="1"/>
  <c r="E42" i="3"/>
  <c r="K42" i="3"/>
  <c r="I42" i="3"/>
  <c r="K40" i="3"/>
  <c r="I40" i="3"/>
  <c r="E40" i="3"/>
  <c r="H40" i="3"/>
  <c r="H42" i="3"/>
  <c r="E38" i="3"/>
  <c r="E36" i="3"/>
  <c r="E34" i="3"/>
  <c r="E32" i="3"/>
  <c r="H38" i="3"/>
  <c r="H36" i="3"/>
  <c r="H34" i="3"/>
  <c r="H32" i="3"/>
  <c r="E37" i="3"/>
  <c r="E35" i="3"/>
  <c r="E33" i="3"/>
  <c r="E31" i="3"/>
  <c r="H33" i="3"/>
  <c r="H35" i="3"/>
  <c r="N35" i="3" s="1"/>
  <c r="H37" i="3"/>
  <c r="H31" i="3"/>
  <c r="O62" i="3" l="1"/>
  <c r="Q62" i="3" s="1"/>
  <c r="S62" i="3" s="1"/>
  <c r="T64" i="3"/>
  <c r="T67" i="3"/>
  <c r="T68" i="3"/>
  <c r="M42" i="3"/>
  <c r="N42" i="3" s="1"/>
  <c r="N37" i="3"/>
  <c r="N53" i="3"/>
  <c r="O53" i="3" s="1"/>
  <c r="N54" i="3"/>
  <c r="P73" i="3"/>
  <c r="O71" i="3"/>
  <c r="Q71" i="3" s="1"/>
  <c r="S71" i="3" s="1"/>
  <c r="P76" i="3"/>
  <c r="R76" i="3"/>
  <c r="T76" i="3" s="1"/>
  <c r="N51" i="3"/>
  <c r="O51" i="3" s="1"/>
  <c r="R71" i="3"/>
  <c r="T71" i="3" s="1"/>
  <c r="P62" i="3"/>
  <c r="R62" i="3"/>
  <c r="T62" i="3" s="1"/>
  <c r="P69" i="3"/>
  <c r="P75" i="3"/>
  <c r="R74" i="3"/>
  <c r="T74" i="3" s="1"/>
  <c r="R73" i="3"/>
  <c r="T73" i="3" s="1"/>
  <c r="R72" i="3"/>
  <c r="T72" i="3" s="1"/>
  <c r="R69" i="3"/>
  <c r="T69" i="3" s="1"/>
  <c r="P74" i="3"/>
  <c r="R75" i="3"/>
  <c r="T75" i="3" s="1"/>
  <c r="P70" i="3"/>
  <c r="R70" i="3"/>
  <c r="T70" i="3" s="1"/>
  <c r="T65" i="3"/>
  <c r="T66" i="3"/>
  <c r="N55" i="3"/>
  <c r="N52" i="3"/>
  <c r="O52" i="3" s="1"/>
  <c r="Q52" i="3" s="1"/>
  <c r="S52" i="3" s="1"/>
  <c r="N38" i="3"/>
  <c r="O38" i="3" s="1"/>
  <c r="Q38" i="3" s="1"/>
  <c r="M40" i="3"/>
  <c r="N40" i="3" s="1"/>
  <c r="O40" i="3" s="1"/>
  <c r="Q40" i="3" s="1"/>
  <c r="S40" i="3" s="1"/>
  <c r="M46" i="3"/>
  <c r="N46" i="3" s="1"/>
  <c r="M45" i="3"/>
  <c r="N45" i="3" s="1"/>
  <c r="O47" i="3"/>
  <c r="Q47" i="3" s="1"/>
  <c r="M49" i="3"/>
  <c r="N49" i="3" s="1"/>
  <c r="O50" i="3"/>
  <c r="Q50" i="3" s="1"/>
  <c r="O48" i="3"/>
  <c r="Q48" i="3" s="1"/>
  <c r="O44" i="3"/>
  <c r="Q44" i="3" s="1"/>
  <c r="O43" i="3"/>
  <c r="Q43" i="3" s="1"/>
  <c r="O42" i="3"/>
  <c r="Q42" i="3" s="1"/>
  <c r="S42" i="3" s="1"/>
  <c r="N34" i="3"/>
  <c r="O34" i="3" s="1"/>
  <c r="Q34" i="3" s="1"/>
  <c r="N31" i="3"/>
  <c r="O31" i="3" s="1"/>
  <c r="Q31" i="3" s="1"/>
  <c r="N36" i="3"/>
  <c r="O36" i="3" s="1"/>
  <c r="Q36" i="3" s="1"/>
  <c r="N32" i="3"/>
  <c r="O32" i="3" s="1"/>
  <c r="Q32" i="3" s="1"/>
  <c r="O37" i="3"/>
  <c r="Q37" i="3" s="1"/>
  <c r="N33" i="3"/>
  <c r="O35" i="3"/>
  <c r="Q35" i="3" s="1"/>
  <c r="H28" i="3"/>
  <c r="M28" i="3" s="1"/>
  <c r="E28" i="3"/>
  <c r="H27" i="3"/>
  <c r="E27" i="3"/>
  <c r="H26" i="3"/>
  <c r="M26" i="3" s="1"/>
  <c r="E26" i="3"/>
  <c r="H25" i="3"/>
  <c r="M25" i="3" s="1"/>
  <c r="N25" i="3" s="1"/>
  <c r="O25" i="3" s="1"/>
  <c r="Q25" i="3" s="1"/>
  <c r="L24" i="3"/>
  <c r="K24" i="3"/>
  <c r="H24" i="3"/>
  <c r="E24" i="3"/>
  <c r="L23" i="3"/>
  <c r="K23" i="3"/>
  <c r="H23" i="3"/>
  <c r="E23" i="3"/>
  <c r="H22" i="3"/>
  <c r="M22" i="3" s="1"/>
  <c r="N22" i="3" s="1"/>
  <c r="O22" i="3" s="1"/>
  <c r="Q22" i="3" s="1"/>
  <c r="H30" i="3"/>
  <c r="M30" i="3" s="1"/>
  <c r="E30" i="3"/>
  <c r="H21" i="3"/>
  <c r="M21" i="3" s="1"/>
  <c r="E21" i="3"/>
  <c r="H29" i="3"/>
  <c r="E29" i="3"/>
  <c r="P54" i="3" l="1"/>
  <c r="Q51" i="3"/>
  <c r="S51" i="3" s="1"/>
  <c r="P51" i="3"/>
  <c r="O54" i="3"/>
  <c r="Q54" i="3" s="1"/>
  <c r="S54" i="3" s="1"/>
  <c r="Q53" i="3"/>
  <c r="S53" i="3" s="1"/>
  <c r="P53" i="3"/>
  <c r="P42" i="3"/>
  <c r="P48" i="3"/>
  <c r="P71" i="3"/>
  <c r="O55" i="3"/>
  <c r="Q55" i="3" s="1"/>
  <c r="S55" i="3" s="1"/>
  <c r="R54" i="3"/>
  <c r="T54" i="3" s="1"/>
  <c r="R53" i="3"/>
  <c r="T53" i="3" s="1"/>
  <c r="R43" i="3"/>
  <c r="P50" i="3"/>
  <c r="P43" i="3"/>
  <c r="R52" i="3"/>
  <c r="T52" i="3" s="1"/>
  <c r="P52" i="3"/>
  <c r="P37" i="3"/>
  <c r="S47" i="3"/>
  <c r="R40" i="3"/>
  <c r="T40" i="3" s="1"/>
  <c r="P36" i="3"/>
  <c r="S43" i="3"/>
  <c r="O45" i="3"/>
  <c r="Q45" i="3" s="1"/>
  <c r="O46" i="3"/>
  <c r="Q46" i="3" s="1"/>
  <c r="P47" i="3"/>
  <c r="R47" i="3"/>
  <c r="O49" i="3"/>
  <c r="Q49" i="3" s="1"/>
  <c r="R49" i="3" s="1"/>
  <c r="P44" i="3"/>
  <c r="R42" i="3"/>
  <c r="T42" i="3" s="1"/>
  <c r="P40" i="3"/>
  <c r="S31" i="3"/>
  <c r="O33" i="3"/>
  <c r="Q33" i="3" s="1"/>
  <c r="S35" i="3"/>
  <c r="S37" i="3"/>
  <c r="R35" i="3"/>
  <c r="R31" i="3"/>
  <c r="R37" i="3"/>
  <c r="M23" i="3"/>
  <c r="N23" i="3" s="1"/>
  <c r="M24" i="3"/>
  <c r="N28" i="3"/>
  <c r="O28" i="3" s="1"/>
  <c r="Q28" i="3" s="1"/>
  <c r="P38" i="3"/>
  <c r="P34" i="3"/>
  <c r="P32" i="3"/>
  <c r="P31" i="3"/>
  <c r="P35" i="3"/>
  <c r="N21" i="3"/>
  <c r="N26" i="3"/>
  <c r="O26" i="3" s="1"/>
  <c r="Q26" i="3" s="1"/>
  <c r="M29" i="3"/>
  <c r="N29" i="3" s="1"/>
  <c r="O29" i="3" s="1"/>
  <c r="N30" i="3"/>
  <c r="O30" i="3" s="1"/>
  <c r="Q30" i="3" s="1"/>
  <c r="N24" i="3"/>
  <c r="O24" i="3" s="1"/>
  <c r="Q24" i="3" s="1"/>
  <c r="M27" i="3"/>
  <c r="N27" i="3" s="1"/>
  <c r="P25" i="3"/>
  <c r="P22" i="3"/>
  <c r="T47" i="3" l="1"/>
  <c r="P55" i="3"/>
  <c r="R51" i="3"/>
  <c r="T51" i="3" s="1"/>
  <c r="T43" i="3"/>
  <c r="R55" i="3"/>
  <c r="T55" i="3" s="1"/>
  <c r="S49" i="3"/>
  <c r="R45" i="3"/>
  <c r="P33" i="3"/>
  <c r="P45" i="3"/>
  <c r="S45" i="3"/>
  <c r="P46" i="3"/>
  <c r="P49" i="3"/>
  <c r="T49" i="3"/>
  <c r="S33" i="3"/>
  <c r="T31" i="3"/>
  <c r="T35" i="3"/>
  <c r="T37" i="3"/>
  <c r="R33" i="3"/>
  <c r="O23" i="3"/>
  <c r="Q23" i="3" s="1"/>
  <c r="O21" i="3"/>
  <c r="Q29" i="3"/>
  <c r="P29" i="3"/>
  <c r="P30" i="3"/>
  <c r="P24" i="3"/>
  <c r="O27" i="3"/>
  <c r="Q27" i="3" s="1"/>
  <c r="P26" i="3"/>
  <c r="P28" i="3"/>
  <c r="T45" i="3" l="1"/>
  <c r="T33" i="3"/>
  <c r="Q21" i="3"/>
  <c r="P21" i="3"/>
  <c r="P23" i="3"/>
  <c r="P27" i="3"/>
  <c r="S21" i="3" l="1"/>
  <c r="R21" i="3"/>
  <c r="H20" i="3"/>
  <c r="M20" i="3" s="1"/>
  <c r="N20" i="3" s="1"/>
  <c r="E19" i="3"/>
  <c r="H19" i="3"/>
  <c r="M19" i="3" s="1"/>
  <c r="H18" i="3"/>
  <c r="M18" i="3" s="1"/>
  <c r="E18" i="3"/>
  <c r="H16" i="3"/>
  <c r="M16" i="3" s="1"/>
  <c r="N16" i="3" s="1"/>
  <c r="H15" i="3"/>
  <c r="M15" i="3" s="1"/>
  <c r="N15" i="3" s="1"/>
  <c r="K14" i="3"/>
  <c r="L14" i="3"/>
  <c r="L12" i="3"/>
  <c r="L11" i="3"/>
  <c r="L13" i="3"/>
  <c r="K13" i="3"/>
  <c r="H14" i="3"/>
  <c r="H13" i="3"/>
  <c r="H12" i="3"/>
  <c r="K12" i="3"/>
  <c r="K11" i="3"/>
  <c r="H11" i="3"/>
  <c r="L10" i="3"/>
  <c r="K10" i="3"/>
  <c r="H10" i="3"/>
  <c r="H9" i="3"/>
  <c r="M9" i="3" s="1"/>
  <c r="N9" i="3" s="1"/>
  <c r="H6" i="3"/>
  <c r="N6" i="3" s="1"/>
  <c r="H7" i="3"/>
  <c r="H8" i="3"/>
  <c r="N8" i="3" s="1"/>
  <c r="H5" i="3"/>
  <c r="N5" i="3" s="1"/>
  <c r="O5" i="3" s="1"/>
  <c r="Q5" i="3" s="1"/>
  <c r="S5" i="3" s="1"/>
  <c r="H4" i="3"/>
  <c r="M4" i="3" s="1"/>
  <c r="N4" i="3" s="1"/>
  <c r="H3" i="3"/>
  <c r="M3" i="3" s="1"/>
  <c r="N3" i="3" s="1"/>
  <c r="H2" i="3"/>
  <c r="M2" i="3" s="1"/>
  <c r="N2" i="3" s="1"/>
  <c r="T21" i="3" l="1"/>
  <c r="M10" i="3"/>
  <c r="N10" i="3" s="1"/>
  <c r="O10" i="3" s="1"/>
  <c r="Q10" i="3" s="1"/>
  <c r="S10" i="3" s="1"/>
  <c r="N18" i="3"/>
  <c r="M13" i="3"/>
  <c r="N13" i="3" s="1"/>
  <c r="O13" i="3" s="1"/>
  <c r="Q13" i="3" s="1"/>
  <c r="S13" i="3" s="1"/>
  <c r="O2" i="3"/>
  <c r="Q2" i="3" s="1"/>
  <c r="S2" i="3" s="1"/>
  <c r="O9" i="3"/>
  <c r="Q9" i="3" s="1"/>
  <c r="S9" i="3" s="1"/>
  <c r="O20" i="3"/>
  <c r="Q20" i="3" s="1"/>
  <c r="R20" i="3" s="1"/>
  <c r="M14" i="3"/>
  <c r="N14" i="3" s="1"/>
  <c r="O14" i="3" s="1"/>
  <c r="Q14" i="3" s="1"/>
  <c r="S14" i="3" s="1"/>
  <c r="M11" i="3"/>
  <c r="N11" i="3" s="1"/>
  <c r="O11" i="3" s="1"/>
  <c r="Q11" i="3" s="1"/>
  <c r="S11" i="3" s="1"/>
  <c r="N19" i="3"/>
  <c r="O19" i="3" s="1"/>
  <c r="Q19" i="3" s="1"/>
  <c r="S19" i="3" s="1"/>
  <c r="O18" i="3"/>
  <c r="Q18" i="3" s="1"/>
  <c r="S18" i="3" s="1"/>
  <c r="O15" i="3"/>
  <c r="Q15" i="3" s="1"/>
  <c r="O16" i="3"/>
  <c r="Q16" i="3" s="1"/>
  <c r="M12" i="3"/>
  <c r="N12" i="3" s="1"/>
  <c r="O8" i="3"/>
  <c r="Q8" i="3" s="1"/>
  <c r="R8" i="3" s="1"/>
  <c r="O7" i="3"/>
  <c r="Q7" i="3" s="1"/>
  <c r="R7" i="3" s="1"/>
  <c r="O6" i="3"/>
  <c r="Q6" i="3" s="1"/>
  <c r="R6" i="3" s="1"/>
  <c r="R5" i="3"/>
  <c r="T5" i="3" s="1"/>
  <c r="P5" i="3"/>
  <c r="O4" i="3"/>
  <c r="Q4" i="3" s="1"/>
  <c r="O3" i="3"/>
  <c r="Q3" i="3" s="1"/>
  <c r="T54" i="1"/>
  <c r="S15" i="3" l="1"/>
  <c r="R15" i="3"/>
  <c r="R11" i="3"/>
  <c r="T11" i="3" s="1"/>
  <c r="S20" i="3"/>
  <c r="T20" i="3" s="1"/>
  <c r="R2" i="3"/>
  <c r="T2" i="3" s="1"/>
  <c r="P9" i="3"/>
  <c r="P10" i="3"/>
  <c r="R10" i="3"/>
  <c r="T10" i="3" s="1"/>
  <c r="R9" i="3"/>
  <c r="T9" i="3" s="1"/>
  <c r="S3" i="3"/>
  <c r="P4" i="3"/>
  <c r="S6" i="3"/>
  <c r="T6" i="3" s="1"/>
  <c r="P20" i="3"/>
  <c r="P2" i="3"/>
  <c r="R3" i="3"/>
  <c r="P3" i="3"/>
  <c r="S7" i="3"/>
  <c r="P11" i="3"/>
  <c r="P18" i="3"/>
  <c r="R18" i="3"/>
  <c r="T18" i="3" s="1"/>
  <c r="R19" i="3"/>
  <c r="T19" i="3" s="1"/>
  <c r="P19" i="3"/>
  <c r="P15" i="3"/>
  <c r="P16" i="3"/>
  <c r="R14" i="3"/>
  <c r="T14" i="3" s="1"/>
  <c r="O12" i="3"/>
  <c r="Q12" i="3" s="1"/>
  <c r="S12" i="3" s="1"/>
  <c r="R13" i="3"/>
  <c r="T13" i="3" s="1"/>
  <c r="P13" i="3"/>
  <c r="P14" i="3"/>
  <c r="S8" i="3"/>
  <c r="T8" i="3" s="1"/>
  <c r="P8" i="3"/>
  <c r="P7" i="3"/>
  <c r="P6" i="3"/>
  <c r="T3" i="3" l="1"/>
  <c r="R12" i="3"/>
  <c r="T12" i="3" s="1"/>
  <c r="P12" i="3"/>
  <c r="T15" i="3"/>
</calcChain>
</file>

<file path=xl/comments1.xml><?xml version="1.0" encoding="utf-8"?>
<comments xmlns="http://schemas.openxmlformats.org/spreadsheetml/2006/main">
  <authors>
    <author>Ross Wilson</author>
  </authors>
  <commentList>
    <comment ref="M1" authorId="0" shapeId="0">
      <text>
        <r>
          <rPr>
            <b/>
            <sz val="9"/>
            <color indexed="81"/>
            <rFont val="Tahoma"/>
            <family val="2"/>
          </rPr>
          <t>Ross Wilson:</t>
        </r>
        <r>
          <rPr>
            <sz val="9"/>
            <color indexed="81"/>
            <rFont val="Tahoma"/>
            <family val="2"/>
          </rPr>
          <t xml:space="preserve">
Calculated as SD = sqrt(((n1-1)*sd1^2 + (n2-1)*sd2^2 + n1*n2/N*(m1-m2)^2) / (N-1))
(Cochrane handbook, http://handbook-5-1.cochrane.org/chapter_7/table_7_7_a_formulae_for_combining_groups.htm)</t>
        </r>
      </text>
    </comment>
    <comment ref="N1" authorId="0" shapeId="0">
      <text>
        <r>
          <rPr>
            <b/>
            <sz val="9"/>
            <color indexed="81"/>
            <rFont val="Tahoma"/>
            <family val="2"/>
          </rPr>
          <t>Ross Wilson:</t>
        </r>
        <r>
          <rPr>
            <sz val="9"/>
            <color indexed="81"/>
            <rFont val="Tahoma"/>
            <family val="2"/>
          </rPr>
          <t xml:space="preserve">
Calculated using Hedges' adjusted g: SMD = MD/SD*(1-3/(4*N-9))
(Cochrane Handbook, Statistical Methods Supplement, https://training.cochrane.org/handbook/statistical-methods-revman5)</t>
        </r>
      </text>
    </comment>
    <comment ref="O1" authorId="0" shapeId="0">
      <text>
        <r>
          <rPr>
            <b/>
            <sz val="9"/>
            <color indexed="81"/>
            <rFont val="Tahoma"/>
            <family val="2"/>
          </rPr>
          <t>Ross Wilson:</t>
        </r>
        <r>
          <rPr>
            <sz val="9"/>
            <color indexed="81"/>
            <rFont val="Tahoma"/>
            <family val="2"/>
          </rPr>
          <t xml:space="preserve">
SE(SMD) = sqrt(N/(n1*n2) + SMD^2/(2*(N-3.94)))
(Cochrane Handbook, Statistical Methods Supplement, https://training.cochrane.org/handbook/statistical-methods-revman5)</t>
        </r>
      </text>
    </comment>
    <comment ref="L63" authorId="0" shapeId="0">
      <text>
        <r>
          <rPr>
            <b/>
            <sz val="9"/>
            <color indexed="81"/>
            <rFont val="Tahoma"/>
            <family val="2"/>
          </rPr>
          <t>Ross Wilson:</t>
        </r>
        <r>
          <rPr>
            <sz val="9"/>
            <color indexed="81"/>
            <rFont val="Tahoma"/>
            <family val="2"/>
          </rPr>
          <t xml:space="preserve">
Could not source the original paper - these are from Jason's ES Calculator</t>
        </r>
      </text>
    </comment>
  </commentList>
</comments>
</file>

<file path=xl/sharedStrings.xml><?xml version="1.0" encoding="utf-8"?>
<sst xmlns="http://schemas.openxmlformats.org/spreadsheetml/2006/main" count="4552" uniqueCount="1258">
  <si>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</si>
  <si>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</si>
  <si>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</si>
  <si>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</si>
  <si>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</si>
  <si>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</si>
  <si>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</si>
  <si>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</si>
  <si>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</si>
  <si>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</si>
  <si>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</si>
  <si>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</si>
  <si>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</si>
  <si>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</si>
  <si>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</si>
  <si>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</si>
  <si>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</si>
  <si>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</si>
  <si>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</si>
  <si>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</si>
  <si>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</si>
  <si>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</si>
  <si>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</si>
  <si>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</si>
  <si>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</si>
  <si>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</si>
  <si>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</si>
  <si>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</si>
  <si>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</si>
  <si>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</si>
  <si>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</si>
  <si>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</si>
  <si>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</si>
  <si>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</si>
  <si>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</si>
  <si>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</si>
  <si>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</si>
  <si>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</si>
  <si>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</si>
  <si>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</si>
  <si>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</si>
  <si>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</si>
  <si>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</si>
  <si>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</si>
  <si>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</si>
  <si>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</si>
  <si>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</si>
  <si>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</si>
  <si>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</si>
  <si>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</si>
  <si>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</si>
  <si>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</si>
  <si>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</si>
  <si>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</si>
  <si>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</si>
  <si>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</si>
  <si>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</si>
  <si>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</si>
  <si>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</si>
  <si>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</si>
  <si>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</si>
  <si>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</si>
  <si>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</si>
  <si>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</si>
  <si>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</si>
  <si>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</si>
  <si>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</si>
  <si>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</si>
  <si>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</si>
  <si>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</si>
  <si>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</si>
  <si>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</si>
  <si>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</si>
  <si>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</si>
  <si>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</si>
  <si>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</si>
  <si>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</si>
  <si>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</si>
  <si>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</si>
  <si>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</si>
  <si>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</si>
  <si>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</si>
  <si>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</si>
  <si>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</si>
  <si>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</si>
  <si>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</si>
  <si>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</si>
  <si>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</si>
  <si>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</si>
  <si>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</si>
  <si>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</si>
  <si>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</si>
  <si>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</si>
  <si>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</si>
  <si>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</si>
  <si>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</si>
  <si>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</si>
  <si>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</si>
  <si>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</si>
  <si>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</si>
  <si>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</si>
  <si>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</si>
  <si>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</si>
  <si>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</si>
  <si>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</si>
  <si>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</si>
  <si>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</si>
  <si>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</si>
  <si>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</si>
  <si>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</si>
  <si>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</si>
  <si>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</si>
  <si>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</si>
  <si>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</si>
  <si>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</si>
  <si>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</si>
  <si>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</si>
  <si>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</si>
  <si>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</si>
  <si>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</si>
  <si>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</si>
  <si>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</si>
  <si>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</si>
  <si>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</si>
  <si>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</si>
  <si>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</si>
  <si>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</si>
  <si>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</si>
  <si>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</si>
  <si>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</si>
  <si>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</si>
  <si>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</si>
  <si>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</si>
  <si>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</si>
  <si>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</si>
  <si>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</si>
  <si>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</si>
  <si>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</si>
  <si>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</si>
  <si>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</si>
  <si>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</si>
  <si>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</si>
  <si>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</si>
  <si>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</si>
  <si>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</si>
  <si>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</si>
  <si>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</si>
  <si>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</si>
  <si>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</si>
  <si>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</si>
  <si>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</si>
  <si>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</si>
  <si>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</si>
  <si>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</si>
  <si>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</si>
  <si>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</si>
  <si>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</si>
  <si>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</si>
  <si>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</si>
  <si>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</si>
  <si>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</si>
  <si>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</si>
  <si>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</si>
  <si>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</si>
  <si>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</si>
  <si>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</si>
  <si>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</si>
  <si>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</si>
  <si>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</si>
  <si>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</si>
  <si>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</si>
  <si>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</si>
  <si>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</si>
  <si>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</si>
  <si>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</si>
  <si>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</si>
  <si>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</si>
  <si>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</si>
  <si>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</si>
  <si>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</si>
  <si>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</si>
  <si>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</si>
  <si>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</si>
  <si>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</si>
  <si>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</si>
  <si>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</si>
  <si>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</si>
  <si>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</si>
  <si>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</si>
  <si>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</si>
  <si>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</si>
  <si>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</si>
  <si>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</si>
  <si>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</si>
  <si>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</si>
  <si>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</si>
  <si>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</si>
  <si>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</si>
  <si>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</si>
  <si>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</si>
  <si>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</si>
  <si>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</si>
  <si>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</si>
  <si>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</si>
  <si>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</si>
  <si>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</si>
  <si>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</si>
  <si>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</si>
  <si>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</si>
  <si>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</si>
  <si>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</si>
  <si>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</si>
  <si>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</si>
  <si>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</si>
  <si>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</si>
  <si>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</si>
  <si>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</si>
  <si>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</si>
  <si>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</si>
  <si>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</si>
  <si>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</si>
  <si>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</si>
  <si>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</si>
  <si>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</si>
  <si>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</si>
  <si>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</si>
  <si>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</si>
  <si>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</si>
  <si>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</si>
  <si>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</si>
  <si>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</si>
  <si>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</si>
  <si>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</si>
  <si>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</si>
  <si>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</si>
  <si>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</si>
  <si>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</si>
  <si>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</si>
  <si>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</si>
  <si>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</si>
  <si>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</si>
  <si>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</si>
  <si>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</si>
  <si>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</si>
  <si>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</si>
  <si>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</si>
  <si>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</si>
  <si>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</si>
  <si>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</si>
  <si>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</si>
  <si>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</si>
  <si>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</si>
  <si>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</si>
  <si>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</si>
  <si>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</si>
  <si>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</si>
  <si>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</si>
  <si>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</si>
  <si>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</si>
  <si>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</si>
  <si>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</si>
  <si>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</si>
  <si>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</si>
  <si>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</si>
  <si>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</si>
  <si>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</si>
  <si>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</si>
  <si>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</si>
  <si>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</si>
  <si>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</si>
  <si>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</si>
  <si>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</si>
  <si>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</si>
  <si>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</si>
  <si>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</si>
  <si>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</si>
  <si>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</si>
  <si>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</si>
  <si>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</si>
  <si>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</si>
  <si>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</si>
  <si>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</si>
  <si>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</si>
  <si>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</si>
  <si>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</si>
  <si>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</si>
  <si>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</si>
  <si>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</si>
  <si>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</si>
  <si>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</si>
  <si>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</si>
  <si>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</si>
  <si>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</si>
  <si>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</si>
  <si>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</si>
  <si>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</si>
  <si>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</si>
  <si>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</si>
  <si>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</si>
  <si>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</si>
  <si>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</si>
  <si>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</si>
  <si>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</si>
  <si>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</si>
  <si>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</si>
  <si>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</si>
  <si>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</si>
  <si>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</si>
  <si>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</si>
  <si>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</si>
  <si>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</si>
  <si>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</si>
  <si>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</si>
  <si>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</si>
  <si>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</si>
  <si>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</si>
  <si>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</si>
  <si>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</si>
  <si>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</si>
  <si>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</si>
  <si>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</si>
  <si>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</si>
  <si>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</si>
  <si>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</si>
  <si>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</si>
  <si>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</si>
  <si>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</si>
  <si>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</si>
  <si>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</si>
  <si>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</si>
  <si>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</si>
  <si>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</si>
  <si>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</si>
  <si>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</si>
  <si>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</si>
  <si>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</si>
  <si>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</si>
  <si>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</si>
  <si>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</si>
  <si>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</si>
  <si>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</si>
  <si>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</si>
  <si>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</si>
  <si>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</si>
  <si>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</si>
  <si>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</si>
  <si>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</si>
  <si>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</si>
  <si>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</si>
  <si>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</si>
  <si>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</si>
  <si>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</si>
  <si>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</si>
  <si>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</si>
  <si>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</si>
  <si>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</si>
  <si>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</si>
  <si>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</si>
  <si>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</si>
  <si>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</si>
  <si>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</si>
  <si>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</si>
  <si>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</si>
  <si>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</si>
  <si>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</si>
  <si>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</si>
  <si>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</si>
  <si>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</si>
  <si>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</si>
  <si>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</si>
  <si>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</si>
  <si>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</si>
  <si>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</si>
  <si>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</si>
  <si>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</si>
  <si>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</si>
  <si>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</si>
  <si>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</si>
  <si>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</si>
  <si>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</si>
  <si>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</si>
  <si>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</si>
  <si>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</si>
  <si>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</si>
  <si>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</si>
  <si>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</si>
  <si>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</si>
  <si>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</si>
  <si>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</si>
  <si>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</si>
  <si>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</si>
  <si>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</si>
  <si>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</si>
  <si>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</si>
  <si>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</si>
  <si>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</si>
  <si>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</si>
  <si>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</si>
  <si>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</si>
  <si>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</si>
  <si>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</si>
  <si>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</si>
  <si>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</si>
  <si>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</si>
  <si>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</si>
  <si>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</si>
  <si>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</si>
  <si>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</si>
  <si>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</si>
  <si>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</si>
  <si>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</si>
  <si>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</si>
  <si>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</si>
  <si>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</si>
  <si>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</si>
  <si>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</si>
  <si>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</si>
  <si>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</si>
  <si>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</si>
  <si>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</si>
  <si>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</si>
  <si>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</si>
  <si>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</si>
  <si>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</si>
  <si>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</si>
  <si>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</si>
  <si>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</si>
  <si>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</si>
  <si>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</si>
  <si>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</si>
  <si>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</si>
  <si>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</si>
  <si>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</si>
  <si>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</si>
  <si>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</si>
  <si>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</si>
  <si>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</si>
  <si>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</si>
  <si>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</si>
  <si>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</si>
  <si>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</si>
  <si>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</si>
  <si>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</si>
  <si>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</si>
  <si>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</si>
  <si>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</si>
  <si>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</si>
  <si>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</si>
  <si>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</si>
  <si>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</si>
  <si>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</si>
  <si>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</si>
  <si>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</si>
  <si>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</si>
  <si>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</si>
  <si>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</si>
  <si>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</si>
  <si>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</si>
  <si>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</si>
  <si>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</si>
  <si>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</si>
  <si>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</si>
  <si>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</si>
  <si>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</si>
  <si>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</si>
  <si>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</si>
  <si>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</si>
  <si>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</si>
  <si>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</si>
  <si>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</si>
  <si>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</si>
  <si>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</si>
  <si>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</si>
  <si>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</si>
  <si>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</si>
  <si>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</si>
  <si>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</si>
  <si>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</si>
  <si>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</si>
  <si>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</si>
  <si>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</si>
  <si>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</si>
  <si>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</si>
  <si>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</si>
  <si>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</si>
  <si>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</si>
  <si>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</si>
  <si>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</si>
  <si>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</si>
  <si>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</si>
  <si>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</si>
  <si>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</si>
  <si>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</si>
  <si>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</si>
  <si>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</si>
  <si>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</si>
  <si>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</si>
  <si>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</si>
  <si>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</si>
  <si>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</si>
  <si>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</si>
  <si>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</si>
  <si>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</si>
  <si>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</si>
  <si>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</si>
  <si>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</si>
  <si>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</si>
  <si>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</si>
  <si>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</si>
  <si>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</si>
  <si>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</si>
  <si>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</si>
  <si>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</si>
  <si>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</si>
  <si>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</si>
  <si>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</si>
  <si>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</si>
  <si>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</si>
  <si>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</si>
  <si>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</si>
  <si>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</si>
  <si>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</si>
  <si>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</si>
  <si>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</si>
  <si>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</si>
  <si>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</si>
  <si>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</si>
  <si>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</si>
  <si>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</si>
  <si>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</si>
  <si>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</si>
  <si>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</si>
  <si>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</si>
  <si>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</si>
  <si>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</si>
  <si>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</si>
  <si>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</si>
  <si>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</si>
  <si>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</si>
  <si>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</si>
  <si>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</si>
  <si>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</si>
  <si>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</si>
  <si>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</si>
  <si>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</si>
  <si>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</si>
  <si>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</si>
  <si>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</si>
  <si>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</si>
  <si>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</si>
  <si>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</si>
  <si>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</si>
  <si>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</si>
  <si>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</si>
  <si>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</si>
  <si>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</si>
  <si>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</si>
  <si>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</si>
  <si>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</si>
  <si>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</si>
  <si>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</si>
  <si>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</si>
  <si>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</si>
  <si>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</si>
  <si>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</si>
  <si>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</si>
  <si>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</si>
  <si>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</si>
  <si>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</si>
  <si>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</si>
  <si>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</si>
  <si>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</si>
  <si>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</si>
  <si>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</si>
  <si>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</si>
  <si>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</si>
  <si>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</si>
  <si>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</si>
  <si>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</si>
  <si>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</si>
  <si>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</si>
  <si>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</si>
  <si>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</si>
  <si>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</si>
  <si>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</si>
  <si>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</si>
  <si>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</si>
  <si>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</si>
  <si>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</si>
  <si>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</si>
  <si>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</si>
  <si>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</si>
  <si>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</si>
  <si>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</si>
  <si>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</si>
  <si>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</si>
  <si>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</si>
  <si>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</si>
  <si>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</si>
  <si>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</si>
  <si>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</si>
  <si>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</si>
  <si>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</si>
  <si>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</si>
  <si>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</si>
  <si>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</si>
  <si>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</si>
  <si>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</si>
  <si>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</si>
  <si>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</si>
  <si>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</si>
  <si>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</si>
  <si>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</si>
  <si>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</si>
  <si>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</si>
  <si>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</si>
  <si>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</si>
  <si>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</si>
  <si>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</si>
  <si>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</si>
  <si>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</si>
  <si>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</si>
  <si>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</si>
  <si>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</si>
  <si>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</si>
  <si>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</si>
  <si>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</si>
  <si>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</si>
  <si>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</si>
  <si>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</si>
  <si>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</si>
  <si>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</si>
  <si>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</si>
  <si>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</si>
  <si>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</si>
  <si>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</si>
  <si>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</si>
  <si>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</si>
  <si>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</si>
  <si>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</si>
  <si>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</si>
  <si>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</si>
  <si>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</si>
  <si>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</si>
  <si>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</si>
  <si>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</si>
  <si>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</si>
  <si>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</si>
  <si>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</si>
  <si>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</si>
  <si>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</si>
  <si>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</si>
  <si>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</si>
  <si>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</si>
  <si>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</si>
  <si>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</si>
  <si>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</si>
  <si>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</si>
  <si>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</si>
  <si>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</si>
  <si>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</si>
  <si>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</si>
  <si>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</si>
  <si>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</si>
  <si>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</si>
  <si>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</si>
  <si>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</si>
  <si>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</si>
  <si>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</si>
  <si>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</si>
  <si>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</si>
  <si>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</si>
  <si>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</si>
  <si>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</si>
  <si>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</si>
  <si>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</si>
  <si>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</si>
  <si>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</si>
  <si>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</si>
  <si>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</si>
  <si>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</si>
  <si>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</si>
  <si>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</si>
  <si>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</si>
  <si>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</si>
  <si>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</si>
  <si>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</si>
  <si>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</si>
  <si>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</si>
  <si>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</si>
  <si>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</si>
  <si>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</si>
  <si>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</si>
  <si>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</si>
  <si>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</si>
  <si>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</si>
  <si>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</si>
  <si>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</si>
  <si>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</si>
  <si>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</si>
  <si>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</si>
  <si>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</si>
  <si>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</si>
  <si>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</si>
  <si>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</si>
  <si>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</si>
  <si>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</si>
  <si>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</si>
  <si>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</si>
  <si>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</si>
  <si>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</si>
  <si>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</si>
  <si>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</si>
  <si>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</si>
  <si>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</si>
  <si>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</si>
  <si>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</si>
  <si>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</si>
  <si>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</si>
  <si>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</si>
  <si>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</si>
  <si>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</si>
  <si>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</si>
  <si>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</si>
  <si>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</si>
  <si>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</si>
  <si>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</si>
  <si>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</si>
  <si>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</si>
  <si>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</si>
  <si>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</si>
  <si>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</si>
  <si>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</si>
  <si>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</si>
  <si>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</si>
  <si>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</si>
  <si>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</si>
  <si>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</si>
  <si>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</si>
  <si>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</si>
  <si>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</si>
  <si>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</si>
  <si>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</si>
  <si>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</si>
  <si>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</si>
  <si>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</si>
  <si>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</si>
  <si>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</si>
  <si>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</si>
  <si>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</si>
  <si>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</si>
  <si>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</si>
  <si>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</si>
  <si>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</si>
  <si>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</si>
  <si>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</si>
  <si>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</si>
  <si>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</si>
  <si>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</si>
  <si>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</si>
  <si>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</si>
  <si>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</si>
  <si>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</si>
  <si>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</si>
  <si>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</si>
  <si>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</si>
  <si>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</si>
  <si>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</si>
  <si>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</si>
  <si>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</si>
  <si>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</si>
  <si>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</si>
  <si>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</si>
  <si>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</si>
  <si>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</si>
  <si>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</si>
  <si>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</si>
  <si>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</si>
  <si>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</si>
  <si>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</si>
  <si>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</si>
  <si>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</si>
  <si>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</si>
  <si>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</si>
  <si>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</si>
  <si>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</si>
  <si>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</si>
  <si>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</si>
  <si>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</si>
  <si>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</si>
  <si>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</si>
  <si>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</si>
  <si>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</si>
  <si>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</si>
  <si>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</si>
  <si>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</si>
  <si>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</si>
  <si>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</si>
  <si>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</si>
  <si>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</si>
  <si>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</si>
  <si>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</si>
  <si>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</si>
  <si>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</si>
  <si>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</si>
  <si>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</si>
  <si>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</si>
  <si>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</si>
  <si>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</si>
  <si>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</si>
  <si>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</si>
  <si>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</si>
  <si>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</si>
  <si>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</si>
  <si>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</si>
  <si>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</si>
  <si>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</si>
  <si>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</si>
  <si>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</si>
  <si>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</si>
  <si>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</si>
  <si>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</si>
  <si>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</si>
  <si>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</si>
  <si>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</si>
  <si>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</si>
  <si>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</si>
  <si>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</si>
  <si>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</si>
  <si>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</si>
  <si>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</si>
  <si>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</si>
  <si>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</si>
  <si>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</si>
  <si>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</si>
  <si>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</si>
  <si>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</si>
  <si>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</si>
  <si>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</si>
  <si>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</si>
  <si>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</si>
  <si>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</si>
  <si>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</si>
  <si>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</si>
  <si>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</si>
  <si>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</si>
  <si>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</si>
  <si>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</si>
  <si>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</si>
  <si>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</si>
  <si>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</si>
  <si>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</si>
  <si>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</si>
  <si>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</si>
  <si>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</si>
  <si>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</si>
  <si>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</si>
  <si>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</si>
  <si>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</si>
  <si>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</si>
  <si>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</si>
  <si>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</si>
  <si>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</si>
  <si>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</si>
  <si>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</si>
  <si>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</si>
  <si>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</si>
  <si>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</si>
  <si>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</si>
  <si>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</si>
  <si>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</si>
  <si>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</si>
  <si>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</si>
  <si>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</si>
  <si>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</si>
  <si>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</si>
  <si>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</si>
  <si>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</si>
  <si>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</si>
  <si>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</si>
  <si>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</si>
  <si>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</si>
  <si>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</si>
  <si>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</si>
  <si>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</si>
  <si>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</si>
  <si>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</si>
  <si>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</si>
  <si>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</si>
  <si>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</si>
  <si>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</si>
  <si>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</si>
  <si>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</si>
  <si>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</si>
  <si>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</si>
  <si>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</si>
  <si>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</si>
  <si>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</si>
  <si>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</si>
  <si>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</si>
  <si>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</si>
  <si>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</si>
  <si>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</si>
  <si>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</si>
  <si>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</si>
  <si>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</si>
  <si>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</si>
  <si>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</si>
  <si>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</si>
  <si>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</si>
  <si>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</si>
  <si>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</si>
  <si>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</si>
  <si>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</si>
  <si>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</si>
  <si>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</si>
  <si>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</si>
  <si>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</si>
  <si>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</si>
  <si>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</si>
  <si>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</si>
  <si>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</si>
  <si>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</si>
  <si>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</si>
  <si>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</si>
  <si>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</si>
  <si>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</si>
  <si>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</si>
  <si>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</si>
  <si>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</si>
  <si>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</si>
  <si>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</si>
  <si>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</si>
  <si>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</si>
  <si>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</si>
  <si>
    <t>Cost value</t>
  </si>
  <si>
    <t>Cost duration</t>
  </si>
  <si>
    <t>&lt;$1500</t>
  </si>
  <si>
    <t>$1129-$4159</t>
  </si>
  <si>
    <t>$800 - $1335</t>
  </si>
  <si>
    <t>$1364</t>
  </si>
  <si>
    <t>$470</t>
  </si>
  <si>
    <t>$549</t>
  </si>
  <si>
    <t>$6037</t>
  </si>
  <si>
    <t>$11</t>
  </si>
  <si>
    <t>$1408</t>
  </si>
  <si>
    <t>$207</t>
  </si>
  <si>
    <t>$22</t>
  </si>
  <si>
    <t>$32 - $370</t>
  </si>
  <si>
    <t>$868</t>
  </si>
  <si>
    <t>$1203</t>
  </si>
  <si>
    <t>$2</t>
  </si>
  <si>
    <t>$2-$59</t>
  </si>
  <si>
    <t>$9</t>
  </si>
  <si>
    <t>$28</t>
  </si>
  <si>
    <t>$43</t>
  </si>
  <si>
    <t>$23</t>
  </si>
  <si>
    <t>$10</t>
  </si>
  <si>
    <t>$166</t>
  </si>
  <si>
    <t>$363</t>
  </si>
  <si>
    <t>$58</t>
  </si>
  <si>
    <t>$46</t>
  </si>
  <si>
    <t>$1305</t>
  </si>
  <si>
    <t>$5</t>
  </si>
  <si>
    <t>$650</t>
  </si>
  <si>
    <t>$496</t>
  </si>
  <si>
    <t>$27</t>
  </si>
  <si>
    <t>$24</t>
  </si>
  <si>
    <t>$10000</t>
  </si>
  <si>
    <t>$4,300-$7,100</t>
  </si>
  <si>
    <t>Duration value</t>
  </si>
  <si>
    <t>6-12 months</t>
  </si>
  <si>
    <t>3-6 months</t>
  </si>
  <si>
    <t>1-6 months</t>
  </si>
  <si>
    <t>12 months</t>
  </si>
  <si>
    <t>6 months</t>
  </si>
  <si>
    <t>3 weeks</t>
  </si>
  <si>
    <t>3 months</t>
  </si>
  <si>
    <t>10+ years</t>
  </si>
  <si>
    <t>Effectiveness value</t>
  </si>
  <si>
    <t>-1.72 [-0.97, -2.46]</t>
  </si>
  <si>
    <t>not available in NZ</t>
  </si>
  <si>
    <t>$32</t>
  </si>
  <si>
    <t>$12</t>
  </si>
  <si>
    <t>$82</t>
  </si>
  <si>
    <t>-0.64 [-0.95, -0.33]</t>
  </si>
  <si>
    <t>-0.30 [-0.75, +0.14]</t>
  </si>
  <si>
    <t>-0.36 [-0.92, +0.20]</t>
  </si>
  <si>
    <t>-0.20 [-0.29, -0.11]</t>
  </si>
  <si>
    <t>-0.19 [-0.30, -0.09]</t>
  </si>
  <si>
    <t>-0.40 [-0.58, -0.22]</t>
  </si>
  <si>
    <t>-1.61 [-2.10, -1.13]</t>
  </si>
  <si>
    <t>-0.60 [-0.83, -0.38]</t>
  </si>
  <si>
    <t>+0.16 [-0.15, +0.48]</t>
  </si>
  <si>
    <t>-1.10 [-1.66, -0.54]</t>
  </si>
  <si>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NZ Specific data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</si>
  <si>
    <t>Very low likelihood of serious adverse effects</t>
  </si>
  <si>
    <t>Very low risk of harm reported</t>
  </si>
  <si>
    <t>Low risk of harms</t>
  </si>
  <si>
    <t>No adverse effects reported</t>
  </si>
  <si>
    <t>Low likelihood of adverse effects which can include skin irritation</t>
  </si>
  <si>
    <t>Side effects are minor and include skin irritation from the tape</t>
  </si>
  <si>
    <t>Few adverse events</t>
  </si>
  <si>
    <t>No evidence of harm</t>
  </si>
  <si>
    <t>Statistically significant increase in risk of adverse events</t>
  </si>
  <si>
    <t>Risk of harm is low</t>
  </si>
  <si>
    <t xml:space="preserve">Potential harms of NSAIDs include gastrointestinal (GI), renal and cardiovascular adverse effects
</t>
  </si>
  <si>
    <t>Adverse events from topical NSAIDs agents are minimal, but there is mild toxicity due to local skin reactions</t>
  </si>
  <si>
    <t>Mild application site burning is the most comment adverse event</t>
  </si>
  <si>
    <t>Majority of adverse events are of mild or moderate intensity, e.g. constipation, nausea, hyperhidrosis, cough, myalgia, arthralgia and palpitations</t>
  </si>
  <si>
    <t>Listed side effects include myocardial infarction, venous thromboembolism events, pulmonary embolism, and hypersensitivity reaction</t>
  </si>
  <si>
    <t>No local or systemic safety concerns for doses up to 300 μg</t>
  </si>
  <si>
    <t>Higher incidence of gastrointestinal disorders and hot flushes</t>
  </si>
  <si>
    <t>Minor adverse events and restrictions on some day to day activities such as dental procedures</t>
  </si>
  <si>
    <t>Minor adverse events include monilial vaginitis, sun sensitivity, nonspecific gastrointestinal symptoms</t>
  </si>
  <si>
    <t>Minor adverse events include headache, upper respiratory tract infection, back pain, and extremity pain</t>
  </si>
  <si>
    <t>Reported adverse events include arthralgia, headache, upper respiratory tract infection and abnormal peripheral sensation (e.g. paraesthesia, dysesthesia, hyperaesthesia and hypoesthesia)</t>
  </si>
  <si>
    <t>Side-effects can include gastrointestinal side-effects, haematological abnormalities and elevated liver transaminases</t>
  </si>
  <si>
    <t>Most common treatment related adverse events are local swelling and transient regional pain</t>
  </si>
  <si>
    <t>Minimal adverse events</t>
  </si>
  <si>
    <t>Low risk of adverse effects</t>
  </si>
  <si>
    <t>No significant risk of adverse events</t>
  </si>
  <si>
    <t>No safety concerns</t>
  </si>
  <si>
    <t>Side-effects are minor and uncommon</t>
  </si>
  <si>
    <t>Risk of serious adverse events including severe diarrhoea and potentially harmful effects on the liver</t>
  </si>
  <si>
    <t>Side effects can include local pain and swelling, infection, prolonged drainage from the surgical site, bleeding into the joint, and thrombophlebitis&lt;br&gt;Serious potential harms can include deep venous thrombosis, premature joint replacement, and rarely, pulmonary embolism and death</t>
  </si>
  <si>
    <t>Risk of joint infection</t>
  </si>
  <si>
    <t>Rmi value</t>
  </si>
  <si>
    <t>Rse value</t>
  </si>
  <si>
    <t>Minor adverse events include temporary increased pain at affected joint or pain at other sites</t>
  </si>
  <si>
    <t>Low likelihood of skin irritation</t>
  </si>
  <si>
    <t>No serious adverse events</t>
  </si>
  <si>
    <t>Low risk of adverse events</t>
  </si>
  <si>
    <t>No serious adverse events reported</t>
  </si>
  <si>
    <t>Common harmful effects include gastrointestinal disturbance and cognitive dysfunction</t>
  </si>
  <si>
    <t>The risk of additional adverse effects may accumulate with long-term use, including dependence, adverse effects on bone health, endocrine and immune function, and possible potentiation of chronic pain mechanisms</t>
  </si>
  <si>
    <t>Adverse events from topical NSAIDs agents are minimal</t>
  </si>
  <si>
    <t>Common harmful effects may occur in the short-term, such as gastrointestinal disturbance and cognitive dysfunction</t>
  </si>
  <si>
    <t>Majority of adverse events are of mild or moderate intensity</t>
  </si>
  <si>
    <t>Minor side effects include pain at the injection site, local joint pain and swelling, and local skin reactions</t>
  </si>
  <si>
    <t>Pseudoseptic reactions can be severe and may require further medical treatment</t>
  </si>
  <si>
    <t>Minor adverse events include mild pain and effusion</t>
  </si>
  <si>
    <t>No significant risk of mild/moderate adverse events</t>
  </si>
  <si>
    <t>Knee exercise: Stationary cycling only (same as hip)</t>
  </si>
  <si>
    <t>Other electrotherapy - knee (shockwave)</t>
  </si>
  <si>
    <t>Acupuncture (traditional with manual stimulation) - knee</t>
  </si>
  <si>
    <t>Assumed the same as traditional acupuncture for the knee</t>
  </si>
  <si>
    <t>Acupuncture (electroacupuncture) - knee</t>
  </si>
  <si>
    <r>
      <rPr>
        <i/>
        <sz val="10"/>
        <color theme="1"/>
        <rFont val="Segoe UI Symbol"/>
        <family val="2"/>
      </rPr>
      <t xml:space="preserve">Transdermal opioids </t>
    </r>
    <r>
      <rPr>
        <sz val="10"/>
        <color theme="1"/>
        <rFont val="Segoe UI Symbol"/>
        <family val="2"/>
      </rPr>
      <t>- buprenorphine - same for knee and hip</t>
    </r>
  </si>
  <si>
    <r>
      <rPr>
        <i/>
        <sz val="10"/>
        <color theme="1"/>
        <rFont val="Segoe UI Symbol"/>
        <family val="2"/>
      </rPr>
      <t>Transdermal opioids</t>
    </r>
    <r>
      <rPr>
        <sz val="10"/>
        <color theme="1"/>
        <rFont val="Segoe UI Symbol"/>
        <family val="2"/>
      </rPr>
      <t xml:space="preserve"> - Fentanyl - same for knee and hip</t>
    </r>
  </si>
  <si>
    <r>
      <t xml:space="preserve">Colchicine – same for knee and hip. </t>
    </r>
    <r>
      <rPr>
        <sz val="10"/>
        <color rgb="FFFF0000"/>
        <rFont val="Segoe UI Symbol"/>
        <family val="2"/>
      </rPr>
      <t>Only indicated for goutin the NZ Formulary</t>
    </r>
    <r>
      <rPr>
        <sz val="10"/>
        <color theme="1"/>
        <rFont val="Segoe UI Symbol"/>
        <family val="2"/>
      </rPr>
      <t>. Should be considered as an investigational medication only.</t>
    </r>
  </si>
  <si>
    <t>Methotrexate - knee. Should be considered as an investigational medication only</t>
  </si>
  <si>
    <t xml:space="preserve">Duration 
⧗= Short: up to &lt;6hrs
⧗⧗= short-medium &lt;3 months
⧗⧗⧗= Medium: 3-12 months 
⧗⧗⧗⧗= Long: &gt;12 months
Added the additional level short-medium, based on a review of all the follow up times used in the papers referenced by the RACGP CPG. HA discussed on 10/9/18 that if ES = small (crosses the null), then the duration would be set to short so that there would be no inconsistency ebtween duration and effect (contradiction).
</t>
  </si>
  <si>
    <t>⧗⧗⧗⧗</t>
  </si>
  <si>
    <t>-0.3 [-0.61,0]</t>
  </si>
  <si>
    <t>-0.23 [-0.47,0]</t>
  </si>
  <si>
    <t>-0.08 [-0.4, +0.24]</t>
  </si>
  <si>
    <t>-0.4 [-0.58, -0.22] (immediate 4-6weeks follow up) p141.</t>
  </si>
  <si>
    <t>SMD not calculable due to poor reporting</t>
  </si>
  <si>
    <t>p101 - Large publically funded trials demonstrate no effect.</t>
  </si>
  <si>
    <t>P105 - high quality data suggest no effect.</t>
  </si>
  <si>
    <t>p107 - high quality trials suggest no effect. SMD is not significant anyway.</t>
  </si>
  <si>
    <t>-0.30 [-0.61, 0.00]</t>
  </si>
  <si>
    <t>-0.23 [-0.47, 0.00]</t>
  </si>
  <si>
    <t>-0.08 [-0.40, +0.24]</t>
  </si>
  <si>
    <t>+0.72 [+0.26, +1.17]</t>
  </si>
  <si>
    <t>Intervention</t>
  </si>
  <si>
    <t>Attribute</t>
  </si>
  <si>
    <t>Note</t>
  </si>
  <si>
    <t>Knee exercise: Stationary cycling only</t>
  </si>
  <si>
    <t>Change</t>
  </si>
  <si>
    <t>Conditional For</t>
  </si>
  <si>
    <t>This is the overall recommendation in RACGP, and it is listed under optional adjunctive management, so should only be downgraded for 1st-line and 3rd-line, not 2nd-line</t>
  </si>
  <si>
    <t>Based on calculated SMD</t>
  </si>
  <si>
    <t>Dur</t>
  </si>
  <si>
    <t>From the single study reported in RACGP guideline</t>
  </si>
  <si>
    <t>Knee exercise: Yoga only</t>
  </si>
  <si>
    <t>From the two studies reported in RACGP guideline</t>
  </si>
  <si>
    <t>Calculated from the single study reported in RACGP guideline</t>
  </si>
  <si>
    <t>-0.28 [-0.65, +0.08]</t>
  </si>
  <si>
    <t>Based on calculated SMD - imprecision adjustment not used</t>
  </si>
  <si>
    <t>No RCT evidence</t>
  </si>
  <si>
    <t>Shoe orthotics (medial wedged insoles for lateral tibiofemoral OA and valgus deformity)</t>
  </si>
  <si>
    <t>8 weeks</t>
  </si>
  <si>
    <t>Footwear (minimalist footwear)</t>
  </si>
  <si>
    <t>Not possible to extract required data from the single study reported in RACGP guideline</t>
  </si>
  <si>
    <t>Footwear (rocker soled shoes)</t>
  </si>
  <si>
    <t>Taping (patellar taping)</t>
  </si>
  <si>
    <t>+0.04 [-0.31, +0.40]</t>
  </si>
  <si>
    <t>-0.00 [-0.51, +0.51]</t>
  </si>
  <si>
    <t>Taping (kinesio taping)</t>
  </si>
  <si>
    <t>No evidence of effect</t>
  </si>
  <si>
    <t>1 hour</t>
  </si>
  <si>
    <t>Based on calculated SMD - applies only to immediate effect</t>
  </si>
  <si>
    <t>Study</t>
  </si>
  <si>
    <t>Salacinski 2012</t>
  </si>
  <si>
    <t>Week</t>
  </si>
  <si>
    <t>Measure</t>
  </si>
  <si>
    <t>WOMAC Pain</t>
  </si>
  <si>
    <t>MD</t>
  </si>
  <si>
    <t>n1</t>
  </si>
  <si>
    <t>n2</t>
  </si>
  <si>
    <t>sd1</t>
  </si>
  <si>
    <t>sd2</t>
  </si>
  <si>
    <t>SD</t>
  </si>
  <si>
    <t>SMD</t>
  </si>
  <si>
    <t>SE(SMD)</t>
  </si>
  <si>
    <t>95% CI</t>
  </si>
  <si>
    <t>m1</t>
  </si>
  <si>
    <t>m2</t>
  </si>
  <si>
    <t>-0.98 [-1.77, -0.18]</t>
  </si>
  <si>
    <t>Cheung 2014</t>
  </si>
  <si>
    <t>Cheung 2017</t>
  </si>
  <si>
    <t>Pooled SMD</t>
  </si>
  <si>
    <t>Pooled SE(SMD)</t>
  </si>
  <si>
    <t>Weight</t>
  </si>
  <si>
    <t>Pooled 95% CI</t>
  </si>
  <si>
    <t>--</t>
  </si>
  <si>
    <t>-0.53 [-0.95, -0.11]</t>
  </si>
  <si>
    <t>Brouwer 2006</t>
  </si>
  <si>
    <t>Overall</t>
  </si>
  <si>
    <t>VAS pain</t>
  </si>
  <si>
    <t>Pooled baseline group reported</t>
  </si>
  <si>
    <t>Rodrigues 2008</t>
  </si>
  <si>
    <t>-1.03 [-1.80, -0.26]</t>
  </si>
  <si>
    <t>Nigg 2006</t>
  </si>
  <si>
    <t>Hinman 2003</t>
  </si>
  <si>
    <t>Calculated from the single study reported in RACGP guideline ('overall' effect)</t>
  </si>
  <si>
    <t>Calculated from the single study reported in RACGP guideline - WOMAC Pain, 6-week follow-up</t>
  </si>
  <si>
    <t>Anandkumar 2014</t>
  </si>
  <si>
    <t>Cho 2015</t>
  </si>
  <si>
    <t>-2.06 [-2.60, -1.52]</t>
  </si>
  <si>
    <t>Assistive walking device</t>
  </si>
  <si>
    <t>Jones 2012</t>
  </si>
  <si>
    <t>-1.99 [-2.59, -1.38]</t>
  </si>
  <si>
    <t>Calculated from the single study reported in RACGP guideline - 60-day follow-up</t>
  </si>
  <si>
    <t>2 weeks</t>
  </si>
  <si>
    <t>Heat therapy</t>
  </si>
  <si>
    <t>Cold therapy</t>
  </si>
  <si>
    <t>Footwear (unloading shoes)</t>
  </si>
  <si>
    <t>2 months</t>
  </si>
  <si>
    <t>Zhao 2013</t>
  </si>
  <si>
    <t>-0.95 [-1.45, -0.46]</t>
  </si>
  <si>
    <t>Paracetamol</t>
  </si>
  <si>
    <t>Case 2003</t>
  </si>
  <si>
    <t>Miceli-Richard 2004</t>
  </si>
  <si>
    <t>Pincus 2004a</t>
  </si>
  <si>
    <t>Pincus 2004b</t>
  </si>
  <si>
    <t>Herrero-Beaumont 2007</t>
  </si>
  <si>
    <t>Altman 2007a</t>
  </si>
  <si>
    <t>Altman 2007b</t>
  </si>
  <si>
    <t>Prior 2014</t>
  </si>
  <si>
    <t>Based on studies used in Machado et al. 2015 systematic review - longest possible follow-up for each study</t>
  </si>
  <si>
    <t>-0.24 [-0.32, -0.17]</t>
  </si>
  <si>
    <t>Duration</t>
  </si>
  <si>
    <t>What is the duration attribute supposed to actually measure? At the moment, it seems to be the length of study follow-up, but in the 1000minds task for stakeholders it was described as e.g. frequency of dosing for pharmacological interventions (i.e. the effects may only last for a few hours before a new dose is needed)</t>
  </si>
  <si>
    <t>Topical capsaicin</t>
  </si>
  <si>
    <t>Kosuwon 2010a</t>
  </si>
  <si>
    <t>Kosuwon 2010b</t>
  </si>
  <si>
    <t>+0.16 [-0.25, '+0.58]</t>
  </si>
  <si>
    <t>Strontium ranelate</t>
  </si>
  <si>
    <t>Reginster 2013</t>
  </si>
  <si>
    <t>Fibroblast growth factor (FGF)</t>
  </si>
  <si>
    <t>Lohmander 2014</t>
  </si>
  <si>
    <t>-0.10 [-0.21, +0.01]</t>
  </si>
  <si>
    <t>+0.75 [+0.39, +1.12]</t>
  </si>
  <si>
    <t>Calcitonin</t>
  </si>
  <si>
    <t>Karsdal 2015a</t>
  </si>
  <si>
    <t>Karsdal 2015b</t>
  </si>
  <si>
    <t>-0.13 [-0.21, -0.05]</t>
  </si>
  <si>
    <t>Calculated from the two studies reported in RACGP guideline, 24-month follow-up</t>
  </si>
  <si>
    <t>Based on 24-month follow-up</t>
  </si>
  <si>
    <t>24 months</t>
  </si>
  <si>
    <t>Interleukin-1 (IL-1) inhibitors</t>
  </si>
  <si>
    <t>Chevalier 2009</t>
  </si>
  <si>
    <t>-0.05 [-0.36, +0.25]</t>
  </si>
  <si>
    <t>Calculated from the single study reported in RACGP guideline, 12-week follow-up</t>
  </si>
  <si>
    <t>Colchicine</t>
  </si>
  <si>
    <t>Das 2002a/b</t>
  </si>
  <si>
    <t>-0.45 [-0.91, +0.01]</t>
  </si>
  <si>
    <t>Calculated from the two studies reported in RACGP guideline, 20-week follow-up (insufficient reporting to get all required data - used the MD reported in RACGP, and the baseline SD reported in the A&amp;R paper)</t>
  </si>
  <si>
    <t>Methotrexate</t>
  </si>
  <si>
    <t>de Holanda 2007</t>
  </si>
  <si>
    <t>+0.21 [-0.31, +0.74]</t>
  </si>
  <si>
    <t>Platelet-rich plasma (PRP) injection</t>
  </si>
  <si>
    <t>Based on RACGP reported SMD - no adjustment for 'outlier' effect size</t>
  </si>
  <si>
    <t>Stem cell therapy</t>
  </si>
  <si>
    <t>Varma 2010</t>
  </si>
  <si>
    <t>-3.39 [-4.28, -2.50]</t>
  </si>
  <si>
    <t>Dextrose prolotherapy</t>
  </si>
  <si>
    <t>Rabago 2013</t>
  </si>
  <si>
    <t>-0.59 [-1.14, -0.04]</t>
  </si>
  <si>
    <t>Calculated from the single study reported in RACGP guideline, 24-week follow-up</t>
  </si>
  <si>
    <t>Avocado-soybean unsaponifiables</t>
  </si>
  <si>
    <t>Boswellia serrata extract</t>
  </si>
  <si>
    <t>Curcuma/curcuminoid</t>
  </si>
  <si>
    <t>Based on RACGP reported SMD - no adjustment for study quality</t>
  </si>
  <si>
    <t>Pycnogenol</t>
  </si>
  <si>
    <t>Required data could not be extracted from the only reported RCT due to poor quality reporting</t>
  </si>
  <si>
    <t>Glucosamine</t>
  </si>
  <si>
    <t>-0.83 [-1.55, -0.11]</t>
  </si>
  <si>
    <t>-0.45 [-0.77, -0.14]</t>
  </si>
  <si>
    <t>Chondroitin</t>
  </si>
  <si>
    <t>-0.63 [-0.91, -0.36]</t>
  </si>
  <si>
    <t>Strongest effect at 3 months (-0.28 [-0.49, -0.06] at 6-12 months; -0.03 [-0.13, 0.07] at 24 months)</t>
  </si>
  <si>
    <t>From RACGP - highest quality (moderate) evidence only at 6-month follow-up</t>
  </si>
  <si>
    <t>+0.02 [-0.15, +0.19]</t>
  </si>
  <si>
    <t>From RACGP - highest quality (low) evidence only at 24-month follow-up</t>
  </si>
  <si>
    <t>Glucosamine and chondroitin in compound form</t>
  </si>
  <si>
    <t>Vitamin D</t>
  </si>
  <si>
    <t>Omega-3 fatty acids</t>
  </si>
  <si>
    <t>Collagen</t>
  </si>
  <si>
    <t>Methylsulfonylmethane</t>
  </si>
  <si>
    <t>4 months</t>
  </si>
  <si>
    <t>Diacerein</t>
  </si>
  <si>
    <t>Arthroscopic lavage and debridement</t>
  </si>
  <si>
    <t>Moseley 2002</t>
  </si>
  <si>
    <t>AIMS Pain</t>
  </si>
  <si>
    <t>+0.18 [-0.14, +0.50]</t>
  </si>
  <si>
    <t>Calculated from the single study reported in RACGP guideline, 6-month follow-up, pooled lavage &amp; debridement groups</t>
  </si>
  <si>
    <t>Arthroscopic meniscectomy</t>
  </si>
  <si>
    <t>Sihvonen 2013</t>
  </si>
  <si>
    <t>+0.05 [-0.27, +0.38]</t>
  </si>
  <si>
    <t>Arthroscopic cartilage repair</t>
  </si>
  <si>
    <t>4 weeks</t>
  </si>
  <si>
    <t>Transcutaneous electrical nerve stimulation (TENS)</t>
  </si>
  <si>
    <t>Kocyigit 2015</t>
  </si>
  <si>
    <t>-1.06 [-1.46, -0.65]</t>
  </si>
  <si>
    <t>First two studies reported in RACGP guidelines are for effectiveness immediately after application of tape; third study (12 days) finds no effect</t>
  </si>
  <si>
    <t>3-4 months</t>
  </si>
  <si>
    <t>2-7 months</t>
  </si>
  <si>
    <t>2-12 months</t>
  </si>
  <si>
    <t>1.5-8 months</t>
  </si>
  <si>
    <t>3-15 months</t>
  </si>
  <si>
    <t>Colchicine (reported data)</t>
  </si>
  <si>
    <t>Das 2002a</t>
  </si>
  <si>
    <t>WOMAC</t>
  </si>
  <si>
    <t>VAS overall pain</t>
  </si>
  <si>
    <t>1-3 months</t>
  </si>
  <si>
    <t>3-12 months</t>
  </si>
  <si>
    <t>5 months</t>
  </si>
  <si>
    <t>1 month</t>
  </si>
  <si>
    <t>$326</t>
  </si>
  <si>
    <t>2-5 months</t>
  </si>
  <si>
    <t>6 weeks</t>
  </si>
  <si>
    <t>2-3 months</t>
  </si>
  <si>
    <t>2-18 months</t>
  </si>
  <si>
    <t>2-4 months</t>
  </si>
  <si>
    <t>3-18 months</t>
  </si>
  <si>
    <t>No evidence of effect at any duration</t>
  </si>
  <si>
    <t>1-2 months</t>
  </si>
  <si>
    <t>-1.17 [-1.88, -0.47]</t>
  </si>
  <si>
    <t>2-24 months</t>
  </si>
  <si>
    <t>-0.32 [-0.84, 0.19]</t>
  </si>
  <si>
    <t>6-18 months</t>
  </si>
  <si>
    <t>$483</t>
  </si>
  <si>
    <t>$21,600-$30,600</t>
  </si>
  <si>
    <t>Strontium ranelate (2mg)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</si>
</sst>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8" formatCode="&quot;$&quot;#,##0.00;[Red]\-&quot;$&quot;#,##0.00"/>
    <numFmt numFmtId="44" formatCode="_-&quot;$&quot;* #,##0.00_-;\-&quot;$&quot;* #,##0.00_-;_-&quot;$&quot;* &quot;-&quot;??_-;_-@_-"/>
    <numFmt numFmtId="164" formatCode="0.0%"/>
  </numFmts>
  <fonts count="15"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
      <sz val="9"/>
      <color indexed="81"/>
      <name val="Tahoma"/>
      <family val="2"/>
    </font>
    <font>
      <b/>
      <sz val="9"/>
      <color indexed="81"/>
      <name val="Tahoma"/>
      <family val="2"/>
    </font>
    <font>
      <b/>
      <sz val="11"/>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38">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44" fontId="3" fillId="0" borderId="0" xfId="1" applyFont="1" applyAlignment="1">
      <alignment horizontal="left" vertical="top" wrapText="1"/>
    </xf>
    <xf numFmtId="4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44" fontId="3" fillId="0" borderId="0" xfId="1" applyFont="1"/>
    <xf numFmtId="0" fontId="3" fillId="0" borderId="0" xfId="0" quotePrefix="1" applyFont="1" applyFill="1" applyAlignment="1">
      <alignment horizontal="right" vertical="top" wrapText="1"/>
    </xf>
    <xf numFmtId="44" fontId="3" fillId="0" borderId="0" xfId="1" applyFont="1" applyAlignment="1">
      <alignment horizontal="left" vertical="top"/>
    </xf>
    <xf numFmtId="4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4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8"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4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44" fontId="3" fillId="0" borderId="0" xfId="1" applyFont="1" applyFill="1" applyAlignment="1">
      <alignment horizontal="right" vertical="top"/>
    </xf>
    <xf numFmtId="4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4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44" fontId="3" fillId="0" borderId="0" xfId="1" applyFont="1" applyAlignment="1">
      <alignment horizontal="right" vertical="top" wrapText="1"/>
    </xf>
    <xf numFmtId="0" fontId="5" fillId="0" borderId="0" xfId="0" applyFont="1" applyAlignment="1">
      <alignment horizontal="center" vertical="top" wrapText="1"/>
    </xf>
    <xf numFmtId="0" fontId="7" fillId="0" borderId="0" xfId="4"/>
    <xf numFmtId="9" fontId="3" fillId="0" borderId="0" xfId="2" applyFont="1"/>
    <xf numFmtId="44" fontId="3" fillId="0" borderId="0" xfId="1" applyFont="1" applyFill="1" applyAlignment="1">
      <alignment horizontal="right" vertical="top" wrapText="1"/>
    </xf>
    <xf numFmtId="8"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49" fontId="3" fillId="4" borderId="0" xfId="0" applyNumberFormat="1" applyFont="1" applyFill="1" applyAlignment="1">
      <alignment horizontal="center" vertical="center" wrapText="1"/>
    </xf>
    <xf numFmtId="49" fontId="3" fillId="0" borderId="0" xfId="0" applyNumberFormat="1" applyFont="1"/>
    <xf numFmtId="49" fontId="3" fillId="0" borderId="0" xfId="0" applyNumberFormat="1" applyFont="1" applyFill="1"/>
    <xf numFmtId="49" fontId="3" fillId="0" borderId="0" xfId="0" applyNumberFormat="1" applyFont="1" applyAlignment="1"/>
    <xf numFmtId="49" fontId="3" fillId="0" borderId="0" xfId="0" applyNumberFormat="1" applyFont="1" applyFill="1" applyAlignment="1">
      <alignment wrapText="1"/>
    </xf>
    <xf numFmtId="49" fontId="3" fillId="5" borderId="0" xfId="0" applyNumberFormat="1" applyFont="1" applyFill="1" applyAlignment="1">
      <alignment horizontal="center" vertical="center" wrapText="1"/>
    </xf>
    <xf numFmtId="49" fontId="3" fillId="0" borderId="0" xfId="0" applyNumberFormat="1" applyFont="1" applyAlignment="1">
      <alignment horizontal="center"/>
    </xf>
    <xf numFmtId="49" fontId="3" fillId="0" borderId="0" xfId="0" applyNumberFormat="1" applyFont="1" applyFill="1" applyAlignment="1">
      <alignment horizontal="center"/>
    </xf>
    <xf numFmtId="49" fontId="3" fillId="7" borderId="0" xfId="0" applyNumberFormat="1" applyFont="1" applyFill="1" applyAlignment="1">
      <alignment horizontal="center" vertical="center" wrapText="1"/>
    </xf>
    <xf numFmtId="49" fontId="3" fillId="0" borderId="0" xfId="0" quotePrefix="1" applyNumberFormat="1" applyFont="1" applyAlignment="1">
      <alignment horizontal="center"/>
    </xf>
    <xf numFmtId="0" fontId="0" fillId="0" borderId="0" xfId="0" applyAlignment="1">
      <alignment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top"/>
    </xf>
    <xf numFmtId="0" fontId="0" fillId="0" borderId="0" xfId="0" applyAlignment="1">
      <alignment horizontal="left" vertical="top" wrapText="1"/>
    </xf>
    <xf numFmtId="0" fontId="14" fillId="0" borderId="1" xfId="0" applyFont="1" applyBorder="1" applyAlignment="1">
      <alignment horizontal="left"/>
    </xf>
    <xf numFmtId="0" fontId="0" fillId="0" borderId="0" xfId="0" quotePrefix="1" applyAlignment="1">
      <alignment horizontal="center" vertical="top"/>
    </xf>
    <xf numFmtId="0" fontId="0" fillId="0" borderId="0" xfId="0" applyAlignment="1">
      <alignment horizontal="center" vertical="top"/>
    </xf>
    <xf numFmtId="0" fontId="14" fillId="0" borderId="1" xfId="0" applyFont="1" applyBorder="1" applyAlignment="1">
      <alignment horizontal="left" wrapText="1"/>
    </xf>
    <xf numFmtId="0" fontId="0" fillId="9" borderId="0" xfId="0" applyFill="1"/>
    <xf numFmtId="0" fontId="14" fillId="0" borderId="1" xfId="0" applyFont="1" applyBorder="1"/>
    <xf numFmtId="0" fontId="14" fillId="9" borderId="1" xfId="0" applyFont="1" applyFill="1" applyBorder="1"/>
    <xf numFmtId="0" fontId="0" fillId="9" borderId="0" xfId="0" applyFill="1" applyAlignment="1">
      <alignment horizontal="left" vertical="top"/>
    </xf>
    <xf numFmtId="0" fontId="14" fillId="0" borderId="1" xfId="0" applyFont="1" applyFill="1" applyBorder="1"/>
    <xf numFmtId="0" fontId="0" fillId="0" borderId="0" xfId="0" quotePrefix="1" applyAlignment="1">
      <alignment horizontal="center"/>
    </xf>
    <xf numFmtId="0" fontId="0" fillId="9" borderId="0" xfId="0" applyFill="1" applyAlignment="1">
      <alignment horizontal="right"/>
    </xf>
    <xf numFmtId="0" fontId="0" fillId="0" borderId="0" xfId="0" applyAlignment="1">
      <alignment vertical="top"/>
    </xf>
    <xf numFmtId="0" fontId="0" fillId="0" borderId="0" xfId="0" quotePrefix="1" applyAlignment="1">
      <alignment vertical="top"/>
    </xf>
    <xf numFmtId="0" fontId="0" fillId="0" borderId="0" xfId="0" applyAlignment="1">
      <alignment vertical="top" wrapText="1"/>
    </xf>
    <xf numFmtId="0" fontId="0" fillId="0" borderId="0" xfId="0" applyFont="1"/>
    <xf numFmtId="0" fontId="0" fillId="8" borderId="0" xfId="0" applyFont="1" applyFill="1" applyBorder="1" applyAlignment="1">
      <alignment horizontal="left"/>
    </xf>
    <xf numFmtId="0" fontId="0" fillId="8" borderId="0" xfId="0" applyFont="1" applyFill="1" applyBorder="1" applyAlignment="1">
      <alignment horizontal="left" wrapText="1"/>
    </xf>
    <xf numFmtId="164" fontId="0" fillId="0" borderId="0" xfId="2" applyNumberFormat="1" applyFont="1"/>
    <xf numFmtId="49" fontId="3" fillId="0" borderId="0" xfId="0" quotePrefix="1" applyNumberFormat="1" applyFont="1" applyAlignment="1"/>
    <xf numFmtId="0" fontId="3" fillId="0" borderId="0" xfId="0" applyFont="1" applyAlignment="1">
      <alignment horizontal="center" vertical="center" wrapText="1"/>
    </xf>
    <xf numFmtId="0" fontId="0" fillId="9" borderId="0" xfId="0" applyFill="1" applyAlignment="1">
      <alignment horizontal="center"/>
    </xf>
  </cellXfs>
  <cellStyles count="5">
    <cellStyle name="Currency" xfId="1" builtinId="4"/>
    <cellStyle name="Hyperlink" xfId="3" builtinId="8"/>
    <cellStyle name="Normal" xfId="0" builtinId="0"/>
    <cellStyle name="Normal 2" xfId="4"/>
    <cellStyle name="Percent" xfId="2" builtinId="5"/>
  </cellStyles>
  <dxfs count="2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141"/>
  <sheetViews>
    <sheetView zoomScale="85" zoomScaleNormal="85" workbookViewId="0">
      <pane xSplit="2" ySplit="1" topLeftCell="I2" activePane="bottomRight" state="frozen"/>
      <selection pane="topRight" activeCell="B1" sqref="B1"/>
      <selection pane="bottomLeft" activeCell="A2" sqref="A2"/>
      <selection pane="bottomRight" activeCell="AO13" sqref="AO13"/>
    </sheetView>
  </sheetViews>
  <sheetFormatPr defaultColWidth="8.5703125" defaultRowHeight="14.25" x14ac:dyDescent="0.25"/>
  <cols>
    <col min="1" max="1" width="5.7109375" style="15" customWidth="1"/>
    <col min="2" max="2" width="48.140625" style="15" customWidth="1"/>
    <col min="3" max="3" width="19.140625" style="15" customWidth="1"/>
    <col min="4" max="4" width="10.42578125" style="15" hidden="1" customWidth="1"/>
    <col min="5" max="5" width="9.42578125" style="13" hidden="1" customWidth="1"/>
    <col min="6" max="7" width="9.5703125" style="13" hidden="1" customWidth="1"/>
    <col min="8" max="10" width="8.5703125" style="15" customWidth="1"/>
    <col min="11" max="15" width="4" style="93" hidden="1" customWidth="1"/>
    <col min="16" max="16" width="10" style="15" customWidth="1"/>
    <col min="17" max="17" width="5.5703125" style="15" customWidth="1"/>
    <col min="18" max="18" width="18.5703125" style="103" bestFit="1" customWidth="1"/>
    <col min="19" max="19" width="10.28515625" style="15" bestFit="1" customWidth="1"/>
    <col min="20" max="20" width="33.85546875" style="15" hidden="1" customWidth="1"/>
    <col min="21" max="21" width="11.28515625" style="17" hidden="1" customWidth="1"/>
    <col min="22" max="25" width="12" style="15" hidden="1" customWidth="1"/>
    <col min="26" max="26" width="8.85546875" style="15" customWidth="1"/>
    <col min="27" max="27" width="20.7109375" style="103" bestFit="1" customWidth="1"/>
    <col min="28" max="28" width="26.5703125" style="59" hidden="1" customWidth="1"/>
    <col min="29" max="29" width="13.140625" style="59" customWidth="1"/>
    <col min="30" max="30" width="21.5703125" style="15" customWidth="1"/>
    <col min="31" max="34" width="17.140625" style="15" customWidth="1"/>
    <col min="35" max="35" width="15.5703125" style="15" hidden="1" customWidth="1"/>
    <col min="36" max="36" width="51.5703125" style="15" hidden="1" customWidth="1"/>
    <col min="37" max="38" width="18.5703125" style="15" hidden="1" customWidth="1"/>
    <col min="39" max="39" width="26.85546875" style="19" hidden="1" customWidth="1"/>
    <col min="40" max="40" width="11.42578125" style="13" customWidth="1"/>
    <col min="41" max="41" width="20" style="108" bestFit="1" customWidth="1"/>
    <col min="42" max="42" width="22.5703125" style="15" customWidth="1"/>
    <col min="43" max="43" width="10.5703125" style="13" customWidth="1"/>
    <col min="44" max="44" width="17.42578125" style="15" customWidth="1"/>
    <col min="45" max="45" width="8.5703125" style="15" customWidth="1"/>
    <col min="46" max="16384" width="8.5703125" style="15"/>
  </cols>
  <sheetData>
    <row r="1" spans="1:44" s="1" customFormat="1" ht="52.5" customHeight="1" x14ac:dyDescent="0.25">
      <c r="A1" s="1" t="s">
        <v>0</v>
      </c>
      <c r="B1" s="2" t="s">
        <v>1</v>
      </c>
      <c r="C1" s="3" t="s">
        <v>2</v>
      </c>
      <c r="D1" s="3" t="s">
        <v>3</v>
      </c>
      <c r="E1" s="3" t="s">
        <v>4</v>
      </c>
      <c r="F1" s="3" t="s">
        <v>5</v>
      </c>
      <c r="G1" s="3" t="s">
        <v>6</v>
      </c>
      <c r="H1" s="4" t="s">
        <v>7</v>
      </c>
      <c r="I1" s="4" t="s">
        <v>8</v>
      </c>
      <c r="J1" s="4" t="s">
        <v>9</v>
      </c>
      <c r="K1" s="136" t="s">
        <v>10</v>
      </c>
      <c r="L1" s="136"/>
      <c r="M1" s="136"/>
      <c r="N1" s="136"/>
      <c r="O1" s="136"/>
      <c r="P1" s="5" t="s">
        <v>11</v>
      </c>
      <c r="Q1" s="6" t="s">
        <v>12</v>
      </c>
      <c r="R1" s="102"/>
      <c r="S1" s="6"/>
      <c r="T1" s="6" t="s">
        <v>13</v>
      </c>
      <c r="U1" s="6" t="s">
        <v>14</v>
      </c>
      <c r="V1" s="6" t="s">
        <v>15</v>
      </c>
      <c r="W1" s="6" t="s">
        <v>16</v>
      </c>
      <c r="X1" s="6" t="s">
        <v>17</v>
      </c>
      <c r="Y1" s="6" t="s">
        <v>18</v>
      </c>
      <c r="Z1" s="7" t="s">
        <v>1052</v>
      </c>
      <c r="AA1" s="107"/>
      <c r="AB1" s="8" t="s">
        <v>19</v>
      </c>
      <c r="AC1" s="9" t="s">
        <v>20</v>
      </c>
      <c r="AD1" s="1" t="s">
        <v>21</v>
      </c>
      <c r="AE1" s="10" t="s">
        <v>22</v>
      </c>
      <c r="AF1" s="10" t="s">
        <v>23</v>
      </c>
      <c r="AG1" s="10"/>
      <c r="AH1" s="10"/>
      <c r="AI1" s="1" t="s">
        <v>24</v>
      </c>
      <c r="AJ1" s="1" t="s">
        <v>25</v>
      </c>
      <c r="AK1" s="1" t="s">
        <v>26</v>
      </c>
      <c r="AL1" s="1" t="s">
        <v>27</v>
      </c>
      <c r="AM1" s="1" t="s">
        <v>28</v>
      </c>
      <c r="AN1" s="11" t="s">
        <v>29</v>
      </c>
      <c r="AO1" s="110"/>
      <c r="AP1" s="1" t="s">
        <v>30</v>
      </c>
      <c r="AQ1" s="11" t="s">
        <v>31</v>
      </c>
      <c r="AR1" s="12" t="s">
        <v>32</v>
      </c>
    </row>
    <row r="2" spans="1:44" s="1" customFormat="1" ht="52.5" customHeight="1" x14ac:dyDescent="0.25">
      <c r="A2" s="1" t="s">
        <v>33</v>
      </c>
      <c r="B2" s="2" t="s">
        <v>34</v>
      </c>
      <c r="C2" s="3"/>
      <c r="D2" s="3" t="s">
        <v>35</v>
      </c>
      <c r="E2" s="3" t="s">
        <v>36</v>
      </c>
      <c r="F2" s="3" t="s">
        <v>37</v>
      </c>
      <c r="G2" s="3" t="s">
        <v>38</v>
      </c>
      <c r="H2" s="4" t="s">
        <v>36</v>
      </c>
      <c r="I2" s="4" t="s">
        <v>37</v>
      </c>
      <c r="J2" s="4" t="s">
        <v>38</v>
      </c>
      <c r="K2" s="13" t="s">
        <v>39</v>
      </c>
      <c r="L2" s="13" t="s">
        <v>40</v>
      </c>
      <c r="M2" s="13" t="s">
        <v>41</v>
      </c>
      <c r="N2" s="13" t="s">
        <v>42</v>
      </c>
      <c r="O2" s="13" t="s">
        <v>43</v>
      </c>
      <c r="P2" s="5" t="s">
        <v>44</v>
      </c>
      <c r="Q2" s="6" t="s">
        <v>45</v>
      </c>
      <c r="R2" s="102" t="s">
        <v>935</v>
      </c>
      <c r="S2" s="6" t="s">
        <v>936</v>
      </c>
      <c r="T2" s="6"/>
      <c r="U2" s="14"/>
      <c r="V2" s="6"/>
      <c r="W2" s="6"/>
      <c r="X2" s="6"/>
      <c r="Y2" s="6"/>
      <c r="Z2" s="7" t="s">
        <v>46</v>
      </c>
      <c r="AA2" s="107" t="s">
        <v>970</v>
      </c>
      <c r="AB2" s="8"/>
      <c r="AC2" s="9" t="s">
        <v>47</v>
      </c>
      <c r="AE2" s="10" t="s">
        <v>48</v>
      </c>
      <c r="AF2" s="10" t="s">
        <v>49</v>
      </c>
      <c r="AG2" s="10" t="s">
        <v>1027</v>
      </c>
      <c r="AH2" s="10" t="s">
        <v>1028</v>
      </c>
      <c r="AN2" s="11" t="s">
        <v>50</v>
      </c>
      <c r="AO2" s="110" t="s">
        <v>979</v>
      </c>
      <c r="AQ2" s="11" t="s">
        <v>51</v>
      </c>
      <c r="AR2" s="12"/>
    </row>
    <row r="3" spans="1:44" ht="15" customHeight="1" x14ac:dyDescent="0.25">
      <c r="B3" s="16" t="s">
        <v>52</v>
      </c>
      <c r="C3" s="16"/>
      <c r="D3" s="16"/>
      <c r="K3" s="15"/>
      <c r="L3" s="15"/>
      <c r="M3" s="15"/>
      <c r="N3" s="15"/>
      <c r="O3" s="15"/>
      <c r="P3" s="16"/>
      <c r="Z3" s="13"/>
      <c r="AA3" s="108"/>
      <c r="AB3" s="17"/>
      <c r="AC3" s="17"/>
      <c r="AD3" s="16"/>
      <c r="AI3" s="18"/>
      <c r="AJ3" s="16"/>
    </row>
    <row r="4" spans="1:44" ht="15" customHeight="1" x14ac:dyDescent="0.25">
      <c r="A4" s="15">
        <v>1</v>
      </c>
      <c r="B4" s="15" t="s">
        <v>1047</v>
      </c>
      <c r="C4" s="15" t="s">
        <v>359</v>
      </c>
      <c r="D4" s="13" t="s">
        <v>42</v>
      </c>
      <c r="E4" s="13">
        <v>1</v>
      </c>
      <c r="F4" s="13">
        <v>1</v>
      </c>
      <c r="G4" s="13">
        <v>1</v>
      </c>
      <c r="H4" s="13" t="s">
        <v>43</v>
      </c>
      <c r="I4" s="13" t="s">
        <v>43</v>
      </c>
      <c r="J4" s="13" t="s">
        <v>43</v>
      </c>
      <c r="K4" s="20"/>
      <c r="L4" s="20"/>
      <c r="M4" s="20"/>
      <c r="N4" s="20"/>
      <c r="O4" s="20"/>
      <c r="P4" s="13" t="s">
        <v>55</v>
      </c>
      <c r="Q4" s="13" t="s">
        <v>56</v>
      </c>
      <c r="R4" s="103" t="s">
        <v>950</v>
      </c>
      <c r="T4" s="15" t="s">
        <v>412</v>
      </c>
      <c r="U4" s="33" t="s">
        <v>59</v>
      </c>
      <c r="V4" s="33" t="s">
        <v>59</v>
      </c>
      <c r="W4" s="15" t="s">
        <v>1046</v>
      </c>
      <c r="X4" s="25" t="s">
        <v>59</v>
      </c>
      <c r="Y4" s="25" t="s">
        <v>59</v>
      </c>
      <c r="Z4" s="13" t="s">
        <v>884</v>
      </c>
      <c r="AA4" s="109" t="s">
        <v>1229</v>
      </c>
      <c r="AB4" s="44"/>
      <c r="AC4" s="113" t="s">
        <v>65</v>
      </c>
      <c r="AD4" s="15" t="s">
        <v>404</v>
      </c>
      <c r="AE4" s="114" t="s">
        <v>67</v>
      </c>
      <c r="AF4" s="114" t="s">
        <v>67</v>
      </c>
      <c r="AG4"/>
      <c r="AH4"/>
      <c r="AI4" s="66"/>
      <c r="AJ4" s="52"/>
      <c r="AK4" s="28"/>
      <c r="AM4" s="29" t="s">
        <v>1055</v>
      </c>
      <c r="AN4" s="13" t="s">
        <v>94</v>
      </c>
      <c r="AO4" s="111" t="s">
        <v>1063</v>
      </c>
      <c r="AP4" s="28"/>
      <c r="AQ4" s="30"/>
    </row>
    <row r="5" spans="1:44" ht="15" hidden="1" customHeight="1" x14ac:dyDescent="0.25">
      <c r="A5" s="15">
        <v>0</v>
      </c>
      <c r="B5" s="15" t="s">
        <v>75</v>
      </c>
      <c r="C5" s="15" t="s">
        <v>54</v>
      </c>
      <c r="D5" s="15" t="s">
        <v>41</v>
      </c>
      <c r="E5" s="13">
        <v>3</v>
      </c>
      <c r="F5" s="13">
        <v>3</v>
      </c>
      <c r="G5" s="13">
        <v>3</v>
      </c>
      <c r="H5" s="13" t="s">
        <v>41</v>
      </c>
      <c r="I5" s="13" t="s">
        <v>41</v>
      </c>
      <c r="J5" s="13" t="s">
        <v>41</v>
      </c>
      <c r="K5" s="20"/>
      <c r="L5" s="20"/>
      <c r="M5" s="20"/>
      <c r="N5" s="20"/>
      <c r="O5" s="20"/>
      <c r="P5" s="13" t="s">
        <v>55</v>
      </c>
      <c r="Q5" s="15" t="s">
        <v>56</v>
      </c>
      <c r="R5" s="15"/>
      <c r="T5" s="15" t="s">
        <v>76</v>
      </c>
      <c r="U5" s="31" t="s">
        <v>59</v>
      </c>
      <c r="V5" s="31" t="s">
        <v>59</v>
      </c>
      <c r="W5" s="15" t="s">
        <v>76</v>
      </c>
      <c r="X5" s="15" t="s">
        <v>59</v>
      </c>
      <c r="Y5" s="15" t="s">
        <v>59</v>
      </c>
      <c r="Z5" s="13" t="s">
        <v>63</v>
      </c>
      <c r="AA5" s="13"/>
      <c r="AB5" s="19" t="s">
        <v>76</v>
      </c>
      <c r="AC5" s="26" t="s">
        <v>65</v>
      </c>
      <c r="AD5" s="15" t="s">
        <v>66</v>
      </c>
      <c r="AE5" s="27" t="s">
        <v>67</v>
      </c>
      <c r="AF5" s="27" t="s">
        <v>67</v>
      </c>
      <c r="AG5" t="s">
        <v>69</v>
      </c>
      <c r="AH5" t="s">
        <v>69</v>
      </c>
      <c r="AI5" s="18" t="s">
        <v>68</v>
      </c>
      <c r="AJ5" s="15" t="s">
        <v>69</v>
      </c>
      <c r="AK5" s="15" t="s">
        <v>77</v>
      </c>
      <c r="AL5" s="15" t="s">
        <v>78</v>
      </c>
      <c r="AM5" s="32" t="s">
        <v>79</v>
      </c>
      <c r="AN5" s="30" t="s">
        <v>73</v>
      </c>
      <c r="AO5" s="30"/>
      <c r="AP5" s="32" t="s">
        <v>80</v>
      </c>
      <c r="AQ5" s="30" t="s">
        <v>73</v>
      </c>
      <c r="AR5" s="15" t="s">
        <v>81</v>
      </c>
    </row>
    <row r="6" spans="1:44" ht="15" customHeight="1" x14ac:dyDescent="0.25">
      <c r="A6" s="15">
        <v>1</v>
      </c>
      <c r="B6" s="15" t="s">
        <v>411</v>
      </c>
      <c r="C6" s="15" t="s">
        <v>359</v>
      </c>
      <c r="D6" s="13" t="s">
        <v>42</v>
      </c>
      <c r="E6" s="13">
        <v>1</v>
      </c>
      <c r="F6" s="13">
        <v>1</v>
      </c>
      <c r="G6" s="13">
        <v>1</v>
      </c>
      <c r="H6" s="13" t="s">
        <v>43</v>
      </c>
      <c r="I6" s="13" t="s">
        <v>43</v>
      </c>
      <c r="J6" s="13" t="s">
        <v>43</v>
      </c>
      <c r="K6" s="20"/>
      <c r="L6" s="20"/>
      <c r="M6" s="20"/>
      <c r="N6" s="20"/>
      <c r="O6" s="20"/>
      <c r="P6" s="13" t="s">
        <v>84</v>
      </c>
      <c r="Q6" s="13" t="s">
        <v>56</v>
      </c>
      <c r="R6" s="103" t="s">
        <v>950</v>
      </c>
      <c r="T6" s="15" t="s">
        <v>412</v>
      </c>
      <c r="U6" s="33" t="s">
        <v>59</v>
      </c>
      <c r="V6" s="33" t="s">
        <v>59</v>
      </c>
      <c r="W6" s="15" t="s">
        <v>1046</v>
      </c>
      <c r="X6" s="25" t="s">
        <v>59</v>
      </c>
      <c r="Y6" s="25" t="s">
        <v>59</v>
      </c>
      <c r="Z6" s="13" t="s">
        <v>219</v>
      </c>
      <c r="AA6" s="108" t="s">
        <v>1249</v>
      </c>
      <c r="AB6" s="19" t="s">
        <v>414</v>
      </c>
      <c r="AC6" s="113" t="s">
        <v>65</v>
      </c>
      <c r="AD6" s="15" t="s">
        <v>404</v>
      </c>
      <c r="AE6" s="114" t="s">
        <v>67</v>
      </c>
      <c r="AF6" s="114" t="s">
        <v>67</v>
      </c>
      <c r="AG6" t="s">
        <v>1005</v>
      </c>
      <c r="AH6" t="s">
        <v>1005</v>
      </c>
      <c r="AI6" s="66" t="s">
        <v>68</v>
      </c>
      <c r="AJ6" s="52" t="s">
        <v>415</v>
      </c>
      <c r="AK6" s="15" t="s">
        <v>416</v>
      </c>
      <c r="AL6" s="15" t="s">
        <v>417</v>
      </c>
      <c r="AM6" s="29" t="s">
        <v>1056</v>
      </c>
      <c r="AN6" s="13" t="s">
        <v>73</v>
      </c>
      <c r="AO6" s="30" t="s">
        <v>1064</v>
      </c>
      <c r="AP6" s="67" t="s">
        <v>418</v>
      </c>
      <c r="AQ6" s="36" t="s">
        <v>73</v>
      </c>
      <c r="AR6" s="47" t="s">
        <v>419</v>
      </c>
    </row>
    <row r="7" spans="1:44" ht="15" hidden="1" customHeight="1" x14ac:dyDescent="0.25">
      <c r="A7" s="15">
        <v>0</v>
      </c>
      <c r="B7" s="15" t="s">
        <v>96</v>
      </c>
      <c r="C7" s="15" t="s">
        <v>83</v>
      </c>
      <c r="D7" s="15" t="s">
        <v>40</v>
      </c>
      <c r="E7" s="13">
        <v>3</v>
      </c>
      <c r="F7" s="13">
        <v>3</v>
      </c>
      <c r="G7" s="13">
        <v>3</v>
      </c>
      <c r="H7" s="13" t="s">
        <v>41</v>
      </c>
      <c r="I7" s="13" t="s">
        <v>41</v>
      </c>
      <c r="J7" s="13" t="s">
        <v>41</v>
      </c>
      <c r="K7" s="20"/>
      <c r="L7" s="20"/>
      <c r="M7" s="20"/>
      <c r="N7" s="20"/>
      <c r="O7" s="20"/>
      <c r="P7" s="13" t="s">
        <v>55</v>
      </c>
      <c r="Q7" s="15" t="s">
        <v>56</v>
      </c>
      <c r="R7" s="15"/>
      <c r="T7" s="15" t="s">
        <v>76</v>
      </c>
      <c r="U7" s="31" t="s">
        <v>59</v>
      </c>
      <c r="V7" s="31" t="s">
        <v>59</v>
      </c>
      <c r="W7" s="15" t="s">
        <v>76</v>
      </c>
      <c r="X7" s="15" t="s">
        <v>59</v>
      </c>
      <c r="Y7" s="15" t="s">
        <v>59</v>
      </c>
      <c r="Z7" s="13" t="s">
        <v>63</v>
      </c>
      <c r="AA7" s="13"/>
      <c r="AB7" s="13" t="s">
        <v>86</v>
      </c>
      <c r="AC7" s="26" t="s">
        <v>87</v>
      </c>
      <c r="AD7" s="15" t="s">
        <v>88</v>
      </c>
      <c r="AE7" s="27" t="s">
        <v>67</v>
      </c>
      <c r="AF7" s="27" t="s">
        <v>67</v>
      </c>
      <c r="AG7" t="s">
        <v>90</v>
      </c>
      <c r="AH7" t="s">
        <v>90</v>
      </c>
      <c r="AI7" s="18" t="s">
        <v>89</v>
      </c>
      <c r="AJ7" s="15" t="s">
        <v>90</v>
      </c>
      <c r="AK7" s="15" t="s">
        <v>97</v>
      </c>
      <c r="AL7" s="15" t="s">
        <v>98</v>
      </c>
      <c r="AM7" s="29" t="s">
        <v>99</v>
      </c>
      <c r="AN7" s="30" t="s">
        <v>73</v>
      </c>
      <c r="AO7" s="30"/>
      <c r="AP7" s="28" t="s">
        <v>100</v>
      </c>
      <c r="AQ7" s="30" t="s">
        <v>73</v>
      </c>
      <c r="AR7" s="15" t="s">
        <v>101</v>
      </c>
    </row>
    <row r="8" spans="1:44" ht="15" customHeight="1" x14ac:dyDescent="0.25">
      <c r="A8" s="15">
        <v>1</v>
      </c>
      <c r="B8" s="15" t="s">
        <v>1045</v>
      </c>
      <c r="C8" s="15" t="s">
        <v>359</v>
      </c>
      <c r="D8" s="13" t="s">
        <v>42</v>
      </c>
      <c r="E8" s="13">
        <v>1</v>
      </c>
      <c r="F8" s="13">
        <v>1</v>
      </c>
      <c r="G8" s="13">
        <v>1</v>
      </c>
      <c r="H8" s="13" t="s">
        <v>43</v>
      </c>
      <c r="I8" s="13" t="s">
        <v>43</v>
      </c>
      <c r="J8" s="13" t="s">
        <v>43</v>
      </c>
      <c r="K8" s="20"/>
      <c r="L8" s="20"/>
      <c r="M8" s="20"/>
      <c r="N8" s="20"/>
      <c r="O8" s="20"/>
      <c r="P8" s="13" t="s">
        <v>55</v>
      </c>
      <c r="Q8" s="13" t="s">
        <v>56</v>
      </c>
      <c r="R8" s="103" t="s">
        <v>950</v>
      </c>
      <c r="T8" s="38">
        <v>1202.877</v>
      </c>
      <c r="U8" s="33" t="s">
        <v>58</v>
      </c>
      <c r="V8" s="33" t="s">
        <v>59</v>
      </c>
      <c r="W8" s="60" t="s">
        <v>400</v>
      </c>
      <c r="X8" s="60" t="s">
        <v>401</v>
      </c>
      <c r="Y8" s="15" t="s">
        <v>402</v>
      </c>
      <c r="Z8" s="13" t="s">
        <v>884</v>
      </c>
      <c r="AA8" s="109" t="s">
        <v>1230</v>
      </c>
      <c r="AB8" s="44" t="s">
        <v>403</v>
      </c>
      <c r="AC8" s="113" t="s">
        <v>65</v>
      </c>
      <c r="AD8" s="15" t="s">
        <v>404</v>
      </c>
      <c r="AE8" s="114" t="s">
        <v>67</v>
      </c>
      <c r="AF8" s="114" t="s">
        <v>67</v>
      </c>
      <c r="AG8" t="s">
        <v>1004</v>
      </c>
      <c r="AH8" t="s">
        <v>1033</v>
      </c>
      <c r="AI8" s="66" t="s">
        <v>406</v>
      </c>
      <c r="AJ8" s="52" t="s">
        <v>407</v>
      </c>
      <c r="AK8" s="28" t="s">
        <v>408</v>
      </c>
      <c r="AL8" s="15" t="s">
        <v>251</v>
      </c>
      <c r="AM8" s="29" t="s">
        <v>1054</v>
      </c>
      <c r="AN8" s="13" t="s">
        <v>94</v>
      </c>
      <c r="AO8" s="111" t="s">
        <v>1062</v>
      </c>
      <c r="AP8" s="28" t="s">
        <v>409</v>
      </c>
      <c r="AQ8" s="30" t="s">
        <v>73</v>
      </c>
      <c r="AR8" s="15" t="s">
        <v>410</v>
      </c>
    </row>
    <row r="9" spans="1:44" ht="15" customHeight="1" x14ac:dyDescent="0.25">
      <c r="A9" s="15">
        <v>1</v>
      </c>
      <c r="B9" s="35" t="s">
        <v>102</v>
      </c>
      <c r="C9" s="15" t="s">
        <v>103</v>
      </c>
      <c r="D9" s="13" t="s">
        <v>39</v>
      </c>
      <c r="E9" s="13">
        <v>5</v>
      </c>
      <c r="F9" s="13">
        <v>5</v>
      </c>
      <c r="G9" s="13">
        <v>5</v>
      </c>
      <c r="H9" s="13" t="s">
        <v>39</v>
      </c>
      <c r="I9" s="13" t="s">
        <v>39</v>
      </c>
      <c r="J9" s="13" t="s">
        <v>39</v>
      </c>
      <c r="K9" s="20"/>
      <c r="L9" s="20"/>
      <c r="M9" s="20"/>
      <c r="N9" s="20"/>
      <c r="O9" s="20"/>
      <c r="P9" s="13" t="s">
        <v>84</v>
      </c>
      <c r="Q9" s="13" t="s">
        <v>56</v>
      </c>
      <c r="R9" s="103" t="s">
        <v>939</v>
      </c>
      <c r="T9" s="33" t="s">
        <v>104</v>
      </c>
      <c r="U9" s="21" t="s">
        <v>58</v>
      </c>
      <c r="V9" s="22" t="s">
        <v>59</v>
      </c>
      <c r="W9" s="25" t="s">
        <v>105</v>
      </c>
      <c r="X9" s="25" t="s">
        <v>106</v>
      </c>
      <c r="Y9" s="25" t="s">
        <v>107</v>
      </c>
      <c r="Z9" s="13" t="s">
        <v>884</v>
      </c>
      <c r="AA9" s="108" t="s">
        <v>1231</v>
      </c>
      <c r="AB9" s="12" t="s">
        <v>108</v>
      </c>
      <c r="AC9" s="113" t="s">
        <v>65</v>
      </c>
      <c r="AD9" s="15" t="s">
        <v>59</v>
      </c>
      <c r="AE9" s="114" t="s">
        <v>67</v>
      </c>
      <c r="AF9" s="114" t="s">
        <v>67</v>
      </c>
      <c r="AG9" s="15" t="s">
        <v>1029</v>
      </c>
      <c r="AH9" t="s">
        <v>996</v>
      </c>
      <c r="AI9" s="18" t="s">
        <v>68</v>
      </c>
      <c r="AJ9" s="15" t="s">
        <v>109</v>
      </c>
      <c r="AK9" s="15" t="s">
        <v>110</v>
      </c>
      <c r="AM9" s="29" t="s">
        <v>111</v>
      </c>
      <c r="AN9" s="13" t="s">
        <v>94</v>
      </c>
      <c r="AO9" s="111" t="s">
        <v>111</v>
      </c>
      <c r="AP9" s="28" t="s">
        <v>112</v>
      </c>
      <c r="AQ9" s="36" t="s">
        <v>113</v>
      </c>
    </row>
    <row r="10" spans="1:44" ht="15" customHeight="1" x14ac:dyDescent="0.25">
      <c r="A10" s="47">
        <v>1</v>
      </c>
      <c r="B10" s="47" t="s">
        <v>606</v>
      </c>
      <c r="C10" s="47" t="s">
        <v>227</v>
      </c>
      <c r="D10" s="13" t="s">
        <v>42</v>
      </c>
      <c r="E10" s="53">
        <v>1</v>
      </c>
      <c r="F10" s="53">
        <v>1</v>
      </c>
      <c r="G10" s="53">
        <v>1</v>
      </c>
      <c r="H10" s="13" t="s">
        <v>43</v>
      </c>
      <c r="I10" s="13" t="s">
        <v>43</v>
      </c>
      <c r="J10" s="13" t="s">
        <v>43</v>
      </c>
      <c r="K10" s="54"/>
      <c r="L10" s="54"/>
      <c r="M10" s="54"/>
      <c r="N10" s="54"/>
      <c r="O10" s="54"/>
      <c r="P10" s="13" t="s">
        <v>148</v>
      </c>
      <c r="Q10" s="13" t="s">
        <v>174</v>
      </c>
      <c r="R10" s="106" t="s">
        <v>607</v>
      </c>
      <c r="S10" s="15" t="s">
        <v>175</v>
      </c>
      <c r="T10" s="71" t="s">
        <v>607</v>
      </c>
      <c r="U10" s="55" t="s">
        <v>175</v>
      </c>
      <c r="V10" s="72" t="s">
        <v>480</v>
      </c>
      <c r="W10" s="52" t="s">
        <v>608</v>
      </c>
      <c r="X10" s="82" t="s">
        <v>59</v>
      </c>
      <c r="Y10" s="47" t="s">
        <v>59</v>
      </c>
      <c r="Z10" s="13" t="s">
        <v>884</v>
      </c>
      <c r="AA10" s="109" t="s">
        <v>1232</v>
      </c>
      <c r="AB10" s="46" t="s">
        <v>609</v>
      </c>
      <c r="AC10" s="113" t="s">
        <v>87</v>
      </c>
      <c r="AD10" s="47" t="s">
        <v>610</v>
      </c>
      <c r="AE10" s="114" t="s">
        <v>405</v>
      </c>
      <c r="AF10" s="114" t="s">
        <v>450</v>
      </c>
      <c r="AG10" t="s">
        <v>1016</v>
      </c>
      <c r="AH10" t="s">
        <v>1016</v>
      </c>
      <c r="AI10" s="56" t="s">
        <v>68</v>
      </c>
      <c r="AJ10" s="52" t="s">
        <v>611</v>
      </c>
      <c r="AK10" s="47" t="s">
        <v>612</v>
      </c>
      <c r="AL10" s="47" t="s">
        <v>613</v>
      </c>
      <c r="AM10" s="29" t="s">
        <v>614</v>
      </c>
      <c r="AN10" s="13" t="s">
        <v>113</v>
      </c>
      <c r="AO10" s="111" t="s">
        <v>992</v>
      </c>
      <c r="AP10" s="67" t="s">
        <v>615</v>
      </c>
      <c r="AQ10" s="58" t="s">
        <v>113</v>
      </c>
      <c r="AR10" s="47"/>
    </row>
    <row r="11" spans="1:44" ht="15" customHeight="1" x14ac:dyDescent="0.25">
      <c r="A11" s="15">
        <v>1</v>
      </c>
      <c r="B11" s="15" t="s">
        <v>163</v>
      </c>
      <c r="C11" s="15" t="s">
        <v>128</v>
      </c>
      <c r="D11" s="13" t="s">
        <v>40</v>
      </c>
      <c r="E11" s="13">
        <v>4</v>
      </c>
      <c r="F11" s="13">
        <v>4</v>
      </c>
      <c r="G11" s="13">
        <v>4</v>
      </c>
      <c r="H11" s="13" t="s">
        <v>40</v>
      </c>
      <c r="I11" s="13" t="s">
        <v>40</v>
      </c>
      <c r="J11" s="13" t="s">
        <v>40</v>
      </c>
      <c r="K11" s="20"/>
      <c r="L11" s="20"/>
      <c r="M11" s="20"/>
      <c r="N11" s="20"/>
      <c r="O11" s="20"/>
      <c r="P11" s="13" t="s">
        <v>84</v>
      </c>
      <c r="Q11" s="13" t="s">
        <v>56</v>
      </c>
      <c r="R11" s="103" t="s">
        <v>940</v>
      </c>
      <c r="T11" s="38">
        <v>1363.95</v>
      </c>
      <c r="U11" s="21" t="s">
        <v>58</v>
      </c>
      <c r="V11" s="33" t="s">
        <v>59</v>
      </c>
      <c r="W11" s="25" t="s">
        <v>164</v>
      </c>
      <c r="X11" s="25" t="s">
        <v>165</v>
      </c>
      <c r="Y11" s="25" t="s">
        <v>166</v>
      </c>
      <c r="Z11" s="13" t="s">
        <v>884</v>
      </c>
      <c r="AA11" s="108" t="s">
        <v>1233</v>
      </c>
      <c r="AB11" s="12" t="s">
        <v>167</v>
      </c>
      <c r="AC11" s="113" t="s">
        <v>65</v>
      </c>
      <c r="AD11" s="15" t="s">
        <v>59</v>
      </c>
      <c r="AE11" s="114" t="s">
        <v>67</v>
      </c>
      <c r="AF11" s="114" t="s">
        <v>67</v>
      </c>
      <c r="AG11" s="15" t="s">
        <v>1029</v>
      </c>
      <c r="AH11" t="s">
        <v>996</v>
      </c>
      <c r="AI11" s="18" t="s">
        <v>68</v>
      </c>
      <c r="AJ11" s="15" t="s">
        <v>109</v>
      </c>
      <c r="AK11" s="15" t="s">
        <v>168</v>
      </c>
      <c r="AL11" s="28" t="s">
        <v>169</v>
      </c>
      <c r="AM11" s="29" t="s">
        <v>170</v>
      </c>
      <c r="AN11" s="13" t="s">
        <v>94</v>
      </c>
      <c r="AO11" s="111" t="s">
        <v>170</v>
      </c>
      <c r="AP11" s="28" t="s">
        <v>171</v>
      </c>
      <c r="AQ11" s="30" t="s">
        <v>94</v>
      </c>
    </row>
    <row r="12" spans="1:44" ht="15" customHeight="1" x14ac:dyDescent="0.25">
      <c r="A12" s="15">
        <v>1</v>
      </c>
      <c r="B12" s="15" t="s">
        <v>862</v>
      </c>
      <c r="C12" s="15" t="s">
        <v>463</v>
      </c>
      <c r="D12" s="13" t="s">
        <v>43</v>
      </c>
      <c r="E12" s="13">
        <v>1</v>
      </c>
      <c r="F12" s="13">
        <v>1</v>
      </c>
      <c r="G12" s="13">
        <v>1</v>
      </c>
      <c r="H12" s="13" t="s">
        <v>43</v>
      </c>
      <c r="I12" s="13" t="s">
        <v>43</v>
      </c>
      <c r="J12" s="13" t="s">
        <v>43</v>
      </c>
      <c r="K12" s="20"/>
      <c r="L12" s="20"/>
      <c r="M12" s="20"/>
      <c r="N12" s="20"/>
      <c r="O12" s="20"/>
      <c r="P12" s="13" t="s">
        <v>55</v>
      </c>
      <c r="Q12" s="13" t="s">
        <v>174</v>
      </c>
      <c r="R12" s="103" t="s">
        <v>969</v>
      </c>
      <c r="T12" s="15" t="s">
        <v>863</v>
      </c>
      <c r="U12" s="33" t="s">
        <v>59</v>
      </c>
      <c r="V12" s="31" t="s">
        <v>59</v>
      </c>
      <c r="W12" s="25" t="s">
        <v>864</v>
      </c>
      <c r="X12" s="25" t="s">
        <v>59</v>
      </c>
      <c r="Y12" s="25" t="s">
        <v>59</v>
      </c>
      <c r="Z12" s="13" t="s">
        <v>219</v>
      </c>
      <c r="AA12" s="108" t="s">
        <v>1249</v>
      </c>
      <c r="AB12" s="17" t="s">
        <v>865</v>
      </c>
      <c r="AC12" s="113" t="s">
        <v>87</v>
      </c>
      <c r="AD12" s="15" t="s">
        <v>59</v>
      </c>
      <c r="AE12" s="114" t="s">
        <v>67</v>
      </c>
      <c r="AF12" s="114" t="s">
        <v>450</v>
      </c>
      <c r="AG12"/>
      <c r="AH12" t="s">
        <v>1025</v>
      </c>
      <c r="AI12" s="66" t="s">
        <v>866</v>
      </c>
      <c r="AJ12" s="23" t="s">
        <v>867</v>
      </c>
      <c r="AK12" s="15" t="s">
        <v>355</v>
      </c>
      <c r="AL12" s="15" t="s">
        <v>868</v>
      </c>
      <c r="AM12" s="29" t="s">
        <v>869</v>
      </c>
      <c r="AN12" s="13" t="s">
        <v>73</v>
      </c>
      <c r="AO12" s="111" t="s">
        <v>1081</v>
      </c>
      <c r="AP12" s="51" t="s">
        <v>870</v>
      </c>
      <c r="AQ12" s="30" t="s">
        <v>73</v>
      </c>
      <c r="AR12" s="15" t="s">
        <v>871</v>
      </c>
    </row>
    <row r="13" spans="1:44" ht="15" customHeight="1" x14ac:dyDescent="0.25">
      <c r="A13" s="15">
        <v>1</v>
      </c>
      <c r="B13" s="15" t="s">
        <v>837</v>
      </c>
      <c r="C13" s="15" t="s">
        <v>463</v>
      </c>
      <c r="D13" s="13" t="s">
        <v>43</v>
      </c>
      <c r="E13" s="13">
        <v>1</v>
      </c>
      <c r="F13" s="13">
        <v>1</v>
      </c>
      <c r="G13" s="13">
        <v>1</v>
      </c>
      <c r="H13" s="13" t="s">
        <v>43</v>
      </c>
      <c r="I13" s="13" t="s">
        <v>43</v>
      </c>
      <c r="J13" s="13" t="s">
        <v>43</v>
      </c>
      <c r="K13" s="20"/>
      <c r="L13" s="20"/>
      <c r="M13" s="20"/>
      <c r="N13" s="20"/>
      <c r="O13" s="20"/>
      <c r="P13" s="13" t="s">
        <v>55</v>
      </c>
      <c r="Q13" s="13" t="s">
        <v>174</v>
      </c>
      <c r="R13" s="103" t="s">
        <v>969</v>
      </c>
      <c r="T13" s="33" t="s">
        <v>838</v>
      </c>
      <c r="U13" s="33" t="s">
        <v>695</v>
      </c>
      <c r="V13" s="31" t="s">
        <v>59</v>
      </c>
      <c r="W13" s="25" t="s">
        <v>839</v>
      </c>
      <c r="X13" s="25" t="s">
        <v>840</v>
      </c>
      <c r="Y13" s="25" t="s">
        <v>841</v>
      </c>
      <c r="Z13" s="13" t="s">
        <v>219</v>
      </c>
      <c r="AA13" s="108" t="s">
        <v>1249</v>
      </c>
      <c r="AB13" s="17" t="s">
        <v>842</v>
      </c>
      <c r="AC13" s="113" t="s">
        <v>87</v>
      </c>
      <c r="AD13" s="15" t="s">
        <v>59</v>
      </c>
      <c r="AE13" s="114" t="s">
        <v>67</v>
      </c>
      <c r="AF13" s="114" t="s">
        <v>450</v>
      </c>
      <c r="AG13"/>
      <c r="AH13" t="s">
        <v>1025</v>
      </c>
      <c r="AI13" s="66" t="s">
        <v>68</v>
      </c>
      <c r="AJ13" s="23" t="s">
        <v>843</v>
      </c>
      <c r="AK13" s="24" t="s">
        <v>355</v>
      </c>
      <c r="AL13" s="15" t="s">
        <v>844</v>
      </c>
      <c r="AM13" s="29" t="s">
        <v>845</v>
      </c>
      <c r="AN13" s="13" t="s">
        <v>73</v>
      </c>
      <c r="AO13" s="111" t="s">
        <v>1218</v>
      </c>
      <c r="AP13" s="89" t="s">
        <v>846</v>
      </c>
      <c r="AQ13" s="30" t="s">
        <v>73</v>
      </c>
    </row>
    <row r="14" spans="1:44" ht="15" customHeight="1" x14ac:dyDescent="0.25">
      <c r="A14" s="15">
        <v>1</v>
      </c>
      <c r="B14" s="15" t="s">
        <v>853</v>
      </c>
      <c r="C14" s="15" t="s">
        <v>463</v>
      </c>
      <c r="D14" s="13" t="s">
        <v>43</v>
      </c>
      <c r="E14" s="13">
        <v>1</v>
      </c>
      <c r="F14" s="13">
        <v>1</v>
      </c>
      <c r="G14" s="13">
        <v>1</v>
      </c>
      <c r="H14" s="13" t="s">
        <v>43</v>
      </c>
      <c r="I14" s="13" t="s">
        <v>43</v>
      </c>
      <c r="J14" s="13" t="s">
        <v>43</v>
      </c>
      <c r="K14" s="20"/>
      <c r="L14" s="20"/>
      <c r="M14" s="20"/>
      <c r="N14" s="20"/>
      <c r="O14" s="20"/>
      <c r="P14" s="13" t="s">
        <v>84</v>
      </c>
      <c r="Q14" s="13" t="s">
        <v>174</v>
      </c>
      <c r="R14" s="103" t="s">
        <v>969</v>
      </c>
      <c r="T14" s="33" t="s">
        <v>838</v>
      </c>
      <c r="U14" s="33" t="s">
        <v>695</v>
      </c>
      <c r="V14" s="31" t="s">
        <v>59</v>
      </c>
      <c r="W14" s="25" t="s">
        <v>839</v>
      </c>
      <c r="X14" s="25" t="s">
        <v>854</v>
      </c>
      <c r="Y14" s="25" t="s">
        <v>855</v>
      </c>
      <c r="Z14" s="13" t="s">
        <v>219</v>
      </c>
      <c r="AA14" s="108" t="s">
        <v>1249</v>
      </c>
      <c r="AB14" s="12" t="s">
        <v>856</v>
      </c>
      <c r="AC14" s="113" t="s">
        <v>87</v>
      </c>
      <c r="AD14" s="15" t="s">
        <v>59</v>
      </c>
      <c r="AE14" s="114" t="s">
        <v>67</v>
      </c>
      <c r="AF14" s="114" t="s">
        <v>450</v>
      </c>
      <c r="AG14"/>
      <c r="AH14" t="s">
        <v>1025</v>
      </c>
      <c r="AI14" s="66" t="s">
        <v>68</v>
      </c>
      <c r="AJ14" s="23" t="s">
        <v>857</v>
      </c>
      <c r="AK14" s="24" t="s">
        <v>858</v>
      </c>
      <c r="AM14" s="29" t="s">
        <v>859</v>
      </c>
      <c r="AN14" s="13" t="s">
        <v>73</v>
      </c>
      <c r="AO14" s="111" t="s">
        <v>1222</v>
      </c>
      <c r="AP14" s="39" t="s">
        <v>860</v>
      </c>
      <c r="AQ14" s="30" t="s">
        <v>73</v>
      </c>
      <c r="AR14" s="15" t="s">
        <v>861</v>
      </c>
    </row>
    <row r="15" spans="1:44" ht="15" customHeight="1" x14ac:dyDescent="0.25">
      <c r="A15" s="15">
        <v>1</v>
      </c>
      <c r="B15" s="15" t="s">
        <v>329</v>
      </c>
      <c r="C15" s="15" t="s">
        <v>128</v>
      </c>
      <c r="D15" s="13" t="s">
        <v>40</v>
      </c>
      <c r="E15" s="13">
        <v>3</v>
      </c>
      <c r="F15" s="13">
        <v>4</v>
      </c>
      <c r="G15" s="13">
        <v>3</v>
      </c>
      <c r="H15" s="13" t="s">
        <v>41</v>
      </c>
      <c r="I15" s="13" t="s">
        <v>40</v>
      </c>
      <c r="J15" s="13" t="s">
        <v>41</v>
      </c>
      <c r="K15" s="20"/>
      <c r="L15" s="20"/>
      <c r="M15" s="20"/>
      <c r="N15" s="20"/>
      <c r="O15" s="20"/>
      <c r="P15" s="13" t="s">
        <v>84</v>
      </c>
      <c r="Q15" s="13" t="s">
        <v>56</v>
      </c>
      <c r="R15" s="103" t="s">
        <v>948</v>
      </c>
      <c r="T15" s="33" t="s">
        <v>330</v>
      </c>
      <c r="U15" s="33" t="s">
        <v>58</v>
      </c>
      <c r="V15" s="33" t="s">
        <v>59</v>
      </c>
      <c r="W15" s="25" t="s">
        <v>331</v>
      </c>
      <c r="X15" s="25" t="s">
        <v>59</v>
      </c>
      <c r="Y15" s="25" t="s">
        <v>332</v>
      </c>
      <c r="Z15" s="13" t="s">
        <v>63</v>
      </c>
      <c r="AA15" s="108" t="s">
        <v>1140</v>
      </c>
      <c r="AB15" s="46" t="s">
        <v>333</v>
      </c>
      <c r="AC15" s="113" t="s">
        <v>87</v>
      </c>
      <c r="AD15" s="15" t="s">
        <v>59</v>
      </c>
      <c r="AE15" s="114" t="s">
        <v>67</v>
      </c>
      <c r="AF15" s="114" t="s">
        <v>67</v>
      </c>
      <c r="AG15" t="s">
        <v>1002</v>
      </c>
      <c r="AH15" t="s">
        <v>1002</v>
      </c>
      <c r="AI15" s="18" t="s">
        <v>68</v>
      </c>
      <c r="AJ15" s="44" t="s">
        <v>334</v>
      </c>
      <c r="AK15" s="15" t="s">
        <v>335</v>
      </c>
      <c r="AL15" s="28" t="s">
        <v>336</v>
      </c>
      <c r="AM15" s="29" t="s">
        <v>337</v>
      </c>
      <c r="AN15" s="13" t="s">
        <v>113</v>
      </c>
      <c r="AO15" s="111" t="s">
        <v>1134</v>
      </c>
      <c r="AP15" s="40" t="s">
        <v>338</v>
      </c>
      <c r="AQ15" s="30" t="s">
        <v>113</v>
      </c>
      <c r="AR15" s="47" t="s">
        <v>308</v>
      </c>
    </row>
    <row r="16" spans="1:44" ht="15" hidden="1" customHeight="1" x14ac:dyDescent="0.25">
      <c r="A16" s="15">
        <v>0</v>
      </c>
      <c r="B16" s="35" t="s">
        <v>147</v>
      </c>
      <c r="C16" s="15" t="s">
        <v>103</v>
      </c>
      <c r="D16" s="15" t="s">
        <v>39</v>
      </c>
      <c r="E16" s="13">
        <v>5</v>
      </c>
      <c r="F16" s="13">
        <v>5</v>
      </c>
      <c r="G16" s="13">
        <v>5</v>
      </c>
      <c r="H16" s="13" t="s">
        <v>39</v>
      </c>
      <c r="I16" s="13" t="s">
        <v>39</v>
      </c>
      <c r="J16" s="13" t="s">
        <v>39</v>
      </c>
      <c r="K16" s="20"/>
      <c r="L16" s="20"/>
      <c r="M16" s="20"/>
      <c r="N16" s="20"/>
      <c r="O16" s="20"/>
      <c r="P16" s="13" t="s">
        <v>148</v>
      </c>
      <c r="Q16" s="15" t="s">
        <v>56</v>
      </c>
      <c r="R16" s="15"/>
      <c r="T16" s="15" t="s">
        <v>115</v>
      </c>
      <c r="U16" s="38" t="s">
        <v>59</v>
      </c>
      <c r="V16" s="38" t="s">
        <v>59</v>
      </c>
      <c r="W16" s="38" t="s">
        <v>59</v>
      </c>
      <c r="X16" s="38" t="s">
        <v>59</v>
      </c>
      <c r="Y16" s="38" t="s">
        <v>59</v>
      </c>
      <c r="Z16" s="13" t="s">
        <v>63</v>
      </c>
      <c r="AA16" s="13"/>
      <c r="AB16" s="17" t="s">
        <v>149</v>
      </c>
      <c r="AC16" s="26" t="s">
        <v>65</v>
      </c>
      <c r="AD16" s="15" t="s">
        <v>59</v>
      </c>
      <c r="AE16" s="27" t="s">
        <v>67</v>
      </c>
      <c r="AF16" s="27" t="s">
        <v>67</v>
      </c>
      <c r="AG16" t="s">
        <v>109</v>
      </c>
      <c r="AH16" t="s">
        <v>109</v>
      </c>
      <c r="AI16" s="18" t="s">
        <v>68</v>
      </c>
      <c r="AJ16" s="15" t="s">
        <v>109</v>
      </c>
      <c r="AK16" s="15" t="s">
        <v>150</v>
      </c>
      <c r="AL16" s="28" t="s">
        <v>151</v>
      </c>
      <c r="AM16" s="29" t="s">
        <v>152</v>
      </c>
      <c r="AN16" s="30" t="s">
        <v>94</v>
      </c>
      <c r="AO16" s="30"/>
      <c r="AP16" s="28" t="s">
        <v>153</v>
      </c>
      <c r="AQ16" s="30" t="s">
        <v>94</v>
      </c>
    </row>
    <row r="17" spans="1:44" ht="15" hidden="1" customHeight="1" x14ac:dyDescent="0.25">
      <c r="A17" s="15">
        <v>0</v>
      </c>
      <c r="B17" s="37" t="s">
        <v>154</v>
      </c>
      <c r="C17" s="15" t="s">
        <v>54</v>
      </c>
      <c r="D17" s="15" t="s">
        <v>41</v>
      </c>
      <c r="E17" s="13">
        <v>3</v>
      </c>
      <c r="F17" s="13">
        <v>3</v>
      </c>
      <c r="G17" s="13">
        <v>3</v>
      </c>
      <c r="H17" s="13" t="s">
        <v>41</v>
      </c>
      <c r="I17" s="13" t="s">
        <v>41</v>
      </c>
      <c r="J17" s="13" t="s">
        <v>41</v>
      </c>
      <c r="K17" s="20"/>
      <c r="L17" s="20"/>
      <c r="M17" s="20"/>
      <c r="N17" s="20"/>
      <c r="O17" s="20"/>
      <c r="P17" s="13" t="s">
        <v>55</v>
      </c>
      <c r="Q17" s="15" t="s">
        <v>56</v>
      </c>
      <c r="R17" s="15"/>
      <c r="T17" s="15" t="s">
        <v>115</v>
      </c>
      <c r="U17" s="38" t="s">
        <v>59</v>
      </c>
      <c r="V17" s="38" t="s">
        <v>59</v>
      </c>
      <c r="W17" s="38" t="s">
        <v>59</v>
      </c>
      <c r="X17" s="38" t="s">
        <v>59</v>
      </c>
      <c r="Y17" s="38" t="s">
        <v>59</v>
      </c>
      <c r="Z17" s="13" t="s">
        <v>63</v>
      </c>
      <c r="AA17" s="13"/>
      <c r="AB17" s="15" t="s">
        <v>116</v>
      </c>
      <c r="AC17" s="26" t="s">
        <v>65</v>
      </c>
      <c r="AE17" s="27" t="s">
        <v>67</v>
      </c>
      <c r="AF17" s="27" t="s">
        <v>67</v>
      </c>
      <c r="AG17" t="s">
        <v>76</v>
      </c>
      <c r="AH17" t="s">
        <v>76</v>
      </c>
      <c r="AI17" s="18" t="s">
        <v>68</v>
      </c>
      <c r="AJ17" s="15" t="s">
        <v>76</v>
      </c>
      <c r="AK17" s="15" t="s">
        <v>155</v>
      </c>
      <c r="AL17" s="28" t="s">
        <v>156</v>
      </c>
      <c r="AM17" s="29" t="s">
        <v>157</v>
      </c>
      <c r="AN17" s="30" t="s">
        <v>73</v>
      </c>
      <c r="AO17" s="30"/>
      <c r="AP17" s="28" t="s">
        <v>158</v>
      </c>
      <c r="AQ17" s="30" t="s">
        <v>73</v>
      </c>
    </row>
    <row r="18" spans="1:44" ht="15" hidden="1" customHeight="1" x14ac:dyDescent="0.25">
      <c r="A18" s="15">
        <v>0</v>
      </c>
      <c r="B18" s="37" t="s">
        <v>159</v>
      </c>
      <c r="C18" s="15" t="s">
        <v>54</v>
      </c>
      <c r="D18" s="15" t="s">
        <v>41</v>
      </c>
      <c r="E18" s="13">
        <v>3</v>
      </c>
      <c r="F18" s="13">
        <v>3</v>
      </c>
      <c r="G18" s="13">
        <v>3</v>
      </c>
      <c r="H18" s="13" t="s">
        <v>41</v>
      </c>
      <c r="I18" s="13" t="s">
        <v>41</v>
      </c>
      <c r="J18" s="13" t="s">
        <v>41</v>
      </c>
      <c r="K18" s="20"/>
      <c r="L18" s="20"/>
      <c r="M18" s="20"/>
      <c r="N18" s="20"/>
      <c r="O18" s="20"/>
      <c r="P18" s="13" t="s">
        <v>55</v>
      </c>
      <c r="Q18" s="15" t="s">
        <v>56</v>
      </c>
      <c r="R18" s="15"/>
      <c r="T18" s="15" t="s">
        <v>115</v>
      </c>
      <c r="U18" s="38" t="s">
        <v>59</v>
      </c>
      <c r="V18" s="38" t="s">
        <v>59</v>
      </c>
      <c r="W18" s="38" t="s">
        <v>59</v>
      </c>
      <c r="X18" s="38" t="s">
        <v>59</v>
      </c>
      <c r="Y18" s="38" t="s">
        <v>59</v>
      </c>
      <c r="Z18" s="13" t="s">
        <v>63</v>
      </c>
      <c r="AA18" s="13"/>
      <c r="AB18" s="15" t="s">
        <v>116</v>
      </c>
      <c r="AC18" s="26" t="s">
        <v>65</v>
      </c>
      <c r="AE18" s="27" t="s">
        <v>67</v>
      </c>
      <c r="AF18" s="27" t="s">
        <v>67</v>
      </c>
      <c r="AG18" t="s">
        <v>76</v>
      </c>
      <c r="AH18" t="s">
        <v>76</v>
      </c>
      <c r="AI18" s="18" t="s">
        <v>68</v>
      </c>
      <c r="AJ18" s="15" t="s">
        <v>76</v>
      </c>
      <c r="AK18" s="15" t="s">
        <v>124</v>
      </c>
      <c r="AL18" s="15" t="s">
        <v>125</v>
      </c>
      <c r="AM18" s="39" t="s">
        <v>126</v>
      </c>
      <c r="AN18" s="30" t="s">
        <v>94</v>
      </c>
      <c r="AO18" s="30"/>
      <c r="AP18" s="39" t="s">
        <v>127</v>
      </c>
      <c r="AQ18" s="30" t="s">
        <v>94</v>
      </c>
    </row>
    <row r="19" spans="1:44" ht="15" hidden="1" customHeight="1" x14ac:dyDescent="0.25">
      <c r="A19" s="15">
        <v>0</v>
      </c>
      <c r="B19" s="37" t="s">
        <v>160</v>
      </c>
      <c r="C19" s="15" t="s">
        <v>54</v>
      </c>
      <c r="D19" s="15" t="s">
        <v>41</v>
      </c>
      <c r="E19" s="13">
        <v>3</v>
      </c>
      <c r="F19" s="13">
        <v>3</v>
      </c>
      <c r="G19" s="13">
        <v>3</v>
      </c>
      <c r="H19" s="13" t="s">
        <v>41</v>
      </c>
      <c r="I19" s="13" t="s">
        <v>41</v>
      </c>
      <c r="J19" s="13" t="s">
        <v>41</v>
      </c>
      <c r="K19" s="20"/>
      <c r="L19" s="20"/>
      <c r="M19" s="20"/>
      <c r="N19" s="20"/>
      <c r="O19" s="20"/>
      <c r="P19" s="13" t="s">
        <v>55</v>
      </c>
      <c r="Q19" s="15" t="s">
        <v>56</v>
      </c>
      <c r="R19" s="15"/>
      <c r="T19" s="15" t="s">
        <v>115</v>
      </c>
      <c r="U19" s="38" t="s">
        <v>59</v>
      </c>
      <c r="V19" s="38" t="s">
        <v>59</v>
      </c>
      <c r="W19" s="38" t="s">
        <v>59</v>
      </c>
      <c r="X19" s="38" t="s">
        <v>59</v>
      </c>
      <c r="Y19" s="38" t="s">
        <v>59</v>
      </c>
      <c r="Z19" s="13" t="s">
        <v>63</v>
      </c>
      <c r="AA19" s="13"/>
      <c r="AB19" s="15" t="s">
        <v>116</v>
      </c>
      <c r="AC19" s="26" t="s">
        <v>65</v>
      </c>
      <c r="AE19" s="27" t="s">
        <v>67</v>
      </c>
      <c r="AF19" s="27" t="s">
        <v>67</v>
      </c>
      <c r="AG19" t="s">
        <v>76</v>
      </c>
      <c r="AH19" t="s">
        <v>76</v>
      </c>
      <c r="AI19" s="18" t="s">
        <v>68</v>
      </c>
      <c r="AJ19" s="15" t="s">
        <v>76</v>
      </c>
      <c r="AK19" s="15" t="s">
        <v>129</v>
      </c>
      <c r="AL19" s="15" t="s">
        <v>130</v>
      </c>
      <c r="AM19" s="40" t="s">
        <v>131</v>
      </c>
      <c r="AN19" s="36" t="s">
        <v>113</v>
      </c>
      <c r="AO19" s="36"/>
      <c r="AP19" s="40" t="s">
        <v>132</v>
      </c>
      <c r="AQ19" s="36" t="s">
        <v>113</v>
      </c>
      <c r="AR19" s="15" t="s">
        <v>81</v>
      </c>
    </row>
    <row r="20" spans="1:44" ht="15" hidden="1" customHeight="1" x14ac:dyDescent="0.25">
      <c r="A20" s="15">
        <v>0</v>
      </c>
      <c r="B20" s="37" t="s">
        <v>161</v>
      </c>
      <c r="C20" s="15" t="s">
        <v>54</v>
      </c>
      <c r="D20" s="15" t="s">
        <v>41</v>
      </c>
      <c r="E20" s="13">
        <v>3</v>
      </c>
      <c r="F20" s="13">
        <v>3</v>
      </c>
      <c r="G20" s="13">
        <v>3</v>
      </c>
      <c r="H20" s="13" t="s">
        <v>41</v>
      </c>
      <c r="I20" s="13" t="s">
        <v>41</v>
      </c>
      <c r="J20" s="13" t="s">
        <v>41</v>
      </c>
      <c r="K20" s="20"/>
      <c r="L20" s="20"/>
      <c r="M20" s="20"/>
      <c r="N20" s="20"/>
      <c r="O20" s="20"/>
      <c r="P20" s="13" t="s">
        <v>55</v>
      </c>
      <c r="Q20" s="15" t="s">
        <v>56</v>
      </c>
      <c r="R20" s="15"/>
      <c r="T20" s="15" t="s">
        <v>115</v>
      </c>
      <c r="U20" s="38" t="s">
        <v>59</v>
      </c>
      <c r="V20" s="38" t="s">
        <v>59</v>
      </c>
      <c r="W20" s="38" t="s">
        <v>59</v>
      </c>
      <c r="X20" s="38" t="s">
        <v>59</v>
      </c>
      <c r="Y20" s="38" t="s">
        <v>59</v>
      </c>
      <c r="Z20" s="13" t="s">
        <v>63</v>
      </c>
      <c r="AA20" s="13"/>
      <c r="AB20" s="15" t="s">
        <v>116</v>
      </c>
      <c r="AC20" s="26" t="s">
        <v>65</v>
      </c>
      <c r="AE20" s="27" t="s">
        <v>67</v>
      </c>
      <c r="AF20" s="27" t="s">
        <v>67</v>
      </c>
      <c r="AG20" t="s">
        <v>76</v>
      </c>
      <c r="AH20" t="s">
        <v>76</v>
      </c>
      <c r="AI20" s="18" t="s">
        <v>68</v>
      </c>
      <c r="AJ20" s="15" t="s">
        <v>76</v>
      </c>
      <c r="AK20" s="15" t="s">
        <v>135</v>
      </c>
      <c r="AL20" s="15" t="s">
        <v>136</v>
      </c>
      <c r="AM20" s="39" t="s">
        <v>137</v>
      </c>
      <c r="AN20" s="36" t="s">
        <v>113</v>
      </c>
      <c r="AO20" s="36"/>
      <c r="AP20" s="39" t="s">
        <v>138</v>
      </c>
      <c r="AQ20" s="36" t="s">
        <v>113</v>
      </c>
    </row>
    <row r="21" spans="1:44" ht="15" hidden="1" customHeight="1" x14ac:dyDescent="0.25">
      <c r="A21" s="15">
        <v>0</v>
      </c>
      <c r="B21" s="37" t="s">
        <v>162</v>
      </c>
      <c r="C21" s="15" t="s">
        <v>54</v>
      </c>
      <c r="D21" s="15" t="s">
        <v>41</v>
      </c>
      <c r="E21" s="13">
        <v>3</v>
      </c>
      <c r="F21" s="13">
        <v>3</v>
      </c>
      <c r="G21" s="13">
        <v>3</v>
      </c>
      <c r="H21" s="13" t="s">
        <v>41</v>
      </c>
      <c r="I21" s="13" t="s">
        <v>41</v>
      </c>
      <c r="J21" s="13" t="s">
        <v>41</v>
      </c>
      <c r="K21" s="20"/>
      <c r="L21" s="20"/>
      <c r="M21" s="20"/>
      <c r="N21" s="20"/>
      <c r="O21" s="20"/>
      <c r="P21" s="13" t="s">
        <v>55</v>
      </c>
      <c r="Q21" s="15" t="s">
        <v>56</v>
      </c>
      <c r="R21" s="15"/>
      <c r="T21" s="15" t="s">
        <v>115</v>
      </c>
      <c r="U21" s="38" t="s">
        <v>59</v>
      </c>
      <c r="V21" s="38" t="s">
        <v>59</v>
      </c>
      <c r="W21" s="38" t="s">
        <v>59</v>
      </c>
      <c r="X21" s="38" t="s">
        <v>59</v>
      </c>
      <c r="Y21" s="38" t="s">
        <v>59</v>
      </c>
      <c r="Z21" s="13" t="s">
        <v>63</v>
      </c>
      <c r="AA21" s="13"/>
      <c r="AB21" s="15" t="s">
        <v>116</v>
      </c>
      <c r="AC21" s="26" t="s">
        <v>65</v>
      </c>
      <c r="AE21" s="27" t="s">
        <v>67</v>
      </c>
      <c r="AF21" s="27" t="s">
        <v>67</v>
      </c>
      <c r="AG21" t="s">
        <v>76</v>
      </c>
      <c r="AH21" t="s">
        <v>76</v>
      </c>
      <c r="AI21" s="18" t="s">
        <v>68</v>
      </c>
      <c r="AJ21" s="15" t="s">
        <v>76</v>
      </c>
      <c r="AK21" s="15" t="s">
        <v>140</v>
      </c>
      <c r="AL21" s="15" t="s">
        <v>141</v>
      </c>
      <c r="AM21" s="40" t="s">
        <v>142</v>
      </c>
      <c r="AN21" s="36" t="s">
        <v>113</v>
      </c>
      <c r="AO21" s="36"/>
      <c r="AP21" s="41" t="s">
        <v>143</v>
      </c>
      <c r="AQ21" s="36" t="s">
        <v>113</v>
      </c>
      <c r="AR21" s="15" t="s">
        <v>81</v>
      </c>
    </row>
    <row r="22" spans="1:44" ht="15" customHeight="1" x14ac:dyDescent="0.25">
      <c r="A22" s="15">
        <v>10</v>
      </c>
      <c r="B22" s="15" t="s">
        <v>719</v>
      </c>
      <c r="C22" s="15" t="s">
        <v>54</v>
      </c>
      <c r="D22" s="13" t="s">
        <v>41</v>
      </c>
      <c r="E22" s="13">
        <v>2</v>
      </c>
      <c r="F22" s="13">
        <v>2</v>
      </c>
      <c r="G22" s="13">
        <v>2</v>
      </c>
      <c r="H22" s="13" t="s">
        <v>42</v>
      </c>
      <c r="I22" s="13" t="s">
        <v>42</v>
      </c>
      <c r="J22" s="13" t="s">
        <v>42</v>
      </c>
      <c r="K22" s="20"/>
      <c r="L22" s="20"/>
      <c r="M22" s="20"/>
      <c r="N22" s="20"/>
      <c r="O22" s="20"/>
      <c r="P22" s="13" t="s">
        <v>55</v>
      </c>
      <c r="Q22" s="13" t="s">
        <v>56</v>
      </c>
      <c r="R22" s="103" t="s">
        <v>966</v>
      </c>
      <c r="S22" s="15" t="s">
        <v>175</v>
      </c>
      <c r="T22" s="38">
        <v>27.05</v>
      </c>
      <c r="U22" s="33" t="s">
        <v>175</v>
      </c>
      <c r="V22" s="31" t="s">
        <v>59</v>
      </c>
      <c r="W22" s="25" t="s">
        <v>720</v>
      </c>
      <c r="X22" s="25" t="s">
        <v>721</v>
      </c>
      <c r="Y22" s="15" t="s">
        <v>722</v>
      </c>
      <c r="Z22" s="13" t="s">
        <v>884</v>
      </c>
      <c r="AA22" s="108" t="s">
        <v>975</v>
      </c>
      <c r="AB22" s="17" t="s">
        <v>723</v>
      </c>
      <c r="AC22" s="113" t="s">
        <v>437</v>
      </c>
      <c r="AD22" s="15" t="s">
        <v>59</v>
      </c>
      <c r="AE22" s="114" t="s">
        <v>67</v>
      </c>
      <c r="AF22" s="114" t="s">
        <v>67</v>
      </c>
      <c r="AG22" t="s">
        <v>1021</v>
      </c>
      <c r="AH22" t="s">
        <v>1021</v>
      </c>
      <c r="AI22" s="18" t="s">
        <v>68</v>
      </c>
      <c r="AJ22" s="15" t="s">
        <v>724</v>
      </c>
      <c r="AK22" s="15" t="s">
        <v>725</v>
      </c>
      <c r="AL22" s="28" t="s">
        <v>298</v>
      </c>
      <c r="AM22" s="29" t="s">
        <v>726</v>
      </c>
      <c r="AN22" s="13" t="s">
        <v>94</v>
      </c>
      <c r="AO22" s="30" t="s">
        <v>1201</v>
      </c>
      <c r="AP22" s="28" t="s">
        <v>727</v>
      </c>
      <c r="AQ22" s="30" t="s">
        <v>94</v>
      </c>
    </row>
    <row r="23" spans="1:44" ht="15" hidden="1" customHeight="1" x14ac:dyDescent="0.25">
      <c r="A23" s="15">
        <v>0</v>
      </c>
      <c r="B23" s="15" t="s">
        <v>172</v>
      </c>
      <c r="C23" s="15" t="s">
        <v>128</v>
      </c>
      <c r="D23" s="15" t="s">
        <v>40</v>
      </c>
      <c r="E23" s="13">
        <v>4</v>
      </c>
      <c r="F23" s="13">
        <v>4</v>
      </c>
      <c r="G23" s="13">
        <v>4</v>
      </c>
      <c r="H23" s="13" t="s">
        <v>40</v>
      </c>
      <c r="I23" s="13" t="s">
        <v>40</v>
      </c>
      <c r="J23" s="13" t="s">
        <v>40</v>
      </c>
      <c r="K23" s="20"/>
      <c r="L23" s="20"/>
      <c r="M23" s="20"/>
      <c r="N23" s="20"/>
      <c r="O23" s="20"/>
      <c r="P23" s="13" t="s">
        <v>84</v>
      </c>
      <c r="Q23" s="15" t="s">
        <v>56</v>
      </c>
      <c r="R23" s="15"/>
      <c r="T23" s="15" t="s">
        <v>76</v>
      </c>
      <c r="U23" s="31" t="s">
        <v>59</v>
      </c>
      <c r="V23" s="38" t="s">
        <v>59</v>
      </c>
      <c r="W23" s="15" t="s">
        <v>76</v>
      </c>
      <c r="X23" s="15" t="s">
        <v>59</v>
      </c>
      <c r="Y23" s="15" t="s">
        <v>59</v>
      </c>
      <c r="Z23" s="13" t="s">
        <v>63</v>
      </c>
      <c r="AA23" s="13"/>
      <c r="AB23" s="17" t="s">
        <v>76</v>
      </c>
      <c r="AC23" s="26" t="s">
        <v>65</v>
      </c>
      <c r="AD23" s="15" t="s">
        <v>59</v>
      </c>
      <c r="AE23" s="27" t="s">
        <v>67</v>
      </c>
      <c r="AF23" s="27" t="s">
        <v>67</v>
      </c>
      <c r="AG23" t="s">
        <v>109</v>
      </c>
      <c r="AH23" t="s">
        <v>109</v>
      </c>
      <c r="AI23" s="18" t="s">
        <v>68</v>
      </c>
      <c r="AJ23" s="15" t="s">
        <v>109</v>
      </c>
      <c r="AK23" s="15" t="s">
        <v>168</v>
      </c>
      <c r="AL23" s="28" t="s">
        <v>169</v>
      </c>
      <c r="AM23" s="29" t="s">
        <v>170</v>
      </c>
      <c r="AN23" s="30" t="s">
        <v>94</v>
      </c>
      <c r="AO23" s="30"/>
      <c r="AP23" s="28" t="s">
        <v>171</v>
      </c>
      <c r="AQ23" s="30" t="s">
        <v>94</v>
      </c>
    </row>
    <row r="24" spans="1:44" ht="15" customHeight="1" x14ac:dyDescent="0.25">
      <c r="A24" s="15">
        <v>1</v>
      </c>
      <c r="B24" s="15" t="s">
        <v>564</v>
      </c>
      <c r="C24" s="15" t="s">
        <v>227</v>
      </c>
      <c r="D24" s="13" t="s">
        <v>42</v>
      </c>
      <c r="E24" s="13">
        <v>1</v>
      </c>
      <c r="F24" s="13">
        <v>1</v>
      </c>
      <c r="G24" s="13">
        <v>1</v>
      </c>
      <c r="H24" s="13" t="s">
        <v>43</v>
      </c>
      <c r="I24" s="13" t="s">
        <v>43</v>
      </c>
      <c r="J24" s="13" t="s">
        <v>43</v>
      </c>
      <c r="K24" s="20"/>
      <c r="L24" s="20"/>
      <c r="M24" s="20"/>
      <c r="N24" s="20"/>
      <c r="O24" s="20"/>
      <c r="P24" s="13" t="s">
        <v>55</v>
      </c>
      <c r="Q24" s="13" t="s">
        <v>56</v>
      </c>
      <c r="R24" s="105" t="s">
        <v>961</v>
      </c>
      <c r="S24" s="15" t="s">
        <v>175</v>
      </c>
      <c r="T24" s="38">
        <v>45.6</v>
      </c>
      <c r="U24" s="33" t="s">
        <v>175</v>
      </c>
      <c r="V24" s="78" t="s">
        <v>68</v>
      </c>
      <c r="W24" s="25" t="s">
        <v>565</v>
      </c>
      <c r="X24" s="52" t="s">
        <v>566</v>
      </c>
      <c r="Y24" s="46" t="s">
        <v>567</v>
      </c>
      <c r="Z24" s="13" t="s">
        <v>219</v>
      </c>
      <c r="AA24" s="108" t="s">
        <v>1249</v>
      </c>
      <c r="AB24" s="17" t="s">
        <v>568</v>
      </c>
      <c r="AC24" s="113" t="s">
        <v>437</v>
      </c>
      <c r="AD24" s="15" t="s">
        <v>59</v>
      </c>
      <c r="AE24" s="114" t="s">
        <v>67</v>
      </c>
      <c r="AF24" s="114" t="s">
        <v>67</v>
      </c>
      <c r="AG24" s="112" t="s">
        <v>1013</v>
      </c>
      <c r="AH24" s="112" t="s">
        <v>1031</v>
      </c>
      <c r="AI24" s="79" t="s">
        <v>569</v>
      </c>
      <c r="AJ24" s="44" t="s">
        <v>570</v>
      </c>
      <c r="AK24" s="15" t="s">
        <v>571</v>
      </c>
      <c r="AL24" s="28" t="s">
        <v>572</v>
      </c>
      <c r="AM24" s="29" t="s">
        <v>573</v>
      </c>
      <c r="AN24" s="13" t="s">
        <v>73</v>
      </c>
      <c r="AO24" s="111" t="s">
        <v>573</v>
      </c>
      <c r="AP24" s="28" t="s">
        <v>574</v>
      </c>
      <c r="AQ24" s="30" t="s">
        <v>73</v>
      </c>
    </row>
    <row r="25" spans="1:44" ht="15" hidden="1" customHeight="1" x14ac:dyDescent="0.25">
      <c r="A25" s="15">
        <v>0</v>
      </c>
      <c r="B25" s="15" t="s">
        <v>186</v>
      </c>
      <c r="C25" s="15" t="s">
        <v>128</v>
      </c>
      <c r="D25" s="15" t="s">
        <v>40</v>
      </c>
      <c r="E25" s="13">
        <v>3</v>
      </c>
      <c r="F25" s="13">
        <v>4</v>
      </c>
      <c r="G25" s="13">
        <v>3</v>
      </c>
      <c r="H25" s="13" t="s">
        <v>41</v>
      </c>
      <c r="I25" s="13" t="s">
        <v>40</v>
      </c>
      <c r="J25" s="13" t="s">
        <v>41</v>
      </c>
      <c r="K25" s="20"/>
      <c r="L25" s="20"/>
      <c r="M25" s="20"/>
      <c r="N25" s="20"/>
      <c r="O25" s="20"/>
      <c r="P25" s="13" t="s">
        <v>84</v>
      </c>
      <c r="Q25" s="15" t="s">
        <v>174</v>
      </c>
      <c r="R25" s="15"/>
      <c r="T25" s="15" t="s">
        <v>76</v>
      </c>
      <c r="U25" s="31" t="s">
        <v>59</v>
      </c>
      <c r="V25" s="38" t="s">
        <v>59</v>
      </c>
      <c r="W25" s="15" t="s">
        <v>76</v>
      </c>
      <c r="X25" s="15" t="s">
        <v>59</v>
      </c>
      <c r="Y25" s="15" t="s">
        <v>59</v>
      </c>
      <c r="Z25" s="13" t="s">
        <v>63</v>
      </c>
      <c r="AA25" s="13"/>
      <c r="AB25" s="17" t="s">
        <v>187</v>
      </c>
      <c r="AC25" s="26" t="s">
        <v>65</v>
      </c>
      <c r="AD25" s="15" t="s">
        <v>180</v>
      </c>
      <c r="AE25" s="27" t="s">
        <v>67</v>
      </c>
      <c r="AF25" s="27" t="s">
        <v>67</v>
      </c>
      <c r="AG25" t="s">
        <v>181</v>
      </c>
      <c r="AH25" t="s">
        <v>181</v>
      </c>
      <c r="AI25" s="18" t="s">
        <v>68</v>
      </c>
      <c r="AJ25" s="15" t="s">
        <v>181</v>
      </c>
      <c r="AK25" s="15" t="s">
        <v>182</v>
      </c>
      <c r="AL25" s="15" t="s">
        <v>183</v>
      </c>
      <c r="AM25" s="29" t="s">
        <v>184</v>
      </c>
      <c r="AN25" s="36" t="s">
        <v>113</v>
      </c>
      <c r="AO25" s="36"/>
      <c r="AP25" s="28" t="s">
        <v>185</v>
      </c>
      <c r="AQ25" s="30" t="s">
        <v>113</v>
      </c>
    </row>
    <row r="26" spans="1:44" ht="15" customHeight="1" x14ac:dyDescent="0.25">
      <c r="A26" s="15">
        <v>10</v>
      </c>
      <c r="B26" s="15" t="s">
        <v>728</v>
      </c>
      <c r="C26" s="15" t="s">
        <v>54</v>
      </c>
      <c r="D26" s="13" t="s">
        <v>41</v>
      </c>
      <c r="E26" s="13">
        <v>2</v>
      </c>
      <c r="F26" s="13">
        <v>2</v>
      </c>
      <c r="G26" s="13">
        <v>2</v>
      </c>
      <c r="H26" s="13" t="s">
        <v>42</v>
      </c>
      <c r="I26" s="13" t="s">
        <v>42</v>
      </c>
      <c r="J26" s="13" t="s">
        <v>42</v>
      </c>
      <c r="K26" s="20"/>
      <c r="L26" s="20"/>
      <c r="M26" s="20"/>
      <c r="N26" s="20"/>
      <c r="O26" s="20"/>
      <c r="P26" s="13" t="s">
        <v>55</v>
      </c>
      <c r="Q26" s="13" t="s">
        <v>56</v>
      </c>
      <c r="R26" s="103" t="s">
        <v>944</v>
      </c>
      <c r="S26" s="15" t="s">
        <v>175</v>
      </c>
      <c r="T26" s="38">
        <v>11.4</v>
      </c>
      <c r="U26" s="33" t="s">
        <v>175</v>
      </c>
      <c r="V26" s="31" t="s">
        <v>59</v>
      </c>
      <c r="W26" s="25" t="s">
        <v>729</v>
      </c>
      <c r="X26" s="25" t="s">
        <v>721</v>
      </c>
      <c r="Y26" s="25" t="s">
        <v>730</v>
      </c>
      <c r="Z26" s="13" t="s">
        <v>63</v>
      </c>
      <c r="AA26" s="108" t="s">
        <v>1238</v>
      </c>
      <c r="AB26" s="17" t="s">
        <v>731</v>
      </c>
      <c r="AC26" s="113" t="s">
        <v>437</v>
      </c>
      <c r="AD26" s="15" t="s">
        <v>59</v>
      </c>
      <c r="AE26" s="114" t="s">
        <v>67</v>
      </c>
      <c r="AF26" s="114" t="s">
        <v>67</v>
      </c>
      <c r="AG26" t="s">
        <v>1021</v>
      </c>
      <c r="AH26" t="s">
        <v>1021</v>
      </c>
      <c r="AI26" s="18" t="s">
        <v>68</v>
      </c>
      <c r="AJ26" s="15" t="s">
        <v>732</v>
      </c>
      <c r="AK26" s="15" t="s">
        <v>733</v>
      </c>
      <c r="AL26" s="28" t="s">
        <v>734</v>
      </c>
      <c r="AM26" s="29" t="s">
        <v>735</v>
      </c>
      <c r="AN26" s="13" t="s">
        <v>113</v>
      </c>
      <c r="AO26" s="111" t="s">
        <v>991</v>
      </c>
      <c r="AP26" s="28" t="s">
        <v>736</v>
      </c>
      <c r="AQ26" s="30" t="s">
        <v>113</v>
      </c>
    </row>
    <row r="27" spans="1:44" ht="15" hidden="1" customHeight="1" x14ac:dyDescent="0.25">
      <c r="A27" s="15">
        <v>0</v>
      </c>
      <c r="B27" s="15" t="s">
        <v>197</v>
      </c>
      <c r="C27" s="15" t="s">
        <v>128</v>
      </c>
      <c r="D27" s="15" t="s">
        <v>40</v>
      </c>
      <c r="E27" s="13">
        <v>3</v>
      </c>
      <c r="F27" s="13">
        <v>4</v>
      </c>
      <c r="G27" s="13">
        <v>3</v>
      </c>
      <c r="H27" s="13" t="s">
        <v>41</v>
      </c>
      <c r="I27" s="13" t="s">
        <v>40</v>
      </c>
      <c r="J27" s="13" t="s">
        <v>41</v>
      </c>
      <c r="K27" s="20"/>
      <c r="L27" s="20"/>
      <c r="M27" s="20"/>
      <c r="N27" s="20"/>
      <c r="O27" s="20"/>
      <c r="P27" s="13" t="s">
        <v>55</v>
      </c>
      <c r="Q27" s="15" t="s">
        <v>56</v>
      </c>
      <c r="R27" s="15"/>
      <c r="T27" s="15" t="s">
        <v>76</v>
      </c>
      <c r="U27" s="38" t="s">
        <v>59</v>
      </c>
      <c r="V27" s="38" t="s">
        <v>59</v>
      </c>
      <c r="W27" s="15" t="s">
        <v>76</v>
      </c>
      <c r="X27" s="15" t="s">
        <v>59</v>
      </c>
      <c r="Y27" s="15" t="s">
        <v>59</v>
      </c>
      <c r="Z27" s="13" t="s">
        <v>63</v>
      </c>
      <c r="AA27" s="13"/>
      <c r="AB27" s="17" t="s">
        <v>193</v>
      </c>
      <c r="AC27" s="26" t="s">
        <v>65</v>
      </c>
      <c r="AD27" s="15" t="s">
        <v>180</v>
      </c>
      <c r="AE27" s="27" t="s">
        <v>67</v>
      </c>
      <c r="AF27" s="27" t="s">
        <v>67</v>
      </c>
      <c r="AG27" t="s">
        <v>181</v>
      </c>
      <c r="AH27" t="s">
        <v>181</v>
      </c>
      <c r="AI27" s="18" t="s">
        <v>68</v>
      </c>
      <c r="AJ27" s="15" t="s">
        <v>181</v>
      </c>
      <c r="AK27" s="15" t="s">
        <v>198</v>
      </c>
      <c r="AL27" s="15" t="s">
        <v>199</v>
      </c>
      <c r="AM27" s="43" t="s">
        <v>200</v>
      </c>
      <c r="AN27" s="36" t="s">
        <v>113</v>
      </c>
      <c r="AO27" s="36"/>
      <c r="AP27" s="43" t="s">
        <v>201</v>
      </c>
      <c r="AQ27" s="30" t="s">
        <v>113</v>
      </c>
      <c r="AR27" s="15" t="s">
        <v>202</v>
      </c>
    </row>
    <row r="28" spans="1:44" ht="15" customHeight="1" x14ac:dyDescent="0.25">
      <c r="A28" s="15">
        <v>10</v>
      </c>
      <c r="B28" s="15" t="s">
        <v>583</v>
      </c>
      <c r="C28" s="15" t="s">
        <v>359</v>
      </c>
      <c r="D28" s="13" t="s">
        <v>42</v>
      </c>
      <c r="E28" s="13">
        <v>1</v>
      </c>
      <c r="F28" s="13">
        <v>1</v>
      </c>
      <c r="G28" s="13">
        <v>1</v>
      </c>
      <c r="H28" s="13" t="s">
        <v>43</v>
      </c>
      <c r="I28" s="13" t="s">
        <v>43</v>
      </c>
      <c r="J28" s="13" t="s">
        <v>43</v>
      </c>
      <c r="K28" s="20"/>
      <c r="L28" s="20"/>
      <c r="M28" s="20"/>
      <c r="N28" s="20"/>
      <c r="O28" s="20"/>
      <c r="P28" s="13" t="s">
        <v>55</v>
      </c>
      <c r="Q28" s="13" t="s">
        <v>174</v>
      </c>
      <c r="R28" s="103" t="s">
        <v>959</v>
      </c>
      <c r="S28" s="15" t="s">
        <v>175</v>
      </c>
      <c r="T28" s="31">
        <v>363</v>
      </c>
      <c r="U28" s="17" t="s">
        <v>175</v>
      </c>
      <c r="V28" s="31" t="s">
        <v>68</v>
      </c>
      <c r="W28" s="25" t="s">
        <v>584</v>
      </c>
      <c r="X28" s="52" t="s">
        <v>585</v>
      </c>
      <c r="Y28" s="15" t="s">
        <v>586</v>
      </c>
      <c r="Z28" s="13" t="s">
        <v>1053</v>
      </c>
      <c r="AA28" s="108" t="s">
        <v>1172</v>
      </c>
      <c r="AB28" s="17" t="s">
        <v>587</v>
      </c>
      <c r="AC28" s="113" t="s">
        <v>437</v>
      </c>
      <c r="AD28" s="15" t="s">
        <v>59</v>
      </c>
      <c r="AE28" s="114" t="s">
        <v>67</v>
      </c>
      <c r="AF28" s="114" t="s">
        <v>67</v>
      </c>
      <c r="AG28" t="s">
        <v>1012</v>
      </c>
      <c r="AH28" t="s">
        <v>1012</v>
      </c>
      <c r="AI28" s="18" t="s">
        <v>588</v>
      </c>
      <c r="AJ28" s="15" t="s">
        <v>589</v>
      </c>
      <c r="AK28" s="15" t="s">
        <v>590</v>
      </c>
      <c r="AL28" s="15" t="s">
        <v>591</v>
      </c>
      <c r="AM28" s="29" t="s">
        <v>592</v>
      </c>
      <c r="AN28" s="13" t="s">
        <v>73</v>
      </c>
      <c r="AO28" s="111" t="s">
        <v>1169</v>
      </c>
      <c r="AP28" s="64" t="s">
        <v>593</v>
      </c>
      <c r="AQ28" s="30" t="s">
        <v>73</v>
      </c>
      <c r="AR28" s="15" t="s">
        <v>541</v>
      </c>
    </row>
    <row r="29" spans="1:44" ht="15" hidden="1" customHeight="1" x14ac:dyDescent="0.25">
      <c r="A29" s="15">
        <v>0</v>
      </c>
      <c r="B29" s="15" t="s">
        <v>214</v>
      </c>
      <c r="C29" s="15" t="s">
        <v>103</v>
      </c>
      <c r="D29" s="15" t="s">
        <v>39</v>
      </c>
      <c r="E29" s="13">
        <v>5</v>
      </c>
      <c r="F29" s="13">
        <v>5</v>
      </c>
      <c r="G29" s="13">
        <v>5</v>
      </c>
      <c r="H29" s="13" t="s">
        <v>39</v>
      </c>
      <c r="I29" s="13" t="s">
        <v>39</v>
      </c>
      <c r="J29" s="13" t="s">
        <v>39</v>
      </c>
      <c r="K29" s="20"/>
      <c r="L29" s="20"/>
      <c r="M29" s="20"/>
      <c r="N29" s="20"/>
      <c r="O29" s="20"/>
      <c r="P29" s="13" t="s">
        <v>55</v>
      </c>
      <c r="Q29" s="15" t="s">
        <v>174</v>
      </c>
      <c r="R29" s="15"/>
      <c r="T29" s="15" t="s">
        <v>76</v>
      </c>
      <c r="U29" s="38" t="s">
        <v>59</v>
      </c>
      <c r="V29" s="38" t="s">
        <v>59</v>
      </c>
      <c r="W29" s="15" t="s">
        <v>76</v>
      </c>
      <c r="X29" s="15" t="s">
        <v>59</v>
      </c>
      <c r="Y29" s="15" t="s">
        <v>59</v>
      </c>
      <c r="Z29" s="13" t="s">
        <v>63</v>
      </c>
      <c r="AA29" s="13"/>
      <c r="AB29" s="19" t="s">
        <v>76</v>
      </c>
      <c r="AC29" s="26" t="s">
        <v>65</v>
      </c>
      <c r="AD29" s="15" t="s">
        <v>59</v>
      </c>
      <c r="AE29" s="27" t="s">
        <v>67</v>
      </c>
      <c r="AF29" s="27" t="s">
        <v>67</v>
      </c>
      <c r="AG29" t="s">
        <v>209</v>
      </c>
      <c r="AH29" t="s">
        <v>209</v>
      </c>
      <c r="AI29" s="18" t="s">
        <v>208</v>
      </c>
      <c r="AJ29" s="15" t="s">
        <v>209</v>
      </c>
      <c r="AK29" s="15" t="s">
        <v>210</v>
      </c>
      <c r="AL29" s="15" t="s">
        <v>215</v>
      </c>
      <c r="AM29" s="29" t="s">
        <v>212</v>
      </c>
      <c r="AN29" s="30" t="s">
        <v>94</v>
      </c>
      <c r="AO29" s="30"/>
      <c r="AP29" s="28" t="s">
        <v>213</v>
      </c>
      <c r="AQ29" s="30" t="s">
        <v>94</v>
      </c>
    </row>
    <row r="30" spans="1:44" ht="15" customHeight="1" x14ac:dyDescent="0.25">
      <c r="A30" s="15">
        <v>10</v>
      </c>
      <c r="B30" s="15" t="s">
        <v>769</v>
      </c>
      <c r="C30" s="15" t="s">
        <v>227</v>
      </c>
      <c r="D30" s="13" t="s">
        <v>42</v>
      </c>
      <c r="E30" s="13">
        <v>1</v>
      </c>
      <c r="F30" s="13">
        <v>1</v>
      </c>
      <c r="G30" s="13">
        <v>1</v>
      </c>
      <c r="H30" s="13" t="s">
        <v>43</v>
      </c>
      <c r="I30" s="13" t="s">
        <v>43</v>
      </c>
      <c r="J30" s="13" t="s">
        <v>43</v>
      </c>
      <c r="K30" s="20"/>
      <c r="L30" s="20"/>
      <c r="M30" s="20"/>
      <c r="N30" s="20"/>
      <c r="O30" s="20"/>
      <c r="P30" s="13" t="s">
        <v>55</v>
      </c>
      <c r="Q30" s="13" t="s">
        <v>56</v>
      </c>
      <c r="R30" s="103" t="s">
        <v>944</v>
      </c>
      <c r="S30" s="15" t="s">
        <v>175</v>
      </c>
      <c r="T30" s="15" t="s">
        <v>758</v>
      </c>
      <c r="U30" s="33" t="s">
        <v>59</v>
      </c>
      <c r="V30" s="31" t="s">
        <v>59</v>
      </c>
      <c r="W30" s="25" t="s">
        <v>759</v>
      </c>
      <c r="X30" s="25" t="s">
        <v>59</v>
      </c>
      <c r="Y30" s="25" t="s">
        <v>59</v>
      </c>
      <c r="Z30" s="13" t="s">
        <v>884</v>
      </c>
      <c r="AA30" s="108" t="s">
        <v>977</v>
      </c>
      <c r="AB30" s="17" t="s">
        <v>723</v>
      </c>
      <c r="AC30" s="113" t="s">
        <v>437</v>
      </c>
      <c r="AD30" s="15" t="s">
        <v>59</v>
      </c>
      <c r="AE30" s="114" t="s">
        <v>67</v>
      </c>
      <c r="AF30" s="114" t="s">
        <v>67</v>
      </c>
      <c r="AG30" t="s">
        <v>1021</v>
      </c>
      <c r="AH30" t="s">
        <v>1021</v>
      </c>
      <c r="AI30" s="18" t="s">
        <v>68</v>
      </c>
      <c r="AJ30" s="15" t="s">
        <v>770</v>
      </c>
      <c r="AK30" s="15" t="s">
        <v>771</v>
      </c>
      <c r="AL30" s="15" t="s">
        <v>772</v>
      </c>
      <c r="AM30" s="29" t="s">
        <v>1060</v>
      </c>
      <c r="AN30" s="13" t="s">
        <v>113</v>
      </c>
      <c r="AO30" s="111" t="s">
        <v>1203</v>
      </c>
      <c r="AP30" s="28" t="s">
        <v>773</v>
      </c>
      <c r="AQ30" s="30" t="s">
        <v>113</v>
      </c>
    </row>
    <row r="31" spans="1:44" ht="15" customHeight="1" x14ac:dyDescent="0.25">
      <c r="A31" s="15">
        <v>1</v>
      </c>
      <c r="B31" s="15" t="s">
        <v>82</v>
      </c>
      <c r="C31" s="15" t="s">
        <v>83</v>
      </c>
      <c r="D31" s="13" t="s">
        <v>40</v>
      </c>
      <c r="E31" s="13">
        <v>3</v>
      </c>
      <c r="F31" s="13">
        <v>4</v>
      </c>
      <c r="G31" s="13">
        <v>3</v>
      </c>
      <c r="H31" s="13" t="s">
        <v>41</v>
      </c>
      <c r="I31" s="13" t="s">
        <v>40</v>
      </c>
      <c r="J31" s="13" t="s">
        <v>41</v>
      </c>
      <c r="K31" s="20"/>
      <c r="L31" s="20"/>
      <c r="M31" s="20"/>
      <c r="N31" s="20"/>
      <c r="O31" s="20"/>
      <c r="P31" s="13" t="s">
        <v>84</v>
      </c>
      <c r="Q31" s="13" t="s">
        <v>56</v>
      </c>
      <c r="R31" s="103" t="s">
        <v>938</v>
      </c>
      <c r="T31" s="25" t="s">
        <v>85</v>
      </c>
      <c r="U31" s="33" t="s">
        <v>59</v>
      </c>
      <c r="V31" s="34" t="s">
        <v>59</v>
      </c>
      <c r="W31" s="25" t="s">
        <v>85</v>
      </c>
      <c r="X31" s="25" t="s">
        <v>59</v>
      </c>
      <c r="Y31" s="25" t="s">
        <v>59</v>
      </c>
      <c r="Z31" s="13" t="s">
        <v>884</v>
      </c>
      <c r="AA31" s="108" t="s">
        <v>1239</v>
      </c>
      <c r="AB31" s="13" t="s">
        <v>86</v>
      </c>
      <c r="AC31" s="113" t="s">
        <v>87</v>
      </c>
      <c r="AD31" s="15" t="s">
        <v>88</v>
      </c>
      <c r="AE31" s="114" t="s">
        <v>67</v>
      </c>
      <c r="AF31" s="114" t="s">
        <v>67</v>
      </c>
      <c r="AG31" t="s">
        <v>90</v>
      </c>
      <c r="AH31" t="s">
        <v>90</v>
      </c>
      <c r="AI31" s="18" t="s">
        <v>89</v>
      </c>
      <c r="AJ31" s="15" t="s">
        <v>90</v>
      </c>
      <c r="AK31" s="15" t="s">
        <v>91</v>
      </c>
      <c r="AL31" s="15" t="s">
        <v>92</v>
      </c>
      <c r="AM31" s="29" t="s">
        <v>93</v>
      </c>
      <c r="AN31" s="13" t="s">
        <v>94</v>
      </c>
      <c r="AO31" s="111" t="s">
        <v>93</v>
      </c>
      <c r="AP31" s="28" t="s">
        <v>95</v>
      </c>
      <c r="AQ31" s="30" t="s">
        <v>73</v>
      </c>
    </row>
    <row r="32" spans="1:44" ht="15" customHeight="1" x14ac:dyDescent="0.25">
      <c r="A32" s="15">
        <v>10</v>
      </c>
      <c r="B32" s="47" t="s">
        <v>1050</v>
      </c>
      <c r="C32" s="15" t="s">
        <v>359</v>
      </c>
      <c r="D32" s="13" t="s">
        <v>42</v>
      </c>
      <c r="E32" s="13">
        <v>1</v>
      </c>
      <c r="F32" s="13">
        <v>1</v>
      </c>
      <c r="G32" s="13">
        <v>1</v>
      </c>
      <c r="H32" s="13" t="s">
        <v>43</v>
      </c>
      <c r="I32" s="13" t="s">
        <v>43</v>
      </c>
      <c r="J32" s="13" t="s">
        <v>43</v>
      </c>
      <c r="K32" s="20"/>
      <c r="L32" s="20"/>
      <c r="M32" s="20"/>
      <c r="N32" s="20"/>
      <c r="O32" s="20"/>
      <c r="P32" s="13" t="s">
        <v>55</v>
      </c>
      <c r="Q32" s="13" t="s">
        <v>56</v>
      </c>
      <c r="R32" s="103" t="s">
        <v>963</v>
      </c>
      <c r="S32" s="15" t="s">
        <v>175</v>
      </c>
      <c r="T32" s="38">
        <v>4.84</v>
      </c>
      <c r="U32" s="33" t="s">
        <v>175</v>
      </c>
      <c r="V32" s="31" t="s">
        <v>68</v>
      </c>
      <c r="W32" s="83" t="s">
        <v>623</v>
      </c>
      <c r="X32" s="25" t="s">
        <v>624</v>
      </c>
      <c r="Y32" s="15" t="s">
        <v>625</v>
      </c>
      <c r="Z32" s="13" t="s">
        <v>884</v>
      </c>
      <c r="AA32" s="108" t="s">
        <v>1240</v>
      </c>
      <c r="AB32" s="12" t="s">
        <v>626</v>
      </c>
      <c r="AC32" s="113" t="s">
        <v>87</v>
      </c>
      <c r="AD32" s="15" t="s">
        <v>59</v>
      </c>
      <c r="AE32" s="114" t="s">
        <v>67</v>
      </c>
      <c r="AF32" s="114" t="s">
        <v>67</v>
      </c>
      <c r="AG32" t="s">
        <v>1021</v>
      </c>
      <c r="AH32" t="s">
        <v>1021</v>
      </c>
      <c r="AI32" s="18" t="s">
        <v>68</v>
      </c>
      <c r="AJ32" s="23" t="s">
        <v>627</v>
      </c>
      <c r="AK32" s="15" t="s">
        <v>628</v>
      </c>
      <c r="AL32" s="15" t="s">
        <v>629</v>
      </c>
      <c r="AM32" s="29" t="s">
        <v>630</v>
      </c>
      <c r="AN32" s="13" t="s">
        <v>73</v>
      </c>
      <c r="AO32" s="111" t="s">
        <v>1179</v>
      </c>
      <c r="AP32" s="64" t="s">
        <v>631</v>
      </c>
      <c r="AQ32" s="30" t="s">
        <v>94</v>
      </c>
      <c r="AR32" s="15" t="s">
        <v>632</v>
      </c>
    </row>
    <row r="33" spans="1:44" ht="15" customHeight="1" x14ac:dyDescent="0.25">
      <c r="A33" s="15">
        <v>10</v>
      </c>
      <c r="B33" s="15" t="s">
        <v>226</v>
      </c>
      <c r="C33" s="15" t="s">
        <v>227</v>
      </c>
      <c r="D33" s="13" t="s">
        <v>42</v>
      </c>
      <c r="E33" s="13">
        <v>1</v>
      </c>
      <c r="F33" s="13">
        <v>2</v>
      </c>
      <c r="G33" s="13">
        <v>1</v>
      </c>
      <c r="H33" s="13" t="s">
        <v>43</v>
      </c>
      <c r="I33" s="13" t="s">
        <v>42</v>
      </c>
      <c r="J33" s="13" t="s">
        <v>43</v>
      </c>
      <c r="K33" s="20"/>
      <c r="L33" s="20"/>
      <c r="M33" s="20"/>
      <c r="N33" s="20"/>
      <c r="O33" s="20"/>
      <c r="P33" s="13" t="s">
        <v>55</v>
      </c>
      <c r="Q33" s="13" t="s">
        <v>56</v>
      </c>
      <c r="R33" s="103" t="s">
        <v>944</v>
      </c>
      <c r="T33" s="38">
        <v>11.02</v>
      </c>
      <c r="U33" s="33" t="s">
        <v>58</v>
      </c>
      <c r="V33" s="33" t="s">
        <v>59</v>
      </c>
      <c r="W33" s="25" t="s">
        <v>228</v>
      </c>
      <c r="X33" s="25" t="s">
        <v>59</v>
      </c>
      <c r="Y33" s="25" t="s">
        <v>59</v>
      </c>
      <c r="Z33" s="13" t="s">
        <v>63</v>
      </c>
      <c r="AA33" s="108" t="s">
        <v>1241</v>
      </c>
      <c r="AB33" s="46" t="s">
        <v>229</v>
      </c>
      <c r="AC33" s="113" t="s">
        <v>65</v>
      </c>
      <c r="AD33" s="15" t="s">
        <v>59</v>
      </c>
      <c r="AE33" s="114" t="s">
        <v>67</v>
      </c>
      <c r="AF33" s="114" t="s">
        <v>67</v>
      </c>
      <c r="AG33" t="s">
        <v>999</v>
      </c>
      <c r="AH33" t="s">
        <v>999</v>
      </c>
      <c r="AI33" s="18" t="s">
        <v>68</v>
      </c>
      <c r="AJ33" s="15" t="s">
        <v>230</v>
      </c>
      <c r="AK33" s="15" t="s">
        <v>231</v>
      </c>
      <c r="AL33" s="15" t="s">
        <v>223</v>
      </c>
      <c r="AM33" s="29" t="s">
        <v>232</v>
      </c>
      <c r="AN33" s="13" t="s">
        <v>94</v>
      </c>
      <c r="AO33" s="111" t="s">
        <v>232</v>
      </c>
      <c r="AP33" s="43" t="s">
        <v>233</v>
      </c>
      <c r="AQ33" s="30" t="s">
        <v>73</v>
      </c>
      <c r="AR33" s="15" t="s">
        <v>234</v>
      </c>
    </row>
    <row r="34" spans="1:44" ht="15" customHeight="1" x14ac:dyDescent="0.25">
      <c r="A34" s="15">
        <v>1</v>
      </c>
      <c r="B34" s="15" t="s">
        <v>798</v>
      </c>
      <c r="C34" s="15" t="s">
        <v>54</v>
      </c>
      <c r="D34" s="13" t="s">
        <v>41</v>
      </c>
      <c r="E34" s="13">
        <v>2</v>
      </c>
      <c r="F34" s="13">
        <v>2</v>
      </c>
      <c r="G34" s="13">
        <v>2</v>
      </c>
      <c r="H34" s="13" t="s">
        <v>42</v>
      </c>
      <c r="I34" s="13" t="s">
        <v>42</v>
      </c>
      <c r="J34" s="13" t="s">
        <v>42</v>
      </c>
      <c r="K34" s="20"/>
      <c r="L34" s="20"/>
      <c r="M34" s="20"/>
      <c r="N34" s="20"/>
      <c r="O34" s="20"/>
      <c r="P34" s="13" t="s">
        <v>84</v>
      </c>
      <c r="Q34" s="13" t="s">
        <v>56</v>
      </c>
      <c r="R34" s="103" t="s">
        <v>957</v>
      </c>
      <c r="S34" s="15" t="s">
        <v>175</v>
      </c>
      <c r="T34" s="38">
        <v>9.6</v>
      </c>
      <c r="U34" s="33" t="s">
        <v>175</v>
      </c>
      <c r="V34" s="31" t="s">
        <v>59</v>
      </c>
      <c r="W34" s="25" t="s">
        <v>799</v>
      </c>
      <c r="X34" s="25" t="s">
        <v>739</v>
      </c>
      <c r="Y34" s="25" t="s">
        <v>800</v>
      </c>
      <c r="Z34" s="13" t="s">
        <v>884</v>
      </c>
      <c r="AA34" s="108" t="s">
        <v>975</v>
      </c>
      <c r="AB34" s="17" t="s">
        <v>723</v>
      </c>
      <c r="AC34" s="113" t="s">
        <v>437</v>
      </c>
      <c r="AD34" s="15" t="s">
        <v>59</v>
      </c>
      <c r="AE34" s="114" t="s">
        <v>67</v>
      </c>
      <c r="AF34" s="114" t="s">
        <v>67</v>
      </c>
      <c r="AG34" t="s">
        <v>1021</v>
      </c>
      <c r="AH34" t="s">
        <v>1021</v>
      </c>
      <c r="AI34" s="18" t="s">
        <v>68</v>
      </c>
      <c r="AJ34" s="15" t="s">
        <v>801</v>
      </c>
      <c r="AK34" s="15" t="s">
        <v>802</v>
      </c>
      <c r="AL34" s="15" t="s">
        <v>803</v>
      </c>
      <c r="AM34" s="29" t="s">
        <v>804</v>
      </c>
      <c r="AN34" s="13" t="s">
        <v>113</v>
      </c>
      <c r="AO34" s="111" t="s">
        <v>804</v>
      </c>
      <c r="AP34" s="28" t="s">
        <v>805</v>
      </c>
      <c r="AQ34" s="30" t="s">
        <v>73</v>
      </c>
    </row>
    <row r="35" spans="1:44" ht="15" customHeight="1" x14ac:dyDescent="0.25">
      <c r="A35" s="15">
        <v>1</v>
      </c>
      <c r="B35" s="15" t="s">
        <v>648</v>
      </c>
      <c r="C35" s="15" t="s">
        <v>128</v>
      </c>
      <c r="D35" s="13" t="s">
        <v>40</v>
      </c>
      <c r="E35" s="13">
        <v>3</v>
      </c>
      <c r="F35" s="13">
        <v>4</v>
      </c>
      <c r="G35" s="13">
        <v>3</v>
      </c>
      <c r="H35" s="13" t="s">
        <v>41</v>
      </c>
      <c r="I35" s="13" t="s">
        <v>40</v>
      </c>
      <c r="J35" s="13" t="s">
        <v>41</v>
      </c>
      <c r="K35" s="20"/>
      <c r="L35" s="20"/>
      <c r="M35" s="20"/>
      <c r="N35" s="20"/>
      <c r="O35" s="20"/>
      <c r="P35" s="13" t="s">
        <v>55</v>
      </c>
      <c r="Q35" s="13" t="s">
        <v>56</v>
      </c>
      <c r="R35" s="103" t="s">
        <v>1242</v>
      </c>
      <c r="S35" s="15" t="s">
        <v>649</v>
      </c>
      <c r="T35" s="38">
        <v>5.64</v>
      </c>
      <c r="U35" s="33" t="s">
        <v>649</v>
      </c>
      <c r="V35" s="31" t="s">
        <v>68</v>
      </c>
      <c r="W35" s="25" t="s">
        <v>650</v>
      </c>
      <c r="X35" s="25" t="s">
        <v>651</v>
      </c>
      <c r="Y35" s="25" t="s">
        <v>652</v>
      </c>
      <c r="Z35" s="13" t="s">
        <v>63</v>
      </c>
      <c r="AA35" s="108" t="s">
        <v>973</v>
      </c>
      <c r="AB35" s="17" t="s">
        <v>653</v>
      </c>
      <c r="AC35" s="113" t="s">
        <v>437</v>
      </c>
      <c r="AD35" s="15" t="s">
        <v>59</v>
      </c>
      <c r="AE35" s="114" t="s">
        <v>67</v>
      </c>
      <c r="AF35" s="114" t="s">
        <v>67</v>
      </c>
      <c r="AG35" t="s">
        <v>1021</v>
      </c>
      <c r="AH35" t="s">
        <v>1021</v>
      </c>
      <c r="AI35" s="18" t="s">
        <v>68</v>
      </c>
      <c r="AJ35" s="15" t="s">
        <v>654</v>
      </c>
      <c r="AK35" s="15" t="s">
        <v>655</v>
      </c>
      <c r="AL35" s="15" t="s">
        <v>656</v>
      </c>
      <c r="AM35" s="29" t="s">
        <v>1057</v>
      </c>
      <c r="AN35" s="13" t="s">
        <v>94</v>
      </c>
      <c r="AO35" s="111" t="s">
        <v>990</v>
      </c>
      <c r="AP35" s="28" t="s">
        <v>657</v>
      </c>
      <c r="AQ35" s="30" t="s">
        <v>94</v>
      </c>
    </row>
    <row r="36" spans="1:44" ht="15" customHeight="1" x14ac:dyDescent="0.25">
      <c r="A36" s="15">
        <v>10</v>
      </c>
      <c r="B36" s="15" t="s">
        <v>737</v>
      </c>
      <c r="C36" s="15" t="s">
        <v>54</v>
      </c>
      <c r="D36" s="13" t="s">
        <v>41</v>
      </c>
      <c r="E36" s="13">
        <v>2</v>
      </c>
      <c r="F36" s="13">
        <v>2</v>
      </c>
      <c r="G36" s="13">
        <v>2</v>
      </c>
      <c r="H36" s="13" t="s">
        <v>42</v>
      </c>
      <c r="I36" s="13" t="s">
        <v>42</v>
      </c>
      <c r="J36" s="13" t="s">
        <v>42</v>
      </c>
      <c r="K36" s="20"/>
      <c r="L36" s="20"/>
      <c r="M36" s="20"/>
      <c r="N36" s="20"/>
      <c r="O36" s="20"/>
      <c r="P36" s="13" t="s">
        <v>84</v>
      </c>
      <c r="Q36" s="13" t="s">
        <v>56</v>
      </c>
      <c r="R36" s="103" t="s">
        <v>967</v>
      </c>
      <c r="S36" s="15" t="s">
        <v>175</v>
      </c>
      <c r="T36" s="38">
        <v>24.3</v>
      </c>
      <c r="U36" s="33" t="s">
        <v>175</v>
      </c>
      <c r="V36" s="31" t="s">
        <v>59</v>
      </c>
      <c r="W36" s="25" t="s">
        <v>738</v>
      </c>
      <c r="X36" s="25" t="s">
        <v>739</v>
      </c>
      <c r="Y36" s="25" t="s">
        <v>740</v>
      </c>
      <c r="Z36" s="13" t="s">
        <v>63</v>
      </c>
      <c r="AA36" s="108" t="s">
        <v>1140</v>
      </c>
      <c r="AB36" s="17" t="s">
        <v>731</v>
      </c>
      <c r="AC36" s="113" t="s">
        <v>437</v>
      </c>
      <c r="AD36" s="15" t="s">
        <v>59</v>
      </c>
      <c r="AE36" s="114" t="s">
        <v>67</v>
      </c>
      <c r="AF36" s="114" t="s">
        <v>67</v>
      </c>
      <c r="AG36" t="s">
        <v>1021</v>
      </c>
      <c r="AH36" t="s">
        <v>1021</v>
      </c>
      <c r="AI36" s="18" t="s">
        <v>68</v>
      </c>
      <c r="AJ36" s="15" t="s">
        <v>741</v>
      </c>
      <c r="AK36" s="15" t="s">
        <v>742</v>
      </c>
      <c r="AL36" s="15" t="s">
        <v>743</v>
      </c>
      <c r="AM36" s="29" t="s">
        <v>744</v>
      </c>
      <c r="AN36" s="13" t="s">
        <v>113</v>
      </c>
      <c r="AO36" s="111" t="s">
        <v>994</v>
      </c>
      <c r="AP36" s="28" t="s">
        <v>745</v>
      </c>
      <c r="AQ36" s="30" t="s">
        <v>113</v>
      </c>
    </row>
    <row r="37" spans="1:44" ht="15" customHeight="1" x14ac:dyDescent="0.25">
      <c r="A37" s="15">
        <v>1</v>
      </c>
      <c r="B37" s="15" t="s">
        <v>702</v>
      </c>
      <c r="C37" s="15" t="s">
        <v>227</v>
      </c>
      <c r="D37" s="13" t="s">
        <v>42</v>
      </c>
      <c r="E37" s="13">
        <v>1</v>
      </c>
      <c r="F37" s="13">
        <v>1</v>
      </c>
      <c r="G37" s="13">
        <v>1</v>
      </c>
      <c r="H37" s="13" t="s">
        <v>43</v>
      </c>
      <c r="I37" s="13" t="s">
        <v>43</v>
      </c>
      <c r="J37" s="13" t="s">
        <v>43</v>
      </c>
      <c r="K37" s="20"/>
      <c r="L37" s="20"/>
      <c r="M37" s="20"/>
      <c r="N37" s="20"/>
      <c r="O37" s="20"/>
      <c r="P37" s="13" t="s">
        <v>84</v>
      </c>
      <c r="Q37" s="13" t="s">
        <v>56</v>
      </c>
      <c r="R37" s="103" t="s">
        <v>965</v>
      </c>
      <c r="T37" s="38">
        <v>496</v>
      </c>
      <c r="U37" s="33" t="s">
        <v>695</v>
      </c>
      <c r="V37" s="31" t="s">
        <v>480</v>
      </c>
      <c r="W37" s="25" t="s">
        <v>703</v>
      </c>
      <c r="X37" s="25" t="s">
        <v>704</v>
      </c>
      <c r="Y37" s="25" t="s">
        <v>705</v>
      </c>
      <c r="Z37" s="13" t="s">
        <v>884</v>
      </c>
      <c r="AA37" s="108" t="s">
        <v>977</v>
      </c>
      <c r="AB37" s="17" t="s">
        <v>706</v>
      </c>
      <c r="AC37" s="113" t="s">
        <v>87</v>
      </c>
      <c r="AD37" s="15" t="s">
        <v>707</v>
      </c>
      <c r="AE37" s="114" t="s">
        <v>67</v>
      </c>
      <c r="AF37" s="114" t="s">
        <v>67</v>
      </c>
      <c r="AG37" t="s">
        <v>1019</v>
      </c>
      <c r="AH37" t="s">
        <v>1019</v>
      </c>
      <c r="AI37" s="18" t="s">
        <v>68</v>
      </c>
      <c r="AJ37" s="15" t="s">
        <v>708</v>
      </c>
      <c r="AK37" s="15" t="s">
        <v>709</v>
      </c>
      <c r="AL37" s="15" t="s">
        <v>710</v>
      </c>
      <c r="AM37" s="29" t="s">
        <v>711</v>
      </c>
      <c r="AN37" s="13" t="s">
        <v>113</v>
      </c>
      <c r="AO37" s="111" t="s">
        <v>1191</v>
      </c>
      <c r="AP37" s="64" t="s">
        <v>712</v>
      </c>
      <c r="AQ37" s="30" t="s">
        <v>94</v>
      </c>
      <c r="AR37" s="15" t="s">
        <v>713</v>
      </c>
    </row>
    <row r="38" spans="1:44" s="47" customFormat="1" ht="15" customHeight="1" x14ac:dyDescent="0.25">
      <c r="A38" s="15">
        <v>1</v>
      </c>
      <c r="B38" s="15" t="s">
        <v>820</v>
      </c>
      <c r="C38" s="15" t="s">
        <v>227</v>
      </c>
      <c r="D38" s="13" t="s">
        <v>42</v>
      </c>
      <c r="E38" s="13">
        <v>1</v>
      </c>
      <c r="F38" s="13">
        <v>1</v>
      </c>
      <c r="G38" s="13">
        <v>1</v>
      </c>
      <c r="H38" s="13" t="s">
        <v>43</v>
      </c>
      <c r="I38" s="13" t="s">
        <v>43</v>
      </c>
      <c r="J38" s="13" t="s">
        <v>43</v>
      </c>
      <c r="K38" s="20"/>
      <c r="L38" s="20"/>
      <c r="M38" s="20"/>
      <c r="N38" s="20"/>
      <c r="O38" s="20"/>
      <c r="P38" s="13" t="s">
        <v>55</v>
      </c>
      <c r="Q38" s="13" t="s">
        <v>56</v>
      </c>
      <c r="R38" s="103" t="s">
        <v>984</v>
      </c>
      <c r="S38" s="15" t="s">
        <v>175</v>
      </c>
      <c r="T38" s="38">
        <v>81.7</v>
      </c>
      <c r="U38" s="33" t="s">
        <v>175</v>
      </c>
      <c r="V38" s="31" t="s">
        <v>59</v>
      </c>
      <c r="W38" s="25" t="s">
        <v>821</v>
      </c>
      <c r="X38" s="25" t="s">
        <v>822</v>
      </c>
      <c r="Y38" s="52" t="s">
        <v>823</v>
      </c>
      <c r="Z38" s="13" t="s">
        <v>884</v>
      </c>
      <c r="AA38" s="108" t="s">
        <v>1243</v>
      </c>
      <c r="AB38" s="17" t="s">
        <v>723</v>
      </c>
      <c r="AC38" s="113" t="s">
        <v>87</v>
      </c>
      <c r="AD38" s="15" t="s">
        <v>59</v>
      </c>
      <c r="AE38" s="114" t="s">
        <v>67</v>
      </c>
      <c r="AF38" s="114" t="s">
        <v>450</v>
      </c>
      <c r="AG38" t="s">
        <v>1042</v>
      </c>
      <c r="AH38" t="s">
        <v>1024</v>
      </c>
      <c r="AI38" s="88" t="s">
        <v>824</v>
      </c>
      <c r="AJ38" s="12" t="s">
        <v>825</v>
      </c>
      <c r="AK38" s="24" t="s">
        <v>826</v>
      </c>
      <c r="AL38" s="24" t="s">
        <v>827</v>
      </c>
      <c r="AM38" s="29" t="s">
        <v>828</v>
      </c>
      <c r="AN38" s="13" t="s">
        <v>94</v>
      </c>
      <c r="AO38" s="111" t="s">
        <v>828</v>
      </c>
      <c r="AP38" s="75" t="s">
        <v>829</v>
      </c>
      <c r="AQ38" s="30" t="s">
        <v>94</v>
      </c>
      <c r="AR38" s="15"/>
    </row>
    <row r="39" spans="1:44" ht="15" customHeight="1" x14ac:dyDescent="0.25">
      <c r="A39" s="15">
        <v>1</v>
      </c>
      <c r="B39" s="15" t="s">
        <v>551</v>
      </c>
      <c r="C39" s="15" t="s">
        <v>463</v>
      </c>
      <c r="D39" s="13" t="s">
        <v>43</v>
      </c>
      <c r="E39" s="13">
        <v>1</v>
      </c>
      <c r="F39" s="13">
        <v>1</v>
      </c>
      <c r="G39" s="13">
        <v>1</v>
      </c>
      <c r="H39" s="13" t="s">
        <v>43</v>
      </c>
      <c r="I39" s="13" t="s">
        <v>43</v>
      </c>
      <c r="J39" s="13" t="s">
        <v>43</v>
      </c>
      <c r="K39" s="20"/>
      <c r="L39" s="20"/>
      <c r="M39" s="20"/>
      <c r="N39" s="20"/>
      <c r="O39" s="20"/>
      <c r="P39" s="13" t="s">
        <v>84</v>
      </c>
      <c r="Q39" s="13" t="s">
        <v>56</v>
      </c>
      <c r="R39" s="103" t="s">
        <v>951</v>
      </c>
      <c r="S39" s="15" t="s">
        <v>175</v>
      </c>
      <c r="T39" s="38">
        <v>2.02</v>
      </c>
      <c r="U39" s="33" t="s">
        <v>175</v>
      </c>
      <c r="V39" s="31" t="s">
        <v>68</v>
      </c>
      <c r="W39" s="25" t="s">
        <v>552</v>
      </c>
      <c r="X39" s="25" t="s">
        <v>553</v>
      </c>
      <c r="Y39" s="24" t="s">
        <v>554</v>
      </c>
      <c r="Z39" s="13" t="s">
        <v>219</v>
      </c>
      <c r="AA39" s="108" t="s">
        <v>1249</v>
      </c>
      <c r="AB39" s="17" t="s">
        <v>555</v>
      </c>
      <c r="AC39" s="113" t="s">
        <v>437</v>
      </c>
      <c r="AD39" s="15" t="s">
        <v>59</v>
      </c>
      <c r="AE39" s="114" t="s">
        <v>67</v>
      </c>
      <c r="AF39" s="114" t="s">
        <v>67</v>
      </c>
      <c r="AG39" t="s">
        <v>1014</v>
      </c>
      <c r="AH39" t="s">
        <v>1031</v>
      </c>
      <c r="AI39" s="18" t="s">
        <v>556</v>
      </c>
      <c r="AJ39" s="23" t="s">
        <v>557</v>
      </c>
      <c r="AK39" s="15" t="s">
        <v>558</v>
      </c>
      <c r="AL39" s="15" t="s">
        <v>559</v>
      </c>
      <c r="AM39" s="29" t="s">
        <v>560</v>
      </c>
      <c r="AN39" s="13" t="s">
        <v>73</v>
      </c>
      <c r="AO39" s="111" t="s">
        <v>560</v>
      </c>
      <c r="AP39" s="28" t="s">
        <v>561</v>
      </c>
      <c r="AQ39" s="30" t="s">
        <v>73</v>
      </c>
    </row>
    <row r="40" spans="1:44" ht="15" customHeight="1" x14ac:dyDescent="0.25">
      <c r="A40" s="15">
        <v>1</v>
      </c>
      <c r="B40" s="15" t="s">
        <v>519</v>
      </c>
      <c r="C40" s="15" t="s">
        <v>128</v>
      </c>
      <c r="D40" s="13" t="s">
        <v>40</v>
      </c>
      <c r="E40" s="13">
        <v>3</v>
      </c>
      <c r="F40" s="13">
        <v>4</v>
      </c>
      <c r="G40" s="13">
        <v>3</v>
      </c>
      <c r="H40" s="13" t="s">
        <v>41</v>
      </c>
      <c r="I40" s="13" t="s">
        <v>40</v>
      </c>
      <c r="J40" s="13" t="s">
        <v>41</v>
      </c>
      <c r="K40" s="20"/>
      <c r="L40" s="20"/>
      <c r="M40" s="20"/>
      <c r="N40" s="20"/>
      <c r="O40" s="20"/>
      <c r="P40" s="13" t="s">
        <v>148</v>
      </c>
      <c r="Q40" s="13" t="s">
        <v>174</v>
      </c>
      <c r="R40" s="104" t="s">
        <v>958</v>
      </c>
      <c r="S40" s="15" t="s">
        <v>175</v>
      </c>
      <c r="T40" s="38">
        <v>165.69</v>
      </c>
      <c r="U40" s="33" t="s">
        <v>175</v>
      </c>
      <c r="V40" s="31" t="s">
        <v>480</v>
      </c>
      <c r="W40" s="25" t="s">
        <v>520</v>
      </c>
      <c r="X40" s="25" t="s">
        <v>521</v>
      </c>
      <c r="Y40" s="52" t="s">
        <v>522</v>
      </c>
      <c r="Z40" s="13" t="s">
        <v>884</v>
      </c>
      <c r="AA40" s="108" t="s">
        <v>1229</v>
      </c>
      <c r="AB40" s="12" t="s">
        <v>523</v>
      </c>
      <c r="AC40" s="113" t="s">
        <v>87</v>
      </c>
      <c r="AD40" s="15" t="s">
        <v>59</v>
      </c>
      <c r="AE40" s="114" t="s">
        <v>67</v>
      </c>
      <c r="AF40" s="114" t="s">
        <v>67</v>
      </c>
      <c r="AG40" t="s">
        <v>1009</v>
      </c>
      <c r="AH40" t="s">
        <v>1038</v>
      </c>
      <c r="AI40" s="66" t="s">
        <v>68</v>
      </c>
      <c r="AJ40" s="15" t="s">
        <v>524</v>
      </c>
      <c r="AK40" s="24" t="s">
        <v>525</v>
      </c>
      <c r="AL40" s="24" t="s">
        <v>526</v>
      </c>
      <c r="AM40" s="29" t="s">
        <v>527</v>
      </c>
      <c r="AN40" s="13" t="s">
        <v>94</v>
      </c>
      <c r="AO40" s="111" t="s">
        <v>527</v>
      </c>
      <c r="AP40" s="28" t="s">
        <v>528</v>
      </c>
      <c r="AQ40" s="30" t="s">
        <v>94</v>
      </c>
    </row>
    <row r="41" spans="1:44" ht="15" customHeight="1" x14ac:dyDescent="0.25">
      <c r="A41" s="15">
        <v>10</v>
      </c>
      <c r="B41" s="15" t="s">
        <v>542</v>
      </c>
      <c r="C41" s="15" t="s">
        <v>463</v>
      </c>
      <c r="D41" s="13" t="s">
        <v>43</v>
      </c>
      <c r="E41" s="13">
        <v>1</v>
      </c>
      <c r="F41" s="13">
        <v>1</v>
      </c>
      <c r="G41" s="13">
        <v>1</v>
      </c>
      <c r="H41" s="13" t="s">
        <v>43</v>
      </c>
      <c r="I41" s="13" t="s">
        <v>43</v>
      </c>
      <c r="J41" s="13" t="s">
        <v>43</v>
      </c>
      <c r="K41" s="20"/>
      <c r="L41" s="20"/>
      <c r="M41" s="20"/>
      <c r="N41" s="20"/>
      <c r="O41" s="20"/>
      <c r="P41" s="13" t="s">
        <v>55</v>
      </c>
      <c r="Q41" s="13" t="s">
        <v>174</v>
      </c>
      <c r="R41" s="104" t="s">
        <v>981</v>
      </c>
      <c r="S41" s="47"/>
      <c r="T41" s="38" t="s">
        <v>59</v>
      </c>
      <c r="U41" s="33" t="s">
        <v>59</v>
      </c>
      <c r="V41" s="31" t="s">
        <v>480</v>
      </c>
      <c r="W41" s="52" t="s">
        <v>543</v>
      </c>
      <c r="X41" s="25" t="s">
        <v>59</v>
      </c>
      <c r="Y41" s="15" t="s">
        <v>59</v>
      </c>
      <c r="Z41" s="13" t="s">
        <v>219</v>
      </c>
      <c r="AA41" s="108" t="s">
        <v>1249</v>
      </c>
      <c r="AB41" s="63" t="s">
        <v>544</v>
      </c>
      <c r="AC41" s="113" t="s">
        <v>87</v>
      </c>
      <c r="AD41" s="15" t="s">
        <v>545</v>
      </c>
      <c r="AE41" s="114" t="s">
        <v>67</v>
      </c>
      <c r="AF41" s="114" t="s">
        <v>67</v>
      </c>
      <c r="AG41" t="s">
        <v>1011</v>
      </c>
      <c r="AH41" t="s">
        <v>1011</v>
      </c>
      <c r="AI41" s="18" t="s">
        <v>68</v>
      </c>
      <c r="AJ41" s="12" t="s">
        <v>546</v>
      </c>
      <c r="AK41" s="15" t="s">
        <v>547</v>
      </c>
      <c r="AL41" s="15" t="s">
        <v>548</v>
      </c>
      <c r="AM41" s="29" t="s">
        <v>549</v>
      </c>
      <c r="AN41" s="13" t="s">
        <v>73</v>
      </c>
      <c r="AO41" s="111" t="s">
        <v>1065</v>
      </c>
      <c r="AP41" s="64" t="s">
        <v>550</v>
      </c>
      <c r="AQ41" s="30" t="s">
        <v>73</v>
      </c>
      <c r="AR41" s="15" t="s">
        <v>541</v>
      </c>
    </row>
    <row r="42" spans="1:44" ht="15" customHeight="1" x14ac:dyDescent="0.25">
      <c r="A42" s="15">
        <v>10</v>
      </c>
      <c r="B42" s="15" t="s">
        <v>294</v>
      </c>
      <c r="C42" s="15" t="s">
        <v>227</v>
      </c>
      <c r="D42" s="13" t="s">
        <v>42</v>
      </c>
      <c r="E42" s="13">
        <v>1</v>
      </c>
      <c r="F42" s="13">
        <v>1</v>
      </c>
      <c r="G42" s="13">
        <v>1</v>
      </c>
      <c r="H42" s="13" t="s">
        <v>43</v>
      </c>
      <c r="I42" s="13" t="s">
        <v>43</v>
      </c>
      <c r="J42" s="13" t="s">
        <v>43</v>
      </c>
      <c r="K42" s="20"/>
      <c r="L42" s="20"/>
      <c r="M42" s="20"/>
      <c r="N42" s="20"/>
      <c r="O42" s="20"/>
      <c r="P42" s="13" t="s">
        <v>55</v>
      </c>
      <c r="Q42" s="13" t="s">
        <v>56</v>
      </c>
      <c r="R42" s="104" t="s">
        <v>937</v>
      </c>
      <c r="T42" s="59" t="s">
        <v>295</v>
      </c>
      <c r="U42" s="33" t="s">
        <v>59</v>
      </c>
      <c r="V42" s="33" t="s">
        <v>59</v>
      </c>
      <c r="W42" s="15" t="s">
        <v>295</v>
      </c>
      <c r="X42" s="15" t="s">
        <v>59</v>
      </c>
      <c r="Y42" s="15" t="s">
        <v>59</v>
      </c>
      <c r="Z42" s="13" t="s">
        <v>219</v>
      </c>
      <c r="AA42" s="108" t="s">
        <v>1249</v>
      </c>
      <c r="AB42" s="46" t="s">
        <v>296</v>
      </c>
      <c r="AC42" s="113" t="s">
        <v>87</v>
      </c>
      <c r="AD42" s="15" t="s">
        <v>59</v>
      </c>
      <c r="AE42" s="114" t="s">
        <v>67</v>
      </c>
      <c r="AF42" s="114" t="s">
        <v>67</v>
      </c>
      <c r="AG42" t="s">
        <v>90</v>
      </c>
      <c r="AH42" t="s">
        <v>90</v>
      </c>
      <c r="AI42" s="18" t="s">
        <v>68</v>
      </c>
      <c r="AJ42" s="15" t="s">
        <v>266</v>
      </c>
      <c r="AK42" s="15" t="s">
        <v>297</v>
      </c>
      <c r="AL42" s="28" t="s">
        <v>298</v>
      </c>
      <c r="AM42" s="29" t="s">
        <v>299</v>
      </c>
      <c r="AN42" s="13" t="s">
        <v>73</v>
      </c>
      <c r="AO42" s="111" t="s">
        <v>1081</v>
      </c>
      <c r="AP42" s="40" t="s">
        <v>300</v>
      </c>
      <c r="AQ42" s="30" t="s">
        <v>94</v>
      </c>
      <c r="AR42" s="47" t="s">
        <v>301</v>
      </c>
    </row>
    <row r="43" spans="1:44" ht="15" customHeight="1" x14ac:dyDescent="0.25">
      <c r="A43" s="15">
        <v>10</v>
      </c>
      <c r="B43" s="15" t="s">
        <v>302</v>
      </c>
      <c r="C43" s="15" t="s">
        <v>227</v>
      </c>
      <c r="D43" s="13" t="s">
        <v>42</v>
      </c>
      <c r="E43" s="13">
        <v>1</v>
      </c>
      <c r="F43" s="13">
        <v>1</v>
      </c>
      <c r="G43" s="13">
        <v>1</v>
      </c>
      <c r="H43" s="13" t="s">
        <v>43</v>
      </c>
      <c r="I43" s="13" t="s">
        <v>43</v>
      </c>
      <c r="J43" s="13" t="s">
        <v>43</v>
      </c>
      <c r="K43" s="20"/>
      <c r="L43" s="20"/>
      <c r="M43" s="20"/>
      <c r="N43" s="20"/>
      <c r="O43" s="20"/>
      <c r="P43" s="13" t="s">
        <v>84</v>
      </c>
      <c r="Q43" s="13" t="s">
        <v>56</v>
      </c>
      <c r="R43" s="104" t="s">
        <v>937</v>
      </c>
      <c r="T43" s="15" t="s">
        <v>295</v>
      </c>
      <c r="U43" s="33" t="s">
        <v>59</v>
      </c>
      <c r="V43" s="33" t="s">
        <v>59</v>
      </c>
      <c r="W43" s="15" t="s">
        <v>295</v>
      </c>
      <c r="X43" s="15" t="s">
        <v>59</v>
      </c>
      <c r="Y43" s="15" t="s">
        <v>59</v>
      </c>
      <c r="Z43" s="13" t="s">
        <v>219</v>
      </c>
      <c r="AA43" s="108" t="s">
        <v>1249</v>
      </c>
      <c r="AB43" s="46" t="s">
        <v>303</v>
      </c>
      <c r="AC43" s="113" t="s">
        <v>87</v>
      </c>
      <c r="AD43" s="15" t="s">
        <v>59</v>
      </c>
      <c r="AE43" s="114" t="s">
        <v>67</v>
      </c>
      <c r="AF43" s="114" t="s">
        <v>67</v>
      </c>
      <c r="AG43" t="s">
        <v>90</v>
      </c>
      <c r="AH43" t="s">
        <v>90</v>
      </c>
      <c r="AI43" s="18" t="s">
        <v>68</v>
      </c>
      <c r="AJ43" s="15" t="s">
        <v>266</v>
      </c>
      <c r="AK43" s="15" t="s">
        <v>304</v>
      </c>
      <c r="AL43" s="28" t="s">
        <v>305</v>
      </c>
      <c r="AM43" s="29" t="s">
        <v>306</v>
      </c>
      <c r="AN43" s="13" t="s">
        <v>73</v>
      </c>
      <c r="AO43" s="118" t="s">
        <v>1088</v>
      </c>
      <c r="AP43" s="40" t="s">
        <v>307</v>
      </c>
      <c r="AQ43" s="30" t="s">
        <v>73</v>
      </c>
      <c r="AR43" s="47" t="s">
        <v>308</v>
      </c>
    </row>
    <row r="44" spans="1:44" ht="15" hidden="1" customHeight="1" x14ac:dyDescent="0.25">
      <c r="A44" s="15">
        <v>0</v>
      </c>
      <c r="B44" s="15" t="s">
        <v>339</v>
      </c>
      <c r="C44" s="15" t="s">
        <v>128</v>
      </c>
      <c r="D44" s="15" t="s">
        <v>40</v>
      </c>
      <c r="E44" s="13">
        <v>3</v>
      </c>
      <c r="F44" s="13">
        <v>4</v>
      </c>
      <c r="G44" s="13">
        <v>3</v>
      </c>
      <c r="H44" s="13" t="s">
        <v>41</v>
      </c>
      <c r="I44" s="13" t="s">
        <v>40</v>
      </c>
      <c r="J44" s="13" t="s">
        <v>41</v>
      </c>
      <c r="K44" s="20"/>
      <c r="L44" s="20"/>
      <c r="M44" s="20"/>
      <c r="N44" s="20"/>
      <c r="O44" s="20"/>
      <c r="P44" s="13" t="s">
        <v>55</v>
      </c>
      <c r="Q44" s="15" t="s">
        <v>56</v>
      </c>
      <c r="R44" s="15"/>
      <c r="T44" s="15" t="s">
        <v>76</v>
      </c>
      <c r="U44" s="38" t="s">
        <v>59</v>
      </c>
      <c r="V44" s="38" t="s">
        <v>59</v>
      </c>
      <c r="W44" s="25" t="s">
        <v>76</v>
      </c>
      <c r="X44" s="25" t="s">
        <v>59</v>
      </c>
      <c r="Y44" s="15" t="s">
        <v>59</v>
      </c>
      <c r="Z44" s="13" t="s">
        <v>219</v>
      </c>
      <c r="AA44" s="13"/>
      <c r="AB44" s="46" t="s">
        <v>76</v>
      </c>
      <c r="AC44" s="26" t="s">
        <v>87</v>
      </c>
      <c r="AD44" s="15" t="s">
        <v>59</v>
      </c>
      <c r="AE44" s="27" t="s">
        <v>67</v>
      </c>
      <c r="AF44" s="27" t="s">
        <v>67</v>
      </c>
      <c r="AG44" t="s">
        <v>334</v>
      </c>
      <c r="AH44" t="s">
        <v>334</v>
      </c>
      <c r="AI44" s="18" t="s">
        <v>68</v>
      </c>
      <c r="AJ44" s="44" t="s">
        <v>334</v>
      </c>
      <c r="AK44" s="15" t="s">
        <v>335</v>
      </c>
      <c r="AL44" s="28" t="s">
        <v>336</v>
      </c>
      <c r="AM44" s="40" t="s">
        <v>337</v>
      </c>
      <c r="AN44" s="36" t="s">
        <v>113</v>
      </c>
      <c r="AO44" s="36"/>
      <c r="AP44" s="40" t="s">
        <v>338</v>
      </c>
      <c r="AQ44" s="30" t="s">
        <v>113</v>
      </c>
      <c r="AR44" s="15" t="s">
        <v>340</v>
      </c>
    </row>
    <row r="45" spans="1:44" ht="15" hidden="1" customHeight="1" x14ac:dyDescent="0.25">
      <c r="B45" s="16" t="s">
        <v>341</v>
      </c>
      <c r="H45" s="13"/>
      <c r="I45" s="13"/>
      <c r="J45" s="13"/>
      <c r="K45" s="20"/>
      <c r="L45" s="20"/>
      <c r="M45" s="20"/>
      <c r="N45" s="20"/>
      <c r="O45" s="20"/>
      <c r="P45" s="13"/>
      <c r="R45" s="15"/>
      <c r="T45" s="38"/>
      <c r="U45" s="31"/>
      <c r="V45" s="38" t="s">
        <v>59</v>
      </c>
      <c r="Z45" s="13"/>
      <c r="AA45" s="13"/>
      <c r="AB45" s="17"/>
      <c r="AC45" s="17"/>
      <c r="AG45">
        <v>0</v>
      </c>
      <c r="AH45">
        <v>0</v>
      </c>
      <c r="AJ45" s="47"/>
      <c r="AM45" s="15"/>
      <c r="AN45" s="15"/>
      <c r="AO45" s="15"/>
      <c r="AQ45" s="15"/>
    </row>
    <row r="46" spans="1:44" ht="15" customHeight="1" x14ac:dyDescent="0.25">
      <c r="A46" s="47">
        <v>10</v>
      </c>
      <c r="B46" s="47" t="s">
        <v>284</v>
      </c>
      <c r="C46" s="47" t="s">
        <v>227</v>
      </c>
      <c r="D46" s="13" t="s">
        <v>42</v>
      </c>
      <c r="E46" s="53">
        <v>1</v>
      </c>
      <c r="F46" s="53">
        <v>1</v>
      </c>
      <c r="G46" s="53">
        <v>1</v>
      </c>
      <c r="H46" s="13" t="s">
        <v>43</v>
      </c>
      <c r="I46" s="13" t="s">
        <v>43</v>
      </c>
      <c r="J46" s="13" t="s">
        <v>43</v>
      </c>
      <c r="K46" s="54"/>
      <c r="L46" s="54"/>
      <c r="M46" s="54"/>
      <c r="N46" s="54"/>
      <c r="O46" s="54"/>
      <c r="P46" s="13" t="s">
        <v>55</v>
      </c>
      <c r="Q46" s="13" t="s">
        <v>56</v>
      </c>
      <c r="R46" s="104" t="s">
        <v>937</v>
      </c>
      <c r="S46" s="47"/>
      <c r="T46" s="55" t="s">
        <v>285</v>
      </c>
      <c r="U46" s="55" t="s">
        <v>59</v>
      </c>
      <c r="V46" s="55" t="s">
        <v>59</v>
      </c>
      <c r="W46" s="25" t="s">
        <v>286</v>
      </c>
      <c r="X46" s="25" t="s">
        <v>59</v>
      </c>
      <c r="Y46" s="25" t="s">
        <v>287</v>
      </c>
      <c r="Z46" s="13" t="s">
        <v>219</v>
      </c>
      <c r="AA46" s="108" t="s">
        <v>1249</v>
      </c>
      <c r="AB46" s="46" t="s">
        <v>288</v>
      </c>
      <c r="AC46" s="113" t="s">
        <v>87</v>
      </c>
      <c r="AD46" s="47" t="s">
        <v>59</v>
      </c>
      <c r="AE46" s="114" t="s">
        <v>67</v>
      </c>
      <c r="AF46" s="114" t="s">
        <v>67</v>
      </c>
      <c r="AG46" t="s">
        <v>90</v>
      </c>
      <c r="AH46" t="s">
        <v>90</v>
      </c>
      <c r="AI46" s="56" t="s">
        <v>68</v>
      </c>
      <c r="AJ46" s="47" t="s">
        <v>266</v>
      </c>
      <c r="AK46" s="47" t="s">
        <v>289</v>
      </c>
      <c r="AL46" s="47" t="s">
        <v>290</v>
      </c>
      <c r="AM46" s="29" t="s">
        <v>291</v>
      </c>
      <c r="AN46" s="13" t="s">
        <v>73</v>
      </c>
      <c r="AO46" s="111" t="s">
        <v>291</v>
      </c>
      <c r="AP46" s="32" t="s">
        <v>292</v>
      </c>
      <c r="AQ46" s="58" t="s">
        <v>73</v>
      </c>
      <c r="AR46" s="44" t="s">
        <v>293</v>
      </c>
    </row>
    <row r="47" spans="1:44" ht="15" hidden="1" customHeight="1" x14ac:dyDescent="0.25">
      <c r="A47" s="15">
        <v>0</v>
      </c>
      <c r="B47" s="15" t="s">
        <v>353</v>
      </c>
      <c r="C47" s="15" t="s">
        <v>54</v>
      </c>
      <c r="D47" s="15" t="s">
        <v>41</v>
      </c>
      <c r="E47" s="13">
        <v>2</v>
      </c>
      <c r="F47" s="13">
        <v>2</v>
      </c>
      <c r="G47" s="13">
        <v>2</v>
      </c>
      <c r="H47" s="13" t="s">
        <v>42</v>
      </c>
      <c r="I47" s="13" t="s">
        <v>42</v>
      </c>
      <c r="J47" s="13" t="s">
        <v>42</v>
      </c>
      <c r="K47" s="20"/>
      <c r="L47" s="20"/>
      <c r="M47" s="20"/>
      <c r="N47" s="20"/>
      <c r="O47" s="20"/>
      <c r="P47" s="13" t="s">
        <v>55</v>
      </c>
      <c r="Q47" s="15" t="s">
        <v>56</v>
      </c>
      <c r="R47" s="15"/>
      <c r="T47" s="15" t="s">
        <v>354</v>
      </c>
      <c r="U47" s="38" t="s">
        <v>59</v>
      </c>
      <c r="V47" s="38" t="s">
        <v>59</v>
      </c>
      <c r="W47" s="25" t="s">
        <v>76</v>
      </c>
      <c r="X47" s="25" t="s">
        <v>59</v>
      </c>
      <c r="Y47" s="15" t="s">
        <v>59</v>
      </c>
      <c r="Z47" s="13" t="s">
        <v>219</v>
      </c>
      <c r="AA47" s="13"/>
      <c r="AB47" s="19" t="s">
        <v>76</v>
      </c>
      <c r="AC47" s="26" t="s">
        <v>65</v>
      </c>
      <c r="AD47" s="15" t="s">
        <v>347</v>
      </c>
      <c r="AE47" s="27" t="s">
        <v>67</v>
      </c>
      <c r="AF47" s="27" t="s">
        <v>67</v>
      </c>
      <c r="AG47" t="s">
        <v>348</v>
      </c>
      <c r="AH47" t="s">
        <v>348</v>
      </c>
      <c r="AI47" s="18" t="s">
        <v>68</v>
      </c>
      <c r="AJ47" s="15" t="s">
        <v>348</v>
      </c>
      <c r="AK47" s="15" t="s">
        <v>355</v>
      </c>
      <c r="AL47" s="15" t="s">
        <v>355</v>
      </c>
      <c r="AM47" s="61" t="s">
        <v>356</v>
      </c>
      <c r="AN47" s="30" t="s">
        <v>73</v>
      </c>
      <c r="AO47" s="30"/>
      <c r="AP47" s="62" t="s">
        <v>355</v>
      </c>
      <c r="AQ47" s="30" t="s">
        <v>73</v>
      </c>
      <c r="AR47" s="47" t="s">
        <v>357</v>
      </c>
    </row>
    <row r="48" spans="1:44" ht="15" customHeight="1" x14ac:dyDescent="0.25">
      <c r="A48" s="15">
        <v>1</v>
      </c>
      <c r="B48" s="15" t="s">
        <v>757</v>
      </c>
      <c r="C48" s="15" t="s">
        <v>227</v>
      </c>
      <c r="D48" s="13" t="s">
        <v>42</v>
      </c>
      <c r="E48" s="13">
        <v>1</v>
      </c>
      <c r="F48" s="13">
        <v>1</v>
      </c>
      <c r="G48" s="13">
        <v>1</v>
      </c>
      <c r="H48" s="13" t="s">
        <v>43</v>
      </c>
      <c r="I48" s="13" t="s">
        <v>43</v>
      </c>
      <c r="J48" s="13" t="s">
        <v>43</v>
      </c>
      <c r="K48" s="20"/>
      <c r="L48" s="20"/>
      <c r="M48" s="20"/>
      <c r="N48" s="20"/>
      <c r="O48" s="20"/>
      <c r="P48" s="13" t="s">
        <v>55</v>
      </c>
      <c r="Q48" s="13" t="s">
        <v>56</v>
      </c>
      <c r="R48" s="103" t="s">
        <v>944</v>
      </c>
      <c r="S48" s="15" t="s">
        <v>175</v>
      </c>
      <c r="T48" s="15" t="s">
        <v>758</v>
      </c>
      <c r="U48" s="33" t="s">
        <v>59</v>
      </c>
      <c r="V48" s="31" t="s">
        <v>59</v>
      </c>
      <c r="W48" s="25" t="s">
        <v>759</v>
      </c>
      <c r="X48" s="25" t="s">
        <v>59</v>
      </c>
      <c r="Y48" s="25" t="s">
        <v>59</v>
      </c>
      <c r="Z48" s="13" t="s">
        <v>884</v>
      </c>
      <c r="AA48" s="108" t="s">
        <v>977</v>
      </c>
      <c r="AB48" s="17" t="s">
        <v>723</v>
      </c>
      <c r="AC48" s="113" t="s">
        <v>437</v>
      </c>
      <c r="AD48" s="15" t="s">
        <v>59</v>
      </c>
      <c r="AE48" s="114" t="s">
        <v>67</v>
      </c>
      <c r="AF48" s="114" t="s">
        <v>67</v>
      </c>
      <c r="AG48" t="s">
        <v>1020</v>
      </c>
      <c r="AH48" t="s">
        <v>1020</v>
      </c>
      <c r="AI48" s="18" t="s">
        <v>68</v>
      </c>
      <c r="AJ48" s="23" t="s">
        <v>760</v>
      </c>
      <c r="AK48" s="15" t="s">
        <v>761</v>
      </c>
      <c r="AL48" s="15" t="s">
        <v>762</v>
      </c>
      <c r="AM48" s="29" t="s">
        <v>1059</v>
      </c>
      <c r="AN48" s="13" t="s">
        <v>113</v>
      </c>
      <c r="AO48" s="111" t="s">
        <v>1200</v>
      </c>
      <c r="AP48" s="28" t="s">
        <v>763</v>
      </c>
      <c r="AQ48" s="30" t="s">
        <v>113</v>
      </c>
    </row>
    <row r="49" spans="1:44" ht="15" customHeight="1" x14ac:dyDescent="0.25">
      <c r="A49" s="15">
        <v>10</v>
      </c>
      <c r="B49" s="15" t="s">
        <v>774</v>
      </c>
      <c r="C49" s="15" t="s">
        <v>227</v>
      </c>
      <c r="D49" s="13" t="s">
        <v>42</v>
      </c>
      <c r="E49" s="13">
        <v>1</v>
      </c>
      <c r="F49" s="13">
        <v>1</v>
      </c>
      <c r="G49" s="13">
        <v>1</v>
      </c>
      <c r="H49" s="13" t="s">
        <v>43</v>
      </c>
      <c r="I49" s="13" t="s">
        <v>43</v>
      </c>
      <c r="J49" s="13" t="s">
        <v>43</v>
      </c>
      <c r="K49" s="20"/>
      <c r="L49" s="20"/>
      <c r="M49" s="20"/>
      <c r="N49" s="20"/>
      <c r="O49" s="20"/>
      <c r="P49" s="13" t="s">
        <v>55</v>
      </c>
      <c r="Q49" s="13" t="s">
        <v>56</v>
      </c>
      <c r="R49" s="103" t="s">
        <v>944</v>
      </c>
      <c r="S49" s="15" t="s">
        <v>175</v>
      </c>
      <c r="T49" s="38">
        <v>10.8</v>
      </c>
      <c r="U49" s="33" t="s">
        <v>175</v>
      </c>
      <c r="V49" s="31" t="s">
        <v>59</v>
      </c>
      <c r="W49" s="25" t="s">
        <v>775</v>
      </c>
      <c r="X49" s="25" t="s">
        <v>739</v>
      </c>
      <c r="Y49" s="25" t="s">
        <v>776</v>
      </c>
      <c r="Z49" s="13" t="s">
        <v>219</v>
      </c>
      <c r="AA49" s="108" t="s">
        <v>1249</v>
      </c>
      <c r="AB49" s="17" t="s">
        <v>723</v>
      </c>
      <c r="AC49" s="113" t="s">
        <v>437</v>
      </c>
      <c r="AD49" s="15" t="s">
        <v>59</v>
      </c>
      <c r="AE49" s="114" t="s">
        <v>67</v>
      </c>
      <c r="AF49" s="114" t="s">
        <v>67</v>
      </c>
      <c r="AG49" t="s">
        <v>1021</v>
      </c>
      <c r="AH49" t="s">
        <v>1021</v>
      </c>
      <c r="AI49" s="18" t="s">
        <v>68</v>
      </c>
      <c r="AJ49" s="23" t="s">
        <v>777</v>
      </c>
      <c r="AK49" s="15" t="s">
        <v>778</v>
      </c>
      <c r="AL49" s="15" t="s">
        <v>779</v>
      </c>
      <c r="AM49" s="29" t="s">
        <v>1061</v>
      </c>
      <c r="AN49" s="13" t="s">
        <v>73</v>
      </c>
      <c r="AO49" s="111" t="s">
        <v>1206</v>
      </c>
      <c r="AP49" s="28" t="s">
        <v>780</v>
      </c>
      <c r="AQ49" s="30" t="s">
        <v>73</v>
      </c>
    </row>
    <row r="50" spans="1:44" ht="15" hidden="1" customHeight="1" x14ac:dyDescent="0.25">
      <c r="A50" s="15">
        <v>0</v>
      </c>
      <c r="B50" s="15" t="s">
        <v>371</v>
      </c>
      <c r="C50" s="15" t="s">
        <v>359</v>
      </c>
      <c r="D50" s="15" t="s">
        <v>42</v>
      </c>
      <c r="E50" s="13">
        <v>1</v>
      </c>
      <c r="F50" s="13">
        <v>1</v>
      </c>
      <c r="G50" s="13">
        <v>1</v>
      </c>
      <c r="H50" s="13" t="s">
        <v>43</v>
      </c>
      <c r="I50" s="13" t="s">
        <v>43</v>
      </c>
      <c r="J50" s="13" t="s">
        <v>43</v>
      </c>
      <c r="K50" s="20"/>
      <c r="L50" s="20"/>
      <c r="M50" s="20"/>
      <c r="N50" s="20"/>
      <c r="O50" s="20"/>
      <c r="P50" s="13" t="s">
        <v>55</v>
      </c>
      <c r="Q50" s="15" t="s">
        <v>56</v>
      </c>
      <c r="R50" s="15"/>
      <c r="T50" s="15" t="s">
        <v>354</v>
      </c>
      <c r="U50" s="38" t="s">
        <v>59</v>
      </c>
      <c r="V50" s="38" t="s">
        <v>59</v>
      </c>
      <c r="W50" s="15" t="s">
        <v>354</v>
      </c>
      <c r="X50" s="25" t="s">
        <v>59</v>
      </c>
      <c r="Y50" s="15" t="s">
        <v>59</v>
      </c>
      <c r="Z50" s="13" t="s">
        <v>219</v>
      </c>
      <c r="AA50" s="13"/>
      <c r="AB50" s="63" t="s">
        <v>367</v>
      </c>
      <c r="AC50" s="26" t="s">
        <v>65</v>
      </c>
      <c r="AD50" s="15" t="s">
        <v>361</v>
      </c>
      <c r="AE50" s="27" t="s">
        <v>67</v>
      </c>
      <c r="AF50" s="27" t="s">
        <v>67</v>
      </c>
      <c r="AG50" t="s">
        <v>362</v>
      </c>
      <c r="AH50" t="s">
        <v>362</v>
      </c>
      <c r="AI50" s="18" t="s">
        <v>68</v>
      </c>
      <c r="AJ50" s="15" t="s">
        <v>362</v>
      </c>
      <c r="AK50" s="15" t="s">
        <v>59</v>
      </c>
      <c r="AL50" s="15" t="s">
        <v>59</v>
      </c>
      <c r="AM50" s="65" t="s">
        <v>372</v>
      </c>
      <c r="AN50" s="36" t="s">
        <v>113</v>
      </c>
      <c r="AO50" s="36"/>
      <c r="AP50" s="65" t="s">
        <v>372</v>
      </c>
      <c r="AQ50" s="36" t="s">
        <v>113</v>
      </c>
    </row>
    <row r="51" spans="1:44" ht="15" customHeight="1" x14ac:dyDescent="0.25">
      <c r="A51" s="15">
        <v>10</v>
      </c>
      <c r="B51" s="15" t="s">
        <v>216</v>
      </c>
      <c r="C51" s="15" t="s">
        <v>128</v>
      </c>
      <c r="D51" s="13" t="s">
        <v>40</v>
      </c>
      <c r="E51" s="13">
        <v>3</v>
      </c>
      <c r="F51" s="13">
        <v>4</v>
      </c>
      <c r="G51" s="13">
        <v>3</v>
      </c>
      <c r="H51" s="13" t="s">
        <v>41</v>
      </c>
      <c r="I51" s="13" t="s">
        <v>40</v>
      </c>
      <c r="J51" s="13" t="s">
        <v>41</v>
      </c>
      <c r="K51" s="20"/>
      <c r="L51" s="20"/>
      <c r="M51" s="20"/>
      <c r="N51" s="20"/>
      <c r="O51" s="20"/>
      <c r="P51" s="13" t="s">
        <v>55</v>
      </c>
      <c r="Q51" s="13" t="s">
        <v>56</v>
      </c>
      <c r="R51" s="103" t="s">
        <v>944</v>
      </c>
      <c r="T51" s="38">
        <v>11.02</v>
      </c>
      <c r="U51" s="33" t="s">
        <v>58</v>
      </c>
      <c r="V51" s="33" t="s">
        <v>59</v>
      </c>
      <c r="W51" s="45" t="s">
        <v>217</v>
      </c>
      <c r="X51" s="45" t="s">
        <v>59</v>
      </c>
      <c r="Y51" s="25" t="s">
        <v>218</v>
      </c>
      <c r="Z51" s="13" t="s">
        <v>63</v>
      </c>
      <c r="AA51" s="108" t="s">
        <v>1136</v>
      </c>
      <c r="AB51" s="12" t="s">
        <v>220</v>
      </c>
      <c r="AC51" s="113" t="s">
        <v>65</v>
      </c>
      <c r="AD51" s="15" t="s">
        <v>59</v>
      </c>
      <c r="AE51" s="114" t="s">
        <v>67</v>
      </c>
      <c r="AF51" s="114" t="s">
        <v>67</v>
      </c>
      <c r="AG51" t="s">
        <v>999</v>
      </c>
      <c r="AH51" t="s">
        <v>999</v>
      </c>
      <c r="AI51" s="18" t="s">
        <v>68</v>
      </c>
      <c r="AJ51" s="15" t="s">
        <v>221</v>
      </c>
      <c r="AK51" s="15" t="s">
        <v>222</v>
      </c>
      <c r="AL51" s="15" t="s">
        <v>223</v>
      </c>
      <c r="AM51" s="29" t="s">
        <v>224</v>
      </c>
      <c r="AN51" s="13" t="s">
        <v>94</v>
      </c>
      <c r="AO51" s="111" t="s">
        <v>224</v>
      </c>
      <c r="AP51" s="28" t="s">
        <v>225</v>
      </c>
      <c r="AQ51" s="30" t="s">
        <v>94</v>
      </c>
    </row>
    <row r="52" spans="1:44" ht="15" hidden="1" customHeight="1" x14ac:dyDescent="0.25">
      <c r="A52" s="15">
        <v>0</v>
      </c>
      <c r="B52" s="15" t="s">
        <v>378</v>
      </c>
      <c r="C52" s="15" t="s">
        <v>359</v>
      </c>
      <c r="D52" s="15" t="s">
        <v>42</v>
      </c>
      <c r="E52" s="13">
        <v>1</v>
      </c>
      <c r="F52" s="13">
        <v>1</v>
      </c>
      <c r="G52" s="13">
        <v>1</v>
      </c>
      <c r="H52" s="13" t="s">
        <v>43</v>
      </c>
      <c r="I52" s="13" t="s">
        <v>43</v>
      </c>
      <c r="J52" s="13" t="s">
        <v>43</v>
      </c>
      <c r="K52" s="20"/>
      <c r="L52" s="20"/>
      <c r="M52" s="20"/>
      <c r="N52" s="20"/>
      <c r="O52" s="20"/>
      <c r="P52" s="13" t="s">
        <v>55</v>
      </c>
      <c r="Q52" s="15" t="s">
        <v>56</v>
      </c>
      <c r="R52" s="15"/>
      <c r="T52" s="15" t="s">
        <v>354</v>
      </c>
      <c r="U52" s="38" t="s">
        <v>59</v>
      </c>
      <c r="V52" s="38" t="s">
        <v>59</v>
      </c>
      <c r="W52" s="15" t="s">
        <v>354</v>
      </c>
      <c r="X52" s="25" t="s">
        <v>59</v>
      </c>
      <c r="Y52" s="15" t="s">
        <v>59</v>
      </c>
      <c r="Z52" s="13" t="s">
        <v>219</v>
      </c>
      <c r="AA52" s="13"/>
      <c r="AB52" s="63" t="s">
        <v>374</v>
      </c>
      <c r="AC52" s="26" t="s">
        <v>65</v>
      </c>
      <c r="AD52" s="15" t="s">
        <v>361</v>
      </c>
      <c r="AE52" s="27" t="s">
        <v>67</v>
      </c>
      <c r="AF52" s="27" t="s">
        <v>67</v>
      </c>
      <c r="AG52" t="s">
        <v>362</v>
      </c>
      <c r="AH52" t="s">
        <v>362</v>
      </c>
      <c r="AI52" s="18" t="s">
        <v>68</v>
      </c>
      <c r="AJ52" s="15" t="s">
        <v>362</v>
      </c>
      <c r="AK52" s="15" t="s">
        <v>59</v>
      </c>
      <c r="AL52" s="15" t="s">
        <v>59</v>
      </c>
      <c r="AM52" s="57" t="s">
        <v>379</v>
      </c>
      <c r="AN52" s="36" t="s">
        <v>113</v>
      </c>
      <c r="AO52" s="36"/>
      <c r="AP52" s="57" t="s">
        <v>379</v>
      </c>
      <c r="AQ52" s="30" t="s">
        <v>113</v>
      </c>
    </row>
    <row r="53" spans="1:44" ht="15" hidden="1" customHeight="1" x14ac:dyDescent="0.25">
      <c r="A53" s="15">
        <v>0</v>
      </c>
      <c r="B53" s="15" t="s">
        <v>380</v>
      </c>
      <c r="C53" s="15" t="s">
        <v>359</v>
      </c>
      <c r="D53" s="15" t="s">
        <v>42</v>
      </c>
      <c r="E53" s="13">
        <v>1</v>
      </c>
      <c r="F53" s="13">
        <v>1</v>
      </c>
      <c r="G53" s="13">
        <v>1</v>
      </c>
      <c r="H53" s="13" t="s">
        <v>43</v>
      </c>
      <c r="I53" s="13" t="s">
        <v>43</v>
      </c>
      <c r="J53" s="13" t="s">
        <v>43</v>
      </c>
      <c r="K53" s="20"/>
      <c r="L53" s="20"/>
      <c r="M53" s="20"/>
      <c r="N53" s="20"/>
      <c r="O53" s="20"/>
      <c r="P53" s="13" t="s">
        <v>55</v>
      </c>
      <c r="Q53" s="15" t="s">
        <v>56</v>
      </c>
      <c r="R53" s="15"/>
      <c r="T53" s="15" t="s">
        <v>354</v>
      </c>
      <c r="U53" s="38" t="s">
        <v>59</v>
      </c>
      <c r="V53" s="38" t="s">
        <v>59</v>
      </c>
      <c r="W53" s="15" t="s">
        <v>354</v>
      </c>
      <c r="X53" s="25" t="s">
        <v>59</v>
      </c>
      <c r="Y53" s="15" t="s">
        <v>59</v>
      </c>
      <c r="Z53" s="13" t="s">
        <v>219</v>
      </c>
      <c r="AA53" s="13"/>
      <c r="AB53" s="19" t="s">
        <v>76</v>
      </c>
      <c r="AC53" s="26" t="s">
        <v>65</v>
      </c>
      <c r="AD53" s="15" t="s">
        <v>361</v>
      </c>
      <c r="AE53" s="27" t="s">
        <v>67</v>
      </c>
      <c r="AF53" s="27" t="s">
        <v>67</v>
      </c>
      <c r="AG53" t="s">
        <v>362</v>
      </c>
      <c r="AH53" t="s">
        <v>362</v>
      </c>
      <c r="AI53" s="18" t="s">
        <v>68</v>
      </c>
      <c r="AJ53" s="15" t="s">
        <v>362</v>
      </c>
      <c r="AK53" s="15" t="s">
        <v>363</v>
      </c>
      <c r="AL53" s="28" t="s">
        <v>364</v>
      </c>
      <c r="AM53" s="29" t="s">
        <v>365</v>
      </c>
      <c r="AN53" s="30" t="s">
        <v>94</v>
      </c>
      <c r="AO53" s="30"/>
      <c r="AP53" s="28" t="s">
        <v>366</v>
      </c>
      <c r="AQ53" s="30" t="s">
        <v>113</v>
      </c>
    </row>
    <row r="54" spans="1:44" ht="15" customHeight="1" x14ac:dyDescent="0.25">
      <c r="A54" s="15">
        <v>10</v>
      </c>
      <c r="B54" s="15" t="s">
        <v>594</v>
      </c>
      <c r="C54" s="15" t="s">
        <v>463</v>
      </c>
      <c r="D54" s="13" t="s">
        <v>43</v>
      </c>
      <c r="E54" s="13">
        <v>1</v>
      </c>
      <c r="F54" s="13">
        <v>1</v>
      </c>
      <c r="G54" s="13">
        <v>1</v>
      </c>
      <c r="H54" s="13" t="s">
        <v>43</v>
      </c>
      <c r="I54" s="13" t="s">
        <v>43</v>
      </c>
      <c r="J54" s="13" t="s">
        <v>43</v>
      </c>
      <c r="K54" s="20"/>
      <c r="L54" s="20"/>
      <c r="M54" s="20"/>
      <c r="N54" s="20"/>
      <c r="O54" s="20"/>
      <c r="P54" s="13" t="s">
        <v>84</v>
      </c>
      <c r="Q54" s="13" t="s">
        <v>595</v>
      </c>
      <c r="R54" s="105" t="s">
        <v>962</v>
      </c>
      <c r="S54" s="15" t="s">
        <v>175</v>
      </c>
      <c r="T54" s="38">
        <f>15660/12</f>
        <v>1305</v>
      </c>
      <c r="U54" s="33" t="s">
        <v>175</v>
      </c>
      <c r="V54" s="78" t="s">
        <v>480</v>
      </c>
      <c r="W54" s="44" t="s">
        <v>596</v>
      </c>
      <c r="X54" s="25" t="s">
        <v>597</v>
      </c>
      <c r="Y54" s="15" t="s">
        <v>598</v>
      </c>
      <c r="Z54" s="13" t="s">
        <v>219</v>
      </c>
      <c r="AA54" s="108" t="s">
        <v>1249</v>
      </c>
      <c r="AB54" s="17" t="s">
        <v>599</v>
      </c>
      <c r="AC54" s="113" t="s">
        <v>87</v>
      </c>
      <c r="AD54" s="15" t="s">
        <v>600</v>
      </c>
      <c r="AE54" s="114" t="s">
        <v>67</v>
      </c>
      <c r="AF54" s="114" t="s">
        <v>67</v>
      </c>
      <c r="AG54" s="112" t="s">
        <v>1015</v>
      </c>
      <c r="AH54" s="112" t="s">
        <v>1031</v>
      </c>
      <c r="AI54" s="18" t="s">
        <v>68</v>
      </c>
      <c r="AJ54" s="23" t="s">
        <v>601</v>
      </c>
      <c r="AK54" s="15" t="s">
        <v>602</v>
      </c>
      <c r="AL54" s="15" t="s">
        <v>603</v>
      </c>
      <c r="AM54" s="29" t="s">
        <v>604</v>
      </c>
      <c r="AN54" s="13" t="s">
        <v>73</v>
      </c>
      <c r="AO54" s="111" t="s">
        <v>1175</v>
      </c>
      <c r="AP54" s="64" t="s">
        <v>605</v>
      </c>
      <c r="AQ54" s="30" t="s">
        <v>73</v>
      </c>
      <c r="AR54" s="15" t="s">
        <v>541</v>
      </c>
    </row>
    <row r="55" spans="1:44" ht="15" hidden="1" customHeight="1" x14ac:dyDescent="0.25">
      <c r="A55" s="15">
        <v>0</v>
      </c>
      <c r="B55" s="15" t="s">
        <v>390</v>
      </c>
      <c r="C55" s="15" t="s">
        <v>128</v>
      </c>
      <c r="D55" s="15" t="s">
        <v>40</v>
      </c>
      <c r="E55" s="13">
        <v>3</v>
      </c>
      <c r="F55" s="13">
        <v>4</v>
      </c>
      <c r="G55" s="13">
        <v>3</v>
      </c>
      <c r="H55" s="13" t="s">
        <v>41</v>
      </c>
      <c r="I55" s="13" t="s">
        <v>40</v>
      </c>
      <c r="J55" s="13" t="s">
        <v>41</v>
      </c>
      <c r="K55" s="20"/>
      <c r="L55" s="20"/>
      <c r="M55" s="20"/>
      <c r="N55" s="20"/>
      <c r="O55" s="20"/>
      <c r="P55" s="13" t="s">
        <v>55</v>
      </c>
      <c r="Q55" s="15" t="s">
        <v>56</v>
      </c>
      <c r="R55" s="15"/>
      <c r="T55" s="15" t="s">
        <v>354</v>
      </c>
      <c r="U55" s="38" t="s">
        <v>59</v>
      </c>
      <c r="V55" s="38" t="s">
        <v>59</v>
      </c>
      <c r="W55" s="15" t="s">
        <v>354</v>
      </c>
      <c r="X55" s="25" t="s">
        <v>59</v>
      </c>
      <c r="Y55" s="15" t="s">
        <v>59</v>
      </c>
      <c r="Z55" s="13" t="s">
        <v>63</v>
      </c>
      <c r="AA55" s="13"/>
      <c r="AB55" s="19" t="s">
        <v>76</v>
      </c>
      <c r="AC55" s="26" t="s">
        <v>65</v>
      </c>
      <c r="AD55" s="15" t="s">
        <v>383</v>
      </c>
      <c r="AE55" s="27" t="s">
        <v>67</v>
      </c>
      <c r="AF55" s="27" t="s">
        <v>67</v>
      </c>
      <c r="AG55" t="s">
        <v>384</v>
      </c>
      <c r="AH55" t="s">
        <v>384</v>
      </c>
      <c r="AI55" s="18" t="s">
        <v>68</v>
      </c>
      <c r="AJ55" s="15" t="s">
        <v>384</v>
      </c>
      <c r="AK55" s="15" t="s">
        <v>59</v>
      </c>
      <c r="AL55" s="15" t="s">
        <v>59</v>
      </c>
      <c r="AM55" s="51" t="s">
        <v>391</v>
      </c>
      <c r="AN55" s="36" t="s">
        <v>113</v>
      </c>
      <c r="AO55" s="36"/>
      <c r="AP55" s="51" t="s">
        <v>391</v>
      </c>
      <c r="AQ55" s="30" t="s">
        <v>94</v>
      </c>
    </row>
    <row r="56" spans="1:44" ht="15" customHeight="1" x14ac:dyDescent="0.25">
      <c r="A56" s="15">
        <v>1</v>
      </c>
      <c r="B56" s="15" t="s">
        <v>254</v>
      </c>
      <c r="C56" s="15" t="s">
        <v>227</v>
      </c>
      <c r="D56" s="13" t="s">
        <v>42</v>
      </c>
      <c r="E56" s="13">
        <v>1</v>
      </c>
      <c r="F56" s="13">
        <v>1</v>
      </c>
      <c r="G56" s="13">
        <v>1</v>
      </c>
      <c r="H56" s="13" t="s">
        <v>43</v>
      </c>
      <c r="I56" s="13" t="s">
        <v>43</v>
      </c>
      <c r="J56" s="13" t="s">
        <v>43</v>
      </c>
      <c r="K56" s="20"/>
      <c r="L56" s="20"/>
      <c r="M56" s="20"/>
      <c r="N56" s="20"/>
      <c r="O56" s="20"/>
      <c r="P56" s="13" t="s">
        <v>55</v>
      </c>
      <c r="Q56" s="13" t="s">
        <v>56</v>
      </c>
      <c r="R56" s="103" t="s">
        <v>945</v>
      </c>
      <c r="T56" s="15" t="s">
        <v>247</v>
      </c>
      <c r="U56" s="33" t="s">
        <v>59</v>
      </c>
      <c r="V56" s="33" t="s">
        <v>59</v>
      </c>
      <c r="W56" s="15" t="s">
        <v>248</v>
      </c>
      <c r="X56" s="15" t="s">
        <v>59</v>
      </c>
      <c r="Y56" s="25" t="s">
        <v>59</v>
      </c>
      <c r="Z56" s="13" t="s">
        <v>63</v>
      </c>
      <c r="AA56" s="108" t="s">
        <v>1244</v>
      </c>
      <c r="AB56" s="46" t="s">
        <v>255</v>
      </c>
      <c r="AC56" s="113" t="s">
        <v>87</v>
      </c>
      <c r="AD56" s="15" t="s">
        <v>59</v>
      </c>
      <c r="AE56" s="114" t="s">
        <v>67</v>
      </c>
      <c r="AF56" s="114" t="s">
        <v>67</v>
      </c>
      <c r="AG56" t="s">
        <v>1030</v>
      </c>
      <c r="AH56" t="s">
        <v>1000</v>
      </c>
      <c r="AI56" s="18" t="s">
        <v>239</v>
      </c>
      <c r="AJ56" s="12" t="s">
        <v>256</v>
      </c>
      <c r="AK56" s="15" t="s">
        <v>257</v>
      </c>
      <c r="AL56" s="15" t="s">
        <v>242</v>
      </c>
      <c r="AM56" s="29" t="s">
        <v>258</v>
      </c>
      <c r="AN56" s="13" t="s">
        <v>94</v>
      </c>
      <c r="AO56" s="111" t="s">
        <v>986</v>
      </c>
      <c r="AP56" s="50" t="s">
        <v>259</v>
      </c>
      <c r="AQ56" s="30" t="s">
        <v>73</v>
      </c>
      <c r="AR56" s="15" t="s">
        <v>260</v>
      </c>
    </row>
    <row r="57" spans="1:44" ht="15" hidden="1" customHeight="1" x14ac:dyDescent="0.25">
      <c r="A57" s="15">
        <v>0</v>
      </c>
      <c r="B57" s="15" t="s">
        <v>399</v>
      </c>
      <c r="C57" s="15" t="s">
        <v>359</v>
      </c>
      <c r="D57" s="15" t="s">
        <v>42</v>
      </c>
      <c r="E57" s="13">
        <v>1</v>
      </c>
      <c r="F57" s="13">
        <v>1</v>
      </c>
      <c r="G57" s="13">
        <v>1</v>
      </c>
      <c r="H57" s="13" t="s">
        <v>43</v>
      </c>
      <c r="I57" s="13" t="s">
        <v>43</v>
      </c>
      <c r="J57" s="13" t="s">
        <v>43</v>
      </c>
      <c r="K57" s="20"/>
      <c r="L57" s="20"/>
      <c r="M57" s="20"/>
      <c r="N57" s="20"/>
      <c r="O57" s="20"/>
      <c r="P57" s="13" t="s">
        <v>84</v>
      </c>
      <c r="Q57" s="15" t="s">
        <v>56</v>
      </c>
      <c r="R57" s="15"/>
      <c r="T57" s="15" t="s">
        <v>354</v>
      </c>
      <c r="U57" s="38" t="s">
        <v>59</v>
      </c>
      <c r="V57" s="38" t="s">
        <v>59</v>
      </c>
      <c r="W57" s="15" t="s">
        <v>354</v>
      </c>
      <c r="X57" s="25" t="s">
        <v>59</v>
      </c>
      <c r="Y57" s="15" t="s">
        <v>59</v>
      </c>
      <c r="Z57" s="13" t="s">
        <v>63</v>
      </c>
      <c r="AA57" s="13"/>
      <c r="AB57" s="19" t="s">
        <v>76</v>
      </c>
      <c r="AC57" s="26" t="s">
        <v>65</v>
      </c>
      <c r="AD57" s="15" t="s">
        <v>394</v>
      </c>
      <c r="AE57" s="27" t="s">
        <v>67</v>
      </c>
      <c r="AF57" s="27" t="s">
        <v>67</v>
      </c>
      <c r="AG57" t="s">
        <v>395</v>
      </c>
      <c r="AH57" t="s">
        <v>395</v>
      </c>
      <c r="AI57" s="18" t="s">
        <v>68</v>
      </c>
      <c r="AJ57" s="15" t="s">
        <v>395</v>
      </c>
      <c r="AK57" s="15" t="s">
        <v>396</v>
      </c>
      <c r="AL57" s="15" t="s">
        <v>223</v>
      </c>
      <c r="AM57" s="29" t="s">
        <v>397</v>
      </c>
      <c r="AN57" s="36" t="s">
        <v>113</v>
      </c>
      <c r="AO57" s="36"/>
      <c r="AP57" s="28" t="s">
        <v>398</v>
      </c>
      <c r="AQ57" s="30" t="s">
        <v>113</v>
      </c>
    </row>
    <row r="58" spans="1:44" ht="15" customHeight="1" x14ac:dyDescent="0.25">
      <c r="A58" s="15">
        <v>1</v>
      </c>
      <c r="B58" s="15" t="s">
        <v>246</v>
      </c>
      <c r="C58" s="15" t="s">
        <v>227</v>
      </c>
      <c r="D58" s="13" t="s">
        <v>42</v>
      </c>
      <c r="E58" s="13">
        <v>1</v>
      </c>
      <c r="F58" s="13">
        <v>1</v>
      </c>
      <c r="G58" s="13">
        <v>1</v>
      </c>
      <c r="H58" s="13" t="s">
        <v>43</v>
      </c>
      <c r="I58" s="13" t="s">
        <v>43</v>
      </c>
      <c r="J58" s="13" t="s">
        <v>43</v>
      </c>
      <c r="K58" s="20"/>
      <c r="L58" s="20"/>
      <c r="M58" s="20"/>
      <c r="N58" s="20"/>
      <c r="O58" s="20"/>
      <c r="P58" s="13" t="s">
        <v>84</v>
      </c>
      <c r="Q58" s="13" t="s">
        <v>56</v>
      </c>
      <c r="R58" s="103" t="s">
        <v>945</v>
      </c>
      <c r="T58" s="15" t="s">
        <v>247</v>
      </c>
      <c r="U58" s="33" t="s">
        <v>59</v>
      </c>
      <c r="V58" s="33" t="s">
        <v>59</v>
      </c>
      <c r="W58" s="15" t="s">
        <v>248</v>
      </c>
      <c r="X58" s="15" t="s">
        <v>59</v>
      </c>
      <c r="Y58" s="25" t="s">
        <v>59</v>
      </c>
      <c r="Z58" s="13" t="s">
        <v>219</v>
      </c>
      <c r="AA58" s="108" t="s">
        <v>1249</v>
      </c>
      <c r="AB58" s="46" t="s">
        <v>238</v>
      </c>
      <c r="AC58" s="113" t="s">
        <v>87</v>
      </c>
      <c r="AD58" s="15" t="s">
        <v>59</v>
      </c>
      <c r="AE58" s="114" t="s">
        <v>67</v>
      </c>
      <c r="AF58" s="114" t="s">
        <v>67</v>
      </c>
      <c r="AG58" t="s">
        <v>1030</v>
      </c>
      <c r="AH58" t="s">
        <v>1000</v>
      </c>
      <c r="AI58" s="18" t="s">
        <v>239</v>
      </c>
      <c r="AJ58" s="12" t="s">
        <v>249</v>
      </c>
      <c r="AK58" s="15" t="s">
        <v>250</v>
      </c>
      <c r="AL58" s="15" t="s">
        <v>251</v>
      </c>
      <c r="AM58" s="29" t="s">
        <v>252</v>
      </c>
      <c r="AN58" s="13" t="s">
        <v>94</v>
      </c>
      <c r="AO58" s="118" t="s">
        <v>1079</v>
      </c>
      <c r="AP58" s="43" t="s">
        <v>252</v>
      </c>
      <c r="AQ58" s="30" t="s">
        <v>94</v>
      </c>
      <c r="AR58" s="17" t="s">
        <v>253</v>
      </c>
    </row>
    <row r="59" spans="1:44" ht="15" customHeight="1" x14ac:dyDescent="0.25">
      <c r="A59" s="15">
        <v>1</v>
      </c>
      <c r="B59" s="15" t="s">
        <v>235</v>
      </c>
      <c r="C59" s="15" t="s">
        <v>54</v>
      </c>
      <c r="D59" s="13" t="s">
        <v>41</v>
      </c>
      <c r="E59" s="13">
        <v>2</v>
      </c>
      <c r="F59" s="13">
        <v>2</v>
      </c>
      <c r="G59" s="13">
        <v>2</v>
      </c>
      <c r="H59" s="13" t="s">
        <v>42</v>
      </c>
      <c r="I59" s="13" t="s">
        <v>42</v>
      </c>
      <c r="J59" s="13" t="s">
        <v>42</v>
      </c>
      <c r="K59" s="20"/>
      <c r="L59" s="20"/>
      <c r="M59" s="20"/>
      <c r="N59" s="20"/>
      <c r="O59" s="20"/>
      <c r="P59" s="13" t="s">
        <v>55</v>
      </c>
      <c r="Q59" s="13" t="s">
        <v>56</v>
      </c>
      <c r="R59" s="103" t="s">
        <v>945</v>
      </c>
      <c r="T59" s="38">
        <v>1408.33</v>
      </c>
      <c r="U59" s="33" t="s">
        <v>58</v>
      </c>
      <c r="V59" s="33" t="s">
        <v>59</v>
      </c>
      <c r="W59" s="25" t="s">
        <v>236</v>
      </c>
      <c r="X59" s="25" t="s">
        <v>59</v>
      </c>
      <c r="Y59" s="25" t="s">
        <v>237</v>
      </c>
      <c r="Z59" s="13" t="s">
        <v>219</v>
      </c>
      <c r="AA59" s="108" t="s">
        <v>1249</v>
      </c>
      <c r="AB59" s="46" t="s">
        <v>238</v>
      </c>
      <c r="AC59" s="113" t="s">
        <v>87</v>
      </c>
      <c r="AD59" s="15" t="s">
        <v>59</v>
      </c>
      <c r="AE59" s="114" t="s">
        <v>67</v>
      </c>
      <c r="AF59" s="114" t="s">
        <v>67</v>
      </c>
      <c r="AG59" t="s">
        <v>1030</v>
      </c>
      <c r="AH59" t="s">
        <v>90</v>
      </c>
      <c r="AI59" s="18" t="s">
        <v>239</v>
      </c>
      <c r="AJ59" s="12" t="s">
        <v>240</v>
      </c>
      <c r="AK59" s="47" t="s">
        <v>241</v>
      </c>
      <c r="AL59" s="15" t="s">
        <v>242</v>
      </c>
      <c r="AM59" s="29" t="s">
        <v>243</v>
      </c>
      <c r="AN59" s="13" t="s">
        <v>73</v>
      </c>
      <c r="AO59" s="111" t="s">
        <v>1081</v>
      </c>
      <c r="AP59" s="48" t="s">
        <v>244</v>
      </c>
      <c r="AQ59" s="30" t="s">
        <v>73</v>
      </c>
      <c r="AR59" s="49" t="s">
        <v>245</v>
      </c>
    </row>
    <row r="60" spans="1:44" ht="15" customHeight="1" x14ac:dyDescent="0.25">
      <c r="A60" s="15">
        <v>1</v>
      </c>
      <c r="B60" s="42" t="s">
        <v>144</v>
      </c>
      <c r="C60" s="15" t="s">
        <v>128</v>
      </c>
      <c r="D60" s="13" t="s">
        <v>40</v>
      </c>
      <c r="E60" s="13">
        <v>4</v>
      </c>
      <c r="F60" s="13">
        <v>4</v>
      </c>
      <c r="G60" s="13">
        <v>4</v>
      </c>
      <c r="H60" s="13" t="s">
        <v>40</v>
      </c>
      <c r="I60" s="13" t="s">
        <v>40</v>
      </c>
      <c r="J60" s="13" t="s">
        <v>40</v>
      </c>
      <c r="K60" s="20"/>
      <c r="L60" s="20"/>
      <c r="M60" s="20"/>
      <c r="N60" s="20"/>
      <c r="O60" s="20"/>
      <c r="P60" s="13" t="s">
        <v>55</v>
      </c>
      <c r="Q60" s="13" t="s">
        <v>56</v>
      </c>
      <c r="R60" s="103" t="s">
        <v>939</v>
      </c>
      <c r="T60" s="15" t="s">
        <v>115</v>
      </c>
      <c r="U60" s="33" t="s">
        <v>59</v>
      </c>
      <c r="V60" s="33" t="s">
        <v>59</v>
      </c>
      <c r="W60" s="38" t="s">
        <v>59</v>
      </c>
      <c r="X60" s="38" t="s">
        <v>59</v>
      </c>
      <c r="Y60" s="38" t="s">
        <v>59</v>
      </c>
      <c r="Z60" s="13" t="s">
        <v>63</v>
      </c>
      <c r="AA60" s="108" t="s">
        <v>1245</v>
      </c>
      <c r="AB60" s="15" t="s">
        <v>116</v>
      </c>
      <c r="AC60" s="113" t="s">
        <v>65</v>
      </c>
      <c r="AD60" s="15" t="s">
        <v>59</v>
      </c>
      <c r="AE60" s="114" t="s">
        <v>67</v>
      </c>
      <c r="AF60" s="114" t="s">
        <v>67</v>
      </c>
      <c r="AG60" s="15" t="s">
        <v>1029</v>
      </c>
      <c r="AH60" t="s">
        <v>996</v>
      </c>
      <c r="AI60" s="18" t="s">
        <v>68</v>
      </c>
      <c r="AJ60" s="15" t="s">
        <v>109</v>
      </c>
      <c r="AK60" s="15" t="s">
        <v>145</v>
      </c>
      <c r="AL60" s="15" t="s">
        <v>145</v>
      </c>
      <c r="AM60" s="29" t="s">
        <v>146</v>
      </c>
      <c r="AN60" s="13" t="s">
        <v>94</v>
      </c>
      <c r="AO60" s="111"/>
      <c r="AP60" s="19" t="s">
        <v>146</v>
      </c>
      <c r="AQ60" s="30" t="s">
        <v>94</v>
      </c>
    </row>
    <row r="61" spans="1:44" ht="15" hidden="1" customHeight="1" x14ac:dyDescent="0.25">
      <c r="A61" s="15">
        <v>0</v>
      </c>
      <c r="B61" s="15" t="s">
        <v>420</v>
      </c>
      <c r="C61" s="15" t="s">
        <v>359</v>
      </c>
      <c r="D61" s="15" t="s">
        <v>42</v>
      </c>
      <c r="E61" s="13">
        <v>1</v>
      </c>
      <c r="F61" s="13">
        <v>1</v>
      </c>
      <c r="G61" s="13">
        <v>1</v>
      </c>
      <c r="H61" s="13" t="s">
        <v>43</v>
      </c>
      <c r="I61" s="13" t="s">
        <v>43</v>
      </c>
      <c r="J61" s="13" t="s">
        <v>43</v>
      </c>
      <c r="K61" s="20"/>
      <c r="L61" s="20"/>
      <c r="M61" s="20"/>
      <c r="N61" s="20"/>
      <c r="O61" s="20"/>
      <c r="P61" s="13" t="s">
        <v>55</v>
      </c>
      <c r="Q61" s="15" t="s">
        <v>56</v>
      </c>
      <c r="R61" s="15"/>
      <c r="T61" s="15" t="s">
        <v>412</v>
      </c>
      <c r="U61" s="38" t="s">
        <v>59</v>
      </c>
      <c r="V61" s="38" t="s">
        <v>59</v>
      </c>
      <c r="W61" s="15" t="s">
        <v>413</v>
      </c>
      <c r="X61" s="25" t="s">
        <v>59</v>
      </c>
      <c r="Y61" s="15" t="s">
        <v>59</v>
      </c>
      <c r="Z61" s="53" t="s">
        <v>219</v>
      </c>
      <c r="AA61" s="53"/>
      <c r="AB61" s="19" t="s">
        <v>414</v>
      </c>
      <c r="AC61" s="26" t="s">
        <v>65</v>
      </c>
      <c r="AD61" s="15" t="s">
        <v>404</v>
      </c>
      <c r="AE61" s="27" t="s">
        <v>67</v>
      </c>
      <c r="AF61" s="27" t="s">
        <v>67</v>
      </c>
      <c r="AG61" t="s">
        <v>415</v>
      </c>
      <c r="AH61" t="s">
        <v>415</v>
      </c>
      <c r="AI61" s="18" t="s">
        <v>68</v>
      </c>
      <c r="AJ61" s="52" t="s">
        <v>415</v>
      </c>
      <c r="AK61" s="15" t="s">
        <v>421</v>
      </c>
      <c r="AL61" s="15" t="s">
        <v>422</v>
      </c>
      <c r="AM61" s="29" t="s">
        <v>365</v>
      </c>
      <c r="AN61" s="30" t="s">
        <v>94</v>
      </c>
      <c r="AO61" s="30"/>
      <c r="AP61" s="28" t="s">
        <v>366</v>
      </c>
      <c r="AQ61" s="30" t="s">
        <v>113</v>
      </c>
    </row>
    <row r="62" spans="1:44" ht="15" hidden="1" customHeight="1" x14ac:dyDescent="0.25">
      <c r="A62" s="15">
        <v>0</v>
      </c>
      <c r="B62" s="15" t="s">
        <v>423</v>
      </c>
      <c r="C62" s="15" t="s">
        <v>359</v>
      </c>
      <c r="D62" s="15" t="s">
        <v>42</v>
      </c>
      <c r="E62" s="13">
        <v>1</v>
      </c>
      <c r="F62" s="13">
        <v>1</v>
      </c>
      <c r="G62" s="13">
        <v>1</v>
      </c>
      <c r="H62" s="13" t="s">
        <v>43</v>
      </c>
      <c r="I62" s="13" t="s">
        <v>43</v>
      </c>
      <c r="J62" s="13" t="s">
        <v>43</v>
      </c>
      <c r="K62" s="20"/>
      <c r="L62" s="20"/>
      <c r="M62" s="20"/>
      <c r="N62" s="20"/>
      <c r="O62" s="20"/>
      <c r="P62" s="13" t="s">
        <v>55</v>
      </c>
      <c r="Q62" s="15" t="s">
        <v>56</v>
      </c>
      <c r="R62" s="15"/>
      <c r="T62" s="15" t="s">
        <v>412</v>
      </c>
      <c r="U62" s="38" t="s">
        <v>59</v>
      </c>
      <c r="V62" s="38" t="s">
        <v>59</v>
      </c>
      <c r="W62" s="15" t="s">
        <v>413</v>
      </c>
      <c r="X62" s="25" t="s">
        <v>59</v>
      </c>
      <c r="Y62" s="15" t="s">
        <v>59</v>
      </c>
      <c r="Z62" s="53" t="s">
        <v>219</v>
      </c>
      <c r="AA62" s="53"/>
      <c r="AB62" s="19" t="s">
        <v>414</v>
      </c>
      <c r="AC62" s="26" t="s">
        <v>65</v>
      </c>
      <c r="AD62" s="15" t="s">
        <v>404</v>
      </c>
      <c r="AE62" s="27" t="s">
        <v>405</v>
      </c>
      <c r="AF62" s="27" t="s">
        <v>67</v>
      </c>
      <c r="AG62" t="s">
        <v>425</v>
      </c>
      <c r="AH62" t="s">
        <v>425</v>
      </c>
      <c r="AI62" s="18" t="s">
        <v>424</v>
      </c>
      <c r="AJ62" s="44" t="s">
        <v>425</v>
      </c>
      <c r="AK62" s="15" t="s">
        <v>426</v>
      </c>
      <c r="AL62" s="15" t="s">
        <v>427</v>
      </c>
      <c r="AM62" s="68" t="s">
        <v>428</v>
      </c>
      <c r="AN62" s="36" t="s">
        <v>73</v>
      </c>
      <c r="AO62" s="36"/>
      <c r="AP62" s="61" t="s">
        <v>429</v>
      </c>
      <c r="AQ62" s="30" t="s">
        <v>73</v>
      </c>
      <c r="AR62" s="15" t="s">
        <v>430</v>
      </c>
    </row>
    <row r="63" spans="1:44" ht="15" hidden="1" customHeight="1" x14ac:dyDescent="0.25">
      <c r="B63" s="16" t="s">
        <v>431</v>
      </c>
      <c r="H63" s="13"/>
      <c r="I63" s="13"/>
      <c r="J63" s="13"/>
      <c r="K63" s="20"/>
      <c r="L63" s="20"/>
      <c r="M63" s="20"/>
      <c r="N63" s="20"/>
      <c r="O63" s="20"/>
      <c r="P63" s="13"/>
      <c r="R63" s="15"/>
      <c r="T63" s="38"/>
      <c r="U63" s="31"/>
      <c r="V63" s="31"/>
      <c r="Z63" s="13"/>
      <c r="AA63" s="13"/>
      <c r="AB63" s="17"/>
      <c r="AC63" s="17"/>
      <c r="AG63">
        <v>0</v>
      </c>
      <c r="AH63">
        <v>0</v>
      </c>
      <c r="AM63" s="15"/>
      <c r="AN63" s="15"/>
      <c r="AO63" s="15"/>
      <c r="AQ63" s="15"/>
    </row>
    <row r="64" spans="1:44" ht="15" customHeight="1" x14ac:dyDescent="0.25">
      <c r="A64" s="15">
        <v>1</v>
      </c>
      <c r="B64" s="37" t="s">
        <v>119</v>
      </c>
      <c r="C64" s="15" t="s">
        <v>103</v>
      </c>
      <c r="D64" s="13" t="s">
        <v>39</v>
      </c>
      <c r="E64" s="13">
        <v>5</v>
      </c>
      <c r="F64" s="13">
        <v>5</v>
      </c>
      <c r="G64" s="13">
        <v>5</v>
      </c>
      <c r="H64" s="13" t="s">
        <v>39</v>
      </c>
      <c r="I64" s="13" t="s">
        <v>39</v>
      </c>
      <c r="J64" s="13" t="s">
        <v>39</v>
      </c>
      <c r="K64" s="20"/>
      <c r="L64" s="20"/>
      <c r="M64" s="20"/>
      <c r="N64" s="20"/>
      <c r="O64" s="20"/>
      <c r="P64" s="13" t="s">
        <v>55</v>
      </c>
      <c r="Q64" s="13" t="s">
        <v>56</v>
      </c>
      <c r="R64" s="103" t="s">
        <v>939</v>
      </c>
      <c r="T64" s="15" t="s">
        <v>115</v>
      </c>
      <c r="U64" s="33" t="s">
        <v>59</v>
      </c>
      <c r="V64" s="33" t="s">
        <v>59</v>
      </c>
      <c r="W64" s="38" t="s">
        <v>59</v>
      </c>
      <c r="X64" s="38" t="s">
        <v>59</v>
      </c>
      <c r="Y64" s="38" t="s">
        <v>59</v>
      </c>
      <c r="Z64" s="13" t="s">
        <v>884</v>
      </c>
      <c r="AA64" s="108" t="s">
        <v>1246</v>
      </c>
      <c r="AB64" s="15" t="s">
        <v>116</v>
      </c>
      <c r="AC64" s="113" t="s">
        <v>65</v>
      </c>
      <c r="AE64" s="114" t="s">
        <v>67</v>
      </c>
      <c r="AF64" s="114" t="s">
        <v>67</v>
      </c>
      <c r="AG64" s="15" t="s">
        <v>1029</v>
      </c>
      <c r="AH64" t="s">
        <v>996</v>
      </c>
      <c r="AI64" s="18" t="s">
        <v>68</v>
      </c>
      <c r="AJ64" s="15" t="s">
        <v>109</v>
      </c>
      <c r="AK64" s="15" t="s">
        <v>120</v>
      </c>
      <c r="AM64" s="29" t="s">
        <v>121</v>
      </c>
      <c r="AN64" s="13" t="s">
        <v>113</v>
      </c>
      <c r="AO64" s="111" t="s">
        <v>121</v>
      </c>
      <c r="AP64" s="39" t="s">
        <v>122</v>
      </c>
      <c r="AQ64" s="36" t="s">
        <v>113</v>
      </c>
    </row>
    <row r="65" spans="1:44" s="47" customFormat="1" ht="15" customHeight="1" x14ac:dyDescent="0.25">
      <c r="A65" s="15">
        <v>1</v>
      </c>
      <c r="B65" s="37" t="s">
        <v>114</v>
      </c>
      <c r="C65" s="15" t="s">
        <v>103</v>
      </c>
      <c r="D65" s="13" t="s">
        <v>39</v>
      </c>
      <c r="E65" s="13">
        <v>5</v>
      </c>
      <c r="F65" s="13">
        <v>5</v>
      </c>
      <c r="G65" s="13">
        <v>5</v>
      </c>
      <c r="H65" s="13" t="s">
        <v>39</v>
      </c>
      <c r="I65" s="13" t="s">
        <v>39</v>
      </c>
      <c r="J65" s="13" t="s">
        <v>39</v>
      </c>
      <c r="K65" s="20"/>
      <c r="L65" s="20"/>
      <c r="M65" s="20"/>
      <c r="N65" s="20"/>
      <c r="O65" s="20"/>
      <c r="P65" s="13" t="s">
        <v>55</v>
      </c>
      <c r="Q65" s="13" t="s">
        <v>56</v>
      </c>
      <c r="R65" s="103" t="s">
        <v>939</v>
      </c>
      <c r="S65" s="15"/>
      <c r="T65" s="15" t="s">
        <v>115</v>
      </c>
      <c r="U65" s="33" t="s">
        <v>59</v>
      </c>
      <c r="V65" s="33" t="s">
        <v>59</v>
      </c>
      <c r="W65" s="38" t="s">
        <v>59</v>
      </c>
      <c r="X65" s="38" t="s">
        <v>59</v>
      </c>
      <c r="Y65" s="38" t="s">
        <v>59</v>
      </c>
      <c r="Z65" s="13" t="s">
        <v>884</v>
      </c>
      <c r="AA65" s="108" t="s">
        <v>1247</v>
      </c>
      <c r="AB65" s="15" t="s">
        <v>116</v>
      </c>
      <c r="AC65" s="113" t="s">
        <v>65</v>
      </c>
      <c r="AD65" s="15"/>
      <c r="AE65" s="114" t="s">
        <v>67</v>
      </c>
      <c r="AF65" s="114" t="s">
        <v>67</v>
      </c>
      <c r="AG65" s="15" t="s">
        <v>1029</v>
      </c>
      <c r="AH65" t="s">
        <v>996</v>
      </c>
      <c r="AI65" s="18" t="s">
        <v>68</v>
      </c>
      <c r="AJ65" s="15" t="s">
        <v>109</v>
      </c>
      <c r="AK65" s="15" t="s">
        <v>117</v>
      </c>
      <c r="AL65" s="15"/>
      <c r="AM65" s="29" t="s">
        <v>985</v>
      </c>
      <c r="AN65" s="13" t="s">
        <v>113</v>
      </c>
      <c r="AO65" s="111" t="s">
        <v>985</v>
      </c>
      <c r="AP65" s="39" t="s">
        <v>118</v>
      </c>
      <c r="AQ65" s="36" t="s">
        <v>113</v>
      </c>
      <c r="AR65" s="15"/>
    </row>
    <row r="66" spans="1:44" ht="15" hidden="1" customHeight="1" x14ac:dyDescent="0.25">
      <c r="A66" s="15">
        <v>0</v>
      </c>
      <c r="B66" s="15" t="s">
        <v>456</v>
      </c>
      <c r="C66" s="15" t="s">
        <v>128</v>
      </c>
      <c r="D66" s="15" t="s">
        <v>40</v>
      </c>
      <c r="E66" s="13">
        <v>3</v>
      </c>
      <c r="F66" s="13">
        <v>4</v>
      </c>
      <c r="G66" s="13">
        <v>3</v>
      </c>
      <c r="H66" s="13" t="s">
        <v>41</v>
      </c>
      <c r="I66" s="13" t="s">
        <v>40</v>
      </c>
      <c r="J66" s="13" t="s">
        <v>41</v>
      </c>
      <c r="K66" s="20"/>
      <c r="L66" s="20"/>
      <c r="M66" s="20"/>
      <c r="N66" s="20"/>
      <c r="O66" s="20"/>
      <c r="P66" s="13" t="s">
        <v>148</v>
      </c>
      <c r="Q66" s="15" t="s">
        <v>56</v>
      </c>
      <c r="R66" s="15"/>
      <c r="T66" s="15" t="s">
        <v>76</v>
      </c>
      <c r="U66" s="38" t="s">
        <v>59</v>
      </c>
      <c r="V66" s="31" t="s">
        <v>68</v>
      </c>
      <c r="W66" s="15" t="s">
        <v>76</v>
      </c>
      <c r="X66" s="15" t="s">
        <v>59</v>
      </c>
      <c r="Y66" s="15" t="s">
        <v>59</v>
      </c>
      <c r="Z66" s="13" t="s">
        <v>219</v>
      </c>
      <c r="AA66" s="13"/>
      <c r="AB66" s="19" t="s">
        <v>76</v>
      </c>
      <c r="AC66" s="26" t="s">
        <v>437</v>
      </c>
      <c r="AD66" s="15" t="s">
        <v>59</v>
      </c>
      <c r="AE66" s="69" t="s">
        <v>405</v>
      </c>
      <c r="AF66" s="69" t="s">
        <v>450</v>
      </c>
      <c r="AG66" t="s">
        <v>457</v>
      </c>
      <c r="AH66" t="s">
        <v>457</v>
      </c>
      <c r="AI66" s="66" t="s">
        <v>68</v>
      </c>
      <c r="AJ66" s="23" t="s">
        <v>457</v>
      </c>
      <c r="AK66" s="24" t="s">
        <v>458</v>
      </c>
      <c r="AL66" s="24" t="s">
        <v>459</v>
      </c>
      <c r="AM66" s="29" t="s">
        <v>460</v>
      </c>
      <c r="AN66" s="30" t="s">
        <v>94</v>
      </c>
      <c r="AO66" s="30"/>
      <c r="AP66" s="75" t="s">
        <v>461</v>
      </c>
      <c r="AQ66" s="30" t="s">
        <v>94</v>
      </c>
    </row>
    <row r="67" spans="1:44" ht="15" customHeight="1" x14ac:dyDescent="0.25">
      <c r="A67" s="15">
        <v>1</v>
      </c>
      <c r="B67" s="37" t="s">
        <v>1043</v>
      </c>
      <c r="C67" s="15" t="s">
        <v>128</v>
      </c>
      <c r="D67" s="13" t="s">
        <v>40</v>
      </c>
      <c r="E67" s="13">
        <v>4</v>
      </c>
      <c r="F67" s="13">
        <v>4</v>
      </c>
      <c r="G67" s="13">
        <v>4</v>
      </c>
      <c r="H67" s="13" t="s">
        <v>40</v>
      </c>
      <c r="I67" s="13" t="s">
        <v>40</v>
      </c>
      <c r="J67" s="13" t="s">
        <v>40</v>
      </c>
      <c r="K67" s="20"/>
      <c r="L67" s="20"/>
      <c r="M67" s="20"/>
      <c r="N67" s="20"/>
      <c r="O67" s="20"/>
      <c r="P67" s="13" t="s">
        <v>55</v>
      </c>
      <c r="Q67" s="13" t="s">
        <v>56</v>
      </c>
      <c r="R67" s="103" t="s">
        <v>939</v>
      </c>
      <c r="T67" s="15" t="s">
        <v>115</v>
      </c>
      <c r="U67" s="33" t="s">
        <v>59</v>
      </c>
      <c r="V67" s="33" t="s">
        <v>59</v>
      </c>
      <c r="W67" s="38" t="s">
        <v>59</v>
      </c>
      <c r="X67" s="38" t="s">
        <v>59</v>
      </c>
      <c r="Y67" s="38" t="s">
        <v>59</v>
      </c>
      <c r="Z67" s="13" t="s">
        <v>884</v>
      </c>
      <c r="AA67" s="108" t="s">
        <v>977</v>
      </c>
      <c r="AB67" s="15" t="s">
        <v>116</v>
      </c>
      <c r="AC67" s="113" t="s">
        <v>65</v>
      </c>
      <c r="AE67" s="114" t="s">
        <v>67</v>
      </c>
      <c r="AF67" s="114" t="s">
        <v>67</v>
      </c>
      <c r="AG67" s="15" t="s">
        <v>1029</v>
      </c>
      <c r="AH67" t="s">
        <v>996</v>
      </c>
      <c r="AI67" s="18" t="s">
        <v>68</v>
      </c>
      <c r="AJ67" s="15" t="s">
        <v>109</v>
      </c>
      <c r="AK67" s="15" t="s">
        <v>129</v>
      </c>
      <c r="AL67" s="15" t="s">
        <v>130</v>
      </c>
      <c r="AM67" s="29" t="s">
        <v>131</v>
      </c>
      <c r="AN67" s="13" t="s">
        <v>113</v>
      </c>
      <c r="AO67" s="118" t="s">
        <v>1110</v>
      </c>
      <c r="AP67" s="40" t="s">
        <v>132</v>
      </c>
      <c r="AQ67" s="30" t="s">
        <v>94</v>
      </c>
      <c r="AR67" s="15" t="s">
        <v>81</v>
      </c>
    </row>
    <row r="68" spans="1:44" ht="15" hidden="1" customHeight="1" x14ac:dyDescent="0.25">
      <c r="A68" s="15">
        <v>0</v>
      </c>
      <c r="B68" s="15" t="s">
        <v>473</v>
      </c>
      <c r="C68" s="15" t="s">
        <v>463</v>
      </c>
      <c r="D68" s="15" t="s">
        <v>43</v>
      </c>
      <c r="E68" s="13">
        <v>1</v>
      </c>
      <c r="F68" s="13">
        <v>1</v>
      </c>
      <c r="G68" s="13">
        <v>1</v>
      </c>
      <c r="H68" s="13" t="s">
        <v>43</v>
      </c>
      <c r="I68" s="13" t="s">
        <v>43</v>
      </c>
      <c r="J68" s="13" t="s">
        <v>43</v>
      </c>
      <c r="K68" s="20"/>
      <c r="L68" s="20"/>
      <c r="M68" s="20"/>
      <c r="N68" s="20"/>
      <c r="O68" s="20"/>
      <c r="P68" s="13" t="s">
        <v>55</v>
      </c>
      <c r="Q68" s="15" t="s">
        <v>56</v>
      </c>
      <c r="R68" s="15"/>
      <c r="T68" s="15" t="s">
        <v>76</v>
      </c>
      <c r="U68" s="38" t="s">
        <v>59</v>
      </c>
      <c r="V68" s="31" t="s">
        <v>68</v>
      </c>
      <c r="W68" s="25" t="s">
        <v>76</v>
      </c>
      <c r="X68" s="25" t="s">
        <v>59</v>
      </c>
      <c r="Y68" s="15" t="s">
        <v>59</v>
      </c>
      <c r="Z68" s="13" t="s">
        <v>219</v>
      </c>
      <c r="AA68" s="13"/>
      <c r="AB68" s="19" t="s">
        <v>76</v>
      </c>
      <c r="AC68" s="26" t="s">
        <v>437</v>
      </c>
      <c r="AE68" s="69" t="s">
        <v>405</v>
      </c>
      <c r="AF68" s="27" t="s">
        <v>450</v>
      </c>
      <c r="AG68" t="s">
        <v>474</v>
      </c>
      <c r="AH68" t="s">
        <v>474</v>
      </c>
      <c r="AI68" s="66" t="s">
        <v>68</v>
      </c>
      <c r="AJ68" s="15" t="s">
        <v>474</v>
      </c>
      <c r="AK68" s="24" t="s">
        <v>475</v>
      </c>
      <c r="AL68" s="24" t="s">
        <v>476</v>
      </c>
      <c r="AM68" s="64" t="s">
        <v>477</v>
      </c>
      <c r="AN68" s="30" t="s">
        <v>94</v>
      </c>
      <c r="AO68" s="30"/>
      <c r="AP68" s="64" t="s">
        <v>478</v>
      </c>
      <c r="AQ68" s="30" t="s">
        <v>73</v>
      </c>
      <c r="AR68" s="15" t="s">
        <v>308</v>
      </c>
    </row>
    <row r="69" spans="1:44" ht="15" customHeight="1" x14ac:dyDescent="0.25">
      <c r="A69" s="15">
        <v>1</v>
      </c>
      <c r="B69" s="37" t="s">
        <v>133</v>
      </c>
      <c r="C69" s="15" t="s">
        <v>103</v>
      </c>
      <c r="D69" s="13" t="s">
        <v>39</v>
      </c>
      <c r="E69" s="13">
        <v>5</v>
      </c>
      <c r="F69" s="13">
        <v>5</v>
      </c>
      <c r="G69" s="13">
        <v>5</v>
      </c>
      <c r="H69" s="13" t="s">
        <v>39</v>
      </c>
      <c r="I69" s="13" t="s">
        <v>39</v>
      </c>
      <c r="J69" s="13" t="s">
        <v>39</v>
      </c>
      <c r="K69" s="20"/>
      <c r="L69" s="20"/>
      <c r="M69" s="20"/>
      <c r="N69" s="20"/>
      <c r="O69" s="20"/>
      <c r="P69" s="13" t="s">
        <v>84</v>
      </c>
      <c r="Q69" s="13" t="s">
        <v>56</v>
      </c>
      <c r="R69" s="103" t="s">
        <v>939</v>
      </c>
      <c r="T69" s="15" t="s">
        <v>115</v>
      </c>
      <c r="U69" s="33" t="s">
        <v>59</v>
      </c>
      <c r="V69" s="33" t="s">
        <v>59</v>
      </c>
      <c r="W69" s="38" t="s">
        <v>59</v>
      </c>
      <c r="X69" s="38" t="s">
        <v>59</v>
      </c>
      <c r="Y69" s="38" t="s">
        <v>59</v>
      </c>
      <c r="Z69" s="13" t="s">
        <v>884</v>
      </c>
      <c r="AA69" s="108" t="s">
        <v>1231</v>
      </c>
      <c r="AB69" s="17" t="s">
        <v>134</v>
      </c>
      <c r="AC69" s="113" t="s">
        <v>65</v>
      </c>
      <c r="AE69" s="114" t="s">
        <v>67</v>
      </c>
      <c r="AF69" s="114" t="s">
        <v>67</v>
      </c>
      <c r="AG69" s="15" t="s">
        <v>1029</v>
      </c>
      <c r="AH69" t="s">
        <v>996</v>
      </c>
      <c r="AI69" s="18" t="s">
        <v>68</v>
      </c>
      <c r="AJ69" s="15" t="s">
        <v>109</v>
      </c>
      <c r="AK69" s="15" t="s">
        <v>135</v>
      </c>
      <c r="AL69" s="15" t="s">
        <v>136</v>
      </c>
      <c r="AM69" s="29" t="s">
        <v>137</v>
      </c>
      <c r="AN69" s="13" t="s">
        <v>113</v>
      </c>
      <c r="AO69" s="111" t="s">
        <v>137</v>
      </c>
      <c r="AP69" s="39" t="s">
        <v>138</v>
      </c>
      <c r="AQ69" s="36" t="s">
        <v>113</v>
      </c>
    </row>
    <row r="70" spans="1:44" ht="15" hidden="1" customHeight="1" x14ac:dyDescent="0.25">
      <c r="A70" s="15">
        <v>0</v>
      </c>
      <c r="B70" s="15" t="s">
        <v>490</v>
      </c>
      <c r="C70" s="15" t="s">
        <v>310</v>
      </c>
      <c r="D70" s="15" t="s">
        <v>41</v>
      </c>
      <c r="E70" s="13">
        <v>2</v>
      </c>
      <c r="F70" s="13">
        <v>3</v>
      </c>
      <c r="G70" s="13">
        <v>2</v>
      </c>
      <c r="H70" s="13" t="s">
        <v>42</v>
      </c>
      <c r="I70" s="13" t="s">
        <v>41</v>
      </c>
      <c r="J70" s="13" t="s">
        <v>42</v>
      </c>
      <c r="K70" s="20"/>
      <c r="L70" s="20"/>
      <c r="M70" s="20"/>
      <c r="N70" s="20"/>
      <c r="O70" s="20"/>
      <c r="P70" s="13" t="s">
        <v>148</v>
      </c>
      <c r="Q70" s="15" t="s">
        <v>56</v>
      </c>
      <c r="R70" s="15"/>
      <c r="T70" s="15" t="s">
        <v>76</v>
      </c>
      <c r="U70" s="38" t="s">
        <v>59</v>
      </c>
      <c r="V70" s="31" t="s">
        <v>59</v>
      </c>
      <c r="W70" s="25" t="s">
        <v>76</v>
      </c>
      <c r="X70" s="25" t="s">
        <v>59</v>
      </c>
      <c r="Y70" s="15" t="s">
        <v>59</v>
      </c>
      <c r="Z70" s="13" t="s">
        <v>219</v>
      </c>
      <c r="AA70" s="13"/>
      <c r="AB70" s="19" t="s">
        <v>76</v>
      </c>
      <c r="AC70" s="26" t="s">
        <v>437</v>
      </c>
      <c r="AD70" s="15" t="s">
        <v>59</v>
      </c>
      <c r="AE70" s="27" t="s">
        <v>67</v>
      </c>
      <c r="AF70" s="27" t="s">
        <v>67</v>
      </c>
      <c r="AG70" t="s">
        <v>485</v>
      </c>
      <c r="AH70" t="s">
        <v>485</v>
      </c>
      <c r="AI70" s="66" t="s">
        <v>68</v>
      </c>
      <c r="AJ70" s="15" t="s">
        <v>485</v>
      </c>
      <c r="AK70" s="24" t="s">
        <v>486</v>
      </c>
      <c r="AL70" s="24" t="s">
        <v>487</v>
      </c>
      <c r="AM70" s="29" t="s">
        <v>488</v>
      </c>
      <c r="AN70" s="30" t="s">
        <v>94</v>
      </c>
      <c r="AO70" s="30"/>
      <c r="AP70" s="28" t="s">
        <v>489</v>
      </c>
      <c r="AQ70" s="30" t="s">
        <v>73</v>
      </c>
    </row>
    <row r="71" spans="1:44" ht="15" customHeight="1" x14ac:dyDescent="0.25">
      <c r="A71" s="15">
        <v>1</v>
      </c>
      <c r="B71" s="37" t="s">
        <v>123</v>
      </c>
      <c r="C71" s="15" t="s">
        <v>103</v>
      </c>
      <c r="D71" s="13" t="s">
        <v>39</v>
      </c>
      <c r="E71" s="13">
        <v>5</v>
      </c>
      <c r="F71" s="13">
        <v>5</v>
      </c>
      <c r="G71" s="13">
        <v>5</v>
      </c>
      <c r="H71" s="13" t="s">
        <v>39</v>
      </c>
      <c r="I71" s="13" t="s">
        <v>39</v>
      </c>
      <c r="J71" s="13" t="s">
        <v>39</v>
      </c>
      <c r="K71" s="20"/>
      <c r="L71" s="20"/>
      <c r="M71" s="20"/>
      <c r="N71" s="20"/>
      <c r="O71" s="20"/>
      <c r="P71" s="13" t="s">
        <v>55</v>
      </c>
      <c r="Q71" s="13" t="s">
        <v>56</v>
      </c>
      <c r="R71" s="103" t="s">
        <v>939</v>
      </c>
      <c r="T71" s="15" t="s">
        <v>115</v>
      </c>
      <c r="U71" s="33" t="s">
        <v>59</v>
      </c>
      <c r="V71" s="33" t="s">
        <v>59</v>
      </c>
      <c r="W71" s="38" t="s">
        <v>59</v>
      </c>
      <c r="X71" s="38" t="s">
        <v>59</v>
      </c>
      <c r="Y71" s="38" t="s">
        <v>59</v>
      </c>
      <c r="Z71" s="13" t="s">
        <v>884</v>
      </c>
      <c r="AA71" s="108" t="s">
        <v>1248</v>
      </c>
      <c r="AB71" s="15" t="s">
        <v>116</v>
      </c>
      <c r="AC71" s="113" t="s">
        <v>65</v>
      </c>
      <c r="AE71" s="114" t="s">
        <v>67</v>
      </c>
      <c r="AF71" s="114" t="s">
        <v>67</v>
      </c>
      <c r="AG71" s="15" t="s">
        <v>1029</v>
      </c>
      <c r="AH71" t="s">
        <v>996</v>
      </c>
      <c r="AI71" s="18" t="s">
        <v>68</v>
      </c>
      <c r="AJ71" s="15" t="s">
        <v>109</v>
      </c>
      <c r="AK71" s="15" t="s">
        <v>124</v>
      </c>
      <c r="AL71" s="15" t="s">
        <v>125</v>
      </c>
      <c r="AM71" s="29" t="s">
        <v>126</v>
      </c>
      <c r="AN71" s="13" t="s">
        <v>94</v>
      </c>
      <c r="AO71" s="111" t="s">
        <v>126</v>
      </c>
      <c r="AP71" s="39" t="s">
        <v>127</v>
      </c>
      <c r="AQ71" s="30" t="s">
        <v>94</v>
      </c>
    </row>
    <row r="72" spans="1:44" ht="15" customHeight="1" x14ac:dyDescent="0.25">
      <c r="A72" s="15">
        <v>1</v>
      </c>
      <c r="B72" s="37" t="s">
        <v>139</v>
      </c>
      <c r="C72" s="15" t="s">
        <v>128</v>
      </c>
      <c r="D72" s="13" t="s">
        <v>40</v>
      </c>
      <c r="E72" s="13">
        <v>4</v>
      </c>
      <c r="F72" s="13">
        <v>4</v>
      </c>
      <c r="G72" s="13">
        <v>4</v>
      </c>
      <c r="H72" s="13" t="s">
        <v>40</v>
      </c>
      <c r="I72" s="13" t="s">
        <v>40</v>
      </c>
      <c r="J72" s="13" t="s">
        <v>40</v>
      </c>
      <c r="K72" s="20"/>
      <c r="L72" s="20"/>
      <c r="M72" s="20"/>
      <c r="N72" s="20"/>
      <c r="O72" s="20"/>
      <c r="P72" s="13" t="s">
        <v>55</v>
      </c>
      <c r="Q72" s="13" t="s">
        <v>56</v>
      </c>
      <c r="R72" s="103" t="s">
        <v>939</v>
      </c>
      <c r="T72" s="15" t="s">
        <v>115</v>
      </c>
      <c r="U72" s="33" t="s">
        <v>59</v>
      </c>
      <c r="V72" s="33" t="s">
        <v>59</v>
      </c>
      <c r="W72" s="38" t="s">
        <v>59</v>
      </c>
      <c r="X72" s="38" t="s">
        <v>59</v>
      </c>
      <c r="Y72" s="38" t="s">
        <v>59</v>
      </c>
      <c r="Z72" s="13" t="s">
        <v>63</v>
      </c>
      <c r="AA72" s="108" t="s">
        <v>1140</v>
      </c>
      <c r="AB72" s="15" t="s">
        <v>116</v>
      </c>
      <c r="AC72" s="113" t="s">
        <v>65</v>
      </c>
      <c r="AE72" s="114" t="s">
        <v>67</v>
      </c>
      <c r="AF72" s="114" t="s">
        <v>67</v>
      </c>
      <c r="AG72" s="15" t="s">
        <v>1029</v>
      </c>
      <c r="AH72" t="s">
        <v>996</v>
      </c>
      <c r="AI72" s="18" t="s">
        <v>68</v>
      </c>
      <c r="AJ72" s="15" t="s">
        <v>109</v>
      </c>
      <c r="AK72" s="15" t="s">
        <v>140</v>
      </c>
      <c r="AL72" s="15" t="s">
        <v>141</v>
      </c>
      <c r="AM72" s="29" t="s">
        <v>142</v>
      </c>
      <c r="AN72" s="13" t="s">
        <v>113</v>
      </c>
      <c r="AO72" s="118" t="s">
        <v>1118</v>
      </c>
      <c r="AP72" s="41" t="s">
        <v>143</v>
      </c>
      <c r="AQ72" s="30" t="s">
        <v>94</v>
      </c>
      <c r="AR72" s="15" t="s">
        <v>81</v>
      </c>
    </row>
    <row r="73" spans="1:44" ht="15" customHeight="1" x14ac:dyDescent="0.25">
      <c r="A73" s="15">
        <v>1</v>
      </c>
      <c r="B73" s="15" t="s">
        <v>173</v>
      </c>
      <c r="C73" s="15" t="s">
        <v>128</v>
      </c>
      <c r="D73" s="13" t="s">
        <v>40</v>
      </c>
      <c r="E73" s="13">
        <v>3</v>
      </c>
      <c r="F73" s="13">
        <v>4</v>
      </c>
      <c r="G73" s="13">
        <v>3</v>
      </c>
      <c r="H73" s="13" t="s">
        <v>41</v>
      </c>
      <c r="I73" s="13" t="s">
        <v>40</v>
      </c>
      <c r="J73" s="13" t="s">
        <v>41</v>
      </c>
      <c r="K73" s="20"/>
      <c r="L73" s="20"/>
      <c r="M73" s="20"/>
      <c r="N73" s="20"/>
      <c r="O73" s="20"/>
      <c r="P73" s="13" t="s">
        <v>84</v>
      </c>
      <c r="Q73" s="13" t="s">
        <v>174</v>
      </c>
      <c r="R73" s="103" t="s">
        <v>941</v>
      </c>
      <c r="S73" s="15" t="s">
        <v>175</v>
      </c>
      <c r="T73" s="38">
        <v>470.08</v>
      </c>
      <c r="U73" s="33" t="s">
        <v>175</v>
      </c>
      <c r="V73" s="33" t="s">
        <v>59</v>
      </c>
      <c r="W73" s="15" t="s">
        <v>176</v>
      </c>
      <c r="X73" s="15" t="s">
        <v>177</v>
      </c>
      <c r="Y73" s="15" t="s">
        <v>178</v>
      </c>
      <c r="Z73" s="13" t="s">
        <v>884</v>
      </c>
      <c r="AA73" s="108" t="s">
        <v>973</v>
      </c>
      <c r="AB73" s="12" t="s">
        <v>179</v>
      </c>
      <c r="AC73" s="113" t="s">
        <v>65</v>
      </c>
      <c r="AD73" s="15" t="s">
        <v>180</v>
      </c>
      <c r="AE73" s="114" t="s">
        <v>67</v>
      </c>
      <c r="AF73" s="114" t="s">
        <v>67</v>
      </c>
      <c r="AG73" t="s">
        <v>997</v>
      </c>
      <c r="AH73" t="s">
        <v>997</v>
      </c>
      <c r="AI73" s="18" t="s">
        <v>68</v>
      </c>
      <c r="AJ73" s="15" t="s">
        <v>181</v>
      </c>
      <c r="AK73" s="15" t="s">
        <v>182</v>
      </c>
      <c r="AL73" s="15" t="s">
        <v>183</v>
      </c>
      <c r="AM73" s="29" t="s">
        <v>184</v>
      </c>
      <c r="AN73" s="13" t="s">
        <v>113</v>
      </c>
      <c r="AO73" s="111" t="s">
        <v>184</v>
      </c>
      <c r="AP73" s="28" t="s">
        <v>185</v>
      </c>
      <c r="AQ73" s="30" t="s">
        <v>113</v>
      </c>
    </row>
    <row r="74" spans="1:44" ht="15" hidden="1" customHeight="1" x14ac:dyDescent="0.25">
      <c r="A74" s="15">
        <v>0</v>
      </c>
      <c r="B74" s="15" t="s">
        <v>518</v>
      </c>
      <c r="C74" s="15" t="s">
        <v>227</v>
      </c>
      <c r="D74" s="15" t="s">
        <v>42</v>
      </c>
      <c r="E74" s="13">
        <v>1</v>
      </c>
      <c r="F74" s="13">
        <v>1</v>
      </c>
      <c r="G74" s="13">
        <v>1</v>
      </c>
      <c r="H74" s="13" t="s">
        <v>43</v>
      </c>
      <c r="I74" s="13" t="s">
        <v>43</v>
      </c>
      <c r="J74" s="13" t="s">
        <v>43</v>
      </c>
      <c r="K74" s="20"/>
      <c r="L74" s="20"/>
      <c r="M74" s="20"/>
      <c r="N74" s="20"/>
      <c r="O74" s="20"/>
      <c r="P74" s="13" t="s">
        <v>55</v>
      </c>
      <c r="Q74" s="15" t="s">
        <v>56</v>
      </c>
      <c r="R74" s="15"/>
      <c r="T74" s="15" t="s">
        <v>76</v>
      </c>
      <c r="U74" s="38" t="s">
        <v>59</v>
      </c>
      <c r="V74" s="31" t="s">
        <v>68</v>
      </c>
      <c r="W74" s="25" t="s">
        <v>76</v>
      </c>
      <c r="X74" s="25" t="s">
        <v>59</v>
      </c>
      <c r="Y74" s="15" t="s">
        <v>59</v>
      </c>
      <c r="Z74" s="13" t="s">
        <v>219</v>
      </c>
      <c r="AA74" s="13"/>
      <c r="AB74" s="19" t="s">
        <v>76</v>
      </c>
      <c r="AC74" s="26" t="s">
        <v>437</v>
      </c>
      <c r="AD74" s="15" t="s">
        <v>59</v>
      </c>
      <c r="AE74" s="77" t="s">
        <v>450</v>
      </c>
      <c r="AF74" s="27" t="s">
        <v>67</v>
      </c>
      <c r="AG74" t="s">
        <v>512</v>
      </c>
      <c r="AH74" t="s">
        <v>512</v>
      </c>
      <c r="AI74" s="66" t="s">
        <v>68</v>
      </c>
      <c r="AJ74" s="15" t="s">
        <v>512</v>
      </c>
      <c r="AK74" s="24" t="s">
        <v>513</v>
      </c>
      <c r="AL74" s="24" t="s">
        <v>514</v>
      </c>
      <c r="AM74" s="64" t="s">
        <v>515</v>
      </c>
      <c r="AN74" s="30" t="s">
        <v>73</v>
      </c>
      <c r="AO74" s="30"/>
      <c r="AP74" s="64" t="s">
        <v>516</v>
      </c>
      <c r="AQ74" s="30" t="s">
        <v>94</v>
      </c>
      <c r="AR74" s="15" t="s">
        <v>340</v>
      </c>
    </row>
    <row r="75" spans="1:44" ht="15" customHeight="1" x14ac:dyDescent="0.25">
      <c r="A75" s="15">
        <v>1</v>
      </c>
      <c r="B75" s="15" t="s">
        <v>188</v>
      </c>
      <c r="C75" s="15" t="s">
        <v>128</v>
      </c>
      <c r="D75" s="13" t="s">
        <v>40</v>
      </c>
      <c r="E75" s="13">
        <v>3</v>
      </c>
      <c r="F75" s="13">
        <v>4</v>
      </c>
      <c r="G75" s="13">
        <v>3</v>
      </c>
      <c r="H75" s="13" t="s">
        <v>41</v>
      </c>
      <c r="I75" s="13" t="s">
        <v>40</v>
      </c>
      <c r="J75" s="13" t="s">
        <v>41</v>
      </c>
      <c r="K75" s="20"/>
      <c r="L75" s="20"/>
      <c r="M75" s="20"/>
      <c r="N75" s="20"/>
      <c r="O75" s="20"/>
      <c r="P75" s="13" t="s">
        <v>55</v>
      </c>
      <c r="Q75" s="13" t="s">
        <v>56</v>
      </c>
      <c r="R75" s="103" t="s">
        <v>942</v>
      </c>
      <c r="T75" s="33" t="s">
        <v>189</v>
      </c>
      <c r="U75" s="33" t="s">
        <v>58</v>
      </c>
      <c r="V75" s="33" t="s">
        <v>59</v>
      </c>
      <c r="W75" s="25" t="s">
        <v>190</v>
      </c>
      <c r="X75" s="25" t="s">
        <v>191</v>
      </c>
      <c r="Y75" s="25" t="s">
        <v>192</v>
      </c>
      <c r="Z75" s="13" t="s">
        <v>219</v>
      </c>
      <c r="AA75" s="108" t="s">
        <v>1249</v>
      </c>
      <c r="AB75" s="17" t="s">
        <v>193</v>
      </c>
      <c r="AC75" s="113" t="s">
        <v>65</v>
      </c>
      <c r="AD75" s="15" t="s">
        <v>180</v>
      </c>
      <c r="AE75" s="114" t="s">
        <v>67</v>
      </c>
      <c r="AF75" s="114" t="s">
        <v>67</v>
      </c>
      <c r="AG75" t="s">
        <v>997</v>
      </c>
      <c r="AH75" t="s">
        <v>997</v>
      </c>
      <c r="AI75" s="18" t="s">
        <v>68</v>
      </c>
      <c r="AJ75" s="15" t="s">
        <v>181</v>
      </c>
      <c r="AK75" s="15" t="s">
        <v>194</v>
      </c>
      <c r="AM75" s="29" t="s">
        <v>195</v>
      </c>
      <c r="AN75" s="13" t="s">
        <v>73</v>
      </c>
      <c r="AO75" s="111" t="s">
        <v>195</v>
      </c>
      <c r="AP75" s="28" t="s">
        <v>196</v>
      </c>
      <c r="AQ75" s="30" t="s">
        <v>113</v>
      </c>
    </row>
    <row r="76" spans="1:44" ht="15" hidden="1" customHeight="1" x14ac:dyDescent="0.25">
      <c r="A76" s="15">
        <v>0</v>
      </c>
      <c r="B76" s="15" t="s">
        <v>529</v>
      </c>
      <c r="C76" s="15" t="s">
        <v>83</v>
      </c>
      <c r="D76" s="15" t="s">
        <v>40</v>
      </c>
      <c r="E76" s="13">
        <v>3</v>
      </c>
      <c r="F76" s="13">
        <v>4</v>
      </c>
      <c r="G76" s="13">
        <v>3</v>
      </c>
      <c r="H76" s="13" t="s">
        <v>41</v>
      </c>
      <c r="I76" s="13" t="s">
        <v>40</v>
      </c>
      <c r="J76" s="13" t="s">
        <v>41</v>
      </c>
      <c r="K76" s="20"/>
      <c r="L76" s="20"/>
      <c r="M76" s="20"/>
      <c r="N76" s="20"/>
      <c r="O76" s="20"/>
      <c r="P76" s="13" t="s">
        <v>84</v>
      </c>
      <c r="Q76" s="47" t="s">
        <v>174</v>
      </c>
      <c r="R76" s="47"/>
      <c r="S76" s="47"/>
      <c r="T76" s="15" t="s">
        <v>76</v>
      </c>
      <c r="U76" s="38" t="s">
        <v>59</v>
      </c>
      <c r="V76" s="31" t="s">
        <v>59</v>
      </c>
      <c r="W76" s="25" t="s">
        <v>76</v>
      </c>
      <c r="X76" s="25" t="s">
        <v>59</v>
      </c>
      <c r="Y76" s="15" t="s">
        <v>59</v>
      </c>
      <c r="Z76" s="13" t="s">
        <v>219</v>
      </c>
      <c r="AA76" s="13"/>
      <c r="AB76" s="19" t="s">
        <v>76</v>
      </c>
      <c r="AC76" s="26" t="s">
        <v>87</v>
      </c>
      <c r="AD76" s="15" t="s">
        <v>59</v>
      </c>
      <c r="AE76" s="27" t="s">
        <v>67</v>
      </c>
      <c r="AF76" s="27" t="s">
        <v>67</v>
      </c>
      <c r="AG76" t="s">
        <v>524</v>
      </c>
      <c r="AH76" t="s">
        <v>524</v>
      </c>
      <c r="AI76" s="66" t="s">
        <v>68</v>
      </c>
      <c r="AJ76" s="15" t="s">
        <v>524</v>
      </c>
      <c r="AK76" s="24" t="s">
        <v>525</v>
      </c>
      <c r="AL76" s="24" t="s">
        <v>526</v>
      </c>
      <c r="AM76" s="29" t="s">
        <v>527</v>
      </c>
      <c r="AN76" s="30" t="s">
        <v>94</v>
      </c>
      <c r="AO76" s="30"/>
      <c r="AP76" s="28" t="s">
        <v>528</v>
      </c>
      <c r="AQ76" s="30" t="s">
        <v>94</v>
      </c>
    </row>
    <row r="77" spans="1:44" ht="15" customHeight="1" x14ac:dyDescent="0.25">
      <c r="A77" s="47">
        <v>1</v>
      </c>
      <c r="B77" s="47" t="s">
        <v>1051</v>
      </c>
      <c r="C77" s="47" t="s">
        <v>227</v>
      </c>
      <c r="D77" s="13" t="s">
        <v>42</v>
      </c>
      <c r="E77" s="53">
        <v>1</v>
      </c>
      <c r="F77" s="53">
        <v>1</v>
      </c>
      <c r="G77" s="53">
        <v>1</v>
      </c>
      <c r="H77" s="13" t="s">
        <v>43</v>
      </c>
      <c r="I77" s="13" t="s">
        <v>43</v>
      </c>
      <c r="J77" s="13" t="s">
        <v>43</v>
      </c>
      <c r="K77" s="54"/>
      <c r="L77" s="54"/>
      <c r="M77" s="54"/>
      <c r="N77" s="54"/>
      <c r="O77" s="54"/>
      <c r="P77" s="13" t="s">
        <v>84</v>
      </c>
      <c r="Q77" s="13" t="s">
        <v>56</v>
      </c>
      <c r="R77" s="103" t="s">
        <v>960</v>
      </c>
      <c r="S77" s="15" t="s">
        <v>175</v>
      </c>
      <c r="T77" s="71">
        <v>58.44</v>
      </c>
      <c r="U77" s="55" t="s">
        <v>175</v>
      </c>
      <c r="V77" s="72" t="s">
        <v>68</v>
      </c>
      <c r="W77" s="25" t="s">
        <v>633</v>
      </c>
      <c r="X77" s="52" t="s">
        <v>634</v>
      </c>
      <c r="Y77" s="25" t="s">
        <v>635</v>
      </c>
      <c r="Z77" s="13" t="s">
        <v>219</v>
      </c>
      <c r="AA77" s="108" t="s">
        <v>1249</v>
      </c>
      <c r="AB77" s="46" t="s">
        <v>636</v>
      </c>
      <c r="AC77" s="113" t="s">
        <v>437</v>
      </c>
      <c r="AD77" s="47" t="s">
        <v>637</v>
      </c>
      <c r="AE77" s="114" t="s">
        <v>405</v>
      </c>
      <c r="AF77" s="114" t="s">
        <v>638</v>
      </c>
      <c r="AG77" t="s">
        <v>1017</v>
      </c>
      <c r="AH77" t="s">
        <v>1017</v>
      </c>
      <c r="AI77" s="56" t="s">
        <v>639</v>
      </c>
      <c r="AJ77" s="44" t="s">
        <v>640</v>
      </c>
      <c r="AK77" s="47" t="s">
        <v>641</v>
      </c>
      <c r="AL77" s="47" t="s">
        <v>642</v>
      </c>
      <c r="AM77" s="29" t="s">
        <v>643</v>
      </c>
      <c r="AN77" s="13" t="s">
        <v>73</v>
      </c>
      <c r="AO77" s="111" t="s">
        <v>1183</v>
      </c>
      <c r="AP77" s="62" t="s">
        <v>644</v>
      </c>
      <c r="AQ77" s="58" t="s">
        <v>73</v>
      </c>
      <c r="AR77" s="47" t="s">
        <v>541</v>
      </c>
    </row>
    <row r="78" spans="1:44" ht="15" customHeight="1" x14ac:dyDescent="0.25">
      <c r="A78" s="15">
        <v>10</v>
      </c>
      <c r="B78" s="15" t="s">
        <v>811</v>
      </c>
      <c r="C78" s="15" t="s">
        <v>54</v>
      </c>
      <c r="D78" s="13" t="s">
        <v>41</v>
      </c>
      <c r="E78" s="13">
        <v>2</v>
      </c>
      <c r="F78" s="13">
        <v>2</v>
      </c>
      <c r="G78" s="13">
        <v>2</v>
      </c>
      <c r="H78" s="13" t="s">
        <v>42</v>
      </c>
      <c r="I78" s="13" t="s">
        <v>42</v>
      </c>
      <c r="J78" s="13" t="s">
        <v>42</v>
      </c>
      <c r="K78" s="20"/>
      <c r="L78" s="20"/>
      <c r="M78" s="20"/>
      <c r="N78" s="20"/>
      <c r="O78" s="20"/>
      <c r="P78" s="13" t="s">
        <v>55</v>
      </c>
      <c r="Q78" s="13" t="s">
        <v>56</v>
      </c>
      <c r="R78" s="103" t="s">
        <v>983</v>
      </c>
      <c r="S78" s="15" t="s">
        <v>175</v>
      </c>
      <c r="T78" s="38">
        <v>12.13</v>
      </c>
      <c r="U78" s="33" t="s">
        <v>175</v>
      </c>
      <c r="V78" s="31" t="s">
        <v>59</v>
      </c>
      <c r="W78" s="25" t="s">
        <v>812</v>
      </c>
      <c r="X78" s="25" t="s">
        <v>813</v>
      </c>
      <c r="Y78" s="25" t="s">
        <v>814</v>
      </c>
      <c r="Z78" s="13" t="s">
        <v>884</v>
      </c>
      <c r="AA78" s="108" t="s">
        <v>977</v>
      </c>
      <c r="AB78" s="17" t="s">
        <v>723</v>
      </c>
      <c r="AC78" s="113" t="s">
        <v>437</v>
      </c>
      <c r="AD78" s="15" t="s">
        <v>59</v>
      </c>
      <c r="AE78" s="114" t="s">
        <v>67</v>
      </c>
      <c r="AF78" s="114" t="s">
        <v>67</v>
      </c>
      <c r="AG78" t="s">
        <v>1021</v>
      </c>
      <c r="AH78" t="s">
        <v>1021</v>
      </c>
      <c r="AI78" s="18" t="s">
        <v>68</v>
      </c>
      <c r="AJ78" s="15" t="s">
        <v>815</v>
      </c>
      <c r="AK78" s="15" t="s">
        <v>816</v>
      </c>
      <c r="AL78" s="15" t="s">
        <v>817</v>
      </c>
      <c r="AM78" s="29" t="s">
        <v>818</v>
      </c>
      <c r="AN78" s="13" t="s">
        <v>94</v>
      </c>
      <c r="AO78" s="111" t="s">
        <v>818</v>
      </c>
      <c r="AP78" s="28" t="s">
        <v>819</v>
      </c>
      <c r="AQ78" s="30" t="s">
        <v>113</v>
      </c>
    </row>
    <row r="79" spans="1:44" ht="15" customHeight="1" x14ac:dyDescent="0.25">
      <c r="A79" s="15">
        <v>10</v>
      </c>
      <c r="B79" s="15" t="s">
        <v>790</v>
      </c>
      <c r="C79" s="15" t="s">
        <v>227</v>
      </c>
      <c r="D79" s="13" t="s">
        <v>42</v>
      </c>
      <c r="E79" s="13">
        <v>1</v>
      </c>
      <c r="F79" s="13">
        <v>1</v>
      </c>
      <c r="G79" s="13">
        <v>1</v>
      </c>
      <c r="H79" s="13" t="s">
        <v>43</v>
      </c>
      <c r="I79" s="13" t="s">
        <v>43</v>
      </c>
      <c r="J79" s="13" t="s">
        <v>43</v>
      </c>
      <c r="K79" s="20"/>
      <c r="L79" s="20"/>
      <c r="M79" s="20"/>
      <c r="N79" s="20"/>
      <c r="O79" s="20"/>
      <c r="P79" s="13" t="s">
        <v>55</v>
      </c>
      <c r="Q79" s="13" t="s">
        <v>56</v>
      </c>
      <c r="R79" s="103" t="s">
        <v>953</v>
      </c>
      <c r="S79" s="15" t="s">
        <v>175</v>
      </c>
      <c r="T79" s="38">
        <v>8.6999999999999993</v>
      </c>
      <c r="U79" s="33" t="s">
        <v>175</v>
      </c>
      <c r="V79" s="31" t="s">
        <v>59</v>
      </c>
      <c r="W79" s="25" t="s">
        <v>791</v>
      </c>
      <c r="X79" s="25" t="s">
        <v>739</v>
      </c>
      <c r="Y79" s="25" t="s">
        <v>792</v>
      </c>
      <c r="Z79" s="13" t="s">
        <v>219</v>
      </c>
      <c r="AA79" s="108" t="s">
        <v>1249</v>
      </c>
      <c r="AB79" s="17" t="s">
        <v>723</v>
      </c>
      <c r="AC79" s="113" t="s">
        <v>437</v>
      </c>
      <c r="AD79" s="15" t="s">
        <v>59</v>
      </c>
      <c r="AE79" s="114" t="s">
        <v>67</v>
      </c>
      <c r="AF79" s="114" t="s">
        <v>67</v>
      </c>
      <c r="AG79" t="s">
        <v>1023</v>
      </c>
      <c r="AH79" t="s">
        <v>1023</v>
      </c>
      <c r="AI79" s="18" t="s">
        <v>68</v>
      </c>
      <c r="AJ79" s="15" t="s">
        <v>793</v>
      </c>
      <c r="AK79" s="15" t="s">
        <v>794</v>
      </c>
      <c r="AL79" s="15" t="s">
        <v>795</v>
      </c>
      <c r="AM79" s="29" t="s">
        <v>796</v>
      </c>
      <c r="AN79" s="13" t="s">
        <v>73</v>
      </c>
      <c r="AO79" s="111" t="s">
        <v>796</v>
      </c>
      <c r="AP79" s="28" t="s">
        <v>797</v>
      </c>
      <c r="AQ79" s="30" t="s">
        <v>73</v>
      </c>
    </row>
    <row r="80" spans="1:44" ht="15" hidden="1" customHeight="1" x14ac:dyDescent="0.25">
      <c r="B80" s="15" t="s">
        <v>562</v>
      </c>
      <c r="C80" s="15" t="s">
        <v>463</v>
      </c>
      <c r="D80" s="15" t="s">
        <v>43</v>
      </c>
      <c r="E80" s="13">
        <v>1</v>
      </c>
      <c r="F80" s="13">
        <v>1</v>
      </c>
      <c r="G80" s="13">
        <v>1</v>
      </c>
      <c r="H80" s="13" t="s">
        <v>43</v>
      </c>
      <c r="I80" s="13" t="s">
        <v>43</v>
      </c>
      <c r="J80" s="13" t="s">
        <v>43</v>
      </c>
      <c r="K80" s="20"/>
      <c r="L80" s="20"/>
      <c r="M80" s="20"/>
      <c r="N80" s="20"/>
      <c r="O80" s="20"/>
      <c r="P80" s="13" t="s">
        <v>55</v>
      </c>
      <c r="Q80" s="15" t="s">
        <v>56</v>
      </c>
      <c r="R80" s="15"/>
      <c r="T80" s="15" t="s">
        <v>76</v>
      </c>
      <c r="U80" s="38" t="s">
        <v>59</v>
      </c>
      <c r="V80" s="31" t="s">
        <v>68</v>
      </c>
      <c r="W80" s="25" t="s">
        <v>76</v>
      </c>
      <c r="X80" s="25" t="s">
        <v>59</v>
      </c>
      <c r="Y80" s="15" t="s">
        <v>59</v>
      </c>
      <c r="Z80" s="13" t="s">
        <v>219</v>
      </c>
      <c r="AA80" s="13"/>
      <c r="AB80" s="19" t="s">
        <v>563</v>
      </c>
      <c r="AC80" s="26" t="s">
        <v>437</v>
      </c>
      <c r="AD80" s="15" t="s">
        <v>59</v>
      </c>
      <c r="AE80" s="27" t="s">
        <v>67</v>
      </c>
      <c r="AF80" s="27" t="s">
        <v>67</v>
      </c>
      <c r="AG80" t="s">
        <v>557</v>
      </c>
      <c r="AH80" t="s">
        <v>557</v>
      </c>
      <c r="AI80" s="18" t="s">
        <v>556</v>
      </c>
      <c r="AJ80" s="23" t="s">
        <v>557</v>
      </c>
      <c r="AK80" s="15" t="s">
        <v>558</v>
      </c>
      <c r="AL80" s="15" t="s">
        <v>559</v>
      </c>
      <c r="AM80" s="29" t="s">
        <v>560</v>
      </c>
      <c r="AN80" s="30" t="s">
        <v>73</v>
      </c>
      <c r="AO80" s="30"/>
      <c r="AP80" s="28" t="s">
        <v>561</v>
      </c>
      <c r="AQ80" s="30" t="s">
        <v>73</v>
      </c>
    </row>
    <row r="81" spans="1:44" ht="15" customHeight="1" x14ac:dyDescent="0.25">
      <c r="A81" s="47">
        <v>1</v>
      </c>
      <c r="B81" s="47" t="s">
        <v>444</v>
      </c>
      <c r="C81" s="47" t="s">
        <v>128</v>
      </c>
      <c r="D81" s="13" t="s">
        <v>40</v>
      </c>
      <c r="E81" s="53">
        <v>3</v>
      </c>
      <c r="F81" s="53">
        <v>4</v>
      </c>
      <c r="G81" s="53">
        <v>3</v>
      </c>
      <c r="H81" s="13" t="s">
        <v>41</v>
      </c>
      <c r="I81" s="13" t="s">
        <v>40</v>
      </c>
      <c r="J81" s="13" t="s">
        <v>41</v>
      </c>
      <c r="K81" s="54"/>
      <c r="L81" s="54"/>
      <c r="M81" s="54"/>
      <c r="N81" s="54"/>
      <c r="O81" s="54"/>
      <c r="P81" s="13" t="s">
        <v>148</v>
      </c>
      <c r="Q81" s="13" t="s">
        <v>56</v>
      </c>
      <c r="R81" s="104" t="s">
        <v>952</v>
      </c>
      <c r="S81" s="15" t="s">
        <v>175</v>
      </c>
      <c r="T81" s="71" t="s">
        <v>445</v>
      </c>
      <c r="U81" s="55" t="s">
        <v>175</v>
      </c>
      <c r="V81" s="72" t="s">
        <v>68</v>
      </c>
      <c r="W81" s="25" t="s">
        <v>446</v>
      </c>
      <c r="X81" s="25" t="s">
        <v>447</v>
      </c>
      <c r="Y81" s="73" t="s">
        <v>448</v>
      </c>
      <c r="Z81" s="13" t="s">
        <v>884</v>
      </c>
      <c r="AA81" s="109" t="s">
        <v>972</v>
      </c>
      <c r="AB81" s="44" t="s">
        <v>449</v>
      </c>
      <c r="AC81" s="113" t="s">
        <v>437</v>
      </c>
      <c r="AD81" s="47" t="s">
        <v>59</v>
      </c>
      <c r="AE81" s="114" t="s">
        <v>405</v>
      </c>
      <c r="AF81" s="114" t="s">
        <v>450</v>
      </c>
      <c r="AG81" s="112" t="s">
        <v>1006</v>
      </c>
      <c r="AH81" s="112" t="s">
        <v>1006</v>
      </c>
      <c r="AI81" s="70" t="s">
        <v>68</v>
      </c>
      <c r="AJ81" s="52" t="s">
        <v>451</v>
      </c>
      <c r="AK81" s="25" t="s">
        <v>452</v>
      </c>
      <c r="AL81" s="25" t="s">
        <v>453</v>
      </c>
      <c r="AM81" s="29" t="s">
        <v>454</v>
      </c>
      <c r="AN81" s="13" t="s">
        <v>94</v>
      </c>
      <c r="AO81" s="111" t="s">
        <v>454</v>
      </c>
      <c r="AP81" s="74" t="s">
        <v>455</v>
      </c>
      <c r="AQ81" s="58" t="s">
        <v>94</v>
      </c>
      <c r="AR81" s="47"/>
    </row>
    <row r="82" spans="1:44" ht="15" hidden="1" customHeight="1" x14ac:dyDescent="0.25">
      <c r="B82" s="15" t="s">
        <v>575</v>
      </c>
      <c r="C82" s="15" t="s">
        <v>227</v>
      </c>
      <c r="D82" s="15" t="s">
        <v>42</v>
      </c>
      <c r="E82" s="13">
        <v>1</v>
      </c>
      <c r="F82" s="13">
        <v>1</v>
      </c>
      <c r="G82" s="13">
        <v>1</v>
      </c>
      <c r="H82" s="13" t="s">
        <v>43</v>
      </c>
      <c r="I82" s="13" t="s">
        <v>43</v>
      </c>
      <c r="J82" s="13" t="s">
        <v>43</v>
      </c>
      <c r="K82" s="20"/>
      <c r="L82" s="20"/>
      <c r="M82" s="20"/>
      <c r="N82" s="20"/>
      <c r="O82" s="20"/>
      <c r="P82" s="13" t="s">
        <v>55</v>
      </c>
      <c r="Q82" s="24" t="s">
        <v>56</v>
      </c>
      <c r="R82" s="24"/>
      <c r="S82" s="24"/>
      <c r="T82" s="15" t="s">
        <v>76</v>
      </c>
      <c r="U82" s="38" t="s">
        <v>59</v>
      </c>
      <c r="V82" s="31" t="s">
        <v>68</v>
      </c>
      <c r="W82" s="25" t="s">
        <v>576</v>
      </c>
      <c r="X82" s="25" t="s">
        <v>59</v>
      </c>
      <c r="Y82" s="15" t="s">
        <v>59</v>
      </c>
      <c r="Z82" s="13" t="s">
        <v>219</v>
      </c>
      <c r="AA82" s="13"/>
      <c r="AB82" s="19" t="s">
        <v>76</v>
      </c>
      <c r="AC82" s="26" t="s">
        <v>437</v>
      </c>
      <c r="AD82" s="15" t="s">
        <v>59</v>
      </c>
      <c r="AE82" s="27" t="s">
        <v>67</v>
      </c>
      <c r="AF82" s="27" t="s">
        <v>67</v>
      </c>
      <c r="AG82" t="s">
        <v>570</v>
      </c>
      <c r="AH82" t="s">
        <v>570</v>
      </c>
      <c r="AI82" s="18" t="s">
        <v>577</v>
      </c>
      <c r="AJ82" s="44" t="s">
        <v>570</v>
      </c>
      <c r="AK82" s="15" t="s">
        <v>578</v>
      </c>
      <c r="AL82" s="28" t="s">
        <v>579</v>
      </c>
      <c r="AM82" s="61" t="s">
        <v>580</v>
      </c>
      <c r="AN82" s="30" t="s">
        <v>113</v>
      </c>
      <c r="AO82" s="30"/>
      <c r="AP82" s="80" t="s">
        <v>581</v>
      </c>
      <c r="AQ82" s="30" t="s">
        <v>73</v>
      </c>
      <c r="AR82" s="15" t="s">
        <v>582</v>
      </c>
    </row>
    <row r="83" spans="1:44" ht="15" customHeight="1" x14ac:dyDescent="0.25">
      <c r="A83" s="15">
        <v>1</v>
      </c>
      <c r="B83" s="15" t="s">
        <v>462</v>
      </c>
      <c r="C83" s="15" t="s">
        <v>463</v>
      </c>
      <c r="D83" s="13" t="s">
        <v>43</v>
      </c>
      <c r="E83" s="13">
        <v>1</v>
      </c>
      <c r="F83" s="13">
        <v>1</v>
      </c>
      <c r="G83" s="13">
        <v>1</v>
      </c>
      <c r="H83" s="13" t="s">
        <v>43</v>
      </c>
      <c r="I83" s="13" t="s">
        <v>43</v>
      </c>
      <c r="J83" s="13" t="s">
        <v>43</v>
      </c>
      <c r="K83" s="20"/>
      <c r="L83" s="20"/>
      <c r="M83" s="20"/>
      <c r="N83" s="20"/>
      <c r="O83" s="20"/>
      <c r="P83" s="13" t="s">
        <v>84</v>
      </c>
      <c r="Q83" s="13" t="s">
        <v>56</v>
      </c>
      <c r="R83" s="103" t="s">
        <v>953</v>
      </c>
      <c r="S83" s="15" t="s">
        <v>175</v>
      </c>
      <c r="T83" s="38">
        <v>8.5500000000000007</v>
      </c>
      <c r="U83" s="33" t="s">
        <v>175</v>
      </c>
      <c r="V83" s="31" t="s">
        <v>68</v>
      </c>
      <c r="W83" s="25" t="s">
        <v>464</v>
      </c>
      <c r="X83" s="25" t="s">
        <v>465</v>
      </c>
      <c r="Y83" s="25" t="s">
        <v>466</v>
      </c>
      <c r="Z83" s="13" t="s">
        <v>884</v>
      </c>
      <c r="AA83" s="108" t="s">
        <v>977</v>
      </c>
      <c r="AB83" s="17" t="s">
        <v>467</v>
      </c>
      <c r="AC83" s="113" t="s">
        <v>437</v>
      </c>
      <c r="AE83" s="114" t="s">
        <v>405</v>
      </c>
      <c r="AF83" s="114" t="s">
        <v>450</v>
      </c>
      <c r="AG83" t="s">
        <v>1034</v>
      </c>
      <c r="AH83" t="s">
        <v>1035</v>
      </c>
      <c r="AI83" s="66" t="s">
        <v>68</v>
      </c>
      <c r="AJ83" s="15" t="s">
        <v>468</v>
      </c>
      <c r="AK83" s="24" t="s">
        <v>469</v>
      </c>
      <c r="AL83" s="24" t="s">
        <v>470</v>
      </c>
      <c r="AM83" s="29" t="s">
        <v>471</v>
      </c>
      <c r="AN83" s="13" t="s">
        <v>94</v>
      </c>
      <c r="AO83" s="111" t="s">
        <v>471</v>
      </c>
      <c r="AP83" s="64" t="s">
        <v>472</v>
      </c>
      <c r="AQ83" s="30" t="s">
        <v>73</v>
      </c>
      <c r="AR83" s="15" t="s">
        <v>308</v>
      </c>
    </row>
    <row r="84" spans="1:44" ht="15" customHeight="1" x14ac:dyDescent="0.25">
      <c r="A84" s="15">
        <v>1</v>
      </c>
      <c r="B84" s="15" t="s">
        <v>373</v>
      </c>
      <c r="C84" s="15" t="s">
        <v>359</v>
      </c>
      <c r="D84" s="13" t="s">
        <v>42</v>
      </c>
      <c r="E84" s="13">
        <v>1</v>
      </c>
      <c r="F84" s="13">
        <v>1</v>
      </c>
      <c r="G84" s="13">
        <v>1</v>
      </c>
      <c r="H84" s="13" t="s">
        <v>43</v>
      </c>
      <c r="I84" s="13" t="s">
        <v>43</v>
      </c>
      <c r="J84" s="13" t="s">
        <v>43</v>
      </c>
      <c r="K84" s="20"/>
      <c r="L84" s="20"/>
      <c r="M84" s="20"/>
      <c r="N84" s="20"/>
      <c r="O84" s="20"/>
      <c r="P84" s="13" t="s">
        <v>55</v>
      </c>
      <c r="Q84" s="13" t="s">
        <v>174</v>
      </c>
      <c r="R84" s="103" t="s">
        <v>949</v>
      </c>
      <c r="S84" s="15" t="s">
        <v>175</v>
      </c>
      <c r="T84" s="15" t="s">
        <v>354</v>
      </c>
      <c r="U84" s="33" t="s">
        <v>59</v>
      </c>
      <c r="V84" s="33" t="s">
        <v>59</v>
      </c>
      <c r="W84" s="15" t="s">
        <v>354</v>
      </c>
      <c r="X84" s="25" t="s">
        <v>59</v>
      </c>
      <c r="Y84" s="15" t="s">
        <v>59</v>
      </c>
      <c r="Z84" s="13" t="s">
        <v>63</v>
      </c>
      <c r="AA84" s="108" t="s">
        <v>976</v>
      </c>
      <c r="AB84" s="63" t="s">
        <v>374</v>
      </c>
      <c r="AC84" s="113" t="s">
        <v>65</v>
      </c>
      <c r="AD84" s="15" t="s">
        <v>361</v>
      </c>
      <c r="AE84" s="114" t="s">
        <v>67</v>
      </c>
      <c r="AF84" s="114" t="s">
        <v>67</v>
      </c>
      <c r="AG84" t="s">
        <v>1003</v>
      </c>
      <c r="AH84" t="s">
        <v>1003</v>
      </c>
      <c r="AI84" s="18" t="s">
        <v>68</v>
      </c>
      <c r="AJ84" s="15" t="s">
        <v>362</v>
      </c>
      <c r="AK84" s="15" t="s">
        <v>375</v>
      </c>
      <c r="AM84" s="29" t="s">
        <v>376</v>
      </c>
      <c r="AN84" s="13" t="s">
        <v>113</v>
      </c>
      <c r="AO84" s="111" t="s">
        <v>376</v>
      </c>
      <c r="AP84" s="64" t="s">
        <v>377</v>
      </c>
      <c r="AQ84" s="30" t="s">
        <v>94</v>
      </c>
      <c r="AR84" s="47" t="s">
        <v>308</v>
      </c>
    </row>
    <row r="85" spans="1:44" s="47" customFormat="1" ht="15" customHeight="1" x14ac:dyDescent="0.25">
      <c r="A85" s="15">
        <v>1</v>
      </c>
      <c r="B85" s="15" t="s">
        <v>358</v>
      </c>
      <c r="C85" s="15" t="s">
        <v>359</v>
      </c>
      <c r="D85" s="13" t="s">
        <v>42</v>
      </c>
      <c r="E85" s="13">
        <v>1</v>
      </c>
      <c r="F85" s="13">
        <v>1</v>
      </c>
      <c r="G85" s="13">
        <v>1</v>
      </c>
      <c r="H85" s="13" t="s">
        <v>43</v>
      </c>
      <c r="I85" s="13" t="s">
        <v>43</v>
      </c>
      <c r="J85" s="13" t="s">
        <v>43</v>
      </c>
      <c r="K85" s="20"/>
      <c r="L85" s="20"/>
      <c r="M85" s="20"/>
      <c r="N85" s="20"/>
      <c r="O85" s="20"/>
      <c r="P85" s="13" t="s">
        <v>84</v>
      </c>
      <c r="Q85" s="13" t="s">
        <v>174</v>
      </c>
      <c r="R85" s="103" t="s">
        <v>949</v>
      </c>
      <c r="S85" s="15" t="s">
        <v>175</v>
      </c>
      <c r="T85" s="15" t="s">
        <v>354</v>
      </c>
      <c r="U85" s="33" t="s">
        <v>59</v>
      </c>
      <c r="V85" s="33" t="s">
        <v>59</v>
      </c>
      <c r="W85" s="15" t="s">
        <v>354</v>
      </c>
      <c r="X85" s="25" t="s">
        <v>59</v>
      </c>
      <c r="Y85" s="15" t="s">
        <v>59</v>
      </c>
      <c r="Z85" s="13" t="s">
        <v>63</v>
      </c>
      <c r="AA85" s="108" t="s">
        <v>1250</v>
      </c>
      <c r="AB85" s="12" t="s">
        <v>360</v>
      </c>
      <c r="AC85" s="113" t="s">
        <v>65</v>
      </c>
      <c r="AD85" s="15" t="s">
        <v>361</v>
      </c>
      <c r="AE85" s="114" t="s">
        <v>67</v>
      </c>
      <c r="AF85" s="114" t="s">
        <v>67</v>
      </c>
      <c r="AG85" t="s">
        <v>1003</v>
      </c>
      <c r="AH85" t="s">
        <v>1003</v>
      </c>
      <c r="AI85" s="18" t="s">
        <v>68</v>
      </c>
      <c r="AJ85" s="15" t="s">
        <v>362</v>
      </c>
      <c r="AK85" s="15" t="s">
        <v>363</v>
      </c>
      <c r="AL85" s="28" t="s">
        <v>364</v>
      </c>
      <c r="AM85" s="29" t="s">
        <v>365</v>
      </c>
      <c r="AN85" s="13" t="s">
        <v>94</v>
      </c>
      <c r="AO85" s="111" t="s">
        <v>365</v>
      </c>
      <c r="AP85" s="28" t="s">
        <v>366</v>
      </c>
      <c r="AQ85" s="30" t="s">
        <v>113</v>
      </c>
      <c r="AR85" s="15"/>
    </row>
    <row r="86" spans="1:44" ht="15" hidden="1" customHeight="1" x14ac:dyDescent="0.25">
      <c r="A86" s="15">
        <v>0</v>
      </c>
      <c r="B86" s="15" t="s">
        <v>616</v>
      </c>
      <c r="C86" s="15" t="s">
        <v>227</v>
      </c>
      <c r="D86" s="15" t="s">
        <v>42</v>
      </c>
      <c r="E86" s="13">
        <v>1</v>
      </c>
      <c r="F86" s="13">
        <v>1</v>
      </c>
      <c r="G86" s="13">
        <v>1</v>
      </c>
      <c r="H86" s="13" t="s">
        <v>43</v>
      </c>
      <c r="I86" s="13" t="s">
        <v>43</v>
      </c>
      <c r="J86" s="13" t="s">
        <v>43</v>
      </c>
      <c r="K86" s="20"/>
      <c r="L86" s="20"/>
      <c r="M86" s="20"/>
      <c r="N86" s="20"/>
      <c r="O86" s="20"/>
      <c r="P86" s="13" t="s">
        <v>148</v>
      </c>
      <c r="Q86" s="52" t="s">
        <v>174</v>
      </c>
      <c r="R86" s="52"/>
      <c r="S86" s="52"/>
      <c r="T86" s="47" t="s">
        <v>617</v>
      </c>
      <c r="U86" s="31" t="s">
        <v>59</v>
      </c>
      <c r="V86" s="31" t="s">
        <v>59</v>
      </c>
      <c r="W86" s="25" t="s">
        <v>617</v>
      </c>
      <c r="X86" s="25" t="s">
        <v>59</v>
      </c>
      <c r="Y86" s="15" t="s">
        <v>59</v>
      </c>
      <c r="Z86" s="13" t="s">
        <v>63</v>
      </c>
      <c r="AA86" s="13"/>
      <c r="AB86" s="19" t="s">
        <v>76</v>
      </c>
      <c r="AC86" s="26" t="s">
        <v>437</v>
      </c>
      <c r="AD86" s="15" t="s">
        <v>610</v>
      </c>
      <c r="AE86" s="27" t="s">
        <v>67</v>
      </c>
      <c r="AF86" s="27" t="s">
        <v>67</v>
      </c>
      <c r="AG86" t="s">
        <v>618</v>
      </c>
      <c r="AH86" t="s">
        <v>618</v>
      </c>
      <c r="AI86" s="18" t="s">
        <v>68</v>
      </c>
      <c r="AJ86" s="15" t="s">
        <v>618</v>
      </c>
      <c r="AK86" s="15" t="s">
        <v>619</v>
      </c>
      <c r="AL86" s="15" t="s">
        <v>620</v>
      </c>
      <c r="AM86" s="29" t="s">
        <v>621</v>
      </c>
      <c r="AN86" s="30" t="s">
        <v>94</v>
      </c>
      <c r="AO86" s="30"/>
      <c r="AP86" s="28" t="s">
        <v>622</v>
      </c>
      <c r="AQ86" s="30" t="s">
        <v>94</v>
      </c>
    </row>
    <row r="87" spans="1:44" ht="15" customHeight="1" x14ac:dyDescent="0.25">
      <c r="A87" s="15">
        <v>1</v>
      </c>
      <c r="B87" s="15" t="s">
        <v>1044</v>
      </c>
      <c r="C87" s="15" t="s">
        <v>359</v>
      </c>
      <c r="D87" s="13" t="s">
        <v>42</v>
      </c>
      <c r="E87" s="13">
        <v>1</v>
      </c>
      <c r="F87" s="13">
        <v>1</v>
      </c>
      <c r="G87" s="13">
        <v>1</v>
      </c>
      <c r="H87" s="13" t="s">
        <v>43</v>
      </c>
      <c r="I87" s="13" t="s">
        <v>43</v>
      </c>
      <c r="J87" s="13" t="s">
        <v>43</v>
      </c>
      <c r="K87" s="20"/>
      <c r="L87" s="20"/>
      <c r="M87" s="20"/>
      <c r="N87" s="20"/>
      <c r="O87" s="20"/>
      <c r="P87" s="13" t="s">
        <v>55</v>
      </c>
      <c r="Q87" s="13" t="s">
        <v>174</v>
      </c>
      <c r="R87" s="103" t="s">
        <v>949</v>
      </c>
      <c r="S87" s="15" t="s">
        <v>175</v>
      </c>
      <c r="T87" s="15" t="s">
        <v>354</v>
      </c>
      <c r="U87" s="33" t="s">
        <v>59</v>
      </c>
      <c r="V87" s="33" t="s">
        <v>59</v>
      </c>
      <c r="W87" s="15" t="s">
        <v>354</v>
      </c>
      <c r="X87" s="25" t="s">
        <v>59</v>
      </c>
      <c r="Y87" s="15" t="s">
        <v>59</v>
      </c>
      <c r="Z87" s="13" t="s">
        <v>884</v>
      </c>
      <c r="AA87" s="108" t="s">
        <v>977</v>
      </c>
      <c r="AB87" s="63" t="s">
        <v>367</v>
      </c>
      <c r="AC87" s="113" t="s">
        <v>65</v>
      </c>
      <c r="AD87" s="15" t="s">
        <v>361</v>
      </c>
      <c r="AE87" s="114" t="s">
        <v>67</v>
      </c>
      <c r="AF87" s="114" t="s">
        <v>67</v>
      </c>
      <c r="AG87" t="s">
        <v>1003</v>
      </c>
      <c r="AH87" t="s">
        <v>1003</v>
      </c>
      <c r="AI87" s="18" t="s">
        <v>68</v>
      </c>
      <c r="AJ87" s="15" t="s">
        <v>362</v>
      </c>
      <c r="AK87" s="15" t="s">
        <v>368</v>
      </c>
      <c r="AM87" s="29" t="s">
        <v>369</v>
      </c>
      <c r="AN87" s="13" t="s">
        <v>113</v>
      </c>
      <c r="AO87" s="111" t="s">
        <v>1142</v>
      </c>
      <c r="AP87" s="64" t="s">
        <v>370</v>
      </c>
      <c r="AQ87" s="30" t="s">
        <v>94</v>
      </c>
      <c r="AR87" s="47" t="s">
        <v>308</v>
      </c>
    </row>
    <row r="88" spans="1:44" s="47" customFormat="1" ht="15" customHeight="1" x14ac:dyDescent="0.25">
      <c r="A88" s="15">
        <v>10</v>
      </c>
      <c r="B88" s="15" t="s">
        <v>432</v>
      </c>
      <c r="C88" s="15" t="s">
        <v>54</v>
      </c>
      <c r="D88" s="13" t="s">
        <v>41</v>
      </c>
      <c r="E88" s="13">
        <v>2</v>
      </c>
      <c r="F88" s="13">
        <v>3</v>
      </c>
      <c r="G88" s="13">
        <v>2</v>
      </c>
      <c r="H88" s="13" t="s">
        <v>42</v>
      </c>
      <c r="I88" s="13" t="s">
        <v>41</v>
      </c>
      <c r="J88" s="13" t="s">
        <v>42</v>
      </c>
      <c r="K88" s="20"/>
      <c r="L88" s="20"/>
      <c r="M88" s="20"/>
      <c r="N88" s="20"/>
      <c r="O88" s="20"/>
      <c r="P88" s="13" t="s">
        <v>55</v>
      </c>
      <c r="Q88" s="13" t="s">
        <v>56</v>
      </c>
      <c r="R88" s="103" t="s">
        <v>951</v>
      </c>
      <c r="S88" s="15" t="s">
        <v>175</v>
      </c>
      <c r="T88" s="38">
        <v>1.71</v>
      </c>
      <c r="U88" s="33" t="s">
        <v>175</v>
      </c>
      <c r="V88" s="31" t="s">
        <v>68</v>
      </c>
      <c r="W88" s="25" t="s">
        <v>433</v>
      </c>
      <c r="X88" s="25" t="s">
        <v>434</v>
      </c>
      <c r="Y88" s="47" t="s">
        <v>435</v>
      </c>
      <c r="Z88" s="13" t="s">
        <v>63</v>
      </c>
      <c r="AA88" s="108" t="s">
        <v>1245</v>
      </c>
      <c r="AB88" s="17" t="s">
        <v>436</v>
      </c>
      <c r="AC88" s="113" t="s">
        <v>437</v>
      </c>
      <c r="AD88" s="15" t="s">
        <v>59</v>
      </c>
      <c r="AE88" s="114" t="s">
        <v>67</v>
      </c>
      <c r="AF88" s="114" t="s">
        <v>67</v>
      </c>
      <c r="AG88" t="s">
        <v>1021</v>
      </c>
      <c r="AH88" t="s">
        <v>1021</v>
      </c>
      <c r="AI88" s="70" t="s">
        <v>68</v>
      </c>
      <c r="AJ88" s="23" t="s">
        <v>438</v>
      </c>
      <c r="AK88" s="15" t="s">
        <v>439</v>
      </c>
      <c r="AL88" s="15" t="s">
        <v>440</v>
      </c>
      <c r="AM88" s="29" t="s">
        <v>441</v>
      </c>
      <c r="AN88" s="13" t="s">
        <v>94</v>
      </c>
      <c r="AO88" s="111" t="s">
        <v>1153</v>
      </c>
      <c r="AP88" s="64" t="s">
        <v>442</v>
      </c>
      <c r="AQ88" s="30" t="s">
        <v>73</v>
      </c>
      <c r="AR88" s="15" t="s">
        <v>443</v>
      </c>
    </row>
    <row r="89" spans="1:44" ht="15" hidden="1" customHeight="1" x14ac:dyDescent="0.25">
      <c r="A89" s="15">
        <v>0</v>
      </c>
      <c r="B89" s="15" t="s">
        <v>645</v>
      </c>
      <c r="C89" s="15" t="s">
        <v>227</v>
      </c>
      <c r="D89" s="15" t="s">
        <v>42</v>
      </c>
      <c r="E89" s="13">
        <v>1</v>
      </c>
      <c r="F89" s="13">
        <v>1</v>
      </c>
      <c r="G89" s="13">
        <v>1</v>
      </c>
      <c r="H89" s="13" t="s">
        <v>43</v>
      </c>
      <c r="I89" s="13" t="s">
        <v>43</v>
      </c>
      <c r="J89" s="13" t="s">
        <v>43</v>
      </c>
      <c r="K89" s="20"/>
      <c r="L89" s="20"/>
      <c r="M89" s="20"/>
      <c r="N89" s="20"/>
      <c r="O89" s="20"/>
      <c r="P89" s="13" t="s">
        <v>55</v>
      </c>
      <c r="Q89" s="15" t="s">
        <v>56</v>
      </c>
      <c r="R89" s="15"/>
      <c r="T89" s="15" t="s">
        <v>76</v>
      </c>
      <c r="U89" s="38" t="s">
        <v>59</v>
      </c>
      <c r="V89" s="31" t="s">
        <v>68</v>
      </c>
      <c r="W89" s="25" t="s">
        <v>76</v>
      </c>
      <c r="X89" s="25" t="s">
        <v>59</v>
      </c>
      <c r="Y89" s="24" t="s">
        <v>59</v>
      </c>
      <c r="Z89" s="13" t="s">
        <v>219</v>
      </c>
      <c r="AA89" s="13"/>
      <c r="AB89" s="19" t="s">
        <v>76</v>
      </c>
      <c r="AC89" s="26" t="s">
        <v>437</v>
      </c>
      <c r="AD89" s="15" t="s">
        <v>637</v>
      </c>
      <c r="AE89" s="81" t="s">
        <v>405</v>
      </c>
      <c r="AF89" s="69" t="s">
        <v>638</v>
      </c>
      <c r="AG89" t="s">
        <v>640</v>
      </c>
      <c r="AH89" t="s">
        <v>640</v>
      </c>
      <c r="AI89" s="84" t="s">
        <v>646</v>
      </c>
      <c r="AJ89" s="12" t="s">
        <v>640</v>
      </c>
      <c r="AK89" s="15" t="s">
        <v>647</v>
      </c>
      <c r="AL89" s="15" t="s">
        <v>642</v>
      </c>
      <c r="AM89" s="64" t="s">
        <v>643</v>
      </c>
      <c r="AN89" s="30" t="s">
        <v>94</v>
      </c>
      <c r="AO89" s="30"/>
      <c r="AP89" s="64" t="s">
        <v>644</v>
      </c>
      <c r="AQ89" s="30" t="s">
        <v>94</v>
      </c>
      <c r="AR89" s="15" t="s">
        <v>541</v>
      </c>
    </row>
    <row r="90" spans="1:44" ht="15" customHeight="1" x14ac:dyDescent="0.25">
      <c r="A90" s="47">
        <v>10</v>
      </c>
      <c r="B90" s="47" t="s">
        <v>680</v>
      </c>
      <c r="C90" s="47" t="s">
        <v>54</v>
      </c>
      <c r="D90" s="13" t="s">
        <v>41</v>
      </c>
      <c r="E90" s="53">
        <v>2</v>
      </c>
      <c r="F90" s="53">
        <v>2</v>
      </c>
      <c r="G90" s="53">
        <v>2</v>
      </c>
      <c r="H90" s="13" t="s">
        <v>42</v>
      </c>
      <c r="I90" s="13" t="s">
        <v>42</v>
      </c>
      <c r="J90" s="13" t="s">
        <v>42</v>
      </c>
      <c r="K90" s="54"/>
      <c r="L90" s="54"/>
      <c r="M90" s="54"/>
      <c r="N90" s="54"/>
      <c r="O90" s="54"/>
      <c r="P90" s="13" t="s">
        <v>55</v>
      </c>
      <c r="Q90" s="13" t="s">
        <v>174</v>
      </c>
      <c r="R90" s="103" t="s">
        <v>1255</v>
      </c>
      <c r="S90" s="47" t="s">
        <v>681</v>
      </c>
      <c r="T90" s="71">
        <v>483.33</v>
      </c>
      <c r="U90" s="55" t="s">
        <v>681</v>
      </c>
      <c r="V90" s="72" t="s">
        <v>480</v>
      </c>
      <c r="W90" s="25" t="s">
        <v>682</v>
      </c>
      <c r="X90" s="25" t="s">
        <v>683</v>
      </c>
      <c r="Y90" s="25" t="s">
        <v>684</v>
      </c>
      <c r="Z90" s="13" t="s">
        <v>884</v>
      </c>
      <c r="AA90" s="108" t="s">
        <v>971</v>
      </c>
      <c r="AB90" s="44" t="s">
        <v>685</v>
      </c>
      <c r="AC90" s="113" t="s">
        <v>87</v>
      </c>
      <c r="AD90" s="47" t="s">
        <v>686</v>
      </c>
      <c r="AE90" s="114" t="s">
        <v>450</v>
      </c>
      <c r="AF90" s="114" t="s">
        <v>638</v>
      </c>
      <c r="AG90" t="s">
        <v>1018</v>
      </c>
      <c r="AH90" t="s">
        <v>1018</v>
      </c>
      <c r="AI90" s="56" t="s">
        <v>687</v>
      </c>
      <c r="AJ90" s="52" t="s">
        <v>688</v>
      </c>
      <c r="AK90" s="47" t="s">
        <v>689</v>
      </c>
      <c r="AL90" s="67" t="s">
        <v>690</v>
      </c>
      <c r="AM90" s="29" t="s">
        <v>691</v>
      </c>
      <c r="AN90" s="13" t="s">
        <v>113</v>
      </c>
      <c r="AO90" s="111" t="s">
        <v>691</v>
      </c>
      <c r="AP90" s="62" t="s">
        <v>692</v>
      </c>
      <c r="AQ90" s="58" t="s">
        <v>94</v>
      </c>
      <c r="AR90" s="47" t="s">
        <v>541</v>
      </c>
    </row>
    <row r="91" spans="1:44" ht="15" hidden="1" customHeight="1" x14ac:dyDescent="0.25">
      <c r="A91" s="15">
        <v>0</v>
      </c>
      <c r="B91" s="15" t="s">
        <v>658</v>
      </c>
      <c r="C91" s="15" t="s">
        <v>128</v>
      </c>
      <c r="D91" s="15" t="s">
        <v>40</v>
      </c>
      <c r="E91" s="13">
        <v>3</v>
      </c>
      <c r="F91" s="13">
        <v>4</v>
      </c>
      <c r="G91" s="13">
        <v>3</v>
      </c>
      <c r="H91" s="13" t="s">
        <v>41</v>
      </c>
      <c r="I91" s="13" t="s">
        <v>40</v>
      </c>
      <c r="J91" s="13" t="s">
        <v>41</v>
      </c>
      <c r="K91" s="20"/>
      <c r="L91" s="20"/>
      <c r="M91" s="20"/>
      <c r="N91" s="20"/>
      <c r="O91" s="20"/>
      <c r="P91" s="13" t="s">
        <v>55</v>
      </c>
      <c r="Q91" s="15" t="s">
        <v>56</v>
      </c>
      <c r="R91" s="15"/>
      <c r="T91" s="15" t="s">
        <v>76</v>
      </c>
      <c r="U91" s="38" t="s">
        <v>59</v>
      </c>
      <c r="V91" s="31" t="s">
        <v>68</v>
      </c>
      <c r="W91" s="25" t="s">
        <v>76</v>
      </c>
      <c r="X91" s="25" t="s">
        <v>59</v>
      </c>
      <c r="Y91" s="15" t="s">
        <v>59</v>
      </c>
      <c r="Z91" s="13" t="s">
        <v>63</v>
      </c>
      <c r="AA91" s="13"/>
      <c r="AB91" s="19" t="s">
        <v>76</v>
      </c>
      <c r="AC91" s="26" t="s">
        <v>437</v>
      </c>
      <c r="AD91" s="15" t="s">
        <v>59</v>
      </c>
      <c r="AE91" s="27" t="s">
        <v>67</v>
      </c>
      <c r="AF91" s="27" t="s">
        <v>67</v>
      </c>
      <c r="AG91" t="s">
        <v>654</v>
      </c>
      <c r="AH91" t="s">
        <v>654</v>
      </c>
      <c r="AI91" s="18" t="s">
        <v>68</v>
      </c>
      <c r="AJ91" s="15" t="s">
        <v>654</v>
      </c>
      <c r="AK91" s="15" t="s">
        <v>659</v>
      </c>
      <c r="AL91" s="15" t="s">
        <v>656</v>
      </c>
      <c r="AM91" s="29" t="s">
        <v>660</v>
      </c>
      <c r="AN91" s="30" t="s">
        <v>113</v>
      </c>
      <c r="AO91" s="30"/>
      <c r="AP91" s="28" t="s">
        <v>661</v>
      </c>
      <c r="AQ91" s="30" t="s">
        <v>113</v>
      </c>
      <c r="AR91" s="15" t="s">
        <v>662</v>
      </c>
    </row>
    <row r="92" spans="1:44" ht="15" customHeight="1" x14ac:dyDescent="0.25">
      <c r="A92" s="15">
        <v>1</v>
      </c>
      <c r="B92" s="15" t="s">
        <v>342</v>
      </c>
      <c r="C92" s="15" t="s">
        <v>54</v>
      </c>
      <c r="D92" s="13" t="s">
        <v>41</v>
      </c>
      <c r="E92" s="13">
        <v>2</v>
      </c>
      <c r="F92" s="13">
        <v>2</v>
      </c>
      <c r="G92" s="13">
        <v>2</v>
      </c>
      <c r="H92" s="13" t="s">
        <v>42</v>
      </c>
      <c r="I92" s="13" t="s">
        <v>42</v>
      </c>
      <c r="J92" s="13" t="s">
        <v>42</v>
      </c>
      <c r="K92" s="20"/>
      <c r="L92" s="20"/>
      <c r="M92" s="20"/>
      <c r="N92" s="20"/>
      <c r="O92" s="20"/>
      <c r="P92" s="13" t="s">
        <v>84</v>
      </c>
      <c r="Q92" s="13" t="s">
        <v>174</v>
      </c>
      <c r="R92" s="103" t="s">
        <v>949</v>
      </c>
      <c r="S92" s="15" t="s">
        <v>175</v>
      </c>
      <c r="T92" s="38">
        <v>867.84</v>
      </c>
      <c r="U92" s="33" t="s">
        <v>175</v>
      </c>
      <c r="V92" s="33" t="s">
        <v>59</v>
      </c>
      <c r="W92" s="60" t="s">
        <v>343</v>
      </c>
      <c r="X92" s="25" t="s">
        <v>344</v>
      </c>
      <c r="Y92" s="25" t="s">
        <v>345</v>
      </c>
      <c r="Z92" s="13" t="s">
        <v>63</v>
      </c>
      <c r="AA92" s="108" t="s">
        <v>1238</v>
      </c>
      <c r="AB92" s="17" t="s">
        <v>346</v>
      </c>
      <c r="AC92" s="113" t="s">
        <v>65</v>
      </c>
      <c r="AD92" s="15" t="s">
        <v>347</v>
      </c>
      <c r="AE92" s="114" t="s">
        <v>67</v>
      </c>
      <c r="AF92" s="114" t="s">
        <v>67</v>
      </c>
      <c r="AG92" t="s">
        <v>1032</v>
      </c>
      <c r="AH92" t="s">
        <v>1033</v>
      </c>
      <c r="AI92" s="18" t="s">
        <v>68</v>
      </c>
      <c r="AJ92" s="15" t="s">
        <v>348</v>
      </c>
      <c r="AK92" s="15" t="s">
        <v>349</v>
      </c>
      <c r="AL92" s="15" t="s">
        <v>350</v>
      </c>
      <c r="AM92" s="29" t="s">
        <v>351</v>
      </c>
      <c r="AN92" s="13" t="s">
        <v>113</v>
      </c>
      <c r="AO92" s="111" t="s">
        <v>351</v>
      </c>
      <c r="AP92" s="29" t="s">
        <v>352</v>
      </c>
      <c r="AQ92" s="30" t="s">
        <v>94</v>
      </c>
    </row>
    <row r="93" spans="1:44" ht="15" hidden="1" customHeight="1" x14ac:dyDescent="0.25">
      <c r="A93" s="15">
        <v>0</v>
      </c>
      <c r="B93" s="15" t="s">
        <v>675</v>
      </c>
      <c r="C93" s="15" t="s">
        <v>463</v>
      </c>
      <c r="D93" s="15" t="s">
        <v>43</v>
      </c>
      <c r="E93" s="13">
        <v>1</v>
      </c>
      <c r="F93" s="13">
        <v>1</v>
      </c>
      <c r="G93" s="13">
        <v>1</v>
      </c>
      <c r="H93" s="13" t="s">
        <v>43</v>
      </c>
      <c r="I93" s="13" t="s">
        <v>43</v>
      </c>
      <c r="J93" s="13" t="s">
        <v>43</v>
      </c>
      <c r="K93" s="20"/>
      <c r="L93" s="20"/>
      <c r="M93" s="20"/>
      <c r="N93" s="20"/>
      <c r="O93" s="20"/>
      <c r="P93" s="13" t="s">
        <v>84</v>
      </c>
      <c r="Q93" s="15" t="s">
        <v>174</v>
      </c>
      <c r="R93" s="15"/>
      <c r="T93" s="15" t="s">
        <v>76</v>
      </c>
      <c r="U93" s="38" t="s">
        <v>59</v>
      </c>
      <c r="V93" s="31" t="s">
        <v>59</v>
      </c>
      <c r="W93" s="25" t="s">
        <v>76</v>
      </c>
      <c r="X93" s="25" t="s">
        <v>59</v>
      </c>
      <c r="Y93" s="15" t="s">
        <v>59</v>
      </c>
      <c r="Z93" s="13" t="s">
        <v>63</v>
      </c>
      <c r="AA93" s="13"/>
      <c r="AB93" s="19" t="s">
        <v>76</v>
      </c>
      <c r="AC93" s="26" t="s">
        <v>87</v>
      </c>
      <c r="AD93" s="15" t="s">
        <v>59</v>
      </c>
      <c r="AE93" s="69" t="s">
        <v>669</v>
      </c>
      <c r="AF93" s="69" t="s">
        <v>450</v>
      </c>
      <c r="AG93" t="s">
        <v>670</v>
      </c>
      <c r="AH93" t="s">
        <v>670</v>
      </c>
      <c r="AI93" s="18" t="s">
        <v>68</v>
      </c>
      <c r="AJ93" s="15" t="s">
        <v>670</v>
      </c>
      <c r="AK93" s="15" t="s">
        <v>676</v>
      </c>
      <c r="AL93" s="15" t="s">
        <v>677</v>
      </c>
      <c r="AM93" s="29" t="s">
        <v>678</v>
      </c>
      <c r="AN93" s="30" t="s">
        <v>73</v>
      </c>
      <c r="AO93" s="30"/>
      <c r="AP93" s="28" t="s">
        <v>679</v>
      </c>
      <c r="AQ93" s="30" t="s">
        <v>73</v>
      </c>
    </row>
    <row r="94" spans="1:44" s="47" customFormat="1" ht="15" customHeight="1" x14ac:dyDescent="0.25">
      <c r="A94" s="15">
        <v>1</v>
      </c>
      <c r="B94" s="15" t="s">
        <v>746</v>
      </c>
      <c r="C94" s="15" t="s">
        <v>54</v>
      </c>
      <c r="D94" s="13" t="s">
        <v>41</v>
      </c>
      <c r="E94" s="13">
        <v>2</v>
      </c>
      <c r="F94" s="13">
        <v>2</v>
      </c>
      <c r="G94" s="13">
        <v>2</v>
      </c>
      <c r="H94" s="13" t="s">
        <v>42</v>
      </c>
      <c r="I94" s="13" t="s">
        <v>42</v>
      </c>
      <c r="J94" s="13" t="s">
        <v>42</v>
      </c>
      <c r="K94" s="20"/>
      <c r="L94" s="20"/>
      <c r="M94" s="20"/>
      <c r="N94" s="20"/>
      <c r="O94" s="20"/>
      <c r="P94" s="13" t="s">
        <v>84</v>
      </c>
      <c r="Q94" s="13" t="s">
        <v>56</v>
      </c>
      <c r="R94" s="103" t="s">
        <v>982</v>
      </c>
      <c r="S94" s="15" t="s">
        <v>175</v>
      </c>
      <c r="T94" s="38">
        <v>31.5</v>
      </c>
      <c r="U94" s="33" t="s">
        <v>175</v>
      </c>
      <c r="V94" s="31" t="s">
        <v>59</v>
      </c>
      <c r="W94" s="25" t="s">
        <v>747</v>
      </c>
      <c r="X94" s="25" t="s">
        <v>739</v>
      </c>
      <c r="Y94" s="25" t="s">
        <v>748</v>
      </c>
      <c r="Z94" s="13" t="s">
        <v>884</v>
      </c>
      <c r="AA94" s="108" t="s">
        <v>977</v>
      </c>
      <c r="AB94" s="17" t="s">
        <v>731</v>
      </c>
      <c r="AC94" s="113" t="s">
        <v>437</v>
      </c>
      <c r="AD94" s="15" t="s">
        <v>59</v>
      </c>
      <c r="AE94" s="114" t="s">
        <v>67</v>
      </c>
      <c r="AF94" s="114" t="s">
        <v>67</v>
      </c>
      <c r="AG94" t="s">
        <v>1021</v>
      </c>
      <c r="AH94" t="s">
        <v>1021</v>
      </c>
      <c r="AI94" s="18" t="s">
        <v>68</v>
      </c>
      <c r="AJ94" s="15" t="s">
        <v>749</v>
      </c>
      <c r="AK94" s="15" t="s">
        <v>750</v>
      </c>
      <c r="AL94" s="15" t="s">
        <v>751</v>
      </c>
      <c r="AM94" s="29" t="s">
        <v>1058</v>
      </c>
      <c r="AN94" s="13" t="s">
        <v>113</v>
      </c>
      <c r="AO94" s="111" t="s">
        <v>1251</v>
      </c>
      <c r="AP94" s="64" t="s">
        <v>753</v>
      </c>
      <c r="AQ94" s="30" t="s">
        <v>94</v>
      </c>
      <c r="AR94" s="17" t="s">
        <v>754</v>
      </c>
    </row>
    <row r="95" spans="1:44" ht="15" customHeight="1" x14ac:dyDescent="0.25">
      <c r="A95" s="15">
        <v>1</v>
      </c>
      <c r="B95" s="15" t="s">
        <v>53</v>
      </c>
      <c r="C95" s="15" t="s">
        <v>54</v>
      </c>
      <c r="D95" s="13" t="s">
        <v>41</v>
      </c>
      <c r="E95" s="13">
        <v>3</v>
      </c>
      <c r="F95" s="13">
        <v>3</v>
      </c>
      <c r="G95" s="13">
        <v>3</v>
      </c>
      <c r="H95" s="13" t="s">
        <v>41</v>
      </c>
      <c r="I95" s="13" t="s">
        <v>41</v>
      </c>
      <c r="J95" s="13" t="s">
        <v>41</v>
      </c>
      <c r="K95" s="20"/>
      <c r="L95" s="20"/>
      <c r="M95" s="20"/>
      <c r="N95" s="20"/>
      <c r="O95" s="20"/>
      <c r="P95" s="13" t="s">
        <v>55</v>
      </c>
      <c r="Q95" s="13" t="s">
        <v>56</v>
      </c>
      <c r="R95" s="103" t="s">
        <v>938</v>
      </c>
      <c r="T95" s="21" t="s">
        <v>57</v>
      </c>
      <c r="U95" s="21" t="s">
        <v>58</v>
      </c>
      <c r="V95" s="22" t="s">
        <v>59</v>
      </c>
      <c r="W95" s="23" t="s">
        <v>60</v>
      </c>
      <c r="X95" s="24" t="s">
        <v>61</v>
      </c>
      <c r="Y95" s="25" t="s">
        <v>62</v>
      </c>
      <c r="Z95" s="13" t="s">
        <v>219</v>
      </c>
      <c r="AA95" s="108" t="s">
        <v>1249</v>
      </c>
      <c r="AB95" s="17" t="s">
        <v>64</v>
      </c>
      <c r="AC95" s="113" t="s">
        <v>65</v>
      </c>
      <c r="AD95" s="15" t="s">
        <v>66</v>
      </c>
      <c r="AE95" s="114" t="s">
        <v>67</v>
      </c>
      <c r="AF95" s="114" t="s">
        <v>67</v>
      </c>
      <c r="AG95" t="s">
        <v>69</v>
      </c>
      <c r="AH95" t="s">
        <v>69</v>
      </c>
      <c r="AI95" s="18" t="s">
        <v>68</v>
      </c>
      <c r="AJ95" s="15" t="s">
        <v>69</v>
      </c>
      <c r="AK95" s="15" t="s">
        <v>70</v>
      </c>
      <c r="AL95" s="28" t="s">
        <v>71</v>
      </c>
      <c r="AM95" s="29" t="s">
        <v>72</v>
      </c>
      <c r="AN95" s="13" t="s">
        <v>73</v>
      </c>
      <c r="AO95" s="111" t="s">
        <v>72</v>
      </c>
      <c r="AP95" s="28" t="s">
        <v>74</v>
      </c>
      <c r="AQ95" s="30" t="s">
        <v>73</v>
      </c>
    </row>
    <row r="96" spans="1:44" ht="15" customHeight="1" x14ac:dyDescent="0.25">
      <c r="A96" s="15">
        <v>1</v>
      </c>
      <c r="B96" s="15" t="s">
        <v>270</v>
      </c>
      <c r="C96" s="15" t="s">
        <v>227</v>
      </c>
      <c r="D96" s="13" t="s">
        <v>42</v>
      </c>
      <c r="E96" s="13">
        <v>1</v>
      </c>
      <c r="F96" s="13">
        <v>1</v>
      </c>
      <c r="G96" s="13">
        <v>1</v>
      </c>
      <c r="H96" s="13" t="s">
        <v>43</v>
      </c>
      <c r="I96" s="13" t="s">
        <v>43</v>
      </c>
      <c r="J96" s="13" t="s">
        <v>43</v>
      </c>
      <c r="K96" s="20"/>
      <c r="L96" s="20"/>
      <c r="M96" s="20"/>
      <c r="N96" s="20"/>
      <c r="O96" s="20"/>
      <c r="P96" s="13" t="s">
        <v>55</v>
      </c>
      <c r="Q96" s="13" t="s">
        <v>56</v>
      </c>
      <c r="R96" s="103" t="s">
        <v>946</v>
      </c>
      <c r="T96" s="15" t="s">
        <v>262</v>
      </c>
      <c r="U96" s="33" t="s">
        <v>59</v>
      </c>
      <c r="V96" s="33" t="s">
        <v>59</v>
      </c>
      <c r="W96" s="15" t="s">
        <v>263</v>
      </c>
      <c r="X96" s="25" t="s">
        <v>59</v>
      </c>
      <c r="Y96" s="25" t="s">
        <v>59</v>
      </c>
      <c r="Z96" s="13" t="s">
        <v>884</v>
      </c>
      <c r="AA96" s="108" t="s">
        <v>1252</v>
      </c>
      <c r="AB96" s="46" t="s">
        <v>271</v>
      </c>
      <c r="AC96" s="113" t="s">
        <v>87</v>
      </c>
      <c r="AD96" s="15" t="s">
        <v>59</v>
      </c>
      <c r="AE96" s="114" t="s">
        <v>67</v>
      </c>
      <c r="AF96" s="114" t="s">
        <v>67</v>
      </c>
      <c r="AG96" t="s">
        <v>90</v>
      </c>
      <c r="AH96" t="s">
        <v>90</v>
      </c>
      <c r="AI96" s="18" t="s">
        <v>68</v>
      </c>
      <c r="AJ96" s="15" t="s">
        <v>266</v>
      </c>
      <c r="AK96" s="15" t="s">
        <v>272</v>
      </c>
      <c r="AL96" s="15" t="s">
        <v>251</v>
      </c>
      <c r="AM96" s="29" t="s">
        <v>273</v>
      </c>
      <c r="AN96" s="13" t="s">
        <v>73</v>
      </c>
      <c r="AO96" s="111" t="s">
        <v>987</v>
      </c>
      <c r="AP96" s="28" t="s">
        <v>274</v>
      </c>
      <c r="AQ96" s="30" t="s">
        <v>94</v>
      </c>
      <c r="AR96" s="47" t="s">
        <v>275</v>
      </c>
    </row>
    <row r="97" spans="1:45" ht="15" hidden="1" customHeight="1" x14ac:dyDescent="0.25">
      <c r="A97" s="15">
        <v>0</v>
      </c>
      <c r="B97" s="15" t="s">
        <v>714</v>
      </c>
      <c r="C97" s="15" t="s">
        <v>227</v>
      </c>
      <c r="D97" s="15" t="s">
        <v>42</v>
      </c>
      <c r="E97" s="13">
        <v>1</v>
      </c>
      <c r="F97" s="13">
        <v>1</v>
      </c>
      <c r="G97" s="13">
        <v>1</v>
      </c>
      <c r="H97" s="13" t="s">
        <v>43</v>
      </c>
      <c r="I97" s="13" t="s">
        <v>43</v>
      </c>
      <c r="J97" s="13" t="s">
        <v>43</v>
      </c>
      <c r="K97" s="20"/>
      <c r="L97" s="20"/>
      <c r="M97" s="20"/>
      <c r="N97" s="20"/>
      <c r="O97" s="20"/>
      <c r="P97" s="13" t="s">
        <v>55</v>
      </c>
      <c r="Q97" s="15" t="s">
        <v>56</v>
      </c>
      <c r="R97" s="15"/>
      <c r="T97" s="15" t="s">
        <v>76</v>
      </c>
      <c r="U97" s="38" t="s">
        <v>59</v>
      </c>
      <c r="V97" s="31" t="s">
        <v>59</v>
      </c>
      <c r="W97" s="25" t="s">
        <v>76</v>
      </c>
      <c r="X97" s="25" t="s">
        <v>59</v>
      </c>
      <c r="Y97" s="25" t="s">
        <v>59</v>
      </c>
      <c r="Z97" s="13" t="s">
        <v>63</v>
      </c>
      <c r="AA97" s="13"/>
      <c r="AB97" s="19" t="s">
        <v>563</v>
      </c>
      <c r="AC97" s="26" t="s">
        <v>87</v>
      </c>
      <c r="AD97" s="15" t="s">
        <v>707</v>
      </c>
      <c r="AE97" s="27" t="s">
        <v>67</v>
      </c>
      <c r="AF97" s="27" t="s">
        <v>67</v>
      </c>
      <c r="AG97" t="s">
        <v>708</v>
      </c>
      <c r="AH97" t="s">
        <v>708</v>
      </c>
      <c r="AI97" s="18" t="s">
        <v>68</v>
      </c>
      <c r="AJ97" s="15" t="s">
        <v>708</v>
      </c>
      <c r="AK97" s="15" t="s">
        <v>709</v>
      </c>
      <c r="AL97" s="15" t="s">
        <v>710</v>
      </c>
      <c r="AM97" s="64" t="s">
        <v>715</v>
      </c>
      <c r="AN97" s="30" t="s">
        <v>94</v>
      </c>
      <c r="AO97" s="30"/>
      <c r="AP97" s="64" t="s">
        <v>716</v>
      </c>
      <c r="AQ97" s="30" t="s">
        <v>113</v>
      </c>
      <c r="AR97" s="15" t="s">
        <v>717</v>
      </c>
    </row>
    <row r="98" spans="1:45" ht="15" hidden="1" customHeight="1" x14ac:dyDescent="0.25">
      <c r="B98" s="16" t="s">
        <v>718</v>
      </c>
      <c r="H98" s="13"/>
      <c r="I98" s="13"/>
      <c r="J98" s="13"/>
      <c r="K98" s="20"/>
      <c r="L98" s="20"/>
      <c r="M98" s="20"/>
      <c r="N98" s="20"/>
      <c r="O98" s="20"/>
      <c r="P98" s="13"/>
      <c r="R98" s="15"/>
      <c r="T98" s="38"/>
      <c r="U98" s="31"/>
      <c r="V98" s="31"/>
      <c r="Z98" s="13"/>
      <c r="AA98" s="13"/>
      <c r="AB98" s="17"/>
      <c r="AC98" s="17"/>
      <c r="AG98">
        <v>0</v>
      </c>
      <c r="AH98">
        <v>0</v>
      </c>
      <c r="AO98" s="13"/>
    </row>
    <row r="99" spans="1:45" ht="15" customHeight="1" x14ac:dyDescent="0.25">
      <c r="A99" s="15">
        <v>1</v>
      </c>
      <c r="B99" s="15" t="s">
        <v>276</v>
      </c>
      <c r="C99" s="15" t="s">
        <v>54</v>
      </c>
      <c r="D99" s="13" t="s">
        <v>41</v>
      </c>
      <c r="E99" s="13">
        <v>2</v>
      </c>
      <c r="F99" s="13">
        <v>2</v>
      </c>
      <c r="G99" s="13">
        <v>2</v>
      </c>
      <c r="H99" s="13" t="s">
        <v>42</v>
      </c>
      <c r="I99" s="13" t="s">
        <v>42</v>
      </c>
      <c r="J99" s="13" t="s">
        <v>42</v>
      </c>
      <c r="K99" s="20"/>
      <c r="L99" s="20"/>
      <c r="M99" s="20"/>
      <c r="N99" s="20"/>
      <c r="O99" s="20"/>
      <c r="P99" s="13" t="s">
        <v>55</v>
      </c>
      <c r="Q99" s="13" t="s">
        <v>56</v>
      </c>
      <c r="R99" s="103" t="s">
        <v>946</v>
      </c>
      <c r="T99" s="38">
        <v>207.28</v>
      </c>
      <c r="U99" s="33" t="s">
        <v>58</v>
      </c>
      <c r="V99" s="33" t="s">
        <v>59</v>
      </c>
      <c r="W99" s="25" t="s">
        <v>277</v>
      </c>
      <c r="X99" s="25" t="s">
        <v>59</v>
      </c>
      <c r="Y99" s="25" t="s">
        <v>278</v>
      </c>
      <c r="Z99" s="13" t="s">
        <v>63</v>
      </c>
      <c r="AA99" s="119" t="s">
        <v>1140</v>
      </c>
      <c r="AB99" s="44" t="s">
        <v>279</v>
      </c>
      <c r="AC99" s="113" t="s">
        <v>87</v>
      </c>
      <c r="AD99" s="15" t="s">
        <v>59</v>
      </c>
      <c r="AE99" s="114" t="s">
        <v>67</v>
      </c>
      <c r="AF99" s="114" t="s">
        <v>67</v>
      </c>
      <c r="AG99" t="s">
        <v>90</v>
      </c>
      <c r="AH99" t="s">
        <v>90</v>
      </c>
      <c r="AI99" s="18" t="s">
        <v>68</v>
      </c>
      <c r="AJ99" s="15" t="s">
        <v>266</v>
      </c>
      <c r="AK99" s="28" t="s">
        <v>280</v>
      </c>
      <c r="AL99" s="15" t="s">
        <v>251</v>
      </c>
      <c r="AM99" s="29" t="s">
        <v>281</v>
      </c>
      <c r="AN99" s="13" t="s">
        <v>113</v>
      </c>
      <c r="AO99" s="118" t="s">
        <v>1124</v>
      </c>
      <c r="AP99" s="40" t="s">
        <v>282</v>
      </c>
      <c r="AQ99" s="30" t="s">
        <v>94</v>
      </c>
      <c r="AR99" s="12" t="s">
        <v>283</v>
      </c>
    </row>
    <row r="100" spans="1:45" ht="15" customHeight="1" x14ac:dyDescent="0.25">
      <c r="A100" s="15">
        <v>1</v>
      </c>
      <c r="B100" s="15" t="s">
        <v>261</v>
      </c>
      <c r="C100" s="15" t="s">
        <v>54</v>
      </c>
      <c r="D100" s="13" t="s">
        <v>41</v>
      </c>
      <c r="E100" s="13">
        <v>2</v>
      </c>
      <c r="F100" s="13">
        <v>2</v>
      </c>
      <c r="G100" s="13">
        <v>2</v>
      </c>
      <c r="H100" s="13" t="s">
        <v>42</v>
      </c>
      <c r="I100" s="13" t="s">
        <v>42</v>
      </c>
      <c r="J100" s="13" t="s">
        <v>42</v>
      </c>
      <c r="K100" s="20"/>
      <c r="L100" s="20"/>
      <c r="M100" s="20"/>
      <c r="N100" s="20"/>
      <c r="O100" s="20"/>
      <c r="P100" s="13" t="s">
        <v>55</v>
      </c>
      <c r="Q100" s="13" t="s">
        <v>56</v>
      </c>
      <c r="R100" s="103" t="s">
        <v>946</v>
      </c>
      <c r="T100" s="15" t="s">
        <v>262</v>
      </c>
      <c r="U100" s="33" t="s">
        <v>59</v>
      </c>
      <c r="V100" s="33" t="s">
        <v>59</v>
      </c>
      <c r="W100" s="15" t="s">
        <v>263</v>
      </c>
      <c r="X100" s="25" t="s">
        <v>59</v>
      </c>
      <c r="Y100" s="25" t="s">
        <v>59</v>
      </c>
      <c r="Z100" s="13" t="s">
        <v>219</v>
      </c>
      <c r="AA100" s="108" t="s">
        <v>1249</v>
      </c>
      <c r="AB100" s="46" t="s">
        <v>264</v>
      </c>
      <c r="AC100" s="113" t="s">
        <v>87</v>
      </c>
      <c r="AD100" s="15" t="s">
        <v>59</v>
      </c>
      <c r="AE100" s="114" t="s">
        <v>67</v>
      </c>
      <c r="AF100" s="114" t="s">
        <v>67</v>
      </c>
      <c r="AG100" t="s">
        <v>90</v>
      </c>
      <c r="AH100" t="s">
        <v>90</v>
      </c>
      <c r="AI100" s="18" t="s">
        <v>265</v>
      </c>
      <c r="AJ100" s="15" t="s">
        <v>266</v>
      </c>
      <c r="AK100" s="15" t="s">
        <v>267</v>
      </c>
      <c r="AL100" s="15" t="s">
        <v>251</v>
      </c>
      <c r="AM100" s="29" t="s">
        <v>268</v>
      </c>
      <c r="AN100" s="13" t="s">
        <v>73</v>
      </c>
      <c r="AO100" s="111" t="s">
        <v>1081</v>
      </c>
      <c r="AP100" s="51" t="s">
        <v>268</v>
      </c>
      <c r="AQ100" s="30" t="s">
        <v>73</v>
      </c>
      <c r="AR100" s="52" t="s">
        <v>269</v>
      </c>
      <c r="AS100" s="28"/>
    </row>
    <row r="101" spans="1:45" ht="15" customHeight="1" x14ac:dyDescent="0.25">
      <c r="A101" s="15">
        <v>10</v>
      </c>
      <c r="B101" s="15" t="s">
        <v>693</v>
      </c>
      <c r="C101" s="15" t="s">
        <v>694</v>
      </c>
      <c r="D101" s="13" t="s">
        <v>43</v>
      </c>
      <c r="E101" s="13">
        <v>1</v>
      </c>
      <c r="F101" s="13">
        <v>1</v>
      </c>
      <c r="G101" s="13">
        <v>1</v>
      </c>
      <c r="H101" s="13" t="s">
        <v>43</v>
      </c>
      <c r="I101" s="13" t="s">
        <v>43</v>
      </c>
      <c r="J101" s="13" t="s">
        <v>43</v>
      </c>
      <c r="K101" s="20"/>
      <c r="L101" s="20"/>
      <c r="M101" s="20"/>
      <c r="N101" s="20"/>
      <c r="O101" s="20"/>
      <c r="P101" s="13" t="s">
        <v>55</v>
      </c>
      <c r="Q101" s="13" t="s">
        <v>174</v>
      </c>
      <c r="R101" s="103" t="s">
        <v>968</v>
      </c>
      <c r="T101" s="38">
        <v>10000</v>
      </c>
      <c r="U101" s="33" t="s">
        <v>695</v>
      </c>
      <c r="V101" s="31" t="s">
        <v>480</v>
      </c>
      <c r="W101" s="86" t="s">
        <v>696</v>
      </c>
      <c r="X101" s="86" t="s">
        <v>59</v>
      </c>
      <c r="Y101" s="52" t="s">
        <v>697</v>
      </c>
      <c r="Z101" s="13" t="s">
        <v>884</v>
      </c>
      <c r="AA101" s="108" t="s">
        <v>975</v>
      </c>
      <c r="AB101" s="17" t="s">
        <v>698</v>
      </c>
      <c r="AC101" s="113" t="s">
        <v>87</v>
      </c>
      <c r="AD101" s="15" t="s">
        <v>59</v>
      </c>
      <c r="AE101" s="114" t="s">
        <v>450</v>
      </c>
      <c r="AF101" s="114" t="s">
        <v>67</v>
      </c>
      <c r="AG101" t="s">
        <v>1041</v>
      </c>
      <c r="AH101" t="s">
        <v>1031</v>
      </c>
      <c r="AI101" s="18" t="s">
        <v>687</v>
      </c>
      <c r="AJ101" s="23" t="s">
        <v>699</v>
      </c>
      <c r="AK101" s="15" t="s">
        <v>355</v>
      </c>
      <c r="AL101" s="15" t="s">
        <v>355</v>
      </c>
      <c r="AM101" s="29" t="s">
        <v>700</v>
      </c>
      <c r="AN101" s="13" t="s">
        <v>113</v>
      </c>
      <c r="AO101" s="111" t="s">
        <v>1188</v>
      </c>
      <c r="AP101" s="28" t="s">
        <v>701</v>
      </c>
      <c r="AQ101" s="30" t="s">
        <v>113</v>
      </c>
      <c r="AR101" s="15" t="s">
        <v>541</v>
      </c>
    </row>
    <row r="102" spans="1:45" ht="15" customHeight="1" x14ac:dyDescent="0.25">
      <c r="A102" s="15">
        <v>10</v>
      </c>
      <c r="B102" s="15" t="s">
        <v>530</v>
      </c>
      <c r="C102" s="15" t="s">
        <v>463</v>
      </c>
      <c r="D102" s="13" t="s">
        <v>43</v>
      </c>
      <c r="E102" s="13">
        <v>1</v>
      </c>
      <c r="F102" s="13">
        <v>1</v>
      </c>
      <c r="G102" s="13">
        <v>1</v>
      </c>
      <c r="H102" s="13" t="s">
        <v>43</v>
      </c>
      <c r="I102" s="13" t="s">
        <v>43</v>
      </c>
      <c r="J102" s="13" t="s">
        <v>43</v>
      </c>
      <c r="K102" s="20"/>
      <c r="L102" s="20"/>
      <c r="M102" s="20"/>
      <c r="N102" s="20"/>
      <c r="O102" s="20"/>
      <c r="P102" s="13" t="s">
        <v>148</v>
      </c>
      <c r="Q102" s="13" t="s">
        <v>531</v>
      </c>
      <c r="R102" s="104" t="s">
        <v>981</v>
      </c>
      <c r="S102" s="47"/>
      <c r="T102" s="71" t="s">
        <v>59</v>
      </c>
      <c r="U102" s="55" t="s">
        <v>59</v>
      </c>
      <c r="V102" s="31" t="s">
        <v>480</v>
      </c>
      <c r="W102" s="25" t="s">
        <v>532</v>
      </c>
      <c r="X102" s="25" t="s">
        <v>533</v>
      </c>
      <c r="Y102" s="15" t="s">
        <v>59</v>
      </c>
      <c r="Z102" s="13" t="s">
        <v>219</v>
      </c>
      <c r="AA102" s="108" t="s">
        <v>1249</v>
      </c>
      <c r="AB102" s="44" t="s">
        <v>534</v>
      </c>
      <c r="AC102" s="113" t="s">
        <v>87</v>
      </c>
      <c r="AD102" s="15" t="s">
        <v>535</v>
      </c>
      <c r="AE102" s="114" t="s">
        <v>67</v>
      </c>
      <c r="AF102" s="114" t="s">
        <v>405</v>
      </c>
      <c r="AG102" s="112" t="s">
        <v>1010</v>
      </c>
      <c r="AH102" s="112" t="s">
        <v>1010</v>
      </c>
      <c r="AI102" s="18" t="s">
        <v>68</v>
      </c>
      <c r="AJ102" s="23" t="s">
        <v>536</v>
      </c>
      <c r="AK102" s="15" t="s">
        <v>537</v>
      </c>
      <c r="AL102" s="15" t="s">
        <v>538</v>
      </c>
      <c r="AM102" s="29" t="s">
        <v>539</v>
      </c>
      <c r="AN102" s="13" t="s">
        <v>73</v>
      </c>
      <c r="AO102" s="118" t="s">
        <v>1164</v>
      </c>
      <c r="AP102" s="64" t="s">
        <v>540</v>
      </c>
      <c r="AQ102" s="30" t="s">
        <v>73</v>
      </c>
      <c r="AR102" s="15" t="s">
        <v>541</v>
      </c>
    </row>
    <row r="103" spans="1:45" ht="15" hidden="1" customHeight="1" x14ac:dyDescent="0.25">
      <c r="A103" s="15">
        <v>0</v>
      </c>
      <c r="B103" s="15" t="s">
        <v>755</v>
      </c>
      <c r="C103" s="15" t="s">
        <v>54</v>
      </c>
      <c r="D103" s="15" t="s">
        <v>41</v>
      </c>
      <c r="E103" s="13">
        <v>2</v>
      </c>
      <c r="F103" s="13">
        <v>2</v>
      </c>
      <c r="G103" s="13">
        <v>2</v>
      </c>
      <c r="H103" s="13" t="s">
        <v>42</v>
      </c>
      <c r="I103" s="13" t="s">
        <v>42</v>
      </c>
      <c r="J103" s="13" t="s">
        <v>42</v>
      </c>
      <c r="K103" s="20"/>
      <c r="L103" s="20"/>
      <c r="M103" s="20"/>
      <c r="N103" s="20"/>
      <c r="O103" s="20"/>
      <c r="P103" s="13" t="s">
        <v>55</v>
      </c>
      <c r="Q103" s="15" t="s">
        <v>56</v>
      </c>
      <c r="R103" s="15"/>
      <c r="T103" s="15" t="s">
        <v>76</v>
      </c>
      <c r="U103" s="38" t="s">
        <v>59</v>
      </c>
      <c r="V103" s="31" t="s">
        <v>59</v>
      </c>
      <c r="W103" s="25" t="s">
        <v>76</v>
      </c>
      <c r="X103" s="25" t="s">
        <v>59</v>
      </c>
      <c r="Y103" s="25" t="s">
        <v>59</v>
      </c>
      <c r="Z103" s="13" t="s">
        <v>219</v>
      </c>
      <c r="AA103" s="13"/>
      <c r="AB103" s="19" t="s">
        <v>76</v>
      </c>
      <c r="AC103" s="26" t="s">
        <v>437</v>
      </c>
      <c r="AD103" s="15" t="s">
        <v>59</v>
      </c>
      <c r="AE103" s="27" t="s">
        <v>67</v>
      </c>
      <c r="AF103" s="27" t="s">
        <v>67</v>
      </c>
      <c r="AG103" t="s">
        <v>749</v>
      </c>
      <c r="AH103" t="s">
        <v>749</v>
      </c>
      <c r="AI103" s="18" t="s">
        <v>68</v>
      </c>
      <c r="AJ103" s="15" t="s">
        <v>749</v>
      </c>
      <c r="AK103" s="15" t="s">
        <v>750</v>
      </c>
      <c r="AL103" s="15" t="s">
        <v>751</v>
      </c>
      <c r="AM103" s="64" t="s">
        <v>752</v>
      </c>
      <c r="AN103" s="30" t="s">
        <v>113</v>
      </c>
      <c r="AO103" s="30"/>
      <c r="AP103" s="64" t="s">
        <v>753</v>
      </c>
      <c r="AQ103" s="30" t="s">
        <v>113</v>
      </c>
      <c r="AR103" s="15" t="s">
        <v>340</v>
      </c>
    </row>
    <row r="104" spans="1:45" ht="15" hidden="1" customHeight="1" x14ac:dyDescent="0.25">
      <c r="B104" s="16" t="s">
        <v>756</v>
      </c>
      <c r="H104" s="13"/>
      <c r="I104" s="13"/>
      <c r="J104" s="13"/>
      <c r="K104" s="20"/>
      <c r="L104" s="20"/>
      <c r="M104" s="20"/>
      <c r="N104" s="20"/>
      <c r="O104" s="20"/>
      <c r="P104" s="13"/>
      <c r="R104" s="15"/>
      <c r="T104" s="38"/>
      <c r="U104" s="31"/>
      <c r="V104" s="31"/>
      <c r="Z104" s="13"/>
      <c r="AA104" s="13"/>
      <c r="AB104" s="17"/>
      <c r="AC104" s="17"/>
      <c r="AG104">
        <v>0</v>
      </c>
      <c r="AH104">
        <v>0</v>
      </c>
      <c r="AO104" s="13"/>
    </row>
    <row r="105" spans="1:45" ht="15" customHeight="1" x14ac:dyDescent="0.25">
      <c r="A105" s="15">
        <v>10</v>
      </c>
      <c r="B105" s="15" t="s">
        <v>322</v>
      </c>
      <c r="C105" s="15" t="s">
        <v>227</v>
      </c>
      <c r="D105" s="13" t="s">
        <v>42</v>
      </c>
      <c r="E105" s="13">
        <v>1</v>
      </c>
      <c r="F105" s="13">
        <v>1</v>
      </c>
      <c r="G105" s="13">
        <v>1</v>
      </c>
      <c r="H105" s="13" t="s">
        <v>43</v>
      </c>
      <c r="I105" s="13" t="s">
        <v>43</v>
      </c>
      <c r="J105" s="13" t="s">
        <v>43</v>
      </c>
      <c r="K105" s="20"/>
      <c r="L105" s="20"/>
      <c r="M105" s="20"/>
      <c r="N105" s="20"/>
      <c r="O105" s="20"/>
      <c r="P105" s="13" t="s">
        <v>55</v>
      </c>
      <c r="Q105" s="13" t="s">
        <v>56</v>
      </c>
      <c r="R105" s="103" t="s">
        <v>947</v>
      </c>
      <c r="S105" s="15" t="s">
        <v>175</v>
      </c>
      <c r="T105" s="15" t="s">
        <v>323</v>
      </c>
      <c r="U105" s="33" t="s">
        <v>59</v>
      </c>
      <c r="V105" s="33" t="s">
        <v>59</v>
      </c>
      <c r="W105" s="25" t="s">
        <v>323</v>
      </c>
      <c r="X105" s="25" t="s">
        <v>59</v>
      </c>
      <c r="Y105" s="25" t="s">
        <v>59</v>
      </c>
      <c r="Z105" s="13" t="s">
        <v>219</v>
      </c>
      <c r="AA105" s="108" t="s">
        <v>1092</v>
      </c>
      <c r="AB105" s="46" t="s">
        <v>323</v>
      </c>
      <c r="AC105" s="113" t="s">
        <v>87</v>
      </c>
      <c r="AD105" s="15" t="s">
        <v>316</v>
      </c>
      <c r="AE105" s="114" t="s">
        <v>67</v>
      </c>
      <c r="AF105" s="114" t="s">
        <v>67</v>
      </c>
      <c r="AG105" t="s">
        <v>1001</v>
      </c>
      <c r="AH105" t="s">
        <v>1031</v>
      </c>
      <c r="AI105" s="18" t="s">
        <v>68</v>
      </c>
      <c r="AJ105" s="15" t="s">
        <v>324</v>
      </c>
      <c r="AK105" s="15" t="s">
        <v>325</v>
      </c>
      <c r="AL105" s="15" t="s">
        <v>326</v>
      </c>
      <c r="AM105" s="29" t="s">
        <v>327</v>
      </c>
      <c r="AN105" s="13" t="s">
        <v>113</v>
      </c>
      <c r="AO105" s="118" t="s">
        <v>1131</v>
      </c>
      <c r="AP105" s="40" t="s">
        <v>328</v>
      </c>
      <c r="AQ105" s="30" t="s">
        <v>73</v>
      </c>
      <c r="AR105" s="47" t="s">
        <v>308</v>
      </c>
    </row>
    <row r="106" spans="1:45" ht="15" hidden="1" customHeight="1" x14ac:dyDescent="0.25">
      <c r="A106" s="15">
        <v>0</v>
      </c>
      <c r="B106" s="15" t="s">
        <v>764</v>
      </c>
      <c r="C106" s="15" t="s">
        <v>227</v>
      </c>
      <c r="D106" s="15" t="s">
        <v>42</v>
      </c>
      <c r="E106" s="13">
        <v>1</v>
      </c>
      <c r="F106" s="13">
        <v>1</v>
      </c>
      <c r="G106" s="13">
        <v>1</v>
      </c>
      <c r="H106" s="13" t="s">
        <v>43</v>
      </c>
      <c r="I106" s="13" t="s">
        <v>43</v>
      </c>
      <c r="J106" s="13" t="s">
        <v>43</v>
      </c>
      <c r="K106" s="20"/>
      <c r="L106" s="20"/>
      <c r="M106" s="20"/>
      <c r="N106" s="20"/>
      <c r="O106" s="20"/>
      <c r="P106" s="13" t="s">
        <v>148</v>
      </c>
      <c r="Q106" s="15" t="s">
        <v>56</v>
      </c>
      <c r="R106" s="15"/>
      <c r="T106" s="15" t="s">
        <v>758</v>
      </c>
      <c r="U106" s="38" t="s">
        <v>59</v>
      </c>
      <c r="V106" s="31" t="s">
        <v>59</v>
      </c>
      <c r="W106" s="25" t="s">
        <v>759</v>
      </c>
      <c r="X106" s="25" t="s">
        <v>59</v>
      </c>
      <c r="Y106" s="25" t="s">
        <v>59</v>
      </c>
      <c r="Z106" s="13" t="s">
        <v>219</v>
      </c>
      <c r="AA106" s="13"/>
      <c r="AB106" s="19" t="s">
        <v>76</v>
      </c>
      <c r="AC106" s="26" t="s">
        <v>437</v>
      </c>
      <c r="AD106" s="15" t="s">
        <v>59</v>
      </c>
      <c r="AE106" s="27" t="s">
        <v>67</v>
      </c>
      <c r="AF106" s="27" t="s">
        <v>67</v>
      </c>
      <c r="AG106" t="s">
        <v>760</v>
      </c>
      <c r="AH106" t="s">
        <v>760</v>
      </c>
      <c r="AI106" s="18" t="s">
        <v>68</v>
      </c>
      <c r="AJ106" s="23" t="s">
        <v>760</v>
      </c>
      <c r="AK106" s="15" t="s">
        <v>765</v>
      </c>
      <c r="AL106" s="15" t="s">
        <v>766</v>
      </c>
      <c r="AM106" s="64" t="s">
        <v>767</v>
      </c>
      <c r="AN106" s="30" t="s">
        <v>73</v>
      </c>
      <c r="AO106" s="30"/>
      <c r="AP106" s="64" t="s">
        <v>768</v>
      </c>
      <c r="AQ106" s="30" t="s">
        <v>73</v>
      </c>
      <c r="AR106" s="15" t="s">
        <v>308</v>
      </c>
    </row>
    <row r="107" spans="1:45" ht="15" customHeight="1" x14ac:dyDescent="0.25">
      <c r="A107" s="15">
        <v>10</v>
      </c>
      <c r="B107" s="15" t="s">
        <v>309</v>
      </c>
      <c r="C107" s="15" t="s">
        <v>310</v>
      </c>
      <c r="D107" s="13" t="s">
        <v>42</v>
      </c>
      <c r="E107" s="13">
        <v>2</v>
      </c>
      <c r="F107" s="13">
        <v>2</v>
      </c>
      <c r="G107" s="13">
        <v>2</v>
      </c>
      <c r="H107" s="13" t="s">
        <v>42</v>
      </c>
      <c r="I107" s="13" t="s">
        <v>42</v>
      </c>
      <c r="J107" s="13" t="s">
        <v>42</v>
      </c>
      <c r="K107" s="20"/>
      <c r="L107" s="20"/>
      <c r="M107" s="20"/>
      <c r="N107" s="20"/>
      <c r="O107" s="20"/>
      <c r="P107" s="13" t="s">
        <v>55</v>
      </c>
      <c r="Q107" s="13" t="s">
        <v>56</v>
      </c>
      <c r="R107" s="103" t="s">
        <v>947</v>
      </c>
      <c r="S107" s="15" t="s">
        <v>175</v>
      </c>
      <c r="T107" s="38">
        <v>21.68</v>
      </c>
      <c r="U107" s="33" t="s">
        <v>311</v>
      </c>
      <c r="V107" s="33" t="s">
        <v>59</v>
      </c>
      <c r="W107" s="25" t="s">
        <v>312</v>
      </c>
      <c r="X107" s="25" t="s">
        <v>313</v>
      </c>
      <c r="Y107" s="25" t="s">
        <v>314</v>
      </c>
      <c r="Z107" s="13" t="s">
        <v>63</v>
      </c>
      <c r="AA107" s="108" t="s">
        <v>1241</v>
      </c>
      <c r="AB107" s="59" t="s">
        <v>315</v>
      </c>
      <c r="AC107" s="113" t="s">
        <v>87</v>
      </c>
      <c r="AD107" s="15" t="s">
        <v>316</v>
      </c>
      <c r="AE107" s="114" t="s">
        <v>67</v>
      </c>
      <c r="AF107" s="114" t="s">
        <v>67</v>
      </c>
      <c r="AG107" t="s">
        <v>1001</v>
      </c>
      <c r="AH107" t="s">
        <v>1031</v>
      </c>
      <c r="AI107" s="18" t="s">
        <v>68</v>
      </c>
      <c r="AJ107" s="23" t="s">
        <v>317</v>
      </c>
      <c r="AK107" s="15" t="s">
        <v>318</v>
      </c>
      <c r="AL107" s="15" t="s">
        <v>319</v>
      </c>
      <c r="AM107" s="29" t="s">
        <v>320</v>
      </c>
      <c r="AN107" s="13" t="s">
        <v>94</v>
      </c>
      <c r="AO107" s="118" t="s">
        <v>1253</v>
      </c>
      <c r="AP107" s="40" t="s">
        <v>321</v>
      </c>
      <c r="AQ107" s="30" t="s">
        <v>73</v>
      </c>
      <c r="AR107" s="47" t="s">
        <v>308</v>
      </c>
    </row>
    <row r="108" spans="1:45" ht="15" customHeight="1" x14ac:dyDescent="0.25">
      <c r="A108" s="15">
        <v>1</v>
      </c>
      <c r="B108" s="15" t="s">
        <v>392</v>
      </c>
      <c r="C108" s="15" t="s">
        <v>359</v>
      </c>
      <c r="D108" s="13" t="s">
        <v>42</v>
      </c>
      <c r="E108" s="13">
        <v>1</v>
      </c>
      <c r="F108" s="13">
        <v>1</v>
      </c>
      <c r="G108" s="13">
        <v>1</v>
      </c>
      <c r="H108" s="13" t="s">
        <v>43</v>
      </c>
      <c r="I108" s="13" t="s">
        <v>43</v>
      </c>
      <c r="J108" s="13" t="s">
        <v>43</v>
      </c>
      <c r="K108" s="20"/>
      <c r="L108" s="20"/>
      <c r="M108" s="20"/>
      <c r="N108" s="20"/>
      <c r="O108" s="20"/>
      <c r="P108" s="13" t="s">
        <v>148</v>
      </c>
      <c r="Q108" s="13" t="s">
        <v>174</v>
      </c>
      <c r="R108" s="103" t="s">
        <v>949</v>
      </c>
      <c r="S108" s="15" t="s">
        <v>175</v>
      </c>
      <c r="T108" s="15" t="s">
        <v>354</v>
      </c>
      <c r="U108" s="33" t="s">
        <v>59</v>
      </c>
      <c r="V108" s="33" t="s">
        <v>59</v>
      </c>
      <c r="W108" s="15" t="s">
        <v>354</v>
      </c>
      <c r="X108" s="25" t="s">
        <v>59</v>
      </c>
      <c r="Y108" s="15" t="s">
        <v>59</v>
      </c>
      <c r="Z108" s="13" t="s">
        <v>63</v>
      </c>
      <c r="AA108" s="108" t="s">
        <v>1250</v>
      </c>
      <c r="AB108" s="17" t="s">
        <v>393</v>
      </c>
      <c r="AC108" s="113" t="s">
        <v>65</v>
      </c>
      <c r="AD108" s="15" t="s">
        <v>394</v>
      </c>
      <c r="AE108" s="114" t="s">
        <v>67</v>
      </c>
      <c r="AF108" s="114" t="s">
        <v>67</v>
      </c>
      <c r="AG108" t="s">
        <v>69</v>
      </c>
      <c r="AH108" t="s">
        <v>69</v>
      </c>
      <c r="AI108" s="18" t="s">
        <v>68</v>
      </c>
      <c r="AJ108" s="15" t="s">
        <v>395</v>
      </c>
      <c r="AK108" s="15" t="s">
        <v>396</v>
      </c>
      <c r="AL108" s="15" t="s">
        <v>223</v>
      </c>
      <c r="AM108" s="29" t="s">
        <v>397</v>
      </c>
      <c r="AN108" s="13" t="s">
        <v>113</v>
      </c>
      <c r="AO108" s="111" t="s">
        <v>397</v>
      </c>
      <c r="AP108" s="28" t="s">
        <v>398</v>
      </c>
      <c r="AQ108" s="30" t="s">
        <v>113</v>
      </c>
    </row>
    <row r="109" spans="1:45" ht="15" customHeight="1" x14ac:dyDescent="0.25">
      <c r="A109" s="15">
        <v>1</v>
      </c>
      <c r="B109" s="15" t="s">
        <v>507</v>
      </c>
      <c r="C109" s="15" t="s">
        <v>227</v>
      </c>
      <c r="D109" s="13" t="s">
        <v>42</v>
      </c>
      <c r="E109" s="13">
        <v>1</v>
      </c>
      <c r="F109" s="13">
        <v>1</v>
      </c>
      <c r="G109" s="13">
        <v>1</v>
      </c>
      <c r="H109" s="13" t="s">
        <v>43</v>
      </c>
      <c r="I109" s="13" t="s">
        <v>43</v>
      </c>
      <c r="J109" s="13" t="s">
        <v>43</v>
      </c>
      <c r="K109" s="20"/>
      <c r="L109" s="20"/>
      <c r="M109" s="20"/>
      <c r="N109" s="20"/>
      <c r="O109" s="20"/>
      <c r="P109" s="13" t="s">
        <v>84</v>
      </c>
      <c r="Q109" s="13" t="s">
        <v>56</v>
      </c>
      <c r="R109" s="103" t="s">
        <v>957</v>
      </c>
      <c r="S109" s="15" t="s">
        <v>175</v>
      </c>
      <c r="T109" s="38">
        <v>9.9499999999999993</v>
      </c>
      <c r="U109" s="33" t="s">
        <v>175</v>
      </c>
      <c r="V109" s="31" t="s">
        <v>68</v>
      </c>
      <c r="W109" s="25" t="s">
        <v>508</v>
      </c>
      <c r="X109" s="25" t="s">
        <v>509</v>
      </c>
      <c r="Y109" s="25" t="s">
        <v>510</v>
      </c>
      <c r="Z109" s="13" t="s">
        <v>219</v>
      </c>
      <c r="AA109" s="108" t="s">
        <v>1249</v>
      </c>
      <c r="AB109" s="17" t="s">
        <v>511</v>
      </c>
      <c r="AC109" s="113" t="s">
        <v>437</v>
      </c>
      <c r="AD109" s="15" t="s">
        <v>59</v>
      </c>
      <c r="AE109" s="114" t="s">
        <v>450</v>
      </c>
      <c r="AF109" s="114" t="s">
        <v>67</v>
      </c>
      <c r="AG109" t="s">
        <v>1008</v>
      </c>
      <c r="AH109" t="s">
        <v>1031</v>
      </c>
      <c r="AI109" s="66" t="s">
        <v>68</v>
      </c>
      <c r="AJ109" s="15" t="s">
        <v>512</v>
      </c>
      <c r="AK109" s="24" t="s">
        <v>513</v>
      </c>
      <c r="AL109" s="24" t="s">
        <v>514</v>
      </c>
      <c r="AM109" s="29" t="s">
        <v>515</v>
      </c>
      <c r="AN109" s="13" t="s">
        <v>73</v>
      </c>
      <c r="AO109" s="111" t="s">
        <v>993</v>
      </c>
      <c r="AP109" s="64" t="s">
        <v>516</v>
      </c>
      <c r="AQ109" s="30" t="s">
        <v>73</v>
      </c>
      <c r="AR109" s="15" t="s">
        <v>517</v>
      </c>
    </row>
    <row r="110" spans="1:45" ht="15" hidden="1" customHeight="1" x14ac:dyDescent="0.25">
      <c r="A110" s="15">
        <v>0</v>
      </c>
      <c r="B110" s="15" t="s">
        <v>789</v>
      </c>
      <c r="C110" s="15" t="s">
        <v>227</v>
      </c>
      <c r="D110" s="15" t="s">
        <v>42</v>
      </c>
      <c r="E110" s="13">
        <v>1</v>
      </c>
      <c r="F110" s="13">
        <v>1</v>
      </c>
      <c r="G110" s="13">
        <v>1</v>
      </c>
      <c r="H110" s="13" t="s">
        <v>43</v>
      </c>
      <c r="I110" s="13" t="s">
        <v>43</v>
      </c>
      <c r="J110" s="13" t="s">
        <v>43</v>
      </c>
      <c r="K110" s="20"/>
      <c r="L110" s="20"/>
      <c r="M110" s="20"/>
      <c r="N110" s="20"/>
      <c r="O110" s="20"/>
      <c r="P110" s="13" t="s">
        <v>55</v>
      </c>
      <c r="Q110" s="15" t="s">
        <v>56</v>
      </c>
      <c r="R110" s="15"/>
      <c r="T110" s="15" t="s">
        <v>76</v>
      </c>
      <c r="U110" s="38" t="s">
        <v>59</v>
      </c>
      <c r="V110" s="31" t="s">
        <v>59</v>
      </c>
      <c r="W110" s="25" t="s">
        <v>76</v>
      </c>
      <c r="X110" s="25" t="s">
        <v>59</v>
      </c>
      <c r="Y110" s="25" t="s">
        <v>59</v>
      </c>
      <c r="Z110" s="13" t="s">
        <v>219</v>
      </c>
      <c r="AA110" s="13"/>
      <c r="AB110" s="19" t="s">
        <v>76</v>
      </c>
      <c r="AC110" s="26" t="s">
        <v>437</v>
      </c>
      <c r="AD110" s="15" t="s">
        <v>59</v>
      </c>
      <c r="AE110" s="27" t="s">
        <v>67</v>
      </c>
      <c r="AF110" s="27" t="s">
        <v>67</v>
      </c>
      <c r="AG110" t="s">
        <v>784</v>
      </c>
      <c r="AH110" t="s">
        <v>784</v>
      </c>
      <c r="AI110" s="18" t="s">
        <v>68</v>
      </c>
      <c r="AJ110" s="15" t="s">
        <v>784</v>
      </c>
      <c r="AK110" s="15" t="s">
        <v>785</v>
      </c>
      <c r="AL110" s="15" t="s">
        <v>786</v>
      </c>
      <c r="AM110" s="29" t="s">
        <v>787</v>
      </c>
      <c r="AN110" s="30" t="s">
        <v>94</v>
      </c>
      <c r="AO110" s="30"/>
      <c r="AP110" s="28" t="s">
        <v>788</v>
      </c>
      <c r="AQ110" s="30" t="s">
        <v>94</v>
      </c>
    </row>
    <row r="111" spans="1:45" ht="15" customHeight="1" x14ac:dyDescent="0.25">
      <c r="A111" s="15">
        <v>1</v>
      </c>
      <c r="B111" s="15" t="s">
        <v>479</v>
      </c>
      <c r="C111" s="15" t="s">
        <v>310</v>
      </c>
      <c r="D111" s="13" t="s">
        <v>41</v>
      </c>
      <c r="E111" s="13">
        <v>2</v>
      </c>
      <c r="F111" s="13">
        <v>3</v>
      </c>
      <c r="G111" s="13">
        <v>2</v>
      </c>
      <c r="H111" s="13" t="s">
        <v>42</v>
      </c>
      <c r="I111" s="13" t="s">
        <v>41</v>
      </c>
      <c r="J111" s="13" t="s">
        <v>42</v>
      </c>
      <c r="K111" s="20"/>
      <c r="L111" s="20"/>
      <c r="M111" s="20"/>
      <c r="N111" s="20"/>
      <c r="O111" s="20"/>
      <c r="P111" s="13" t="s">
        <v>148</v>
      </c>
      <c r="Q111" s="13" t="s">
        <v>56</v>
      </c>
      <c r="R111" s="103" t="s">
        <v>954</v>
      </c>
      <c r="S111" s="15" t="s">
        <v>175</v>
      </c>
      <c r="T111" s="38">
        <v>27.93</v>
      </c>
      <c r="U111" s="33" t="s">
        <v>175</v>
      </c>
      <c r="V111" s="31" t="s">
        <v>480</v>
      </c>
      <c r="W111" s="25" t="s">
        <v>481</v>
      </c>
      <c r="X111" s="25" t="s">
        <v>482</v>
      </c>
      <c r="Y111" s="76" t="s">
        <v>483</v>
      </c>
      <c r="Z111" s="13" t="s">
        <v>884</v>
      </c>
      <c r="AA111" s="108" t="s">
        <v>977</v>
      </c>
      <c r="AB111" s="17" t="s">
        <v>484</v>
      </c>
      <c r="AC111" s="113" t="s">
        <v>437</v>
      </c>
      <c r="AD111" s="15" t="s">
        <v>59</v>
      </c>
      <c r="AE111" s="114" t="s">
        <v>67</v>
      </c>
      <c r="AF111" s="114" t="s">
        <v>67</v>
      </c>
      <c r="AG111" t="s">
        <v>1007</v>
      </c>
      <c r="AH111" t="s">
        <v>1036</v>
      </c>
      <c r="AI111" s="66" t="s">
        <v>68</v>
      </c>
      <c r="AJ111" s="15" t="s">
        <v>485</v>
      </c>
      <c r="AK111" s="24" t="s">
        <v>486</v>
      </c>
      <c r="AL111" s="24" t="s">
        <v>487</v>
      </c>
      <c r="AM111" s="29" t="s">
        <v>488</v>
      </c>
      <c r="AN111" s="13" t="s">
        <v>94</v>
      </c>
      <c r="AO111" s="111" t="s">
        <v>988</v>
      </c>
      <c r="AP111" s="28" t="s">
        <v>489</v>
      </c>
      <c r="AQ111" s="30" t="s">
        <v>73</v>
      </c>
    </row>
    <row r="112" spans="1:45" ht="15" customHeight="1" x14ac:dyDescent="0.25">
      <c r="A112" s="15">
        <v>1</v>
      </c>
      <c r="B112" s="15" t="s">
        <v>877</v>
      </c>
      <c r="C112" s="44" t="s">
        <v>878</v>
      </c>
      <c r="D112" s="13" t="s">
        <v>42</v>
      </c>
      <c r="E112" s="53">
        <v>2</v>
      </c>
      <c r="F112" s="53">
        <v>3</v>
      </c>
      <c r="G112" s="53">
        <v>5</v>
      </c>
      <c r="H112" s="13" t="s">
        <v>42</v>
      </c>
      <c r="I112" s="13" t="s">
        <v>41</v>
      </c>
      <c r="J112" s="13" t="s">
        <v>39</v>
      </c>
      <c r="K112" s="20"/>
      <c r="L112" s="20"/>
      <c r="M112" s="20"/>
      <c r="N112" s="20"/>
      <c r="O112" s="20"/>
      <c r="P112" s="13" t="s">
        <v>879</v>
      </c>
      <c r="Q112" s="13" t="s">
        <v>595</v>
      </c>
      <c r="R112" s="103" t="s">
        <v>1256</v>
      </c>
      <c r="T112" s="91" t="s">
        <v>880</v>
      </c>
      <c r="U112" s="33" t="s">
        <v>695</v>
      </c>
      <c r="V112" s="31" t="s">
        <v>59</v>
      </c>
      <c r="W112" s="52" t="s">
        <v>881</v>
      </c>
      <c r="X112" s="52" t="s">
        <v>882</v>
      </c>
      <c r="Y112" s="52" t="s">
        <v>883</v>
      </c>
      <c r="Z112" s="13" t="s">
        <v>1053</v>
      </c>
      <c r="AA112" s="108" t="s">
        <v>978</v>
      </c>
      <c r="AB112" s="12" t="s">
        <v>885</v>
      </c>
      <c r="AC112" s="113" t="s">
        <v>87</v>
      </c>
      <c r="AD112" s="15" t="s">
        <v>59</v>
      </c>
      <c r="AE112" s="114" t="s">
        <v>67</v>
      </c>
      <c r="AF112" s="114" t="s">
        <v>450</v>
      </c>
      <c r="AG112" s="112"/>
      <c r="AH112" s="112" t="s">
        <v>1026</v>
      </c>
      <c r="AI112" s="66" t="s">
        <v>886</v>
      </c>
      <c r="AJ112" s="44" t="s">
        <v>887</v>
      </c>
      <c r="AK112" s="15" t="s">
        <v>355</v>
      </c>
      <c r="AL112" s="15" t="s">
        <v>355</v>
      </c>
      <c r="AM112" s="29" t="s">
        <v>888</v>
      </c>
      <c r="AN112" s="13" t="s">
        <v>113</v>
      </c>
      <c r="AO112" s="111" t="s">
        <v>980</v>
      </c>
      <c r="AP112" s="89" t="s">
        <v>889</v>
      </c>
      <c r="AQ112" s="30" t="s">
        <v>113</v>
      </c>
      <c r="AR112" s="15" t="s">
        <v>890</v>
      </c>
    </row>
    <row r="113" spans="1:44" ht="15" hidden="1" customHeight="1" x14ac:dyDescent="0.25">
      <c r="A113" s="15">
        <v>0</v>
      </c>
      <c r="B113" s="15" t="s">
        <v>806</v>
      </c>
      <c r="C113" s="15" t="s">
        <v>54</v>
      </c>
      <c r="D113" s="15" t="s">
        <v>41</v>
      </c>
      <c r="E113" s="13">
        <v>2</v>
      </c>
      <c r="F113" s="13">
        <v>2</v>
      </c>
      <c r="G113" s="13">
        <v>2</v>
      </c>
      <c r="H113" s="13" t="s">
        <v>42</v>
      </c>
      <c r="I113" s="13" t="s">
        <v>42</v>
      </c>
      <c r="J113" s="13" t="s">
        <v>42</v>
      </c>
      <c r="K113" s="20"/>
      <c r="L113" s="20"/>
      <c r="M113" s="20"/>
      <c r="N113" s="20"/>
      <c r="O113" s="20"/>
      <c r="P113" s="13" t="s">
        <v>55</v>
      </c>
      <c r="Q113" s="15" t="s">
        <v>56</v>
      </c>
      <c r="R113" s="15"/>
      <c r="T113" s="15" t="s">
        <v>76</v>
      </c>
      <c r="U113" s="38" t="s">
        <v>59</v>
      </c>
      <c r="V113" s="31" t="s">
        <v>59</v>
      </c>
      <c r="W113" s="25" t="s">
        <v>76</v>
      </c>
      <c r="X113" s="25" t="s">
        <v>59</v>
      </c>
      <c r="Y113" s="25" t="s">
        <v>59</v>
      </c>
      <c r="Z113" s="13" t="s">
        <v>219</v>
      </c>
      <c r="AA113" s="13"/>
      <c r="AB113" s="19" t="s">
        <v>76</v>
      </c>
      <c r="AC113" s="26" t="s">
        <v>437</v>
      </c>
      <c r="AD113" s="15" t="s">
        <v>59</v>
      </c>
      <c r="AE113" s="27" t="s">
        <v>67</v>
      </c>
      <c r="AF113" s="27" t="s">
        <v>67</v>
      </c>
      <c r="AG113" t="s">
        <v>801</v>
      </c>
      <c r="AH113" t="s">
        <v>801</v>
      </c>
      <c r="AI113" s="18" t="s">
        <v>68</v>
      </c>
      <c r="AJ113" s="15" t="s">
        <v>801</v>
      </c>
      <c r="AK113" s="15" t="s">
        <v>807</v>
      </c>
      <c r="AL113" s="15" t="s">
        <v>808</v>
      </c>
      <c r="AM113" s="61" t="s">
        <v>809</v>
      </c>
      <c r="AN113" s="30" t="s">
        <v>94</v>
      </c>
      <c r="AO113" s="30"/>
      <c r="AP113" s="61" t="s">
        <v>810</v>
      </c>
      <c r="AQ113" s="30" t="s">
        <v>113</v>
      </c>
      <c r="AR113" s="15" t="s">
        <v>308</v>
      </c>
    </row>
    <row r="114" spans="1:44" ht="15" customHeight="1" x14ac:dyDescent="0.25">
      <c r="A114" s="15">
        <v>1</v>
      </c>
      <c r="B114" s="15" t="s">
        <v>381</v>
      </c>
      <c r="C114" s="15" t="s">
        <v>128</v>
      </c>
      <c r="D114" s="13" t="s">
        <v>40</v>
      </c>
      <c r="E114" s="13">
        <v>3</v>
      </c>
      <c r="F114" s="13">
        <v>4</v>
      </c>
      <c r="G114" s="13">
        <v>3</v>
      </c>
      <c r="H114" s="13" t="s">
        <v>41</v>
      </c>
      <c r="I114" s="13" t="s">
        <v>40</v>
      </c>
      <c r="J114" s="13" t="s">
        <v>41</v>
      </c>
      <c r="K114" s="20"/>
      <c r="L114" s="20"/>
      <c r="M114" s="20"/>
      <c r="N114" s="20"/>
      <c r="O114" s="20"/>
      <c r="P114" s="13" t="s">
        <v>55</v>
      </c>
      <c r="Q114" s="13" t="s">
        <v>174</v>
      </c>
      <c r="R114" s="103" t="s">
        <v>949</v>
      </c>
      <c r="S114" s="15" t="s">
        <v>175</v>
      </c>
      <c r="T114" s="15" t="s">
        <v>354</v>
      </c>
      <c r="U114" s="33" t="s">
        <v>59</v>
      </c>
      <c r="V114" s="33" t="s">
        <v>59</v>
      </c>
      <c r="W114" s="15" t="s">
        <v>354</v>
      </c>
      <c r="X114" s="25" t="s">
        <v>59</v>
      </c>
      <c r="Y114" s="15" t="s">
        <v>59</v>
      </c>
      <c r="Z114" s="13" t="s">
        <v>63</v>
      </c>
      <c r="AA114" s="108" t="s">
        <v>1241</v>
      </c>
      <c r="AB114" s="17" t="s">
        <v>382</v>
      </c>
      <c r="AC114" s="113" t="s">
        <v>65</v>
      </c>
      <c r="AD114" s="15" t="s">
        <v>383</v>
      </c>
      <c r="AE114" s="114" t="s">
        <v>67</v>
      </c>
      <c r="AF114" s="114" t="s">
        <v>67</v>
      </c>
      <c r="AG114" t="s">
        <v>69</v>
      </c>
      <c r="AH114" t="s">
        <v>69</v>
      </c>
      <c r="AI114" s="18" t="s">
        <v>68</v>
      </c>
      <c r="AJ114" s="15" t="s">
        <v>384</v>
      </c>
      <c r="AK114" s="15" t="s">
        <v>385</v>
      </c>
      <c r="AL114" s="15" t="s">
        <v>386</v>
      </c>
      <c r="AM114" s="29" t="s">
        <v>387</v>
      </c>
      <c r="AN114" s="13" t="s">
        <v>113</v>
      </c>
      <c r="AO114" s="111" t="s">
        <v>387</v>
      </c>
      <c r="AP114" s="28" t="s">
        <v>388</v>
      </c>
      <c r="AQ114" s="30" t="s">
        <v>94</v>
      </c>
      <c r="AR114" s="15" t="s">
        <v>389</v>
      </c>
    </row>
    <row r="115" spans="1:44" ht="15" customHeight="1" x14ac:dyDescent="0.25">
      <c r="A115" s="15">
        <v>10</v>
      </c>
      <c r="B115" s="51" t="s">
        <v>1048</v>
      </c>
      <c r="C115" s="15" t="s">
        <v>463</v>
      </c>
      <c r="D115" s="13" t="s">
        <v>43</v>
      </c>
      <c r="E115" s="13">
        <v>1</v>
      </c>
      <c r="F115" s="13">
        <v>1</v>
      </c>
      <c r="G115" s="13">
        <v>1</v>
      </c>
      <c r="H115" s="13" t="s">
        <v>43</v>
      </c>
      <c r="I115" s="13" t="s">
        <v>43</v>
      </c>
      <c r="J115" s="13" t="s">
        <v>43</v>
      </c>
      <c r="K115" s="20"/>
      <c r="L115" s="20"/>
      <c r="M115" s="20"/>
      <c r="N115" s="20"/>
      <c r="O115" s="20"/>
      <c r="P115" s="13" t="s">
        <v>84</v>
      </c>
      <c r="Q115" s="13" t="s">
        <v>56</v>
      </c>
      <c r="R115" s="105" t="s">
        <v>955</v>
      </c>
      <c r="S115" s="15" t="s">
        <v>175</v>
      </c>
      <c r="T115" s="38">
        <v>42.98</v>
      </c>
      <c r="U115" s="33" t="s">
        <v>175</v>
      </c>
      <c r="V115" s="31" t="s">
        <v>68</v>
      </c>
      <c r="W115" s="25" t="s">
        <v>495</v>
      </c>
      <c r="X115" s="24" t="s">
        <v>496</v>
      </c>
      <c r="Y115" s="24" t="s">
        <v>497</v>
      </c>
      <c r="Z115" s="13" t="s">
        <v>63</v>
      </c>
      <c r="AA115" s="108" t="s">
        <v>1241</v>
      </c>
      <c r="AB115" s="17" t="s">
        <v>493</v>
      </c>
      <c r="AC115" s="113" t="s">
        <v>437</v>
      </c>
      <c r="AD115" s="15" t="s">
        <v>59</v>
      </c>
      <c r="AE115" s="114" t="s">
        <v>405</v>
      </c>
      <c r="AF115" s="114" t="s">
        <v>450</v>
      </c>
      <c r="AG115" t="s">
        <v>1037</v>
      </c>
      <c r="AH115" t="s">
        <v>1035</v>
      </c>
      <c r="AI115" s="66" t="s">
        <v>68</v>
      </c>
      <c r="AJ115" s="15" t="s">
        <v>494</v>
      </c>
      <c r="AK115" s="24" t="s">
        <v>498</v>
      </c>
      <c r="AL115" s="24" t="s">
        <v>499</v>
      </c>
      <c r="AM115" s="29" t="s">
        <v>500</v>
      </c>
      <c r="AN115" s="13" t="s">
        <v>73</v>
      </c>
      <c r="AO115" s="111" t="s">
        <v>989</v>
      </c>
      <c r="AP115" s="28" t="s">
        <v>501</v>
      </c>
      <c r="AQ115" s="30" t="s">
        <v>94</v>
      </c>
    </row>
    <row r="116" spans="1:44" ht="15" hidden="1" customHeight="1" x14ac:dyDescent="0.25">
      <c r="A116" s="15">
        <v>0</v>
      </c>
      <c r="B116" s="15" t="s">
        <v>830</v>
      </c>
      <c r="C116" s="15" t="s">
        <v>227</v>
      </c>
      <c r="D116" s="15" t="s">
        <v>42</v>
      </c>
      <c r="E116" s="13">
        <v>1</v>
      </c>
      <c r="F116" s="13">
        <v>1</v>
      </c>
      <c r="G116" s="13">
        <v>1</v>
      </c>
      <c r="H116" s="13" t="s">
        <v>43</v>
      </c>
      <c r="I116" s="13" t="s">
        <v>43</v>
      </c>
      <c r="J116" s="13" t="s">
        <v>43</v>
      </c>
      <c r="K116" s="20"/>
      <c r="L116" s="20"/>
      <c r="M116" s="20"/>
      <c r="N116" s="20"/>
      <c r="O116" s="20"/>
      <c r="P116" s="13" t="s">
        <v>55</v>
      </c>
      <c r="Q116" s="15" t="s">
        <v>56</v>
      </c>
      <c r="R116" s="15"/>
      <c r="T116" s="15" t="s">
        <v>76</v>
      </c>
      <c r="U116" s="38" t="s">
        <v>59</v>
      </c>
      <c r="V116" s="31" t="s">
        <v>59</v>
      </c>
      <c r="W116" s="25" t="s">
        <v>76</v>
      </c>
      <c r="X116" s="25" t="s">
        <v>59</v>
      </c>
      <c r="Y116" s="25" t="s">
        <v>59</v>
      </c>
      <c r="Z116" s="13" t="s">
        <v>219</v>
      </c>
      <c r="AA116" s="13"/>
      <c r="AB116" s="19" t="s">
        <v>76</v>
      </c>
      <c r="AC116" s="87" t="s">
        <v>87</v>
      </c>
      <c r="AD116" s="15" t="s">
        <v>59</v>
      </c>
      <c r="AE116" s="27" t="s">
        <v>67</v>
      </c>
      <c r="AF116" s="27" t="s">
        <v>450</v>
      </c>
      <c r="AG116" t="s">
        <v>831</v>
      </c>
      <c r="AH116" t="s">
        <v>831</v>
      </c>
      <c r="AI116" s="88" t="s">
        <v>824</v>
      </c>
      <c r="AJ116" s="12" t="s">
        <v>831</v>
      </c>
      <c r="AK116" s="24" t="s">
        <v>832</v>
      </c>
      <c r="AL116" s="24" t="s">
        <v>833</v>
      </c>
      <c r="AM116" s="61" t="s">
        <v>834</v>
      </c>
      <c r="AN116" s="30" t="s">
        <v>94</v>
      </c>
      <c r="AO116" s="30"/>
      <c r="AP116" s="61" t="s">
        <v>835</v>
      </c>
      <c r="AQ116" s="30" t="s">
        <v>73</v>
      </c>
      <c r="AR116" s="15" t="s">
        <v>308</v>
      </c>
    </row>
    <row r="117" spans="1:44" ht="15" hidden="1" customHeight="1" x14ac:dyDescent="0.25">
      <c r="B117" s="16" t="s">
        <v>836</v>
      </c>
      <c r="H117" s="13"/>
      <c r="I117" s="13"/>
      <c r="J117" s="13"/>
      <c r="K117" s="20"/>
      <c r="L117" s="20"/>
      <c r="M117" s="20"/>
      <c r="N117" s="20"/>
      <c r="O117" s="20"/>
      <c r="P117" s="13"/>
      <c r="R117" s="15"/>
      <c r="T117" s="33"/>
      <c r="U117" s="31"/>
      <c r="V117" s="31"/>
      <c r="Z117" s="13"/>
      <c r="AA117" s="13"/>
      <c r="AB117" s="17"/>
      <c r="AC117" s="17"/>
      <c r="AG117">
        <v>0</v>
      </c>
      <c r="AH117">
        <v>0</v>
      </c>
      <c r="AM117" s="15"/>
      <c r="AN117" s="15"/>
      <c r="AO117" s="15"/>
      <c r="AQ117" s="15"/>
    </row>
    <row r="118" spans="1:44" ht="15" customHeight="1" x14ac:dyDescent="0.25">
      <c r="A118" s="15">
        <v>10</v>
      </c>
      <c r="B118" s="51" t="s">
        <v>1049</v>
      </c>
      <c r="C118" s="15" t="s">
        <v>463</v>
      </c>
      <c r="D118" s="13" t="s">
        <v>43</v>
      </c>
      <c r="E118" s="13">
        <v>1</v>
      </c>
      <c r="F118" s="13">
        <v>1</v>
      </c>
      <c r="G118" s="13">
        <v>1</v>
      </c>
      <c r="H118" s="13" t="s">
        <v>43</v>
      </c>
      <c r="I118" s="13" t="s">
        <v>43</v>
      </c>
      <c r="J118" s="13" t="s">
        <v>43</v>
      </c>
      <c r="K118" s="20"/>
      <c r="L118" s="20"/>
      <c r="M118" s="20"/>
      <c r="N118" s="20"/>
      <c r="O118" s="20"/>
      <c r="P118" s="13" t="s">
        <v>84</v>
      </c>
      <c r="Q118" s="13" t="s">
        <v>56</v>
      </c>
      <c r="R118" s="103" t="s">
        <v>956</v>
      </c>
      <c r="S118" s="15" t="s">
        <v>175</v>
      </c>
      <c r="T118" s="38">
        <v>22.8</v>
      </c>
      <c r="U118" s="33" t="s">
        <v>175</v>
      </c>
      <c r="V118" s="31" t="s">
        <v>68</v>
      </c>
      <c r="W118" s="25" t="s">
        <v>502</v>
      </c>
      <c r="X118" s="25" t="s">
        <v>491</v>
      </c>
      <c r="Y118" s="15" t="s">
        <v>492</v>
      </c>
      <c r="Z118" s="13" t="s">
        <v>63</v>
      </c>
      <c r="AA118" s="108" t="s">
        <v>1140</v>
      </c>
      <c r="AB118" s="17" t="s">
        <v>493</v>
      </c>
      <c r="AC118" s="113" t="s">
        <v>437</v>
      </c>
      <c r="AD118" s="15" t="s">
        <v>59</v>
      </c>
      <c r="AE118" s="114" t="s">
        <v>405</v>
      </c>
      <c r="AF118" s="114" t="s">
        <v>450</v>
      </c>
      <c r="AG118" t="s">
        <v>1037</v>
      </c>
      <c r="AH118" t="s">
        <v>1035</v>
      </c>
      <c r="AI118" s="66" t="s">
        <v>68</v>
      </c>
      <c r="AJ118" s="15" t="s">
        <v>494</v>
      </c>
      <c r="AK118" s="24" t="s">
        <v>503</v>
      </c>
      <c r="AL118" s="24" t="s">
        <v>504</v>
      </c>
      <c r="AM118" s="29" t="s">
        <v>505</v>
      </c>
      <c r="AN118" s="13" t="s">
        <v>94</v>
      </c>
      <c r="AO118" s="111" t="s">
        <v>505</v>
      </c>
      <c r="AP118" s="28" t="s">
        <v>506</v>
      </c>
      <c r="AQ118" s="30" t="s">
        <v>94</v>
      </c>
    </row>
    <row r="119" spans="1:44" ht="15" hidden="1" customHeight="1" x14ac:dyDescent="0.25">
      <c r="A119" s="15">
        <v>0</v>
      </c>
      <c r="B119" s="15" t="s">
        <v>847</v>
      </c>
      <c r="C119" s="15" t="s">
        <v>463</v>
      </c>
      <c r="D119" s="15" t="s">
        <v>43</v>
      </c>
      <c r="E119" s="13">
        <v>1</v>
      </c>
      <c r="F119" s="13">
        <v>1</v>
      </c>
      <c r="G119" s="13">
        <v>1</v>
      </c>
      <c r="H119" s="13" t="s">
        <v>43</v>
      </c>
      <c r="I119" s="13" t="s">
        <v>43</v>
      </c>
      <c r="J119" s="13" t="s">
        <v>43</v>
      </c>
      <c r="K119" s="20"/>
      <c r="L119" s="20"/>
      <c r="M119" s="20"/>
      <c r="N119" s="20"/>
      <c r="O119" s="20"/>
      <c r="P119" s="13" t="s">
        <v>55</v>
      </c>
      <c r="Q119" s="15" t="s">
        <v>174</v>
      </c>
      <c r="R119" s="15"/>
      <c r="T119" s="15" t="s">
        <v>76</v>
      </c>
      <c r="U119" s="38" t="s">
        <v>59</v>
      </c>
      <c r="V119" s="31" t="s">
        <v>59</v>
      </c>
      <c r="W119" s="25" t="s">
        <v>76</v>
      </c>
      <c r="X119" s="25" t="s">
        <v>59</v>
      </c>
      <c r="Y119" s="25" t="s">
        <v>59</v>
      </c>
      <c r="Z119" s="13" t="s">
        <v>63</v>
      </c>
      <c r="AA119" s="13"/>
      <c r="AB119" s="17" t="s">
        <v>848</v>
      </c>
      <c r="AC119" s="87" t="s">
        <v>87</v>
      </c>
      <c r="AD119" s="15" t="s">
        <v>59</v>
      </c>
      <c r="AE119" s="27" t="s">
        <v>67</v>
      </c>
      <c r="AF119" s="27" t="s">
        <v>450</v>
      </c>
      <c r="AG119" t="s">
        <v>849</v>
      </c>
      <c r="AH119" t="s">
        <v>849</v>
      </c>
      <c r="AI119" s="66"/>
      <c r="AJ119" s="23" t="s">
        <v>849</v>
      </c>
      <c r="AK119" s="24" t="s">
        <v>355</v>
      </c>
      <c r="AL119" s="15" t="s">
        <v>59</v>
      </c>
      <c r="AM119" s="62" t="s">
        <v>850</v>
      </c>
      <c r="AN119" s="90" t="s">
        <v>113</v>
      </c>
      <c r="AO119" s="90"/>
      <c r="AP119" s="62" t="s">
        <v>851</v>
      </c>
      <c r="AQ119" s="30" t="s">
        <v>113</v>
      </c>
      <c r="AR119" s="15" t="s">
        <v>852</v>
      </c>
    </row>
    <row r="120" spans="1:44" ht="15" customHeight="1" x14ac:dyDescent="0.25">
      <c r="A120" s="15">
        <v>1</v>
      </c>
      <c r="B120" s="15" t="s">
        <v>663</v>
      </c>
      <c r="C120" s="15" t="s">
        <v>359</v>
      </c>
      <c r="D120" s="13" t="s">
        <v>42</v>
      </c>
      <c r="E120" s="13">
        <v>1</v>
      </c>
      <c r="F120" s="13">
        <v>1</v>
      </c>
      <c r="G120" s="13">
        <v>1</v>
      </c>
      <c r="H120" s="13" t="s">
        <v>43</v>
      </c>
      <c r="I120" s="13" t="s">
        <v>43</v>
      </c>
      <c r="J120" s="13" t="s">
        <v>43</v>
      </c>
      <c r="K120" s="20"/>
      <c r="L120" s="20"/>
      <c r="M120" s="20"/>
      <c r="N120" s="20"/>
      <c r="O120" s="20"/>
      <c r="P120" s="13" t="s">
        <v>84</v>
      </c>
      <c r="Q120" s="13" t="s">
        <v>174</v>
      </c>
      <c r="R120" s="103" t="s">
        <v>964</v>
      </c>
      <c r="S120" s="15" t="s">
        <v>681</v>
      </c>
      <c r="T120" s="38">
        <v>650</v>
      </c>
      <c r="U120" s="33" t="s">
        <v>664</v>
      </c>
      <c r="V120" s="31" t="s">
        <v>480</v>
      </c>
      <c r="W120" s="25" t="s">
        <v>665</v>
      </c>
      <c r="X120" s="25" t="s">
        <v>666</v>
      </c>
      <c r="Y120" s="85" t="s">
        <v>667</v>
      </c>
      <c r="Z120" s="13" t="s">
        <v>884</v>
      </c>
      <c r="AA120" s="108" t="s">
        <v>977</v>
      </c>
      <c r="AB120" s="12" t="s">
        <v>668</v>
      </c>
      <c r="AC120" s="113" t="s">
        <v>87</v>
      </c>
      <c r="AD120" s="15" t="s">
        <v>59</v>
      </c>
      <c r="AE120" s="114" t="s">
        <v>669</v>
      </c>
      <c r="AF120" s="114" t="s">
        <v>638</v>
      </c>
      <c r="AG120" t="s">
        <v>1039</v>
      </c>
      <c r="AH120" t="s">
        <v>1040</v>
      </c>
      <c r="AI120" s="18" t="s">
        <v>68</v>
      </c>
      <c r="AJ120" s="15" t="s">
        <v>670</v>
      </c>
      <c r="AK120" s="15" t="s">
        <v>671</v>
      </c>
      <c r="AL120" s="15" t="s">
        <v>672</v>
      </c>
      <c r="AM120" s="29" t="s">
        <v>673</v>
      </c>
      <c r="AN120" s="13" t="s">
        <v>94</v>
      </c>
      <c r="AO120" s="111" t="s">
        <v>673</v>
      </c>
      <c r="AP120" s="28" t="s">
        <v>674</v>
      </c>
      <c r="AQ120" s="30" t="s">
        <v>94</v>
      </c>
    </row>
    <row r="121" spans="1:44" ht="15" customHeight="1" x14ac:dyDescent="0.25">
      <c r="A121" s="15">
        <v>1</v>
      </c>
      <c r="B121" s="15" t="s">
        <v>781</v>
      </c>
      <c r="C121" s="15" t="s">
        <v>227</v>
      </c>
      <c r="D121" s="13" t="s">
        <v>42</v>
      </c>
      <c r="E121" s="13">
        <v>1</v>
      </c>
      <c r="F121" s="13">
        <v>1</v>
      </c>
      <c r="G121" s="13">
        <v>1</v>
      </c>
      <c r="H121" s="13" t="s">
        <v>43</v>
      </c>
      <c r="I121" s="13" t="s">
        <v>43</v>
      </c>
      <c r="J121" s="13" t="s">
        <v>43</v>
      </c>
      <c r="K121" s="20"/>
      <c r="L121" s="20"/>
      <c r="M121" s="20"/>
      <c r="N121" s="20"/>
      <c r="O121" s="20"/>
      <c r="P121" s="13" t="s">
        <v>84</v>
      </c>
      <c r="Q121" s="13" t="s">
        <v>56</v>
      </c>
      <c r="R121" s="103" t="s">
        <v>953</v>
      </c>
      <c r="S121" s="15" t="s">
        <v>175</v>
      </c>
      <c r="T121" s="38">
        <v>9.3000000000000007</v>
      </c>
      <c r="U121" s="33" t="s">
        <v>175</v>
      </c>
      <c r="V121" s="31" t="s">
        <v>59</v>
      </c>
      <c r="W121" s="25" t="s">
        <v>782</v>
      </c>
      <c r="X121" s="25" t="s">
        <v>739</v>
      </c>
      <c r="Y121" s="25" t="s">
        <v>783</v>
      </c>
      <c r="Z121" s="13" t="s">
        <v>884</v>
      </c>
      <c r="AA121" s="108" t="s">
        <v>974</v>
      </c>
      <c r="AB121" s="17" t="s">
        <v>723</v>
      </c>
      <c r="AC121" s="113" t="s">
        <v>437</v>
      </c>
      <c r="AD121" s="15" t="s">
        <v>59</v>
      </c>
      <c r="AE121" s="114" t="s">
        <v>67</v>
      </c>
      <c r="AF121" s="114" t="s">
        <v>67</v>
      </c>
      <c r="AG121" t="s">
        <v>1022</v>
      </c>
      <c r="AH121" t="s">
        <v>1022</v>
      </c>
      <c r="AI121" s="18" t="s">
        <v>68</v>
      </c>
      <c r="AJ121" s="15" t="s">
        <v>784</v>
      </c>
      <c r="AK121" s="15" t="s">
        <v>785</v>
      </c>
      <c r="AL121" s="15" t="s">
        <v>786</v>
      </c>
      <c r="AM121" s="29" t="s">
        <v>787</v>
      </c>
      <c r="AN121" s="13" t="s">
        <v>94</v>
      </c>
      <c r="AO121" s="111" t="s">
        <v>787</v>
      </c>
      <c r="AP121" s="28" t="s">
        <v>788</v>
      </c>
      <c r="AQ121" s="30" t="s">
        <v>94</v>
      </c>
    </row>
    <row r="122" spans="1:44" ht="15" hidden="1" customHeight="1" x14ac:dyDescent="0.25">
      <c r="A122" s="15">
        <v>0</v>
      </c>
      <c r="B122" s="15" t="s">
        <v>872</v>
      </c>
      <c r="C122" s="15" t="s">
        <v>463</v>
      </c>
      <c r="D122" s="15" t="s">
        <v>43</v>
      </c>
      <c r="E122" s="13">
        <v>1</v>
      </c>
      <c r="F122" s="13">
        <v>1</v>
      </c>
      <c r="G122" s="13">
        <v>1</v>
      </c>
      <c r="H122" s="13" t="s">
        <v>43</v>
      </c>
      <c r="I122" s="13" t="s">
        <v>43</v>
      </c>
      <c r="J122" s="13" t="s">
        <v>43</v>
      </c>
      <c r="K122" s="20"/>
      <c r="L122" s="20"/>
      <c r="M122" s="20"/>
      <c r="N122" s="20"/>
      <c r="O122" s="20"/>
      <c r="P122" s="13" t="s">
        <v>55</v>
      </c>
      <c r="Q122" s="15" t="s">
        <v>174</v>
      </c>
      <c r="R122" s="15"/>
      <c r="T122" s="15" t="s">
        <v>863</v>
      </c>
      <c r="U122" s="38" t="s">
        <v>59</v>
      </c>
      <c r="V122" s="31" t="s">
        <v>59</v>
      </c>
      <c r="W122" s="25" t="s">
        <v>76</v>
      </c>
      <c r="X122" s="25" t="s">
        <v>59</v>
      </c>
      <c r="Y122" s="25" t="s">
        <v>59</v>
      </c>
      <c r="Z122" s="13" t="s">
        <v>63</v>
      </c>
      <c r="AA122" s="13"/>
      <c r="AB122" s="17" t="s">
        <v>873</v>
      </c>
      <c r="AC122" s="87" t="s">
        <v>87</v>
      </c>
      <c r="AD122" s="15" t="s">
        <v>59</v>
      </c>
      <c r="AE122" s="27" t="s">
        <v>67</v>
      </c>
      <c r="AF122" s="27" t="s">
        <v>450</v>
      </c>
      <c r="AG122" t="s">
        <v>874</v>
      </c>
      <c r="AH122" t="s">
        <v>874</v>
      </c>
      <c r="AI122" s="18"/>
      <c r="AJ122" s="23" t="s">
        <v>874</v>
      </c>
      <c r="AK122" s="15" t="s">
        <v>355</v>
      </c>
      <c r="AM122" s="62" t="s">
        <v>875</v>
      </c>
      <c r="AN122" s="30" t="s">
        <v>73</v>
      </c>
      <c r="AO122" s="30"/>
      <c r="AP122" s="62" t="s">
        <v>875</v>
      </c>
      <c r="AQ122" s="30" t="s">
        <v>73</v>
      </c>
      <c r="AR122" s="15" t="s">
        <v>876</v>
      </c>
    </row>
    <row r="123" spans="1:44" ht="15" customHeight="1" x14ac:dyDescent="0.25">
      <c r="A123" s="15">
        <v>1</v>
      </c>
      <c r="B123" s="15" t="s">
        <v>203</v>
      </c>
      <c r="C123" s="15" t="s">
        <v>103</v>
      </c>
      <c r="D123" s="13" t="s">
        <v>39</v>
      </c>
      <c r="E123" s="13">
        <v>5</v>
      </c>
      <c r="F123" s="13">
        <v>5</v>
      </c>
      <c r="G123" s="13">
        <v>5</v>
      </c>
      <c r="H123" s="13" t="s">
        <v>39</v>
      </c>
      <c r="I123" s="13" t="s">
        <v>39</v>
      </c>
      <c r="J123" s="13" t="s">
        <v>39</v>
      </c>
      <c r="K123" s="20"/>
      <c r="L123" s="20"/>
      <c r="M123" s="20"/>
      <c r="N123" s="20"/>
      <c r="O123" s="20"/>
      <c r="P123" s="13" t="s">
        <v>55</v>
      </c>
      <c r="Q123" s="13" t="s">
        <v>174</v>
      </c>
      <c r="R123" s="103" t="s">
        <v>943</v>
      </c>
      <c r="T123" s="38">
        <v>6036.66</v>
      </c>
      <c r="U123" s="33" t="s">
        <v>58</v>
      </c>
      <c r="V123" s="33" t="s">
        <v>59</v>
      </c>
      <c r="W123" s="25" t="s">
        <v>204</v>
      </c>
      <c r="X123" s="25" t="s">
        <v>205</v>
      </c>
      <c r="Y123" s="25" t="s">
        <v>206</v>
      </c>
      <c r="Z123" s="13" t="s">
        <v>884</v>
      </c>
      <c r="AA123" s="108" t="s">
        <v>1254</v>
      </c>
      <c r="AB123" s="44" t="s">
        <v>207</v>
      </c>
      <c r="AC123" s="113" t="s">
        <v>65</v>
      </c>
      <c r="AD123" s="15" t="s">
        <v>59</v>
      </c>
      <c r="AE123" s="114" t="s">
        <v>67</v>
      </c>
      <c r="AF123" s="114" t="s">
        <v>67</v>
      </c>
      <c r="AG123" t="s">
        <v>998</v>
      </c>
      <c r="AH123" t="s">
        <v>998</v>
      </c>
      <c r="AI123" s="18" t="s">
        <v>208</v>
      </c>
      <c r="AJ123" s="15" t="s">
        <v>209</v>
      </c>
      <c r="AK123" s="15" t="s">
        <v>210</v>
      </c>
      <c r="AL123" s="15" t="s">
        <v>211</v>
      </c>
      <c r="AM123" s="29" t="s">
        <v>212</v>
      </c>
      <c r="AN123" s="13" t="s">
        <v>73</v>
      </c>
      <c r="AO123" s="111" t="s">
        <v>212</v>
      </c>
      <c r="AP123" s="28" t="s">
        <v>213</v>
      </c>
      <c r="AQ123" s="30" t="s">
        <v>94</v>
      </c>
    </row>
    <row r="124" spans="1:44" ht="15" hidden="1" customHeight="1" x14ac:dyDescent="0.25">
      <c r="A124" s="15">
        <v>0</v>
      </c>
      <c r="B124" s="15" t="s">
        <v>891</v>
      </c>
      <c r="C124" s="44" t="s">
        <v>878</v>
      </c>
      <c r="D124" s="15" t="s">
        <v>42</v>
      </c>
      <c r="E124" s="53">
        <v>2</v>
      </c>
      <c r="F124" s="53">
        <v>3</v>
      </c>
      <c r="G124" s="53">
        <v>5</v>
      </c>
      <c r="H124" s="13" t="s">
        <v>42</v>
      </c>
      <c r="I124" s="13" t="s">
        <v>41</v>
      </c>
      <c r="J124" s="13" t="s">
        <v>39</v>
      </c>
      <c r="K124" s="20"/>
      <c r="L124" s="20"/>
      <c r="M124" s="20"/>
      <c r="N124" s="20"/>
      <c r="O124" s="20"/>
      <c r="P124" s="92" t="s">
        <v>879</v>
      </c>
      <c r="Q124" s="15" t="s">
        <v>595</v>
      </c>
      <c r="R124" s="15"/>
      <c r="T124" s="91" t="s">
        <v>892</v>
      </c>
      <c r="U124" s="31" t="s">
        <v>695</v>
      </c>
      <c r="V124" s="31" t="s">
        <v>59</v>
      </c>
      <c r="W124" s="52" t="s">
        <v>893</v>
      </c>
      <c r="X124" s="52" t="s">
        <v>882</v>
      </c>
      <c r="Y124" s="52" t="s">
        <v>883</v>
      </c>
      <c r="Z124" s="13" t="s">
        <v>884</v>
      </c>
      <c r="AA124" s="13"/>
      <c r="AB124" s="12" t="s">
        <v>885</v>
      </c>
      <c r="AC124" s="87" t="s">
        <v>87</v>
      </c>
      <c r="AD124" s="15" t="s">
        <v>59</v>
      </c>
      <c r="AE124" s="27" t="s">
        <v>405</v>
      </c>
      <c r="AF124" s="27" t="s">
        <v>450</v>
      </c>
      <c r="AG124" t="s">
        <v>995</v>
      </c>
      <c r="AH124" t="s">
        <v>995</v>
      </c>
      <c r="AI124" s="66"/>
      <c r="AJ124" s="44" t="s">
        <v>894</v>
      </c>
      <c r="AK124" s="15" t="s">
        <v>59</v>
      </c>
      <c r="AL124" s="15" t="s">
        <v>59</v>
      </c>
      <c r="AM124" s="89" t="s">
        <v>895</v>
      </c>
      <c r="AN124" s="30" t="s">
        <v>113</v>
      </c>
      <c r="AO124" s="30"/>
      <c r="AP124" s="89" t="s">
        <v>896</v>
      </c>
      <c r="AQ124" s="30" t="s">
        <v>113</v>
      </c>
      <c r="AR124" s="15" t="s">
        <v>897</v>
      </c>
    </row>
    <row r="125" spans="1:44" x14ac:dyDescent="0.25">
      <c r="AI125" s="18"/>
    </row>
    <row r="126" spans="1:44" x14ac:dyDescent="0.25">
      <c r="AI126" s="94"/>
      <c r="AM126" s="15"/>
    </row>
    <row r="127" spans="1:44" x14ac:dyDescent="0.25">
      <c r="AI127" s="94"/>
    </row>
    <row r="128" spans="1:44" x14ac:dyDescent="0.25">
      <c r="AI128" s="94"/>
    </row>
    <row r="129" spans="2:44" x14ac:dyDescent="0.25">
      <c r="AI129" s="94"/>
    </row>
    <row r="130" spans="2:44" x14ac:dyDescent="0.25">
      <c r="AI130" s="94"/>
    </row>
    <row r="131" spans="2:44" x14ac:dyDescent="0.25">
      <c r="AI131" s="94"/>
    </row>
    <row r="134" spans="2:44" hidden="1" x14ac:dyDescent="0.25">
      <c r="R134" s="15"/>
      <c r="U134" s="15"/>
      <c r="AA134" s="15"/>
      <c r="AO134" s="13"/>
    </row>
    <row r="135" spans="2:44" ht="15" hidden="1" customHeight="1" x14ac:dyDescent="0.25">
      <c r="B135" s="15" t="s">
        <v>898</v>
      </c>
      <c r="C135" s="47" t="s">
        <v>899</v>
      </c>
      <c r="D135" s="47" t="s">
        <v>900</v>
      </c>
      <c r="E135" s="13" t="s">
        <v>480</v>
      </c>
      <c r="F135" s="13" t="s">
        <v>480</v>
      </c>
      <c r="G135" s="13" t="s">
        <v>68</v>
      </c>
      <c r="P135" s="47" t="s">
        <v>55</v>
      </c>
      <c r="Q135" s="15" t="s">
        <v>595</v>
      </c>
      <c r="R135" s="15"/>
      <c r="T135" s="95" t="s">
        <v>901</v>
      </c>
      <c r="U135" s="31" t="s">
        <v>695</v>
      </c>
      <c r="V135" s="31" t="s">
        <v>59</v>
      </c>
      <c r="W135" s="96" t="s">
        <v>902</v>
      </c>
      <c r="X135" s="96" t="s">
        <v>903</v>
      </c>
      <c r="Y135" s="44" t="s">
        <v>904</v>
      </c>
      <c r="Z135" s="53" t="s">
        <v>63</v>
      </c>
      <c r="AA135" s="53"/>
      <c r="AB135" s="44" t="s">
        <v>905</v>
      </c>
      <c r="AC135" s="87" t="s">
        <v>87</v>
      </c>
      <c r="AD135" s="15" t="s">
        <v>59</v>
      </c>
      <c r="AE135" s="27" t="s">
        <v>450</v>
      </c>
      <c r="AF135" s="27" t="s">
        <v>450</v>
      </c>
      <c r="AG135" s="27"/>
      <c r="AH135" s="27"/>
      <c r="AI135" s="18"/>
      <c r="AJ135" s="44" t="s">
        <v>906</v>
      </c>
      <c r="AL135" s="15" t="s">
        <v>907</v>
      </c>
      <c r="AM135" s="97"/>
      <c r="AN135" s="98"/>
      <c r="AO135" s="98"/>
      <c r="AP135" s="97"/>
      <c r="AQ135" s="98"/>
    </row>
    <row r="136" spans="2:44" ht="15" hidden="1" customHeight="1" x14ac:dyDescent="0.25">
      <c r="B136" s="15" t="s">
        <v>908</v>
      </c>
      <c r="C136" s="15" t="s">
        <v>128</v>
      </c>
      <c r="D136" s="15" t="s">
        <v>909</v>
      </c>
      <c r="E136" s="13" t="s">
        <v>68</v>
      </c>
      <c r="F136" s="13" t="s">
        <v>480</v>
      </c>
      <c r="G136" s="13" t="s">
        <v>480</v>
      </c>
      <c r="P136" s="15" t="s">
        <v>55</v>
      </c>
      <c r="Q136" s="15" t="s">
        <v>174</v>
      </c>
      <c r="R136" s="15"/>
      <c r="T136" s="38">
        <v>11487.304</v>
      </c>
      <c r="U136" s="31" t="s">
        <v>58</v>
      </c>
      <c r="V136" s="38" t="s">
        <v>59</v>
      </c>
      <c r="W136" s="25" t="s">
        <v>910</v>
      </c>
      <c r="X136" s="25" t="s">
        <v>911</v>
      </c>
      <c r="Y136" s="25" t="s">
        <v>206</v>
      </c>
      <c r="Z136" s="13" t="s">
        <v>63</v>
      </c>
      <c r="AA136" s="13"/>
      <c r="AB136" s="17" t="s">
        <v>912</v>
      </c>
      <c r="AC136" s="26" t="s">
        <v>65</v>
      </c>
      <c r="AD136" s="15" t="s">
        <v>59</v>
      </c>
      <c r="AE136" s="27" t="s">
        <v>67</v>
      </c>
      <c r="AF136" s="27" t="s">
        <v>67</v>
      </c>
      <c r="AG136" s="27"/>
      <c r="AH136" s="27"/>
      <c r="AI136" s="18" t="s">
        <v>913</v>
      </c>
      <c r="AJ136" s="15" t="s">
        <v>209</v>
      </c>
      <c r="AK136" s="18" t="s">
        <v>914</v>
      </c>
      <c r="AM136" s="61" t="s">
        <v>915</v>
      </c>
      <c r="AN136" s="36" t="s">
        <v>113</v>
      </c>
      <c r="AO136" s="36"/>
      <c r="AP136" s="61" t="s">
        <v>916</v>
      </c>
      <c r="AQ136" s="30" t="s">
        <v>94</v>
      </c>
      <c r="AR136" s="51" t="s">
        <v>81</v>
      </c>
    </row>
    <row r="137" spans="2:44" ht="15" hidden="1" customHeight="1" x14ac:dyDescent="0.25">
      <c r="B137" s="15" t="s">
        <v>917</v>
      </c>
      <c r="C137" s="15" t="s">
        <v>128</v>
      </c>
      <c r="D137" s="15" t="s">
        <v>909</v>
      </c>
      <c r="E137" s="13" t="s">
        <v>68</v>
      </c>
      <c r="F137" s="13" t="s">
        <v>480</v>
      </c>
      <c r="G137" s="13" t="s">
        <v>480</v>
      </c>
      <c r="P137" s="15" t="s">
        <v>55</v>
      </c>
      <c r="Q137" s="15" t="s">
        <v>174</v>
      </c>
      <c r="R137" s="15"/>
      <c r="T137" s="15" t="s">
        <v>76</v>
      </c>
      <c r="U137" s="31" t="s">
        <v>59</v>
      </c>
      <c r="V137" s="38" t="s">
        <v>59</v>
      </c>
      <c r="W137" s="25" t="s">
        <v>59</v>
      </c>
      <c r="X137" s="25" t="s">
        <v>59</v>
      </c>
      <c r="Y137" s="25" t="s">
        <v>59</v>
      </c>
      <c r="Z137" s="13" t="s">
        <v>63</v>
      </c>
      <c r="AA137" s="13"/>
      <c r="AB137" s="17" t="s">
        <v>912</v>
      </c>
      <c r="AC137" s="26" t="s">
        <v>65</v>
      </c>
      <c r="AD137" s="15" t="s">
        <v>59</v>
      </c>
      <c r="AE137" s="27" t="s">
        <v>67</v>
      </c>
      <c r="AF137" s="27" t="s">
        <v>67</v>
      </c>
      <c r="AG137" s="27"/>
      <c r="AH137" s="27"/>
      <c r="AI137" s="18" t="s">
        <v>913</v>
      </c>
      <c r="AJ137" s="15" t="s">
        <v>209</v>
      </c>
      <c r="AK137" s="18" t="s">
        <v>918</v>
      </c>
      <c r="AM137" s="50" t="s">
        <v>919</v>
      </c>
      <c r="AN137" s="36" t="s">
        <v>113</v>
      </c>
      <c r="AO137" s="36"/>
      <c r="AP137" s="50" t="s">
        <v>920</v>
      </c>
      <c r="AQ137" s="30" t="s">
        <v>94</v>
      </c>
      <c r="AR137" s="51" t="s">
        <v>81</v>
      </c>
    </row>
    <row r="138" spans="2:44" hidden="1" x14ac:dyDescent="0.25">
      <c r="B138" s="15" t="s">
        <v>921</v>
      </c>
      <c r="R138" s="15"/>
      <c r="U138" s="15"/>
      <c r="AA138" s="15"/>
      <c r="AM138" s="99" t="s">
        <v>922</v>
      </c>
      <c r="AO138" s="13"/>
      <c r="AP138" s="99" t="s">
        <v>923</v>
      </c>
    </row>
    <row r="139" spans="2:44" hidden="1" x14ac:dyDescent="0.25">
      <c r="B139" s="15" t="s">
        <v>924</v>
      </c>
      <c r="R139" s="15"/>
      <c r="U139" s="15"/>
      <c r="AA139" s="15"/>
      <c r="AM139" s="99" t="s">
        <v>925</v>
      </c>
      <c r="AO139" s="13"/>
      <c r="AP139" s="99" t="s">
        <v>926</v>
      </c>
    </row>
    <row r="140" spans="2:44" hidden="1" x14ac:dyDescent="0.25">
      <c r="B140" s="15" t="s">
        <v>927</v>
      </c>
      <c r="R140" s="15"/>
      <c r="U140" s="15"/>
      <c r="AA140" s="15"/>
      <c r="AO140" s="13"/>
    </row>
    <row r="141" spans="2:44" ht="15" hidden="1" customHeight="1" x14ac:dyDescent="0.25">
      <c r="B141" s="15" t="s">
        <v>928</v>
      </c>
      <c r="C141" s="100" t="s">
        <v>929</v>
      </c>
      <c r="D141" s="15" t="s">
        <v>41</v>
      </c>
      <c r="E141" s="101">
        <v>2</v>
      </c>
      <c r="F141" s="101">
        <v>2</v>
      </c>
      <c r="G141" s="101">
        <v>3</v>
      </c>
      <c r="P141" s="47" t="s">
        <v>930</v>
      </c>
      <c r="Q141" s="15" t="s">
        <v>595</v>
      </c>
      <c r="R141" s="15"/>
      <c r="T141" s="95" t="s">
        <v>901</v>
      </c>
      <c r="U141" s="31" t="s">
        <v>695</v>
      </c>
      <c r="V141" s="31" t="s">
        <v>59</v>
      </c>
      <c r="W141" s="96" t="s">
        <v>902</v>
      </c>
      <c r="X141" s="96" t="s">
        <v>903</v>
      </c>
      <c r="Y141" s="44" t="s">
        <v>904</v>
      </c>
      <c r="Z141" s="53" t="s">
        <v>63</v>
      </c>
      <c r="AA141" s="53"/>
      <c r="AB141" s="44" t="s">
        <v>931</v>
      </c>
      <c r="AC141" s="87" t="s">
        <v>87</v>
      </c>
      <c r="AD141" s="15" t="s">
        <v>59</v>
      </c>
      <c r="AE141" s="27" t="s">
        <v>405</v>
      </c>
      <c r="AF141" s="27" t="s">
        <v>450</v>
      </c>
      <c r="AG141" s="27"/>
      <c r="AH141" s="27"/>
      <c r="AI141" s="18"/>
      <c r="AJ141" s="44" t="s">
        <v>932</v>
      </c>
      <c r="AL141" s="15" t="s">
        <v>907</v>
      </c>
      <c r="AM141" s="89" t="s">
        <v>933</v>
      </c>
      <c r="AN141" s="30" t="s">
        <v>73</v>
      </c>
      <c r="AO141" s="30"/>
      <c r="AP141" s="89" t="s">
        <v>934</v>
      </c>
      <c r="AQ141" s="30" t="s">
        <v>73</v>
      </c>
    </row>
  </sheetData>
  <autoFilter ref="A3:AS124">
    <filterColumn colId="0">
      <filters>
        <filter val="1"/>
        <filter val="10"/>
      </filters>
    </filterColumn>
  </autoFilter>
  <sortState ref="A4:AR125">
    <sortCondition ref="B4:B125"/>
  </sortState>
  <mergeCells count="1">
    <mergeCell ref="K1:O1"/>
  </mergeCells>
  <conditionalFormatting sqref="AJ28 AJ51 AJ90 AJ46:AJ49 AJ64:AJ65 AJ67:AJ69 AJ92:AJ96 AR91 AK25:AL25 AJ24:AM24 AJ62:AM62 AK46:AK52 AL46:AL47 AK55:AK57 AK61:AM61 AJ83:AJ85 AJ87:AJ88 AM74 AP105:AP116 AP99:AP103 AP64:AP97 AP36:AP44 AP118:AP122 AJ118 AJ120:AJ121 AJ30:AJ43 AK22:AK23 AJ6:AJ22 AJ56:AJ60 AK30:AL44 AI118:AI122 AI105:AI114 AI46:AI62 AJ105:AJ115 AI81:AI97 AR136:AR137 AP46:AP62 AP23:AP34 AP136:AP137 AI4:AI44 AI136:AL137 AK118:AK123 AL122:AL123 AK5:AQ5 AO24 AO26 AO28 AO30:AO32 AO46 AO48:AO49 AO51 AO54 AO56 AO64:AO65 AO67 AO69 AO75 AO78:AO79 AO81 AO83:AO85 AO87:AO88 AO90 AO92 AO94:AO96 AO100:AO102 AO105 AO107:AO109 AO111:AO112 AO114:AO115 AO118 AO123 AK64:AK74 AJ71:AJ73 AI64:AI74 AO71:AO73 AJ4:AM4 AO4:AQ4 AK7:AQ7 AO6:AQ6 AK16:AQ21 AO8:AQ11 AO22:AQ22 AK6:AM6 AK8:AM15 AM22:AM24 AJ26:AM26 AK27:AM29 AM30:AM43 AM46 AL48:AM52 AJ53:AM54 AL55:AM60 AL64:AM73 AI75:AM80 AK81:AM97 AI99:AM103 AK105:AM116 AL118:AM121 AM123 AO58:AO60 AO13:AQ13 AP12:AQ12 AO15:AQ15 AP14:AQ14 AO34:AO36 AO38:AO39 AO43 AO120:AO121">
    <cfRule type="cellIs" dxfId="282" priority="304" operator="equal">
      <formula>$AR$1</formula>
    </cfRule>
  </conditionalFormatting>
  <conditionalFormatting sqref="AJ5">
    <cfRule type="cellIs" dxfId="281" priority="303" operator="equal">
      <formula>$AR$1</formula>
    </cfRule>
  </conditionalFormatting>
  <conditionalFormatting sqref="AJ25">
    <cfRule type="cellIs" dxfId="280" priority="302" operator="equal">
      <formula>$AR$1</formula>
    </cfRule>
  </conditionalFormatting>
  <conditionalFormatting sqref="AJ23">
    <cfRule type="cellIs" dxfId="279" priority="301" operator="equal">
      <formula>$AR$1</formula>
    </cfRule>
  </conditionalFormatting>
  <conditionalFormatting sqref="AL22">
    <cfRule type="cellIs" dxfId="278" priority="300" operator="equal">
      <formula>$AR$1</formula>
    </cfRule>
  </conditionalFormatting>
  <conditionalFormatting sqref="AL23">
    <cfRule type="cellIs" dxfId="277" priority="299" operator="equal">
      <formula>$AR$1</formula>
    </cfRule>
  </conditionalFormatting>
  <conditionalFormatting sqref="AM25">
    <cfRule type="cellIs" dxfId="276" priority="298" operator="equal">
      <formula>$AR$1</formula>
    </cfRule>
  </conditionalFormatting>
  <conditionalFormatting sqref="AJ27">
    <cfRule type="cellIs" dxfId="275" priority="297" operator="equal">
      <formula>$AR$1</formula>
    </cfRule>
  </conditionalFormatting>
  <conditionalFormatting sqref="AJ29">
    <cfRule type="cellIs" dxfId="274" priority="296" operator="equal">
      <formula>$AR$1</formula>
    </cfRule>
  </conditionalFormatting>
  <conditionalFormatting sqref="AJ50">
    <cfRule type="cellIs" dxfId="273" priority="295" operator="equal">
      <formula>$AR$1</formula>
    </cfRule>
  </conditionalFormatting>
  <conditionalFormatting sqref="AJ55">
    <cfRule type="cellIs" dxfId="272" priority="294" operator="equal">
      <formula>$AR$1</formula>
    </cfRule>
  </conditionalFormatting>
  <conditionalFormatting sqref="AJ52">
    <cfRule type="cellIs" dxfId="271" priority="293" operator="equal">
      <formula>$AR$1</formula>
    </cfRule>
  </conditionalFormatting>
  <conditionalFormatting sqref="AJ66">
    <cfRule type="cellIs" dxfId="270" priority="292" operator="equal">
      <formula>$AR$1</formula>
    </cfRule>
  </conditionalFormatting>
  <conditionalFormatting sqref="AJ70">
    <cfRule type="cellIs" dxfId="269" priority="291" operator="equal">
      <formula>$AR$1</formula>
    </cfRule>
  </conditionalFormatting>
  <conditionalFormatting sqref="AJ74">
    <cfRule type="cellIs" dxfId="268" priority="290" operator="equal">
      <formula>$AR$1</formula>
    </cfRule>
  </conditionalFormatting>
  <conditionalFormatting sqref="AL74">
    <cfRule type="cellIs" dxfId="267" priority="289" operator="equal">
      <formula>$AR$1</formula>
    </cfRule>
  </conditionalFormatting>
  <conditionalFormatting sqref="AJ116">
    <cfRule type="cellIs" dxfId="266" priority="288" operator="equal">
      <formula>$AR$1</formula>
    </cfRule>
  </conditionalFormatting>
  <conditionalFormatting sqref="AJ86">
    <cfRule type="cellIs" dxfId="265" priority="287" operator="equal">
      <formula>$AR$1</formula>
    </cfRule>
  </conditionalFormatting>
  <conditionalFormatting sqref="AJ91">
    <cfRule type="cellIs" dxfId="264" priority="286" operator="equal">
      <formula>$AR$1</formula>
    </cfRule>
  </conditionalFormatting>
  <conditionalFormatting sqref="AJ97">
    <cfRule type="cellIs" dxfId="263" priority="285" operator="equal">
      <formula>$AR$1</formula>
    </cfRule>
  </conditionalFormatting>
  <conditionalFormatting sqref="AJ119">
    <cfRule type="cellIs" dxfId="262" priority="284" operator="equal">
      <formula>$AR$1</formula>
    </cfRule>
  </conditionalFormatting>
  <conditionalFormatting sqref="AJ122">
    <cfRule type="cellIs" dxfId="261" priority="283" operator="equal">
      <formula>$AR$1</formula>
    </cfRule>
  </conditionalFormatting>
  <conditionalFormatting sqref="D1:O2 D136:J136 D141:J141 H123:J123 D46:J62 D64:J97 D99:J103 D105:J116 D118:J122 D123 D4:J44">
    <cfRule type="cellIs" dxfId="260" priority="282" operator="equal">
      <formula>$B$125</formula>
    </cfRule>
  </conditionalFormatting>
  <conditionalFormatting sqref="AK99:AL103 AI99:AI103 AK105:AL116 AK46:AL62 AI105:AI114 AI46:AI62 AI4:AI44 AI136:AI137 AK4:AL44 AK136:AL136 AK141:AL141 AI118:AI124 AI141 AK118:AL124 AK64:AL97 AI64:AI97">
    <cfRule type="cellIs" dxfId="259" priority="305" operator="equal">
      <formula>#REF!</formula>
    </cfRule>
  </conditionalFormatting>
  <conditionalFormatting sqref="AE141:AF141 AE124:AF124 AF119 AF116 AE106:AF106 AE103:AF103 AE66:AF66 AE5:AF5 AH141 AE135:AH137 AE47:AF47 AE7:AF7 AE16:AF21 AE23:AF23 AE25:AF25 AE27:AF27 AE29:AF29 AE44:AF44 AE50:AF50 AE52:AF53 AE55:AF55 AE57:AF57 AE61:AF62 AE68:AF68 AE70:AF70 AE74:AF74 AE76:AF76 AE80:AF80 AE82:AF82 AE86:AF86 AE89:AF89 AE91:AF91 AE93:AF93 AE97:AF97 AE110:AF110 AE113:AF113 AF122">
    <cfRule type="cellIs" dxfId="258" priority="281" operator="equal">
      <formula>$AE$127</formula>
    </cfRule>
  </conditionalFormatting>
  <conditionalFormatting sqref="AE116">
    <cfRule type="cellIs" dxfId="257" priority="280" operator="equal">
      <formula>$AE$127</formula>
    </cfRule>
  </conditionalFormatting>
  <conditionalFormatting sqref="AF124">
    <cfRule type="cellIs" dxfId="256" priority="279" operator="equal">
      <formula>$AE$127</formula>
    </cfRule>
  </conditionalFormatting>
  <conditionalFormatting sqref="AE124">
    <cfRule type="cellIs" dxfId="255" priority="278" operator="equal">
      <formula>$AE$127</formula>
    </cfRule>
  </conditionalFormatting>
  <conditionalFormatting sqref="AP119:AP122">
    <cfRule type="cellIs" dxfId="254" priority="277" operator="equal">
      <formula>$AR$1</formula>
    </cfRule>
  </conditionalFormatting>
  <conditionalFormatting sqref="AM44">
    <cfRule type="cellIs" dxfId="253" priority="276" operator="equal">
      <formula>$AR$1</formula>
    </cfRule>
  </conditionalFormatting>
  <conditionalFormatting sqref="AM47">
    <cfRule type="cellIs" dxfId="252" priority="275" operator="equal">
      <formula>$AR$1</formula>
    </cfRule>
  </conditionalFormatting>
  <conditionalFormatting sqref="AN23:AO23">
    <cfRule type="cellIs" dxfId="251" priority="274" operator="equal">
      <formula>$AR$1</formula>
    </cfRule>
  </conditionalFormatting>
  <conditionalFormatting sqref="AQ23">
    <cfRule type="cellIs" dxfId="250" priority="273" operator="equal">
      <formula>$AR$1</formula>
    </cfRule>
  </conditionalFormatting>
  <conditionalFormatting sqref="AN25:AO25">
    <cfRule type="cellIs" dxfId="249" priority="271" operator="equal">
      <formula>$AR$1</formula>
    </cfRule>
  </conditionalFormatting>
  <conditionalFormatting sqref="AN27:AO27">
    <cfRule type="cellIs" dxfId="248" priority="269" operator="equal">
      <formula>$AR$1</formula>
    </cfRule>
  </conditionalFormatting>
  <conditionalFormatting sqref="AN29:AO29">
    <cfRule type="cellIs" dxfId="247" priority="267" operator="equal">
      <formula>$AR$1</formula>
    </cfRule>
  </conditionalFormatting>
  <conditionalFormatting sqref="AN66:AO66">
    <cfRule type="cellIs" dxfId="246" priority="247" operator="equal">
      <formula>$AR$1</formula>
    </cfRule>
  </conditionalFormatting>
  <conditionalFormatting sqref="AN44:AO44">
    <cfRule type="cellIs" dxfId="245" priority="259" operator="equal">
      <formula>$AR$1</formula>
    </cfRule>
  </conditionalFormatting>
  <conditionalFormatting sqref="AN47:AO47">
    <cfRule type="cellIs" dxfId="244" priority="257" operator="equal">
      <formula>$AR$1</formula>
    </cfRule>
  </conditionalFormatting>
  <conditionalFormatting sqref="AN53:AO53">
    <cfRule type="cellIs" dxfId="243" priority="254" operator="equal">
      <formula>$AR$1</formula>
    </cfRule>
  </conditionalFormatting>
  <conditionalFormatting sqref="AN57:AO57">
    <cfRule type="cellIs" dxfId="242" priority="251" operator="equal">
      <formula>$AR$1</formula>
    </cfRule>
  </conditionalFormatting>
  <conditionalFormatting sqref="AN61:AO61">
    <cfRule type="cellIs" dxfId="241" priority="249" operator="equal">
      <formula>$AR$1</formula>
    </cfRule>
  </conditionalFormatting>
  <conditionalFormatting sqref="AN68:AO68">
    <cfRule type="cellIs" dxfId="240" priority="244" operator="equal">
      <formula>$AR$1</formula>
    </cfRule>
  </conditionalFormatting>
  <conditionalFormatting sqref="AN70:AO70">
    <cfRule type="cellIs" dxfId="239" priority="242" operator="equal">
      <formula>$AR$1</formula>
    </cfRule>
  </conditionalFormatting>
  <conditionalFormatting sqref="AN74:AO74">
    <cfRule type="cellIs" dxfId="238" priority="238" operator="equal">
      <formula>$AR$1</formula>
    </cfRule>
  </conditionalFormatting>
  <conditionalFormatting sqref="AN76:AO76">
    <cfRule type="cellIs" dxfId="237" priority="236" operator="equal">
      <formula>$AR$1</formula>
    </cfRule>
  </conditionalFormatting>
  <conditionalFormatting sqref="AN80:AO80">
    <cfRule type="cellIs" dxfId="236" priority="232" operator="equal">
      <formula>$AR$1</formula>
    </cfRule>
  </conditionalFormatting>
  <conditionalFormatting sqref="AN82:AO82">
    <cfRule type="cellIs" dxfId="235" priority="229" operator="equal">
      <formula>$AR$1</formula>
    </cfRule>
  </conditionalFormatting>
  <conditionalFormatting sqref="AN86:AO86">
    <cfRule type="cellIs" dxfId="234" priority="226" operator="equal">
      <formula>$AR$1</formula>
    </cfRule>
  </conditionalFormatting>
  <conditionalFormatting sqref="AN89:AO89">
    <cfRule type="cellIs" dxfId="233" priority="225" operator="equal">
      <formula>$AR$1</formula>
    </cfRule>
  </conditionalFormatting>
  <conditionalFormatting sqref="AN91:AO91">
    <cfRule type="cellIs" dxfId="232" priority="223" operator="equal">
      <formula>$AR$1</formula>
    </cfRule>
  </conditionalFormatting>
  <conditionalFormatting sqref="AN93:AO93">
    <cfRule type="cellIs" dxfId="231" priority="221" operator="equal">
      <formula>$AR$1</formula>
    </cfRule>
  </conditionalFormatting>
  <conditionalFormatting sqref="AN97:AO97">
    <cfRule type="cellIs" dxfId="230" priority="219" operator="equal">
      <formula>$AR$1</formula>
    </cfRule>
  </conditionalFormatting>
  <conditionalFormatting sqref="AN103:AO103">
    <cfRule type="cellIs" dxfId="229" priority="215" operator="equal">
      <formula>$AR$1</formula>
    </cfRule>
  </conditionalFormatting>
  <conditionalFormatting sqref="AN106:AO106">
    <cfRule type="cellIs" dxfId="228" priority="213" operator="equal">
      <formula>$AR$1</formula>
    </cfRule>
  </conditionalFormatting>
  <conditionalFormatting sqref="AN110:AO110">
    <cfRule type="cellIs" dxfId="227" priority="209" operator="equal">
      <formula>$AR$1</formula>
    </cfRule>
  </conditionalFormatting>
  <conditionalFormatting sqref="AN113:AO113">
    <cfRule type="cellIs" dxfId="226" priority="206" operator="equal">
      <formula>$AR$1</formula>
    </cfRule>
  </conditionalFormatting>
  <conditionalFormatting sqref="AN116:AO116">
    <cfRule type="cellIs" dxfId="225" priority="203" operator="equal">
      <formula>$AR$1</formula>
    </cfRule>
  </conditionalFormatting>
  <conditionalFormatting sqref="AN124:AO124">
    <cfRule type="cellIs" dxfId="224" priority="200" operator="equal">
      <formula>$AR$1</formula>
    </cfRule>
  </conditionalFormatting>
  <conditionalFormatting sqref="AQ124">
    <cfRule type="cellIs" dxfId="223" priority="199" operator="equal">
      <formula>$AR$1</formula>
    </cfRule>
  </conditionalFormatting>
  <conditionalFormatting sqref="AQ123">
    <cfRule type="cellIs" dxfId="222" priority="198" operator="equal">
      <formula>$AR$1</formula>
    </cfRule>
  </conditionalFormatting>
  <conditionalFormatting sqref="AN141:AO141">
    <cfRule type="cellIs" dxfId="221" priority="197" operator="equal">
      <formula>$AR$1</formula>
    </cfRule>
  </conditionalFormatting>
  <conditionalFormatting sqref="AQ141">
    <cfRule type="cellIs" dxfId="220" priority="196" operator="equal">
      <formula>$AR$1</formula>
    </cfRule>
  </conditionalFormatting>
  <conditionalFormatting sqref="AQ118">
    <cfRule type="cellIs" dxfId="219" priority="194" operator="equal">
      <formula>$AR$1</formula>
    </cfRule>
  </conditionalFormatting>
  <conditionalFormatting sqref="AN122:AO122">
    <cfRule type="cellIs" dxfId="218" priority="192" operator="equal">
      <formula>$AR$1</formula>
    </cfRule>
  </conditionalFormatting>
  <conditionalFormatting sqref="AQ122">
    <cfRule type="cellIs" dxfId="217" priority="191" operator="equal">
      <formula>$AR$1</formula>
    </cfRule>
  </conditionalFormatting>
  <conditionalFormatting sqref="AQ121">
    <cfRule type="cellIs" dxfId="216" priority="190" operator="equal">
      <formula>$AR$1</formula>
    </cfRule>
  </conditionalFormatting>
  <conditionalFormatting sqref="AQ120">
    <cfRule type="cellIs" dxfId="215" priority="189" operator="equal">
      <formula>$AR$1</formula>
    </cfRule>
  </conditionalFormatting>
  <conditionalFormatting sqref="AQ116">
    <cfRule type="cellIs" dxfId="214" priority="188" operator="equal">
      <formula>$AR$1</formula>
    </cfRule>
  </conditionalFormatting>
  <conditionalFormatting sqref="AQ115">
    <cfRule type="cellIs" dxfId="213" priority="187" operator="equal">
      <formula>$AR$1</formula>
    </cfRule>
  </conditionalFormatting>
  <conditionalFormatting sqref="AQ113">
    <cfRule type="cellIs" dxfId="212" priority="186" operator="equal">
      <formula>$AR$1</formula>
    </cfRule>
  </conditionalFormatting>
  <conditionalFormatting sqref="AQ112">
    <cfRule type="cellIs" dxfId="211" priority="185" operator="equal">
      <formula>$AR$1</formula>
    </cfRule>
  </conditionalFormatting>
  <conditionalFormatting sqref="AQ111">
    <cfRule type="cellIs" dxfId="210" priority="184" operator="equal">
      <formula>$AR$1</formula>
    </cfRule>
  </conditionalFormatting>
  <conditionalFormatting sqref="AQ110">
    <cfRule type="cellIs" dxfId="209" priority="183" operator="equal">
      <formula>$AR$1</formula>
    </cfRule>
  </conditionalFormatting>
  <conditionalFormatting sqref="AQ109">
    <cfRule type="cellIs" dxfId="208" priority="182" operator="equal">
      <formula>$AR$1</formula>
    </cfRule>
  </conditionalFormatting>
  <conditionalFormatting sqref="AQ108">
    <cfRule type="cellIs" dxfId="207" priority="181" operator="equal">
      <formula>$AR$1</formula>
    </cfRule>
  </conditionalFormatting>
  <conditionalFormatting sqref="AQ114">
    <cfRule type="cellIs" dxfId="206" priority="180" operator="equal">
      <formula>$AR$1</formula>
    </cfRule>
  </conditionalFormatting>
  <conditionalFormatting sqref="AQ107">
    <cfRule type="cellIs" dxfId="205" priority="179" operator="equal">
      <formula>$AR$1</formula>
    </cfRule>
  </conditionalFormatting>
  <conditionalFormatting sqref="AQ106">
    <cfRule type="cellIs" dxfId="204" priority="178" operator="equal">
      <formula>$AR$1</formula>
    </cfRule>
  </conditionalFormatting>
  <conditionalFormatting sqref="AQ105">
    <cfRule type="cellIs" dxfId="203" priority="177" operator="equal">
      <formula>$AR$1</formula>
    </cfRule>
  </conditionalFormatting>
  <conditionalFormatting sqref="AQ103">
    <cfRule type="cellIs" dxfId="202" priority="176" operator="equal">
      <formula>$AR$1</formula>
    </cfRule>
  </conditionalFormatting>
  <conditionalFormatting sqref="AQ101">
    <cfRule type="cellIs" dxfId="201" priority="175" operator="equal">
      <formula>$AR$1</formula>
    </cfRule>
  </conditionalFormatting>
  <conditionalFormatting sqref="AQ100">
    <cfRule type="cellIs" dxfId="200" priority="174" operator="equal">
      <formula>$AR$1</formula>
    </cfRule>
  </conditionalFormatting>
  <conditionalFormatting sqref="AQ99">
    <cfRule type="cellIs" dxfId="199" priority="173" operator="equal">
      <formula>$AR$1</formula>
    </cfRule>
  </conditionalFormatting>
  <conditionalFormatting sqref="AQ97">
    <cfRule type="cellIs" dxfId="198" priority="172" operator="equal">
      <formula>$AR$1</formula>
    </cfRule>
  </conditionalFormatting>
  <conditionalFormatting sqref="AQ93">
    <cfRule type="cellIs" dxfId="197" priority="170" operator="equal">
      <formula>$AR$1</formula>
    </cfRule>
  </conditionalFormatting>
  <conditionalFormatting sqref="AQ95">
    <cfRule type="cellIs" dxfId="196" priority="171" operator="equal">
      <formula>$AR$1</formula>
    </cfRule>
  </conditionalFormatting>
  <conditionalFormatting sqref="AQ92">
    <cfRule type="cellIs" dxfId="195" priority="169" operator="equal">
      <formula>$AR$1</formula>
    </cfRule>
  </conditionalFormatting>
  <conditionalFormatting sqref="AQ91">
    <cfRule type="cellIs" dxfId="194" priority="168" operator="equal">
      <formula>$AR$1</formula>
    </cfRule>
  </conditionalFormatting>
  <conditionalFormatting sqref="AQ90">
    <cfRule type="cellIs" dxfId="193" priority="167" operator="equal">
      <formula>$AR$1</formula>
    </cfRule>
  </conditionalFormatting>
  <conditionalFormatting sqref="AQ89">
    <cfRule type="cellIs" dxfId="192" priority="166" operator="equal">
      <formula>$AR$1</formula>
    </cfRule>
  </conditionalFormatting>
  <conditionalFormatting sqref="AQ76">
    <cfRule type="cellIs" dxfId="191" priority="157" operator="equal">
      <formula>$AR$1</formula>
    </cfRule>
  </conditionalFormatting>
  <conditionalFormatting sqref="AQ86">
    <cfRule type="cellIs" dxfId="190" priority="165" operator="equal">
      <formula>$AR$1</formula>
    </cfRule>
  </conditionalFormatting>
  <conditionalFormatting sqref="AQ85">
    <cfRule type="cellIs" dxfId="189" priority="164" operator="equal">
      <formula>$AR$1</formula>
    </cfRule>
  </conditionalFormatting>
  <conditionalFormatting sqref="AQ84">
    <cfRule type="cellIs" dxfId="188" priority="163" operator="equal">
      <formula>$AR$1</formula>
    </cfRule>
  </conditionalFormatting>
  <conditionalFormatting sqref="AQ83">
    <cfRule type="cellIs" dxfId="187" priority="162" operator="equal">
      <formula>$AR$1</formula>
    </cfRule>
  </conditionalFormatting>
  <conditionalFormatting sqref="AQ81">
    <cfRule type="cellIs" dxfId="186" priority="161" operator="equal">
      <formula>$AR$1</formula>
    </cfRule>
  </conditionalFormatting>
  <conditionalFormatting sqref="AQ80">
    <cfRule type="cellIs" dxfId="185" priority="160" operator="equal">
      <formula>$AR$1</formula>
    </cfRule>
  </conditionalFormatting>
  <conditionalFormatting sqref="AQ79">
    <cfRule type="cellIs" dxfId="184" priority="159" operator="equal">
      <formula>$AR$1</formula>
    </cfRule>
  </conditionalFormatting>
  <conditionalFormatting sqref="AQ67">
    <cfRule type="cellIs" dxfId="183" priority="149" operator="equal">
      <formula>$AR$1</formula>
    </cfRule>
  </conditionalFormatting>
  <conditionalFormatting sqref="AQ77">
    <cfRule type="cellIs" dxfId="182" priority="158" operator="equal">
      <formula>$AR$1</formula>
    </cfRule>
  </conditionalFormatting>
  <conditionalFormatting sqref="AQ75">
    <cfRule type="cellIs" dxfId="181" priority="156" operator="equal">
      <formula>$AR$1</formula>
    </cfRule>
  </conditionalFormatting>
  <conditionalFormatting sqref="AQ74">
    <cfRule type="cellIs" dxfId="180" priority="155" operator="equal">
      <formula>$AR$1</formula>
    </cfRule>
  </conditionalFormatting>
  <conditionalFormatting sqref="AQ58:AQ59">
    <cfRule type="cellIs" dxfId="179" priority="143" operator="equal">
      <formula>$AR$1</formula>
    </cfRule>
  </conditionalFormatting>
  <conditionalFormatting sqref="AQ72">
    <cfRule type="cellIs" dxfId="178" priority="154" operator="equal">
      <formula>$AR$1</formula>
    </cfRule>
  </conditionalFormatting>
  <conditionalFormatting sqref="AQ71">
    <cfRule type="cellIs" dxfId="177" priority="153" operator="equal">
      <formula>$AR$1</formula>
    </cfRule>
  </conditionalFormatting>
  <conditionalFormatting sqref="AQ70">
    <cfRule type="cellIs" dxfId="176" priority="152" operator="equal">
      <formula>$AR$1</formula>
    </cfRule>
  </conditionalFormatting>
  <conditionalFormatting sqref="AQ69">
    <cfRule type="cellIs" dxfId="175" priority="151" operator="equal">
      <formula>$AR$1</formula>
    </cfRule>
  </conditionalFormatting>
  <conditionalFormatting sqref="AQ68">
    <cfRule type="cellIs" dxfId="174" priority="150" operator="equal">
      <formula>$AR$1</formula>
    </cfRule>
  </conditionalFormatting>
  <conditionalFormatting sqref="AQ66">
    <cfRule type="cellIs" dxfId="173" priority="148" operator="equal">
      <formula>$AR$1</formula>
    </cfRule>
  </conditionalFormatting>
  <conditionalFormatting sqref="AQ65">
    <cfRule type="cellIs" dxfId="172" priority="147" operator="equal">
      <formula>$AR$1</formula>
    </cfRule>
  </conditionalFormatting>
  <conditionalFormatting sqref="AQ64">
    <cfRule type="cellIs" dxfId="171" priority="146" operator="equal">
      <formula>$AR$1</formula>
    </cfRule>
  </conditionalFormatting>
  <conditionalFormatting sqref="AQ62">
    <cfRule type="cellIs" dxfId="170" priority="145" operator="equal">
      <formula>$AR$1</formula>
    </cfRule>
  </conditionalFormatting>
  <conditionalFormatting sqref="AQ61">
    <cfRule type="cellIs" dxfId="169" priority="144" operator="equal">
      <formula>$AR$1</formula>
    </cfRule>
  </conditionalFormatting>
  <conditionalFormatting sqref="AQ57">
    <cfRule type="cellIs" dxfId="168" priority="142" operator="equal">
      <formula>$AR$1</formula>
    </cfRule>
  </conditionalFormatting>
  <conditionalFormatting sqref="AQ56">
    <cfRule type="cellIs" dxfId="167" priority="141" operator="equal">
      <formula>$AR$1</formula>
    </cfRule>
  </conditionalFormatting>
  <conditionalFormatting sqref="AQ54">
    <cfRule type="cellIs" dxfId="166" priority="140" operator="equal">
      <formula>$AR$1</formula>
    </cfRule>
  </conditionalFormatting>
  <conditionalFormatting sqref="AQ53">
    <cfRule type="cellIs" dxfId="165" priority="139" operator="equal">
      <formula>$AR$1</formula>
    </cfRule>
  </conditionalFormatting>
  <conditionalFormatting sqref="AQ34">
    <cfRule type="cellIs" dxfId="164" priority="129" operator="equal">
      <formula>$AR$1</formula>
    </cfRule>
  </conditionalFormatting>
  <conditionalFormatting sqref="AQ48">
    <cfRule type="cellIs" dxfId="163" priority="138" operator="equal">
      <formula>$AR$1</formula>
    </cfRule>
  </conditionalFormatting>
  <conditionalFormatting sqref="AQ46">
    <cfRule type="cellIs" dxfId="162" priority="137" operator="equal">
      <formula>$AR$1</formula>
    </cfRule>
  </conditionalFormatting>
  <conditionalFormatting sqref="AQ44">
    <cfRule type="cellIs" dxfId="161" priority="136" operator="equal">
      <formula>$AR$1</formula>
    </cfRule>
  </conditionalFormatting>
  <conditionalFormatting sqref="AQ43">
    <cfRule type="cellIs" dxfId="160" priority="135" operator="equal">
      <formula>$AR$1</formula>
    </cfRule>
  </conditionalFormatting>
  <conditionalFormatting sqref="AQ42">
    <cfRule type="cellIs" dxfId="159" priority="134" operator="equal">
      <formula>$AR$1</formula>
    </cfRule>
  </conditionalFormatting>
  <conditionalFormatting sqref="AQ41">
    <cfRule type="cellIs" dxfId="158" priority="133" operator="equal">
      <formula>$AR$1</formula>
    </cfRule>
  </conditionalFormatting>
  <conditionalFormatting sqref="AQ40">
    <cfRule type="cellIs" dxfId="157" priority="132" operator="equal">
      <formula>$AR$1</formula>
    </cfRule>
  </conditionalFormatting>
  <conditionalFormatting sqref="AQ82">
    <cfRule type="cellIs" dxfId="156" priority="117" operator="equal">
      <formula>$AR$1</formula>
    </cfRule>
  </conditionalFormatting>
  <conditionalFormatting sqref="AQ38">
    <cfRule type="cellIs" dxfId="155" priority="131" operator="equal">
      <formula>$AR$1</formula>
    </cfRule>
  </conditionalFormatting>
  <conditionalFormatting sqref="AQ36">
    <cfRule type="cellIs" dxfId="154" priority="130" operator="equal">
      <formula>$AR$1</formula>
    </cfRule>
  </conditionalFormatting>
  <conditionalFormatting sqref="AQ33">
    <cfRule type="cellIs" dxfId="153" priority="128" operator="equal">
      <formula>$AR$1</formula>
    </cfRule>
  </conditionalFormatting>
  <conditionalFormatting sqref="AQ47">
    <cfRule type="cellIs" dxfId="152" priority="106" operator="equal">
      <formula>$AR$1</formula>
    </cfRule>
  </conditionalFormatting>
  <conditionalFormatting sqref="AQ30">
    <cfRule type="cellIs" dxfId="151" priority="127" operator="equal">
      <formula>$AR$1</formula>
    </cfRule>
  </conditionalFormatting>
  <conditionalFormatting sqref="AQ29">
    <cfRule type="cellIs" dxfId="150" priority="126" operator="equal">
      <formula>$AR$1</formula>
    </cfRule>
  </conditionalFormatting>
  <conditionalFormatting sqref="AQ28">
    <cfRule type="cellIs" dxfId="149" priority="125" operator="equal">
      <formula>$AR$1</formula>
    </cfRule>
  </conditionalFormatting>
  <conditionalFormatting sqref="AQ27">
    <cfRule type="cellIs" dxfId="148" priority="124" operator="equal">
      <formula>$AR$1</formula>
    </cfRule>
  </conditionalFormatting>
  <conditionalFormatting sqref="AQ26">
    <cfRule type="cellIs" dxfId="147" priority="123" operator="equal">
      <formula>$AR$1</formula>
    </cfRule>
  </conditionalFormatting>
  <conditionalFormatting sqref="AQ25">
    <cfRule type="cellIs" dxfId="146" priority="122" operator="equal">
      <formula>$AR$1</formula>
    </cfRule>
  </conditionalFormatting>
  <conditionalFormatting sqref="AQ24">
    <cfRule type="cellIs" dxfId="145" priority="121" operator="equal">
      <formula>$AR$1</formula>
    </cfRule>
  </conditionalFormatting>
  <conditionalFormatting sqref="AN119:AO119">
    <cfRule type="cellIs" dxfId="144" priority="120" operator="equal">
      <formula>$AR$1</formula>
    </cfRule>
  </conditionalFormatting>
  <conditionalFormatting sqref="AM122">
    <cfRule type="cellIs" dxfId="143" priority="119" operator="equal">
      <formula>$AR$1</formula>
    </cfRule>
  </conditionalFormatting>
  <conditionalFormatting sqref="AM122">
    <cfRule type="cellIs" dxfId="142" priority="118" operator="equal">
      <formula>$AR$1</formula>
    </cfRule>
  </conditionalFormatting>
  <conditionalFormatting sqref="AQ119">
    <cfRule type="cellIs" dxfId="141" priority="116" operator="equal">
      <formula>$AR$1</formula>
    </cfRule>
  </conditionalFormatting>
  <conditionalFormatting sqref="AN136:AO136">
    <cfRule type="cellIs" dxfId="140" priority="115" operator="equal">
      <formula>$AR$1</formula>
    </cfRule>
  </conditionalFormatting>
  <conditionalFormatting sqref="AQ136">
    <cfRule type="cellIs" dxfId="139" priority="114" operator="equal">
      <formula>$AR$1</formula>
    </cfRule>
  </conditionalFormatting>
  <conditionalFormatting sqref="D137:J137">
    <cfRule type="cellIs" dxfId="138" priority="112" operator="equal">
      <formula>$B$125</formula>
    </cfRule>
  </conditionalFormatting>
  <conditionalFormatting sqref="AK137:AL137 Q66:AC66 AC74 AC76 AC80 AC82 AC86 AC89 AC91 AC93 AC97 Q68:AC68 R67:Y67 AA67:AB67 Q70:AC70 R69:Y69 AA69:AB69 R71:Y73 AA71:AB72 AB73">
    <cfRule type="cellIs" dxfId="137" priority="113" operator="equal">
      <formula>#REF!</formula>
    </cfRule>
  </conditionalFormatting>
  <conditionalFormatting sqref="AN137:AO137">
    <cfRule type="cellIs" dxfId="136" priority="110" operator="equal">
      <formula>$AR$1</formula>
    </cfRule>
  </conditionalFormatting>
  <conditionalFormatting sqref="AQ137">
    <cfRule type="cellIs" dxfId="135" priority="109" operator="equal">
      <formula>$AR$1</formula>
    </cfRule>
  </conditionalFormatting>
  <conditionalFormatting sqref="AQ32">
    <cfRule type="cellIs" dxfId="134" priority="107" operator="equal">
      <formula>$AR$1</formula>
    </cfRule>
  </conditionalFormatting>
  <conditionalFormatting sqref="AJ81">
    <cfRule type="cellIs" dxfId="133" priority="105" operator="equal">
      <formula>$AR$1</formula>
    </cfRule>
  </conditionalFormatting>
  <conditionalFormatting sqref="AJ44">
    <cfRule type="cellIs" dxfId="132" priority="104" operator="equal">
      <formula>$AR$1</formula>
    </cfRule>
  </conditionalFormatting>
  <conditionalFormatting sqref="AQ60">
    <cfRule type="cellIs" dxfId="131" priority="102" operator="equal">
      <formula>$AR$1</formula>
    </cfRule>
  </conditionalFormatting>
  <conditionalFormatting sqref="AJ61">
    <cfRule type="cellIs" dxfId="130" priority="101" operator="equal">
      <formula>$AR$1</formula>
    </cfRule>
  </conditionalFormatting>
  <conditionalFormatting sqref="AJ89">
    <cfRule type="cellIs" dxfId="129" priority="99" operator="equal">
      <formula>$AR$1</formula>
    </cfRule>
  </conditionalFormatting>
  <conditionalFormatting sqref="AN62:AO62">
    <cfRule type="cellIs" dxfId="128" priority="98" operator="equal">
      <formula>$AR$1</formula>
    </cfRule>
  </conditionalFormatting>
  <conditionalFormatting sqref="AI137">
    <cfRule type="cellIs" dxfId="127" priority="97" operator="equal">
      <formula>$AR$1</formula>
    </cfRule>
  </conditionalFormatting>
  <conditionalFormatting sqref="AJ82">
    <cfRule type="cellIs" dxfId="126" priority="96" operator="equal">
      <formula>$AR$1</formula>
    </cfRule>
  </conditionalFormatting>
  <conditionalFormatting sqref="AQ35">
    <cfRule type="cellIs" dxfId="125" priority="94" operator="equal">
      <formula>$AR$1</formula>
    </cfRule>
  </conditionalFormatting>
  <conditionalFormatting sqref="AN50:AO50">
    <cfRule type="cellIs" dxfId="124" priority="93" operator="equal">
      <formula>$AR$1</formula>
    </cfRule>
  </conditionalFormatting>
  <conditionalFormatting sqref="AQ50">
    <cfRule type="cellIs" dxfId="123" priority="92" operator="equal">
      <formula>$AR$1</formula>
    </cfRule>
  </conditionalFormatting>
  <conditionalFormatting sqref="AN52:AO52">
    <cfRule type="cellIs" dxfId="122" priority="91" operator="equal">
      <formula>$AR$1</formula>
    </cfRule>
  </conditionalFormatting>
  <conditionalFormatting sqref="AQ52">
    <cfRule type="cellIs" dxfId="121" priority="90" operator="equal">
      <formula>$AR$1</formula>
    </cfRule>
  </conditionalFormatting>
  <conditionalFormatting sqref="AN55:AO55">
    <cfRule type="cellIs" dxfId="120" priority="89" operator="equal">
      <formula>$AR$1</formula>
    </cfRule>
  </conditionalFormatting>
  <conditionalFormatting sqref="AQ55">
    <cfRule type="cellIs" dxfId="119" priority="88" operator="equal">
      <formula>$AR$1</formula>
    </cfRule>
  </conditionalFormatting>
  <conditionalFormatting sqref="AK99:AK103 AI99:AI103 AK105:AK116 AK46:AK62 AK64:AK97 AI105:AI114 AI46:AI62 AI64:AI97 AI4:AI44 AK4:AK44 AI135:AI137 AL15 AK135:AK137 AK141 AI118:AI124 AI141 AK118:AK124 AL123">
    <cfRule type="cellIs" dxfId="118" priority="86" operator="equal">
      <formula>$AK$135</formula>
    </cfRule>
  </conditionalFormatting>
  <conditionalFormatting sqref="C99:C103 C105:C116 C64:C97 T40:U40 T39:V39 C4:C44 W22:Y44 AB9:AB12 AB14:AB15 AB17:AB21 C135:C137 P1:Y2 P135:Y137 C141 P141:Y141 P119:Y119 C118:C124 P5:Y5 P23:V23 P44:U44 P103:Y103 P106:Y106 P66:Y66 C46:C62 V40:V62 P47:U47 W46:Y62 R4:Y4 P7:Y7 R6:Y6 P16:Y21 R8:Y15 R22:V22 P25:V25 R24:V24 P27:V27 R26:V26 P29:V29 R28:V28 R30:V38 R41:U43 R39:S40 R46:U46 P50:U50 R48:U49 P52:U53 R51:U51 P55:U55 R54:U54 P57:U57 R56:U56 P61:U62 R58:U60 R64:Y65 P68:Y68 R67:Y67 P70:Y70 R69:Y69 P74:Y74 R71:Y73 P76:Y76 R75:Y75 P80:Y80 R77:Y79 P82:Y82 R81:Y81 P86:Y86 R83:Y85 P89:Y89 R87:Y88 P91:Y91 R90:Y90 P93:Y93 R92:Y92 P97:Y97 R94:Y96 R99:Y102 R105:Y105 P110:Y110 R107:Y109 P113:Y113 R111:Y112 P116:Y116 R114:Y115 R118:Y118 P122:Y122 R120:Y121 P124:Y124 R123:Y123">
    <cfRule type="cellIs" dxfId="117" priority="85" operator="equal">
      <formula>$B$135</formula>
    </cfRule>
  </conditionalFormatting>
  <conditionalFormatting sqref="D135:J135">
    <cfRule type="cellIs" dxfId="116" priority="84" operator="equal">
      <formula>$B$125</formula>
    </cfRule>
  </conditionalFormatting>
  <conditionalFormatting sqref="AK135:AL135 AI135">
    <cfRule type="cellIs" dxfId="115" priority="87" operator="equal">
      <formula>#REF!</formula>
    </cfRule>
  </conditionalFormatting>
  <conditionalFormatting sqref="Q135:AB135 Q2:AC2 R77:Y79 R64:Y65 W44:AC44 T40:U40 AB74:AB75 Q76:AB76 T39:Y39 Q136:AC137 Q89:AA89 Q119:AB119 Q141:AB141 R39:S40 Q44:U44 Q91:Y91 Q74:AA74 Q80:AB80 Q103:AC103 Q106:AC106 Q5:AC5 Q16:AC21 W50:AA50 V40:V62 Q47:U47 W53:AB53 W47:AC47 R4:Y4 AA4:AB4 W40:Y43 AC50 AC52:AC53 R99:Y102 Q7:AC7 R6:Y6 AA6:AB6 R8:Y15 AA22:AB22 AA42:AB43 W46:Y46 W48:Y49 AA48:AB48 W52:AA52 W51:Y51 AA51 W55:AC55 W54:Y54 W57:AC57 W56:Y56 AA56:AB56 W61:AC62 W58:Y60 AA64:AB65 AB77 Q82:AB82 R81:Y81 Q86:AB86 R83:Y85 AA83:AB83 R87:Y88 R105:Y105 Q110:AC110 R107:Y109 Q113:AC113 R111:Y112 AA112:AB112 Q116:AB116 R114:Y115 AA114:AB115 R118:Y118 AB118 Q122:AB122 R120:Y121 Q124:AB124 R123:Y123 Q1:Y1 AA1:AC1 Q23:AC23 R22:Y22 Q25:AC25 R24:Y24 Q27:AC27 R26:Y26 Q29:AC29 R28:Y28 R30:Y38 R41:U43 R46:U46 Q50:U50 R48:U49 Q52:U53 R51:U51 Q55:U55 R54:U54 Q57:U57 R56:U56 Q61:U62 R58:U60 R75:Y75 R90:Y90 Q93:Y93 R92:Y92 Q97:Y97 R94:Y96 AB37 AA30:AB36 AA85:AB85 AB84 AB87:AB97 AB99 AB102 AA105:AB105 AB108 AB111 AB120:AB121 AA26:AB26 AA28:AB28 AA81:AB81 AA8:AB15 AA24:AB24 AA38:AB40 AA41:AA43 AA46:AB46 AA49 AA54:AB54 AA58:AB60 AA79:AB79 AA100:AB101 AA107:AB107 AA109:AB109 AA123:AB123">
    <cfRule type="cellIs" dxfId="114" priority="83" operator="equal">
      <formula>#REF!</formula>
    </cfRule>
  </conditionalFormatting>
  <conditionalFormatting sqref="AN135:AO135">
    <cfRule type="cellIs" dxfId="113" priority="81" operator="equal">
      <formula>$AR$1</formula>
    </cfRule>
  </conditionalFormatting>
  <conditionalFormatting sqref="AQ135">
    <cfRule type="cellIs" dxfId="112" priority="80" operator="equal">
      <formula>$AR$1</formula>
    </cfRule>
  </conditionalFormatting>
  <conditionalFormatting sqref="AK137">
    <cfRule type="cellIs" dxfId="111" priority="79" operator="equal">
      <formula>#REF!</formula>
    </cfRule>
  </conditionalFormatting>
  <conditionalFormatting sqref="AK137">
    <cfRule type="cellIs" dxfId="110" priority="78" operator="equal">
      <formula>#REF!</formula>
    </cfRule>
  </conditionalFormatting>
  <conditionalFormatting sqref="AE119 AE122">
    <cfRule type="cellIs" dxfId="109" priority="76" operator="equal">
      <formula>$AE$127</formula>
    </cfRule>
  </conditionalFormatting>
  <conditionalFormatting sqref="E123:G123">
    <cfRule type="cellIs" dxfId="108" priority="75" operator="equal">
      <formula>$B$135</formula>
    </cfRule>
  </conditionalFormatting>
  <conditionalFormatting sqref="E124:J124">
    <cfRule type="cellIs" dxfId="107" priority="74" operator="equal">
      <formula>$B$135</formula>
    </cfRule>
  </conditionalFormatting>
  <conditionalFormatting sqref="AQ31">
    <cfRule type="cellIs" dxfId="106" priority="72" operator="equal">
      <formula>$AR$1</formula>
    </cfRule>
  </conditionalFormatting>
  <conditionalFormatting sqref="AQ37">
    <cfRule type="cellIs" dxfId="105" priority="69" operator="equal">
      <formula>$AR$1</formula>
    </cfRule>
  </conditionalFormatting>
  <conditionalFormatting sqref="AQ39">
    <cfRule type="cellIs" dxfId="104" priority="67" operator="equal">
      <formula>$AR$1</formula>
    </cfRule>
  </conditionalFormatting>
  <conditionalFormatting sqref="AQ49">
    <cfRule type="cellIs" dxfId="103" priority="64" operator="equal">
      <formula>$AR$1</formula>
    </cfRule>
  </conditionalFormatting>
  <conditionalFormatting sqref="AQ51">
    <cfRule type="cellIs" dxfId="102" priority="63" operator="equal">
      <formula>$AR$1</formula>
    </cfRule>
  </conditionalFormatting>
  <conditionalFormatting sqref="AQ73">
    <cfRule type="cellIs" dxfId="101" priority="62" operator="equal">
      <formula>$AR$1</formula>
    </cfRule>
  </conditionalFormatting>
  <conditionalFormatting sqref="AQ78">
    <cfRule type="cellIs" dxfId="100" priority="61" operator="equal">
      <formula>$AR$1</formula>
    </cfRule>
  </conditionalFormatting>
  <conditionalFormatting sqref="AQ87">
    <cfRule type="cellIs" dxfId="99" priority="60" operator="equal">
      <formula>$AR$1</formula>
    </cfRule>
  </conditionalFormatting>
  <conditionalFormatting sqref="AQ88">
    <cfRule type="cellIs" dxfId="98" priority="59" operator="equal">
      <formula>$AR$1</formula>
    </cfRule>
  </conditionalFormatting>
  <conditionalFormatting sqref="AQ94">
    <cfRule type="cellIs" dxfId="97" priority="56" operator="equal">
      <formula>$AR$1</formula>
    </cfRule>
  </conditionalFormatting>
  <conditionalFormatting sqref="AQ96">
    <cfRule type="cellIs" dxfId="96" priority="53" operator="equal">
      <formula>$AR$1</formula>
    </cfRule>
  </conditionalFormatting>
  <conditionalFormatting sqref="AQ102">
    <cfRule type="cellIs" dxfId="95" priority="51" operator="equal">
      <formula>$AR$1</formula>
    </cfRule>
  </conditionalFormatting>
  <conditionalFormatting sqref="K2:O2">
    <cfRule type="cellIs" dxfId="94" priority="50" operator="equal">
      <formula>$A$73</formula>
    </cfRule>
  </conditionalFormatting>
  <conditionalFormatting sqref="D124">
    <cfRule type="cellIs" dxfId="93" priority="48" operator="equal">
      <formula>$B$125</formula>
    </cfRule>
  </conditionalFormatting>
  <conditionalFormatting sqref="AG141">
    <cfRule type="cellIs" dxfId="92" priority="43" operator="equal">
      <formula>$AE$127</formula>
    </cfRule>
  </conditionalFormatting>
  <conditionalFormatting sqref="AG8">
    <cfRule type="cellIs" dxfId="91" priority="42" operator="equal">
      <formula>$AR$1</formula>
    </cfRule>
  </conditionalFormatting>
  <conditionalFormatting sqref="AG9">
    <cfRule type="cellIs" dxfId="90" priority="41" operator="equal">
      <formula>$AR$1</formula>
    </cfRule>
  </conditionalFormatting>
  <conditionalFormatting sqref="AG10">
    <cfRule type="cellIs" dxfId="89" priority="40" operator="equal">
      <formula>$AR$1</formula>
    </cfRule>
  </conditionalFormatting>
  <conditionalFormatting sqref="AG11">
    <cfRule type="cellIs" dxfId="88" priority="39" operator="equal">
      <formula>$AR$1</formula>
    </cfRule>
  </conditionalFormatting>
  <conditionalFormatting sqref="AG12">
    <cfRule type="cellIs" dxfId="87" priority="38" operator="equal">
      <formula>$AR$1</formula>
    </cfRule>
  </conditionalFormatting>
  <conditionalFormatting sqref="AG13">
    <cfRule type="cellIs" dxfId="86" priority="37" operator="equal">
      <formula>$AR$1</formula>
    </cfRule>
  </conditionalFormatting>
  <conditionalFormatting sqref="AG14">
    <cfRule type="cellIs" dxfId="85" priority="36" operator="equal">
      <formula>$AR$1</formula>
    </cfRule>
  </conditionalFormatting>
  <conditionalFormatting sqref="AG15">
    <cfRule type="cellIs" dxfId="84" priority="35" operator="equal">
      <formula>$AR$1</formula>
    </cfRule>
  </conditionalFormatting>
  <conditionalFormatting sqref="AG22">
    <cfRule type="cellIs" dxfId="83" priority="34" operator="equal">
      <formula>$AR$1</formula>
    </cfRule>
  </conditionalFormatting>
  <conditionalFormatting sqref="P4:Q4 P6:Q6 P8:Q15 P22:Q22 P24:Q24 P26:Q26 P28:Q28 P30:Q43 P46:Q46 P48:Q49 P51:Q51 P54:Q54 P56:Q56 P58:Q60 P64:Q65 P67:Q67 P69:Q69 P71:Q73 P75:Q75 P77:Q79 P81:Q81 P83:Q85 P87:Q88 P90:Q90 P92:Q92 P94:Q96 P99:Q102 P105:Q105 P107:Q109 P111:Q112 P114:Q115 P118:Q118 P120:Q121 P123:Q123">
    <cfRule type="cellIs" dxfId="82" priority="32" operator="equal">
      <formula>$B$125</formula>
    </cfRule>
  </conditionalFormatting>
  <conditionalFormatting sqref="Z4 Z6 Z26 Z28 Z46 Z51 Z54 Z58:Z60 Z67 Z69 Z71:Z73 Z75 Z81 Z90 Z92 Z100:Z102 Z111:Z112 Z114:Z115 Z118 Z38:Z43 Z83:Z85 Z105 Z24 Z22 Z8:Z15 Z30:Z36 Z48:Z49 Z56 Z64:Z65 Z77:Z79 Z87:Z88 Z94:Z95 Z107:Z109 Z120:Z121 Z123">
    <cfRule type="cellIs" dxfId="81" priority="31" operator="equal">
      <formula>$B$125</formula>
    </cfRule>
  </conditionalFormatting>
  <conditionalFormatting sqref="AC4 AC6 AC8:AC15 AC22 AC24 AC26 AC28 AC30:AC43 AC46 AC48:AC49 AC51 AC54 AC56 AC58:AC60 AC64:AC65 AC67 AC69 AC71:AC73 AC75 AC77:AC79 AC81 AC83:AC85 AC87:AC88 AC90 AC92 AC94:AC96 AC99:AC102 AC105 AC107:AC109 AC111:AC112 AC114:AC115 AC118 AC120:AC121 AC123">
    <cfRule type="cellIs" dxfId="80" priority="30" operator="equal">
      <formula>$B$125</formula>
    </cfRule>
  </conditionalFormatting>
  <conditionalFormatting sqref="AE4:AF4 AE6:AF6 AE8:AF15 AE22:AF22 AE24:AF24 AE26:AF26 AE28:AF28 AE30:AF43 AE46:AF46 AE48:AF49 AE51:AF51 AE54:AF54 AE56:AF56 AE58:AF60 AE64:AF65 AE67:AF67 AE69:AF69 AE71:AF73 AE75:AF75 AE77:AF79 AE81:AF81 AE83:AF85 AE87:AF88 AE90:AF90 AE92:AF92 AE94:AF96 AE99:AF102 AE105:AF105 AE107:AF109 AE111:AF112 AE114:AF115 AE118:AF118 AE120:AF121 AE123:AF123">
    <cfRule type="cellIs" dxfId="79" priority="29" operator="equal">
      <formula>$B$125</formula>
    </cfRule>
  </conditionalFormatting>
  <conditionalFormatting sqref="AN4 AN6 AN22 AN24 AN26 AN28 AN46 AN48:AN49 AN51 AN54 AN58:AN60 AN67 AN69 AN71:AN73 AN75 AN77:AN79 AN81 AN83:AN85 AN90 AN92 AN115 AN118 AN120:AN121 AN123 AN38:AN41 AN8:AN15 AN64:AN65 AN105 AN111:AN112 AN30:AN36 AN56 AN87:AN88 AN94:AN96 AN99:AN102 AN107:AN109">
    <cfRule type="cellIs" dxfId="78" priority="28" operator="equal">
      <formula>$B$125</formula>
    </cfRule>
  </conditionalFormatting>
  <conditionalFormatting sqref="Z37">
    <cfRule type="cellIs" dxfId="77" priority="27" operator="equal">
      <formula>$B$125</formula>
    </cfRule>
  </conditionalFormatting>
  <conditionalFormatting sqref="AN37">
    <cfRule type="cellIs" dxfId="76" priority="26" operator="equal">
      <formula>$B$125</formula>
    </cfRule>
  </conditionalFormatting>
  <conditionalFormatting sqref="AN42">
    <cfRule type="cellIs" dxfId="75" priority="25" operator="equal">
      <formula>$B$126</formula>
    </cfRule>
  </conditionalFormatting>
  <conditionalFormatting sqref="AN43">
    <cfRule type="cellIs" dxfId="74" priority="24" operator="equal">
      <formula>$B$126</formula>
    </cfRule>
  </conditionalFormatting>
  <conditionalFormatting sqref="AA73">
    <cfRule type="cellIs" dxfId="73" priority="23" operator="equal">
      <formula>#REF!</formula>
    </cfRule>
  </conditionalFormatting>
  <conditionalFormatting sqref="AA78">
    <cfRule type="cellIs" dxfId="72" priority="21" operator="equal">
      <formula>#REF!</formula>
    </cfRule>
  </conditionalFormatting>
  <conditionalFormatting sqref="AA84">
    <cfRule type="cellIs" dxfId="71" priority="20" operator="equal">
      <formula>#REF!</formula>
    </cfRule>
  </conditionalFormatting>
  <conditionalFormatting sqref="AA87">
    <cfRule type="cellIs" dxfId="70" priority="19" operator="equal">
      <formula>#REF!</formula>
    </cfRule>
  </conditionalFormatting>
  <conditionalFormatting sqref="AA88">
    <cfRule type="cellIs" dxfId="69" priority="18" operator="equal">
      <formula>#REF!</formula>
    </cfRule>
  </conditionalFormatting>
  <conditionalFormatting sqref="Z99">
    <cfRule type="cellIs" dxfId="68" priority="16" operator="equal">
      <formula>$B$125</formula>
    </cfRule>
  </conditionalFormatting>
  <conditionalFormatting sqref="AO99">
    <cfRule type="cellIs" dxfId="67" priority="14" operator="equal">
      <formula>$B$126</formula>
    </cfRule>
  </conditionalFormatting>
  <conditionalFormatting sqref="AA108">
    <cfRule type="cellIs" dxfId="66" priority="13" operator="equal">
      <formula>#REF!</formula>
    </cfRule>
  </conditionalFormatting>
  <conditionalFormatting sqref="AA111">
    <cfRule type="cellIs" dxfId="65" priority="12" operator="equal">
      <formula>#REF!</formula>
    </cfRule>
  </conditionalFormatting>
  <conditionalFormatting sqref="AN114">
    <cfRule type="cellIs" dxfId="64" priority="11" operator="equal">
      <formula>$B$126</formula>
    </cfRule>
  </conditionalFormatting>
  <conditionalFormatting sqref="AA118">
    <cfRule type="cellIs" dxfId="63" priority="10" operator="equal">
      <formula>#REF!</formula>
    </cfRule>
  </conditionalFormatting>
  <conditionalFormatting sqref="AA120">
    <cfRule type="cellIs" dxfId="62" priority="9" operator="equal">
      <formula>#REF!</formula>
    </cfRule>
  </conditionalFormatting>
  <conditionalFormatting sqref="AA121">
    <cfRule type="cellIs" dxfId="61" priority="8" operator="equal">
      <formula>#REF!</formula>
    </cfRule>
  </conditionalFormatting>
  <conditionalFormatting sqref="AA75">
    <cfRule type="cellIs" dxfId="60" priority="7" operator="equal">
      <formula>#REF!</formula>
    </cfRule>
  </conditionalFormatting>
  <conditionalFormatting sqref="AA77">
    <cfRule type="cellIs" dxfId="59" priority="6" operator="equal">
      <formula>#REF!</formula>
    </cfRule>
  </conditionalFormatting>
  <conditionalFormatting sqref="AA94">
    <cfRule type="cellIs" dxfId="58" priority="5" operator="equal">
      <formula>#REF!</formula>
    </cfRule>
  </conditionalFormatting>
  <conditionalFormatting sqref="AA96">
    <cfRule type="cellIs" dxfId="57" priority="4" operator="equal">
      <formula>#REF!</formula>
    </cfRule>
  </conditionalFormatting>
  <conditionalFormatting sqref="AA102">
    <cfRule type="cellIs" dxfId="56" priority="3" operator="equal">
      <formula>#REF!</formula>
    </cfRule>
  </conditionalFormatting>
  <conditionalFormatting sqref="AA95">
    <cfRule type="cellIs" dxfId="55" priority="2" operator="equal">
      <formula>#REF!</formula>
    </cfRule>
  </conditionalFormatting>
  <conditionalFormatting sqref="Z96">
    <cfRule type="cellIs" dxfId="54" priority="1" operator="equal">
      <formula>$B$125</formula>
    </cfRule>
  </conditionalFormatting>
  <hyperlinks>
    <hyperlink ref="Y81" display="http://www.pharmac.govt.nz/2018/01/01/Schedule.pdf#page=121_x000a__x000a_Wielage, R. C., et al. (2013). &quot;The Cost-Effectiveness of Duloxetine in Chronic Low Back Pain: A US Private Payer Perspective.&quot; Value in Health 16(2): 334-344._x000a__x000a_Annual cost of Celecoxib is $3,70"/>
    <hyperlink ref="Y111" r:id="rId1" display="http://www.pharmacydirect.co.nz/Anti-Inflammatory-Topical-Rubs-Creams/_x000a__x000a_1. Voltaren $25.90 100g_x000a_2. "/>
    <hyperlink ref="Y109" r:id="rId2" display="http://www.pharmac.govt.nz/Schedule?osq=capsaicin_x000a_"/>
    <hyperlink ref="Y120"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zoomScale="90" zoomScaleNormal="90" workbookViewId="0">
      <selection activeCell="D48" sqref="D48"/>
    </sheetView>
  </sheetViews>
  <sheetFormatPr defaultRowHeight="15" x14ac:dyDescent="0.25"/>
  <cols>
    <col min="1" max="1" width="81.28515625" style="115" bestFit="1" customWidth="1"/>
    <col min="2" max="2" width="18.42578125" style="115" bestFit="1" customWidth="1"/>
    <col min="3" max="3" width="19.28515625" style="115" customWidth="1"/>
    <col min="4" max="4" width="92.5703125" style="116" customWidth="1"/>
  </cols>
  <sheetData>
    <row r="1" spans="1:4" x14ac:dyDescent="0.25">
      <c r="A1" s="117" t="s">
        <v>1066</v>
      </c>
      <c r="B1" s="117" t="s">
        <v>1067</v>
      </c>
      <c r="C1" s="117" t="s">
        <v>1070</v>
      </c>
      <c r="D1" s="120" t="s">
        <v>1068</v>
      </c>
    </row>
    <row r="2" spans="1:4" s="131" customFormat="1" ht="60" x14ac:dyDescent="0.25">
      <c r="A2" s="132"/>
      <c r="B2" s="132" t="s">
        <v>1154</v>
      </c>
      <c r="C2" s="132"/>
      <c r="D2" s="133" t="s">
        <v>1155</v>
      </c>
    </row>
    <row r="3" spans="1:4" ht="30" x14ac:dyDescent="0.25">
      <c r="A3" s="115" t="s">
        <v>82</v>
      </c>
      <c r="B3" s="115" t="s">
        <v>37</v>
      </c>
      <c r="C3" s="128" t="s">
        <v>1071</v>
      </c>
      <c r="D3" s="116" t="s">
        <v>1072</v>
      </c>
    </row>
    <row r="4" spans="1:4" x14ac:dyDescent="0.25">
      <c r="A4" s="115" t="s">
        <v>1069</v>
      </c>
      <c r="B4" s="115" t="s">
        <v>979</v>
      </c>
      <c r="C4" s="129" t="s">
        <v>1110</v>
      </c>
      <c r="D4" s="116" t="s">
        <v>1075</v>
      </c>
    </row>
    <row r="5" spans="1:4" x14ac:dyDescent="0.25">
      <c r="A5" s="115" t="s">
        <v>1069</v>
      </c>
      <c r="B5" s="115" t="s">
        <v>50</v>
      </c>
      <c r="C5" s="13" t="s">
        <v>113</v>
      </c>
      <c r="D5" s="116" t="s">
        <v>1073</v>
      </c>
    </row>
    <row r="6" spans="1:4" x14ac:dyDescent="0.25">
      <c r="A6" s="115" t="s">
        <v>1069</v>
      </c>
      <c r="B6" s="115" t="s">
        <v>1074</v>
      </c>
      <c r="C6" s="13" t="s">
        <v>884</v>
      </c>
      <c r="D6" s="116" t="s">
        <v>977</v>
      </c>
    </row>
    <row r="7" spans="1:4" x14ac:dyDescent="0.25">
      <c r="A7" s="115" t="s">
        <v>1076</v>
      </c>
      <c r="B7" s="115" t="s">
        <v>979</v>
      </c>
      <c r="C7" s="129" t="s">
        <v>1118</v>
      </c>
      <c r="D7" s="116" t="s">
        <v>1077</v>
      </c>
    </row>
    <row r="8" spans="1:4" x14ac:dyDescent="0.25">
      <c r="A8" s="115" t="s">
        <v>1076</v>
      </c>
      <c r="B8" s="115" t="s">
        <v>50</v>
      </c>
      <c r="C8" s="13" t="s">
        <v>113</v>
      </c>
      <c r="D8" s="116" t="s">
        <v>1073</v>
      </c>
    </row>
    <row r="9" spans="1:4" x14ac:dyDescent="0.25">
      <c r="A9" s="115" t="s">
        <v>1137</v>
      </c>
      <c r="B9" s="115" t="s">
        <v>970</v>
      </c>
      <c r="C9" s="24" t="s">
        <v>1136</v>
      </c>
    </row>
    <row r="10" spans="1:4" x14ac:dyDescent="0.25">
      <c r="A10" s="115" t="s">
        <v>1138</v>
      </c>
      <c r="B10" s="115" t="s">
        <v>970</v>
      </c>
      <c r="C10" s="24" t="s">
        <v>1091</v>
      </c>
    </row>
    <row r="11" spans="1:4" x14ac:dyDescent="0.25">
      <c r="A11" s="115" t="s">
        <v>235</v>
      </c>
      <c r="B11" s="115" t="s">
        <v>970</v>
      </c>
      <c r="C11" s="24" t="s">
        <v>1091</v>
      </c>
    </row>
    <row r="12" spans="1:4" x14ac:dyDescent="0.25">
      <c r="A12" s="115" t="s">
        <v>246</v>
      </c>
      <c r="B12" s="115" t="s">
        <v>979</v>
      </c>
      <c r="C12" s="129" t="s">
        <v>1079</v>
      </c>
      <c r="D12" s="116" t="s">
        <v>1127</v>
      </c>
    </row>
    <row r="13" spans="1:4" x14ac:dyDescent="0.25">
      <c r="A13" s="115" t="s">
        <v>246</v>
      </c>
      <c r="B13" s="115" t="s">
        <v>50</v>
      </c>
      <c r="C13" s="13" t="s">
        <v>94</v>
      </c>
      <c r="D13" s="116" t="s">
        <v>1080</v>
      </c>
    </row>
    <row r="14" spans="1:4" x14ac:dyDescent="0.25">
      <c r="A14" s="115" t="s">
        <v>246</v>
      </c>
      <c r="B14" s="115" t="s">
        <v>970</v>
      </c>
      <c r="C14" s="24" t="s">
        <v>1091</v>
      </c>
    </row>
    <row r="15" spans="1:4" x14ac:dyDescent="0.25">
      <c r="A15" s="115" t="s">
        <v>254</v>
      </c>
      <c r="B15" s="115" t="s">
        <v>970</v>
      </c>
      <c r="C15" s="24" t="s">
        <v>1091</v>
      </c>
    </row>
    <row r="16" spans="1:4" x14ac:dyDescent="0.25">
      <c r="A16" s="115" t="s">
        <v>261</v>
      </c>
      <c r="B16" s="115" t="s">
        <v>970</v>
      </c>
      <c r="C16" s="24" t="s">
        <v>1091</v>
      </c>
    </row>
    <row r="17" spans="1:4" x14ac:dyDescent="0.25">
      <c r="A17" s="115" t="s">
        <v>270</v>
      </c>
      <c r="B17" s="115" t="s">
        <v>970</v>
      </c>
      <c r="C17" s="24" t="s">
        <v>1091</v>
      </c>
    </row>
    <row r="18" spans="1:4" x14ac:dyDescent="0.25">
      <c r="A18" s="115" t="s">
        <v>1082</v>
      </c>
      <c r="B18" s="115" t="s">
        <v>979</v>
      </c>
      <c r="C18" s="129" t="s">
        <v>1124</v>
      </c>
      <c r="D18" s="116" t="s">
        <v>1078</v>
      </c>
    </row>
    <row r="19" spans="1:4" x14ac:dyDescent="0.25">
      <c r="A19" s="115" t="s">
        <v>1082</v>
      </c>
      <c r="B19" s="115" t="s">
        <v>50</v>
      </c>
      <c r="C19" s="13" t="s">
        <v>113</v>
      </c>
      <c r="D19" s="116" t="s">
        <v>1073</v>
      </c>
    </row>
    <row r="20" spans="1:4" x14ac:dyDescent="0.25">
      <c r="A20" s="115" t="s">
        <v>1082</v>
      </c>
      <c r="B20" s="115" t="s">
        <v>1074</v>
      </c>
      <c r="C20" s="13" t="s">
        <v>63</v>
      </c>
    </row>
    <row r="21" spans="1:4" x14ac:dyDescent="0.25">
      <c r="A21" s="115" t="s">
        <v>1082</v>
      </c>
      <c r="B21" s="115" t="s">
        <v>970</v>
      </c>
      <c r="C21" s="130" t="s">
        <v>1083</v>
      </c>
    </row>
    <row r="22" spans="1:4" x14ac:dyDescent="0.25">
      <c r="A22" s="115" t="s">
        <v>1139</v>
      </c>
      <c r="B22" s="115" t="s">
        <v>970</v>
      </c>
      <c r="C22" s="24" t="s">
        <v>1091</v>
      </c>
    </row>
    <row r="23" spans="1:4" x14ac:dyDescent="0.25">
      <c r="A23" s="115" t="s">
        <v>1084</v>
      </c>
      <c r="B23" s="115" t="s">
        <v>979</v>
      </c>
      <c r="C23" s="128" t="s">
        <v>1081</v>
      </c>
      <c r="D23" s="116" t="s">
        <v>1085</v>
      </c>
    </row>
    <row r="24" spans="1:4" x14ac:dyDescent="0.25">
      <c r="A24" s="115" t="s">
        <v>1084</v>
      </c>
      <c r="B24" s="115" t="s">
        <v>970</v>
      </c>
      <c r="C24" s="24" t="s">
        <v>1091</v>
      </c>
    </row>
    <row r="25" spans="1:4" x14ac:dyDescent="0.25">
      <c r="A25" s="115" t="s">
        <v>1086</v>
      </c>
      <c r="B25" s="115" t="s">
        <v>979</v>
      </c>
      <c r="C25" s="129" t="s">
        <v>1088</v>
      </c>
      <c r="D25" s="116" t="s">
        <v>1078</v>
      </c>
    </row>
    <row r="26" spans="1:4" x14ac:dyDescent="0.25">
      <c r="A26" s="115" t="s">
        <v>1086</v>
      </c>
      <c r="B26" s="115" t="s">
        <v>970</v>
      </c>
      <c r="C26" s="105" t="s">
        <v>1091</v>
      </c>
    </row>
    <row r="27" spans="1:4" x14ac:dyDescent="0.25">
      <c r="A27" s="115" t="s">
        <v>1087</v>
      </c>
      <c r="B27" s="115" t="s">
        <v>979</v>
      </c>
      <c r="C27" s="129" t="s">
        <v>1089</v>
      </c>
      <c r="D27" s="116" t="s">
        <v>1128</v>
      </c>
    </row>
    <row r="28" spans="1:4" x14ac:dyDescent="0.25">
      <c r="A28" s="115" t="s">
        <v>1087</v>
      </c>
      <c r="B28" s="115" t="s">
        <v>50</v>
      </c>
      <c r="C28" s="13" t="s">
        <v>73</v>
      </c>
      <c r="D28" s="116" t="s">
        <v>1073</v>
      </c>
    </row>
    <row r="29" spans="1:4" x14ac:dyDescent="0.25">
      <c r="A29" s="115" t="s">
        <v>1087</v>
      </c>
      <c r="B29" s="115" t="s">
        <v>970</v>
      </c>
      <c r="C29" s="105" t="s">
        <v>1091</v>
      </c>
    </row>
    <row r="30" spans="1:4" ht="30" x14ac:dyDescent="0.25">
      <c r="A30" s="115" t="s">
        <v>1090</v>
      </c>
      <c r="B30" s="115" t="s">
        <v>979</v>
      </c>
      <c r="C30" s="129" t="s">
        <v>1227</v>
      </c>
      <c r="D30" s="116" t="s">
        <v>1228</v>
      </c>
    </row>
    <row r="31" spans="1:4" x14ac:dyDescent="0.25">
      <c r="A31" s="115" t="s">
        <v>1090</v>
      </c>
      <c r="B31" s="115" t="s">
        <v>50</v>
      </c>
      <c r="C31" s="13" t="s">
        <v>113</v>
      </c>
      <c r="D31" s="116" t="s">
        <v>1093</v>
      </c>
    </row>
    <row r="32" spans="1:4" x14ac:dyDescent="0.25">
      <c r="A32" s="115" t="s">
        <v>1090</v>
      </c>
      <c r="B32" s="115" t="s">
        <v>970</v>
      </c>
      <c r="C32" s="105" t="s">
        <v>1092</v>
      </c>
    </row>
    <row r="33" spans="1:4" x14ac:dyDescent="0.25">
      <c r="A33" s="115" t="s">
        <v>1132</v>
      </c>
      <c r="B33" s="115" t="s">
        <v>979</v>
      </c>
      <c r="C33" s="128" t="s">
        <v>1134</v>
      </c>
      <c r="D33" s="116" t="s">
        <v>1135</v>
      </c>
    </row>
    <row r="34" spans="1:4" x14ac:dyDescent="0.25">
      <c r="A34" s="115" t="s">
        <v>1132</v>
      </c>
      <c r="B34" s="115" t="s">
        <v>50</v>
      </c>
      <c r="C34" s="13" t="s">
        <v>113</v>
      </c>
      <c r="D34" s="116" t="s">
        <v>1073</v>
      </c>
    </row>
    <row r="35" spans="1:4" x14ac:dyDescent="0.25">
      <c r="A35" s="115" t="s">
        <v>1132</v>
      </c>
      <c r="B35" s="115" t="s">
        <v>970</v>
      </c>
      <c r="C35" s="128" t="s">
        <v>1140</v>
      </c>
    </row>
    <row r="36" spans="1:4" x14ac:dyDescent="0.25">
      <c r="A36" s="115" t="s">
        <v>1044</v>
      </c>
      <c r="B36" s="115" t="s">
        <v>979</v>
      </c>
      <c r="C36" s="128" t="s">
        <v>1142</v>
      </c>
      <c r="D36" s="116" t="s">
        <v>1078</v>
      </c>
    </row>
    <row r="37" spans="1:4" x14ac:dyDescent="0.25">
      <c r="A37" s="115" t="s">
        <v>1044</v>
      </c>
      <c r="B37" s="115" t="s">
        <v>50</v>
      </c>
      <c r="C37" s="13" t="s">
        <v>113</v>
      </c>
      <c r="D37" s="116" t="s">
        <v>1073</v>
      </c>
    </row>
    <row r="38" spans="1:4" x14ac:dyDescent="0.25">
      <c r="A38" s="115" t="s">
        <v>1044</v>
      </c>
      <c r="B38" s="115" t="s">
        <v>970</v>
      </c>
      <c r="C38" s="105" t="s">
        <v>977</v>
      </c>
    </row>
    <row r="39" spans="1:4" x14ac:dyDescent="0.25">
      <c r="A39" s="15" t="s">
        <v>1225</v>
      </c>
      <c r="B39" s="115" t="s">
        <v>970</v>
      </c>
      <c r="C39" s="105" t="s">
        <v>1224</v>
      </c>
    </row>
    <row r="40" spans="1:4" ht="30" x14ac:dyDescent="0.25">
      <c r="A40" s="115" t="s">
        <v>1143</v>
      </c>
      <c r="B40" s="115" t="s">
        <v>979</v>
      </c>
      <c r="C40" s="128" t="s">
        <v>1153</v>
      </c>
      <c r="D40" s="116" t="s">
        <v>1152</v>
      </c>
    </row>
    <row r="41" spans="1:4" x14ac:dyDescent="0.25">
      <c r="A41" s="115" t="s">
        <v>1143</v>
      </c>
      <c r="B41" s="115" t="s">
        <v>50</v>
      </c>
      <c r="C41" s="119" t="s">
        <v>94</v>
      </c>
      <c r="D41" s="116" t="s">
        <v>1073</v>
      </c>
    </row>
    <row r="42" spans="1:4" x14ac:dyDescent="0.25">
      <c r="A42" s="115" t="s">
        <v>1156</v>
      </c>
      <c r="B42" s="115" t="s">
        <v>979</v>
      </c>
      <c r="C42" s="135" t="s">
        <v>1159</v>
      </c>
      <c r="D42" s="116" t="s">
        <v>1078</v>
      </c>
    </row>
    <row r="43" spans="1:4" x14ac:dyDescent="0.25">
      <c r="A43" s="115" t="s">
        <v>1156</v>
      </c>
      <c r="B43" s="115" t="s">
        <v>970</v>
      </c>
      <c r="C43" s="105" t="s">
        <v>1091</v>
      </c>
    </row>
    <row r="44" spans="1:4" x14ac:dyDescent="0.25">
      <c r="A44" s="115" t="s">
        <v>1160</v>
      </c>
      <c r="B44" s="115" t="s">
        <v>979</v>
      </c>
      <c r="C44" s="129" t="s">
        <v>1164</v>
      </c>
      <c r="D44" s="116" t="s">
        <v>1078</v>
      </c>
    </row>
    <row r="45" spans="1:4" x14ac:dyDescent="0.25">
      <c r="A45" s="115" t="s">
        <v>1160</v>
      </c>
      <c r="B45" s="115" t="s">
        <v>970</v>
      </c>
      <c r="C45" s="105" t="s">
        <v>1091</v>
      </c>
    </row>
    <row r="46" spans="1:4" x14ac:dyDescent="0.25">
      <c r="A46" s="115" t="s">
        <v>1162</v>
      </c>
      <c r="B46" s="115" t="s">
        <v>979</v>
      </c>
      <c r="C46" s="129" t="s">
        <v>1165</v>
      </c>
      <c r="D46" s="116" t="s">
        <v>1078</v>
      </c>
    </row>
    <row r="47" spans="1:4" x14ac:dyDescent="0.25">
      <c r="A47" s="115" t="s">
        <v>1162</v>
      </c>
      <c r="B47" s="115" t="s">
        <v>970</v>
      </c>
      <c r="C47" s="105" t="s">
        <v>1091</v>
      </c>
    </row>
    <row r="48" spans="1:4" x14ac:dyDescent="0.25">
      <c r="A48" s="115" t="s">
        <v>1166</v>
      </c>
      <c r="B48" s="115" t="s">
        <v>979</v>
      </c>
      <c r="C48" s="128" t="s">
        <v>1169</v>
      </c>
      <c r="D48" s="116" t="s">
        <v>1170</v>
      </c>
    </row>
    <row r="49" spans="1:4" x14ac:dyDescent="0.25">
      <c r="A49" s="115" t="s">
        <v>1166</v>
      </c>
      <c r="B49" s="115" t="s">
        <v>1074</v>
      </c>
      <c r="C49" s="13" t="s">
        <v>1053</v>
      </c>
      <c r="D49" s="116" t="s">
        <v>1171</v>
      </c>
    </row>
    <row r="50" spans="1:4" x14ac:dyDescent="0.25">
      <c r="A50" s="115" t="s">
        <v>1166</v>
      </c>
      <c r="B50" s="115" t="s">
        <v>970</v>
      </c>
      <c r="C50" s="128" t="s">
        <v>1172</v>
      </c>
    </row>
    <row r="51" spans="1:4" x14ac:dyDescent="0.25">
      <c r="A51" s="115" t="s">
        <v>1173</v>
      </c>
      <c r="B51" s="115" t="s">
        <v>979</v>
      </c>
      <c r="C51" s="129" t="s">
        <v>1175</v>
      </c>
      <c r="D51" s="116" t="s">
        <v>1176</v>
      </c>
    </row>
    <row r="52" spans="1:4" x14ac:dyDescent="0.25">
      <c r="A52" s="115" t="s">
        <v>1173</v>
      </c>
      <c r="B52" s="115" t="s">
        <v>970</v>
      </c>
      <c r="C52" s="105" t="s">
        <v>1091</v>
      </c>
    </row>
    <row r="53" spans="1:4" ht="30" customHeight="1" x14ac:dyDescent="0.25">
      <c r="A53" s="115" t="s">
        <v>1177</v>
      </c>
      <c r="B53" s="115" t="s">
        <v>979</v>
      </c>
      <c r="C53" s="129" t="s">
        <v>1179</v>
      </c>
      <c r="D53" s="116" t="s">
        <v>1180</v>
      </c>
    </row>
    <row r="54" spans="1:4" x14ac:dyDescent="0.25">
      <c r="A54" s="115" t="s">
        <v>1177</v>
      </c>
      <c r="B54" s="115" t="s">
        <v>50</v>
      </c>
      <c r="C54" s="13" t="s">
        <v>94</v>
      </c>
      <c r="D54" s="116" t="s">
        <v>1073</v>
      </c>
    </row>
    <row r="55" spans="1:4" x14ac:dyDescent="0.25">
      <c r="A55" s="115" t="s">
        <v>1177</v>
      </c>
      <c r="B55" s="115" t="s">
        <v>970</v>
      </c>
      <c r="C55" s="105" t="s">
        <v>1091</v>
      </c>
    </row>
    <row r="56" spans="1:4" x14ac:dyDescent="0.25">
      <c r="A56" s="115" t="s">
        <v>1181</v>
      </c>
      <c r="B56" s="115" t="s">
        <v>979</v>
      </c>
      <c r="C56" s="129" t="s">
        <v>1183</v>
      </c>
      <c r="D56" s="116" t="s">
        <v>1078</v>
      </c>
    </row>
    <row r="57" spans="1:4" x14ac:dyDescent="0.25">
      <c r="A57" s="115" t="s">
        <v>1181</v>
      </c>
      <c r="B57" s="115" t="s">
        <v>970</v>
      </c>
      <c r="C57" s="105" t="s">
        <v>1091</v>
      </c>
    </row>
    <row r="58" spans="1:4" x14ac:dyDescent="0.25">
      <c r="A58" s="115" t="s">
        <v>1184</v>
      </c>
      <c r="B58" s="115" t="s">
        <v>50</v>
      </c>
      <c r="C58" s="13" t="s">
        <v>113</v>
      </c>
      <c r="D58" s="116" t="s">
        <v>1185</v>
      </c>
    </row>
    <row r="59" spans="1:4" x14ac:dyDescent="0.25">
      <c r="A59" s="115" t="s">
        <v>1184</v>
      </c>
      <c r="B59" s="115" t="s">
        <v>970</v>
      </c>
      <c r="C59" s="105" t="s">
        <v>975</v>
      </c>
    </row>
    <row r="60" spans="1:4" x14ac:dyDescent="0.25">
      <c r="A60" s="115" t="s">
        <v>1186</v>
      </c>
      <c r="B60" s="115" t="s">
        <v>979</v>
      </c>
      <c r="C60" s="128" t="s">
        <v>1188</v>
      </c>
    </row>
    <row r="61" spans="1:4" x14ac:dyDescent="0.25">
      <c r="A61" s="115" t="s">
        <v>1186</v>
      </c>
      <c r="B61" s="115" t="s">
        <v>50</v>
      </c>
      <c r="C61" s="13" t="s">
        <v>113</v>
      </c>
      <c r="D61" s="116" t="s">
        <v>1185</v>
      </c>
    </row>
    <row r="62" spans="1:4" x14ac:dyDescent="0.25">
      <c r="A62" s="115" t="s">
        <v>1186</v>
      </c>
      <c r="B62" s="115" t="s">
        <v>970</v>
      </c>
      <c r="C62" s="105" t="s">
        <v>975</v>
      </c>
    </row>
    <row r="63" spans="1:4" x14ac:dyDescent="0.25">
      <c r="A63" s="115" t="s">
        <v>1189</v>
      </c>
      <c r="B63" s="115" t="s">
        <v>979</v>
      </c>
      <c r="C63" s="128" t="s">
        <v>1191</v>
      </c>
      <c r="D63" s="116" t="s">
        <v>1192</v>
      </c>
    </row>
    <row r="64" spans="1:4" x14ac:dyDescent="0.25">
      <c r="A64" s="115" t="s">
        <v>1189</v>
      </c>
      <c r="B64" s="115" t="s">
        <v>50</v>
      </c>
      <c r="C64" s="13" t="s">
        <v>113</v>
      </c>
      <c r="D64" s="116" t="s">
        <v>1073</v>
      </c>
    </row>
    <row r="65" spans="1:4" x14ac:dyDescent="0.25">
      <c r="A65" s="115" t="s">
        <v>1189</v>
      </c>
      <c r="B65" s="115" t="s">
        <v>1074</v>
      </c>
      <c r="C65" s="13" t="s">
        <v>884</v>
      </c>
    </row>
    <row r="66" spans="1:4" x14ac:dyDescent="0.25">
      <c r="A66" s="115" t="s">
        <v>1189</v>
      </c>
      <c r="B66" s="115" t="s">
        <v>970</v>
      </c>
      <c r="C66" s="105" t="s">
        <v>975</v>
      </c>
    </row>
    <row r="67" spans="1:4" x14ac:dyDescent="0.25">
      <c r="A67" s="115" t="s">
        <v>1193</v>
      </c>
      <c r="B67" s="115" t="s">
        <v>1074</v>
      </c>
      <c r="C67" s="13" t="s">
        <v>884</v>
      </c>
    </row>
    <row r="68" spans="1:4" x14ac:dyDescent="0.25">
      <c r="A68" s="115" t="s">
        <v>1193</v>
      </c>
      <c r="B68" s="115" t="s">
        <v>970</v>
      </c>
      <c r="C68" s="105" t="s">
        <v>975</v>
      </c>
    </row>
    <row r="69" spans="1:4" x14ac:dyDescent="0.25">
      <c r="A69" s="115" t="s">
        <v>1193</v>
      </c>
      <c r="B69" s="115" t="s">
        <v>979</v>
      </c>
      <c r="C69" s="75" t="s">
        <v>1201</v>
      </c>
      <c r="D69" s="116" t="s">
        <v>1205</v>
      </c>
    </row>
    <row r="70" spans="1:4" x14ac:dyDescent="0.25">
      <c r="A70" s="115" t="s">
        <v>1194</v>
      </c>
      <c r="B70" s="115" t="s">
        <v>50</v>
      </c>
      <c r="C70" s="13" t="s">
        <v>113</v>
      </c>
      <c r="D70" s="116" t="s">
        <v>1196</v>
      </c>
    </row>
    <row r="71" spans="1:4" x14ac:dyDescent="0.25">
      <c r="A71" s="115" t="s">
        <v>1194</v>
      </c>
      <c r="B71" s="115" t="s">
        <v>970</v>
      </c>
      <c r="C71" s="105" t="s">
        <v>977</v>
      </c>
    </row>
    <row r="72" spans="1:4" x14ac:dyDescent="0.25">
      <c r="A72" s="115" t="s">
        <v>1195</v>
      </c>
      <c r="B72" s="115" t="s">
        <v>50</v>
      </c>
      <c r="C72" s="13" t="s">
        <v>113</v>
      </c>
      <c r="D72" s="116" t="s">
        <v>1196</v>
      </c>
    </row>
    <row r="73" spans="1:4" x14ac:dyDescent="0.25">
      <c r="A73" s="115" t="s">
        <v>1195</v>
      </c>
      <c r="B73" s="115" t="s">
        <v>970</v>
      </c>
      <c r="C73" s="105" t="s">
        <v>1140</v>
      </c>
    </row>
    <row r="74" spans="1:4" x14ac:dyDescent="0.25">
      <c r="A74" s="115" t="s">
        <v>1197</v>
      </c>
      <c r="B74" s="115" t="s">
        <v>979</v>
      </c>
      <c r="C74" s="135" t="s">
        <v>1081</v>
      </c>
      <c r="D74" s="116" t="s">
        <v>1198</v>
      </c>
    </row>
    <row r="75" spans="1:4" x14ac:dyDescent="0.25">
      <c r="A75" s="115" t="s">
        <v>1197</v>
      </c>
      <c r="B75" s="115" t="s">
        <v>970</v>
      </c>
      <c r="C75" s="105" t="s">
        <v>1091</v>
      </c>
    </row>
    <row r="76" spans="1:4" x14ac:dyDescent="0.25">
      <c r="A76" s="115" t="s">
        <v>1199</v>
      </c>
      <c r="B76" s="115" t="s">
        <v>979</v>
      </c>
      <c r="C76" s="129" t="s">
        <v>1200</v>
      </c>
    </row>
    <row r="77" spans="1:4" x14ac:dyDescent="0.25">
      <c r="A77" s="115" t="s">
        <v>1199</v>
      </c>
      <c r="B77" s="115" t="s">
        <v>50</v>
      </c>
      <c r="C77" s="13" t="s">
        <v>113</v>
      </c>
      <c r="D77" s="116" t="s">
        <v>1196</v>
      </c>
    </row>
    <row r="78" spans="1:4" x14ac:dyDescent="0.25">
      <c r="A78" s="115" t="s">
        <v>1199</v>
      </c>
      <c r="B78" s="115" t="s">
        <v>1074</v>
      </c>
      <c r="C78" s="13" t="s">
        <v>63</v>
      </c>
    </row>
    <row r="79" spans="1:4" x14ac:dyDescent="0.25">
      <c r="A79" s="115" t="s">
        <v>1199</v>
      </c>
      <c r="B79" s="115" t="s">
        <v>970</v>
      </c>
      <c r="C79" s="105" t="s">
        <v>977</v>
      </c>
    </row>
    <row r="80" spans="1:4" x14ac:dyDescent="0.25">
      <c r="A80" s="15" t="s">
        <v>1202</v>
      </c>
      <c r="B80" s="115" t="s">
        <v>979</v>
      </c>
      <c r="C80" s="129" t="s">
        <v>1203</v>
      </c>
    </row>
    <row r="81" spans="1:4" x14ac:dyDescent="0.25">
      <c r="A81" s="15" t="s">
        <v>1202</v>
      </c>
      <c r="B81" s="115" t="s">
        <v>50</v>
      </c>
      <c r="C81" s="13" t="s">
        <v>113</v>
      </c>
      <c r="D81" s="116" t="s">
        <v>1196</v>
      </c>
    </row>
    <row r="82" spans="1:4" x14ac:dyDescent="0.25">
      <c r="A82" s="15" t="s">
        <v>1202</v>
      </c>
      <c r="B82" s="115" t="s">
        <v>1074</v>
      </c>
      <c r="C82" s="13" t="s">
        <v>63</v>
      </c>
      <c r="D82" s="116" t="s">
        <v>1204</v>
      </c>
    </row>
    <row r="83" spans="1:4" x14ac:dyDescent="0.25">
      <c r="A83" s="15" t="s">
        <v>1202</v>
      </c>
      <c r="B83" s="115" t="s">
        <v>970</v>
      </c>
      <c r="C83" s="105" t="s">
        <v>977</v>
      </c>
    </row>
    <row r="84" spans="1:4" x14ac:dyDescent="0.25">
      <c r="A84" s="15" t="s">
        <v>1208</v>
      </c>
      <c r="B84" s="115" t="s">
        <v>979</v>
      </c>
      <c r="C84" s="129" t="s">
        <v>1206</v>
      </c>
      <c r="D84" s="116" t="s">
        <v>1207</v>
      </c>
    </row>
    <row r="85" spans="1:4" x14ac:dyDescent="0.25">
      <c r="A85" s="15" t="s">
        <v>1208</v>
      </c>
      <c r="B85" s="115" t="s">
        <v>970</v>
      </c>
      <c r="C85" s="105" t="s">
        <v>1091</v>
      </c>
    </row>
    <row r="86" spans="1:4" x14ac:dyDescent="0.25">
      <c r="A86" s="15" t="s">
        <v>1209</v>
      </c>
      <c r="B86" s="115" t="s">
        <v>50</v>
      </c>
      <c r="C86" s="13" t="s">
        <v>94</v>
      </c>
      <c r="D86" s="116" t="s">
        <v>1196</v>
      </c>
    </row>
    <row r="87" spans="1:4" x14ac:dyDescent="0.25">
      <c r="A87" s="15" t="s">
        <v>1209</v>
      </c>
      <c r="B87" s="115" t="s">
        <v>1074</v>
      </c>
      <c r="C87" s="13" t="s">
        <v>1053</v>
      </c>
    </row>
    <row r="88" spans="1:4" x14ac:dyDescent="0.25">
      <c r="A88" s="15" t="s">
        <v>1209</v>
      </c>
      <c r="B88" s="115" t="s">
        <v>970</v>
      </c>
      <c r="C88" s="105" t="s">
        <v>974</v>
      </c>
    </row>
    <row r="89" spans="1:4" x14ac:dyDescent="0.25">
      <c r="A89" s="15" t="s">
        <v>1210</v>
      </c>
      <c r="B89" s="115" t="s">
        <v>970</v>
      </c>
      <c r="C89" s="105" t="s">
        <v>1091</v>
      </c>
    </row>
    <row r="90" spans="1:4" x14ac:dyDescent="0.25">
      <c r="A90" s="15" t="s">
        <v>1211</v>
      </c>
      <c r="B90" s="115" t="s">
        <v>50</v>
      </c>
      <c r="C90" s="13" t="s">
        <v>113</v>
      </c>
      <c r="D90" s="116" t="s">
        <v>1196</v>
      </c>
    </row>
    <row r="91" spans="1:4" x14ac:dyDescent="0.25">
      <c r="A91" s="15" t="s">
        <v>1211</v>
      </c>
      <c r="B91" s="115" t="s">
        <v>970</v>
      </c>
      <c r="C91" s="105" t="s">
        <v>972</v>
      </c>
    </row>
    <row r="92" spans="1:4" x14ac:dyDescent="0.25">
      <c r="A92" s="47" t="s">
        <v>1212</v>
      </c>
      <c r="B92" s="115" t="s">
        <v>50</v>
      </c>
      <c r="C92" s="13" t="s">
        <v>94</v>
      </c>
      <c r="D92" s="116" t="s">
        <v>1196</v>
      </c>
    </row>
    <row r="93" spans="1:4" x14ac:dyDescent="0.25">
      <c r="A93" s="15" t="s">
        <v>1214</v>
      </c>
      <c r="B93" s="115" t="s">
        <v>970</v>
      </c>
      <c r="C93" s="105" t="s">
        <v>1213</v>
      </c>
    </row>
    <row r="94" spans="1:4" ht="30" x14ac:dyDescent="0.25">
      <c r="A94" s="15" t="s">
        <v>1215</v>
      </c>
      <c r="B94" s="115" t="s">
        <v>979</v>
      </c>
      <c r="C94" s="129" t="s">
        <v>1218</v>
      </c>
      <c r="D94" s="116" t="s">
        <v>1219</v>
      </c>
    </row>
    <row r="95" spans="1:4" x14ac:dyDescent="0.25">
      <c r="A95" s="15" t="s">
        <v>1215</v>
      </c>
      <c r="B95" s="115" t="s">
        <v>970</v>
      </c>
      <c r="C95" s="105" t="s">
        <v>1091</v>
      </c>
    </row>
    <row r="96" spans="1:4" x14ac:dyDescent="0.25">
      <c r="A96" s="115" t="s">
        <v>1220</v>
      </c>
      <c r="B96" s="115" t="s">
        <v>979</v>
      </c>
      <c r="C96" s="129" t="s">
        <v>1222</v>
      </c>
    </row>
    <row r="97" spans="1:3" x14ac:dyDescent="0.25">
      <c r="A97" s="115" t="s">
        <v>1220</v>
      </c>
      <c r="B97" s="115" t="s">
        <v>970</v>
      </c>
      <c r="C97" s="105" t="s">
        <v>1091</v>
      </c>
    </row>
    <row r="98" spans="1:3" x14ac:dyDescent="0.25">
      <c r="A98" s="115" t="s">
        <v>1223</v>
      </c>
      <c r="B98" s="115" t="s">
        <v>979</v>
      </c>
      <c r="C98" s="135" t="s">
        <v>1081</v>
      </c>
    </row>
    <row r="99" spans="1:3" x14ac:dyDescent="0.25">
      <c r="A99" s="115" t="s">
        <v>1223</v>
      </c>
      <c r="B99" s="115" t="s">
        <v>970</v>
      </c>
      <c r="C99" s="105" t="s">
        <v>1091</v>
      </c>
    </row>
  </sheetData>
  <conditionalFormatting sqref="C5">
    <cfRule type="cellIs" dxfId="53" priority="58" operator="equal">
      <formula>$B$139</formula>
    </cfRule>
  </conditionalFormatting>
  <conditionalFormatting sqref="C6">
    <cfRule type="cellIs" dxfId="52" priority="57" operator="equal">
      <formula>$B$139</formula>
    </cfRule>
  </conditionalFormatting>
  <conditionalFormatting sqref="C8:C11">
    <cfRule type="cellIs" dxfId="51" priority="56" operator="equal">
      <formula>$B$139</formula>
    </cfRule>
  </conditionalFormatting>
  <conditionalFormatting sqref="C13">
    <cfRule type="cellIs" dxfId="50" priority="55" operator="equal">
      <formula>$B$139</formula>
    </cfRule>
  </conditionalFormatting>
  <conditionalFormatting sqref="C19">
    <cfRule type="cellIs" dxfId="49" priority="54" operator="equal">
      <formula>$B$139</formula>
    </cfRule>
  </conditionalFormatting>
  <conditionalFormatting sqref="C28">
    <cfRule type="cellIs" dxfId="48" priority="52" operator="equal">
      <formula>$B$139</formula>
    </cfRule>
  </conditionalFormatting>
  <conditionalFormatting sqref="C29">
    <cfRule type="cellIs" dxfId="47" priority="51" operator="equal">
      <formula>#REF!</formula>
    </cfRule>
  </conditionalFormatting>
  <conditionalFormatting sqref="C26">
    <cfRule type="cellIs" dxfId="46" priority="50" operator="equal">
      <formula>#REF!</formula>
    </cfRule>
  </conditionalFormatting>
  <conditionalFormatting sqref="C31">
    <cfRule type="cellIs" dxfId="45" priority="49" operator="equal">
      <formula>$B$139</formula>
    </cfRule>
  </conditionalFormatting>
  <conditionalFormatting sqref="C32">
    <cfRule type="cellIs" dxfId="44" priority="48" operator="equal">
      <formula>#REF!</formula>
    </cfRule>
  </conditionalFormatting>
  <conditionalFormatting sqref="C34">
    <cfRule type="cellIs" dxfId="43" priority="47" operator="equal">
      <formula>$B$139</formula>
    </cfRule>
  </conditionalFormatting>
  <conditionalFormatting sqref="C38:C39">
    <cfRule type="cellIs" dxfId="42" priority="41" operator="equal">
      <formula>#REF!</formula>
    </cfRule>
  </conditionalFormatting>
  <conditionalFormatting sqref="C14:C17">
    <cfRule type="cellIs" dxfId="41" priority="46" operator="equal">
      <formula>$B$139</formula>
    </cfRule>
  </conditionalFormatting>
  <conditionalFormatting sqref="C20">
    <cfRule type="cellIs" dxfId="40" priority="45" operator="equal">
      <formula>$B$139</formula>
    </cfRule>
  </conditionalFormatting>
  <conditionalFormatting sqref="C22">
    <cfRule type="cellIs" dxfId="39" priority="44" operator="equal">
      <formula>$B$139</formula>
    </cfRule>
  </conditionalFormatting>
  <conditionalFormatting sqref="C24">
    <cfRule type="cellIs" dxfId="38" priority="43" operator="equal">
      <formula>$B$139</formula>
    </cfRule>
  </conditionalFormatting>
  <conditionalFormatting sqref="C37">
    <cfRule type="cellIs" dxfId="37" priority="42" operator="equal">
      <formula>$B$139</formula>
    </cfRule>
  </conditionalFormatting>
  <conditionalFormatting sqref="C42">
    <cfRule type="cellIs" dxfId="36" priority="40" operator="equal">
      <formula>#REF!</formula>
    </cfRule>
  </conditionalFormatting>
  <conditionalFormatting sqref="C43">
    <cfRule type="cellIs" dxfId="35" priority="39" operator="equal">
      <formula>#REF!</formula>
    </cfRule>
  </conditionalFormatting>
  <conditionalFormatting sqref="C45">
    <cfRule type="cellIs" dxfId="34" priority="38" operator="equal">
      <formula>#REF!</formula>
    </cfRule>
  </conditionalFormatting>
  <conditionalFormatting sqref="C47">
    <cfRule type="cellIs" dxfId="33" priority="37" operator="equal">
      <formula>#REF!</formula>
    </cfRule>
  </conditionalFormatting>
  <conditionalFormatting sqref="C52">
    <cfRule type="cellIs" dxfId="32" priority="35" operator="equal">
      <formula>#REF!</formula>
    </cfRule>
  </conditionalFormatting>
  <conditionalFormatting sqref="C54 C69:C70 C72">
    <cfRule type="cellIs" dxfId="31" priority="34" operator="equal">
      <formula>$B$127</formula>
    </cfRule>
  </conditionalFormatting>
  <conditionalFormatting sqref="C55">
    <cfRule type="cellIs" dxfId="30" priority="33" operator="equal">
      <formula>#REF!</formula>
    </cfRule>
  </conditionalFormatting>
  <conditionalFormatting sqref="C57">
    <cfRule type="cellIs" dxfId="29" priority="32" operator="equal">
      <formula>#REF!</formula>
    </cfRule>
  </conditionalFormatting>
  <conditionalFormatting sqref="C58">
    <cfRule type="cellIs" dxfId="28" priority="31" operator="equal">
      <formula>$B$127</formula>
    </cfRule>
  </conditionalFormatting>
  <conditionalFormatting sqref="C61">
    <cfRule type="cellIs" dxfId="27" priority="30" operator="equal">
      <formula>$B$127</formula>
    </cfRule>
  </conditionalFormatting>
  <conditionalFormatting sqref="C64">
    <cfRule type="cellIs" dxfId="26" priority="29" operator="equal">
      <formula>$B$127</formula>
    </cfRule>
  </conditionalFormatting>
  <conditionalFormatting sqref="C49">
    <cfRule type="cellIs" dxfId="25" priority="28" operator="equal">
      <formula>$B$127</formula>
    </cfRule>
  </conditionalFormatting>
  <conditionalFormatting sqref="C65">
    <cfRule type="cellIs" dxfId="24" priority="27" operator="equal">
      <formula>$B$127</formula>
    </cfRule>
  </conditionalFormatting>
  <conditionalFormatting sqref="C67">
    <cfRule type="cellIs" dxfId="23" priority="25" operator="equal">
      <formula>$B$126</formula>
    </cfRule>
  </conditionalFormatting>
  <conditionalFormatting sqref="C71">
    <cfRule type="cellIs" dxfId="22" priority="24" operator="equal">
      <formula>#REF!</formula>
    </cfRule>
  </conditionalFormatting>
  <conditionalFormatting sqref="C73">
    <cfRule type="cellIs" dxfId="21" priority="23" operator="equal">
      <formula>#REF!</formula>
    </cfRule>
  </conditionalFormatting>
  <conditionalFormatting sqref="C74">
    <cfRule type="cellIs" dxfId="20" priority="22" operator="equal">
      <formula>$AR$1</formula>
    </cfRule>
  </conditionalFormatting>
  <conditionalFormatting sqref="C75">
    <cfRule type="cellIs" dxfId="19" priority="21" operator="equal">
      <formula>#REF!</formula>
    </cfRule>
  </conditionalFormatting>
  <conditionalFormatting sqref="C77">
    <cfRule type="cellIs" dxfId="18" priority="20" operator="equal">
      <formula>$B$127</formula>
    </cfRule>
  </conditionalFormatting>
  <conditionalFormatting sqref="C78">
    <cfRule type="cellIs" dxfId="17" priority="18" operator="equal">
      <formula>$B$126</formula>
    </cfRule>
  </conditionalFormatting>
  <conditionalFormatting sqref="C79">
    <cfRule type="cellIs" dxfId="16" priority="17" operator="equal">
      <formula>#REF!</formula>
    </cfRule>
  </conditionalFormatting>
  <conditionalFormatting sqref="C81">
    <cfRule type="cellIs" dxfId="15" priority="16" operator="equal">
      <formula>$B$127</formula>
    </cfRule>
  </conditionalFormatting>
  <conditionalFormatting sqref="C82">
    <cfRule type="cellIs" dxfId="14" priority="15" operator="equal">
      <formula>$B$126</formula>
    </cfRule>
  </conditionalFormatting>
  <conditionalFormatting sqref="C83">
    <cfRule type="cellIs" dxfId="13" priority="14" operator="equal">
      <formula>#REF!</formula>
    </cfRule>
  </conditionalFormatting>
  <conditionalFormatting sqref="C85">
    <cfRule type="cellIs" dxfId="12" priority="13" operator="equal">
      <formula>#REF!</formula>
    </cfRule>
  </conditionalFormatting>
  <conditionalFormatting sqref="C86">
    <cfRule type="cellIs" dxfId="11" priority="12" operator="equal">
      <formula>$B$127</formula>
    </cfRule>
  </conditionalFormatting>
  <conditionalFormatting sqref="C88">
    <cfRule type="cellIs" dxfId="10" priority="11" operator="equal">
      <formula>#REF!</formula>
    </cfRule>
  </conditionalFormatting>
  <conditionalFormatting sqref="C87">
    <cfRule type="cellIs" dxfId="9" priority="10" operator="equal">
      <formula>$B$126</formula>
    </cfRule>
  </conditionalFormatting>
  <conditionalFormatting sqref="C89">
    <cfRule type="cellIs" dxfId="8" priority="9" operator="equal">
      <formula>#REF!</formula>
    </cfRule>
  </conditionalFormatting>
  <conditionalFormatting sqref="C90">
    <cfRule type="cellIs" dxfId="7" priority="8" operator="equal">
      <formula>$B$126</formula>
    </cfRule>
  </conditionalFormatting>
  <conditionalFormatting sqref="C91">
    <cfRule type="cellIs" dxfId="6" priority="7" operator="equal">
      <formula>#REF!</formula>
    </cfRule>
  </conditionalFormatting>
  <conditionalFormatting sqref="C92">
    <cfRule type="cellIs" dxfId="5" priority="6" operator="equal">
      <formula>$B$127</formula>
    </cfRule>
  </conditionalFormatting>
  <conditionalFormatting sqref="C93">
    <cfRule type="cellIs" dxfId="4" priority="5" operator="equal">
      <formula>#REF!</formula>
    </cfRule>
  </conditionalFormatting>
  <conditionalFormatting sqref="C95">
    <cfRule type="cellIs" dxfId="3" priority="4" operator="equal">
      <formula>#REF!</formula>
    </cfRule>
  </conditionalFormatting>
  <conditionalFormatting sqref="C97">
    <cfRule type="cellIs" dxfId="2" priority="3" operator="equal">
      <formula>#REF!</formula>
    </cfRule>
  </conditionalFormatting>
  <conditionalFormatting sqref="C98">
    <cfRule type="cellIs" dxfId="1" priority="2" operator="equal">
      <formula>$AR$1</formula>
    </cfRule>
  </conditionalFormatting>
  <conditionalFormatting sqref="C99">
    <cfRule type="cellIs" dxfId="0" priority="1" operator="equal">
      <formula>#REF!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76"/>
  <sheetViews>
    <sheetView tabSelected="1" topLeftCell="B1" zoomScale="90" zoomScaleNormal="90" workbookViewId="0">
      <pane ySplit="1" topLeftCell="A8" activePane="bottomLeft" state="frozen"/>
      <selection pane="bottomLeft" activeCell="A31" sqref="A31:XFD38"/>
    </sheetView>
  </sheetViews>
  <sheetFormatPr defaultRowHeight="15" x14ac:dyDescent="0.25"/>
  <cols>
    <col min="1" max="1" width="81.28515625" style="121" bestFit="1" customWidth="1"/>
    <col min="2" max="2" width="22.5703125" style="121" bestFit="1" customWidth="1"/>
    <col min="3" max="3" width="9.140625" style="121"/>
    <col min="4" max="4" width="12.7109375" style="121" bestFit="1" customWidth="1"/>
    <col min="5" max="7" width="9.140625" style="121"/>
    <col min="9" max="12" width="9.140625" style="121"/>
    <col min="16" max="16" width="16.85546875" bestFit="1" customWidth="1"/>
    <col min="17" max="17" width="7.7109375" customWidth="1"/>
    <col min="18" max="18" width="11.85546875" bestFit="1" customWidth="1"/>
    <col min="19" max="19" width="15.42578125" bestFit="1" customWidth="1"/>
    <col min="20" max="20" width="16.85546875" bestFit="1" customWidth="1"/>
  </cols>
  <sheetData>
    <row r="1" spans="1:20" x14ac:dyDescent="0.25">
      <c r="A1" s="123" t="s">
        <v>1066</v>
      </c>
      <c r="B1" s="123" t="s">
        <v>1094</v>
      </c>
      <c r="C1" s="123" t="s">
        <v>1096</v>
      </c>
      <c r="D1" s="123" t="s">
        <v>1097</v>
      </c>
      <c r="E1" s="123" t="s">
        <v>1099</v>
      </c>
      <c r="F1" s="123" t="s">
        <v>1100</v>
      </c>
      <c r="G1" s="123" t="s">
        <v>1101</v>
      </c>
      <c r="H1" s="122" t="s">
        <v>480</v>
      </c>
      <c r="I1" s="123" t="s">
        <v>1108</v>
      </c>
      <c r="J1" s="123" t="s">
        <v>1109</v>
      </c>
      <c r="K1" s="123" t="s">
        <v>1102</v>
      </c>
      <c r="L1" s="123" t="s">
        <v>1103</v>
      </c>
      <c r="M1" s="122" t="s">
        <v>1104</v>
      </c>
      <c r="N1" s="122" t="s">
        <v>1105</v>
      </c>
      <c r="O1" s="122" t="s">
        <v>1106</v>
      </c>
      <c r="P1" s="122" t="s">
        <v>1107</v>
      </c>
      <c r="Q1" s="122" t="s">
        <v>1115</v>
      </c>
      <c r="R1" s="125" t="s">
        <v>1113</v>
      </c>
      <c r="S1" s="125" t="s">
        <v>1114</v>
      </c>
      <c r="T1" s="122" t="s">
        <v>1116</v>
      </c>
    </row>
    <row r="2" spans="1:20" x14ac:dyDescent="0.25">
      <c r="A2" s="124" t="s">
        <v>1069</v>
      </c>
      <c r="B2" s="121" t="s">
        <v>1095</v>
      </c>
      <c r="C2" s="121">
        <v>12</v>
      </c>
      <c r="D2" s="121" t="s">
        <v>1098</v>
      </c>
      <c r="E2" s="121">
        <v>-14.9</v>
      </c>
      <c r="F2" s="121">
        <v>13</v>
      </c>
      <c r="G2" s="121">
        <v>15</v>
      </c>
      <c r="H2">
        <f>F2+G2</f>
        <v>28</v>
      </c>
      <c r="I2" s="121">
        <v>70.8</v>
      </c>
      <c r="J2" s="121">
        <v>70</v>
      </c>
      <c r="K2" s="121">
        <v>13</v>
      </c>
      <c r="L2" s="121">
        <v>16.7</v>
      </c>
      <c r="M2">
        <f>SQRT(((F2-1)*K2^2+(G2-1)*L2^2+F2*G2/H2*(I2-J2)^2)/(H2-1))</f>
        <v>14.828547471206345</v>
      </c>
      <c r="N2">
        <f>E2/M2*(1-3/(4*H2-9))</f>
        <v>-0.97555201853488593</v>
      </c>
      <c r="O2">
        <f>SQRT(H2/(F2*G2)+N2^2/(2*(H2-3.94)))</f>
        <v>0.40418735631216551</v>
      </c>
      <c r="P2" t="str">
        <f>CONCATENATE(FIXED(N2,2), " [", FIXED(N2-_xlfn.NORM.S.INV(0.975)*O2,2), ", ", FIXED(N2+_xlfn.NORM.S.INV(0.975)*O2,2), "]")</f>
        <v>-0.98 [-1.77, -0.18]</v>
      </c>
      <c r="Q2">
        <f>1/O2^2</f>
        <v>6.1211715659410535</v>
      </c>
      <c r="R2">
        <f>SUMPRODUCT(N2,Q2)/SUM(Q2)</f>
        <v>-0.97555201853488593</v>
      </c>
      <c r="S2">
        <f>1/SQRT(SUM(Q2))</f>
        <v>0.40418735631216551</v>
      </c>
      <c r="T2" t="str">
        <f>CONCATENATE(FIXED(R2,2), " [", FIXED(R2-_xlfn.NORM.S.INV(0.975)*S2,2), ", ", FIXED(R2+_xlfn.NORM.S.INV(0.975)*S2,2), "]")</f>
        <v>-0.98 [-1.77, -0.18]</v>
      </c>
    </row>
    <row r="3" spans="1:20" x14ac:dyDescent="0.25">
      <c r="A3" s="124" t="s">
        <v>1076</v>
      </c>
      <c r="B3" s="121" t="s">
        <v>1111</v>
      </c>
      <c r="C3" s="121">
        <v>8</v>
      </c>
      <c r="D3" s="121" t="s">
        <v>1098</v>
      </c>
      <c r="E3" s="121">
        <v>-2.5</v>
      </c>
      <c r="F3" s="121">
        <v>18</v>
      </c>
      <c r="G3" s="121">
        <v>18</v>
      </c>
      <c r="H3">
        <f>F3+G3</f>
        <v>36</v>
      </c>
      <c r="I3" s="121">
        <v>9.3000000000000007</v>
      </c>
      <c r="J3" s="121">
        <v>7.7</v>
      </c>
      <c r="K3" s="121">
        <v>4</v>
      </c>
      <c r="L3" s="121">
        <v>4.2</v>
      </c>
      <c r="M3">
        <f>SQRT(((F3-1)*K3^2+(G3-1)*L3^2+F3*G3/H3*(I3-J3)^2)/(H3-1))</f>
        <v>4.1228284327284692</v>
      </c>
      <c r="N3">
        <f>E3/M3*(1-3/(4*H3-9))</f>
        <v>-0.59290472168077157</v>
      </c>
      <c r="O3">
        <f>SQRT(H3/(F3*G3)+N3^2/(2*(H3-3.94)))</f>
        <v>0.34145802321720009</v>
      </c>
      <c r="P3" t="str">
        <f>CONCATENATE(FIXED(N3,2), " [", FIXED(N3-_xlfn.NORM.S.INV(0.975)*O3,2), ", ", FIXED(N3+_xlfn.NORM.S.INV(0.975)*O3,2), "]")</f>
        <v>-0.59 [-1.26, 0.08]</v>
      </c>
      <c r="Q3">
        <f>1/O3^2</f>
        <v>8.5768014509096062</v>
      </c>
      <c r="R3">
        <f>SUMPRODUCT(N3:N4,Q3:Q4)/SUM(Q3:Q4)</f>
        <v>-0.5318736938022629</v>
      </c>
      <c r="S3">
        <f>1/SQRT(SUM(Q3:Q4))</f>
        <v>0.21542531991500757</v>
      </c>
      <c r="T3" t="str">
        <f>CONCATENATE(FIXED(R3,2), " [", FIXED(R3-_xlfn.NORM.S.INV(0.975)*S3,2), ", ", FIXED(R3+_xlfn.NORM.S.INV(0.975)*S3,2), "]")</f>
        <v>-0.53 [-0.95, -0.11]</v>
      </c>
    </row>
    <row r="4" spans="1:20" x14ac:dyDescent="0.25">
      <c r="A4" s="124" t="s">
        <v>1076</v>
      </c>
      <c r="B4" s="121" t="s">
        <v>1112</v>
      </c>
      <c r="C4" s="121">
        <v>8</v>
      </c>
      <c r="D4" s="121" t="s">
        <v>1098</v>
      </c>
      <c r="E4" s="121">
        <v>-1.5</v>
      </c>
      <c r="F4" s="121">
        <v>32</v>
      </c>
      <c r="G4" s="121">
        <v>23</v>
      </c>
      <c r="H4">
        <f>F4+G4</f>
        <v>55</v>
      </c>
      <c r="I4" s="121">
        <v>7.9</v>
      </c>
      <c r="J4" s="121">
        <v>6.3</v>
      </c>
      <c r="K4" s="121">
        <v>2.8</v>
      </c>
      <c r="L4" s="121">
        <v>3.1</v>
      </c>
      <c r="M4">
        <f>SQRT(((F4-1)*K4^2+(G4-1)*L4^2+F4*G4/H4*(I4-J4)^2)/(H4-1))</f>
        <v>3.0083755138485007</v>
      </c>
      <c r="N4">
        <f>E4/M4*(1-3/(4*H4-9))</f>
        <v>-0.49151875454882299</v>
      </c>
      <c r="O4">
        <f>SQRT(H4/(F4*G4)+N4^2/(2*(H4-3.94)))</f>
        <v>0.27765808788658219</v>
      </c>
      <c r="P4" t="str">
        <f>CONCATENATE(FIXED(N4,2), " [", FIXED(N4-_xlfn.NORM.S.INV(0.975)*O4,2), ", ", FIXED(N4+_xlfn.NORM.S.INV(0.975)*O4,2), "]")</f>
        <v>-0.49 [-1.04, 0.05]</v>
      </c>
      <c r="Q4">
        <f>1/O4^2</f>
        <v>12.971175725763972</v>
      </c>
      <c r="R4" s="126" t="s">
        <v>1117</v>
      </c>
      <c r="S4" s="126" t="s">
        <v>1117</v>
      </c>
      <c r="T4" s="126" t="s">
        <v>1117</v>
      </c>
    </row>
    <row r="5" spans="1:20" x14ac:dyDescent="0.25">
      <c r="A5" s="121" t="s">
        <v>246</v>
      </c>
      <c r="B5" s="121" t="s">
        <v>1119</v>
      </c>
      <c r="C5" s="121">
        <v>12</v>
      </c>
      <c r="D5" s="121" t="s">
        <v>1121</v>
      </c>
      <c r="E5" s="121">
        <v>-0.73</v>
      </c>
      <c r="F5" s="121">
        <v>60</v>
      </c>
      <c r="G5" s="121">
        <v>57</v>
      </c>
      <c r="H5">
        <f>F5+G5</f>
        <v>117</v>
      </c>
      <c r="I5" s="137" t="s">
        <v>1122</v>
      </c>
      <c r="J5" s="137"/>
      <c r="K5" s="137"/>
      <c r="L5" s="137"/>
      <c r="M5">
        <v>2.2000000000000002</v>
      </c>
      <c r="N5">
        <f>E5/M5*(1-3/(4*H5-9))</f>
        <v>-0.32964943553178844</v>
      </c>
      <c r="O5">
        <f>SQRT(H5/(F5*G5)+N5^2/(2*(H5-3.94)))</f>
        <v>0.1862554866818438</v>
      </c>
      <c r="P5" t="str">
        <f>CONCATENATE(FIXED(N5,2), " [", FIXED(N5-_xlfn.NORM.S.INV(0.975)*O5,2), ", ", FIXED(N5+_xlfn.NORM.S.INV(0.975)*O5,2), "]")</f>
        <v>-0.33 [-0.69, 0.04]</v>
      </c>
      <c r="Q5">
        <f>1/O5^2</f>
        <v>28.82583192366225</v>
      </c>
      <c r="R5">
        <f>SUMPRODUCT(N5,Q5)/SUM(Q5)</f>
        <v>-0.32964943553178844</v>
      </c>
      <c r="S5">
        <f>1/SQRT(SUM(Q5))</f>
        <v>0.1862554866818438</v>
      </c>
      <c r="T5" t="str">
        <f>CONCATENATE(FIXED(R5,2), " [", FIXED(R5-_xlfn.NORM.S.INV(0.975)*S5,2), ", ", FIXED(R5+_xlfn.NORM.S.INV(0.975)*S5,2), "]")</f>
        <v>-0.33 [-0.69, 0.04]</v>
      </c>
    </row>
    <row r="6" spans="1:20" x14ac:dyDescent="0.25">
      <c r="A6" s="121" t="s">
        <v>246</v>
      </c>
      <c r="B6" s="121" t="s">
        <v>1119</v>
      </c>
      <c r="C6" s="121">
        <v>26</v>
      </c>
      <c r="D6" s="121" t="s">
        <v>1121</v>
      </c>
      <c r="E6" s="121">
        <v>-0.57999999999999996</v>
      </c>
      <c r="F6" s="121">
        <v>60</v>
      </c>
      <c r="G6" s="121">
        <v>57</v>
      </c>
      <c r="H6">
        <f t="shared" ref="H6:H11" si="0">F6+G6</f>
        <v>117</v>
      </c>
      <c r="I6" s="137" t="s">
        <v>1122</v>
      </c>
      <c r="J6" s="137"/>
      <c r="K6" s="137"/>
      <c r="L6" s="137"/>
      <c r="M6">
        <v>2.2000000000000002</v>
      </c>
      <c r="N6">
        <f t="shared" ref="N6:N8" si="1">E6/M6*(1-3/(4*H6-9))</f>
        <v>-0.26191325014854427</v>
      </c>
      <c r="O6">
        <f t="shared" ref="O6:O8" si="2">SQRT(H6/(F6*G6)+N6^2/(2*(H6-3.94)))</f>
        <v>0.18577916633166208</v>
      </c>
      <c r="P6" t="str">
        <f t="shared" ref="P6:P8" si="3">CONCATENATE(FIXED(N6,2), " [", FIXED(N6-_xlfn.NORM.S.INV(0.975)*O6,2), ", ", FIXED(N6+_xlfn.NORM.S.INV(0.975)*O6,2), "]")</f>
        <v>-0.26 [-0.63, 0.10]</v>
      </c>
      <c r="Q6">
        <f t="shared" ref="Q6:Q8" si="4">1/O6^2</f>
        <v>28.973834870030835</v>
      </c>
      <c r="R6">
        <f t="shared" ref="R6:R8" si="5">SUMPRODUCT(N6,Q6)/SUM(Q6)</f>
        <v>-0.26191325014854427</v>
      </c>
      <c r="S6">
        <f t="shared" ref="S6:S8" si="6">1/SQRT(SUM(Q6))</f>
        <v>0.18577916633166208</v>
      </c>
      <c r="T6" t="str">
        <f t="shared" ref="T6:T8" si="7">CONCATENATE(FIXED(R6,2), " [", FIXED(R6-_xlfn.NORM.S.INV(0.975)*S6,2), ", ", FIXED(R6+_xlfn.NORM.S.INV(0.975)*S6,2), "]")</f>
        <v>-0.26 [-0.63, 0.10]</v>
      </c>
    </row>
    <row r="7" spans="1:20" x14ac:dyDescent="0.25">
      <c r="A7" s="121" t="s">
        <v>246</v>
      </c>
      <c r="B7" s="121" t="s">
        <v>1119</v>
      </c>
      <c r="C7" s="121">
        <v>52</v>
      </c>
      <c r="D7" s="121" t="s">
        <v>1121</v>
      </c>
      <c r="E7" s="121">
        <v>-0.81</v>
      </c>
      <c r="F7" s="121">
        <v>60</v>
      </c>
      <c r="G7" s="121">
        <v>57</v>
      </c>
      <c r="H7">
        <f t="shared" si="0"/>
        <v>117</v>
      </c>
      <c r="I7" s="137" t="s">
        <v>1122</v>
      </c>
      <c r="J7" s="137"/>
      <c r="K7" s="137"/>
      <c r="L7" s="137"/>
      <c r="M7">
        <v>2.2000000000000002</v>
      </c>
      <c r="N7">
        <f>E7/M7*(1-3/(4*H7-9))</f>
        <v>-0.36577540106951872</v>
      </c>
      <c r="O7">
        <f t="shared" si="2"/>
        <v>0.18655350592272066</v>
      </c>
      <c r="P7" t="str">
        <f t="shared" si="3"/>
        <v>-0.37 [-0.73, 0.00]</v>
      </c>
      <c r="Q7">
        <f t="shared" si="4"/>
        <v>28.733806949690244</v>
      </c>
      <c r="R7">
        <f t="shared" si="5"/>
        <v>-0.36577540106951872</v>
      </c>
      <c r="S7">
        <f t="shared" si="6"/>
        <v>0.18655350592272066</v>
      </c>
      <c r="T7" t="str">
        <f t="shared" si="7"/>
        <v>-0.37 [-0.73, 0.00]</v>
      </c>
    </row>
    <row r="8" spans="1:20" x14ac:dyDescent="0.25">
      <c r="A8" s="121" t="s">
        <v>246</v>
      </c>
      <c r="B8" s="121" t="s">
        <v>1119</v>
      </c>
      <c r="C8" s="127" t="s">
        <v>1120</v>
      </c>
      <c r="D8" s="121" t="s">
        <v>1121</v>
      </c>
      <c r="E8" s="121">
        <v>-0.63</v>
      </c>
      <c r="F8" s="121">
        <v>60</v>
      </c>
      <c r="G8" s="121">
        <v>57</v>
      </c>
      <c r="H8">
        <f t="shared" si="0"/>
        <v>117</v>
      </c>
      <c r="I8" s="137" t="s">
        <v>1122</v>
      </c>
      <c r="J8" s="137"/>
      <c r="K8" s="137"/>
      <c r="L8" s="137"/>
      <c r="M8">
        <v>2.2000000000000002</v>
      </c>
      <c r="N8">
        <f t="shared" si="1"/>
        <v>-0.28449197860962561</v>
      </c>
      <c r="O8">
        <f t="shared" si="2"/>
        <v>0.18592594968726864</v>
      </c>
      <c r="P8" t="str">
        <f t="shared" si="3"/>
        <v>-0.28 [-0.65, 0.08]</v>
      </c>
      <c r="Q8">
        <f t="shared" si="4"/>
        <v>28.928104858159479</v>
      </c>
      <c r="R8">
        <f t="shared" si="5"/>
        <v>-0.28449197860962561</v>
      </c>
      <c r="S8">
        <f t="shared" si="6"/>
        <v>0.18592594968726864</v>
      </c>
      <c r="T8" t="str">
        <f t="shared" si="7"/>
        <v>-0.28 [-0.65, 0.08]</v>
      </c>
    </row>
    <row r="9" spans="1:20" x14ac:dyDescent="0.25">
      <c r="A9" s="121" t="s">
        <v>1082</v>
      </c>
      <c r="B9" s="121" t="s">
        <v>1123</v>
      </c>
      <c r="C9" s="121">
        <v>8</v>
      </c>
      <c r="D9" s="121" t="s">
        <v>1098</v>
      </c>
      <c r="E9" s="121">
        <v>-15.5</v>
      </c>
      <c r="F9" s="121">
        <v>16</v>
      </c>
      <c r="G9" s="121">
        <v>14</v>
      </c>
      <c r="H9">
        <f t="shared" si="0"/>
        <v>30</v>
      </c>
      <c r="I9" s="121">
        <v>74.099999999999994</v>
      </c>
      <c r="J9" s="121">
        <v>65.3</v>
      </c>
      <c r="K9" s="121">
        <v>14.2</v>
      </c>
      <c r="L9" s="121">
        <v>14.3</v>
      </c>
      <c r="M9">
        <f t="shared" ref="M9:M14" si="8">SQRT(((F9-1)*K9^2+(G9-1)*L9^2+F9*G9/H9*(I9-J9)^2)/(H9-1))</f>
        <v>14.693640034765529</v>
      </c>
      <c r="N9">
        <f t="shared" ref="N9" si="9">E9/M9*(1-3/(4*H9-9))</f>
        <v>-1.0263679418713714</v>
      </c>
      <c r="O9">
        <f t="shared" ref="O9" si="10">SQRT(H9/(F9*G9)+N9^2/(2*(H9-3.94)))</f>
        <v>0.39260695427862186</v>
      </c>
      <c r="P9" t="str">
        <f t="shared" ref="P9" si="11">CONCATENATE(FIXED(N9,2), " [", FIXED(N9-_xlfn.NORM.S.INV(0.975)*O9,2), ", ", FIXED(N9+_xlfn.NORM.S.INV(0.975)*O9,2), "]")</f>
        <v>-1.03 [-1.80, -0.26]</v>
      </c>
      <c r="Q9">
        <f t="shared" ref="Q9" si="12">1/O9^2</f>
        <v>6.4875993848017828</v>
      </c>
      <c r="R9">
        <f t="shared" ref="R9" si="13">SUMPRODUCT(N9,Q9)/SUM(Q9)</f>
        <v>-1.0263679418713714</v>
      </c>
      <c r="S9">
        <f t="shared" ref="S9" si="14">1/SQRT(SUM(Q9))</f>
        <v>0.39260695427862186</v>
      </c>
      <c r="T9" t="str">
        <f t="shared" ref="T9" si="15">CONCATENATE(FIXED(R9,2), " [", FIXED(R9-_xlfn.NORM.S.INV(0.975)*S9,2), ", ", FIXED(R9+_xlfn.NORM.S.INV(0.975)*S9,2), "]")</f>
        <v>-1.03 [-1.80, -0.26]</v>
      </c>
    </row>
    <row r="10" spans="1:20" x14ac:dyDescent="0.25">
      <c r="A10" s="121" t="s">
        <v>1086</v>
      </c>
      <c r="B10" s="121" t="s">
        <v>1125</v>
      </c>
      <c r="C10" s="121">
        <v>12</v>
      </c>
      <c r="D10" s="121" t="s">
        <v>1098</v>
      </c>
      <c r="E10" s="121">
        <v>4.2</v>
      </c>
      <c r="F10" s="121">
        <v>57</v>
      </c>
      <c r="G10" s="121">
        <v>66</v>
      </c>
      <c r="H10">
        <f t="shared" si="0"/>
        <v>123</v>
      </c>
      <c r="I10" s="121">
        <v>164.8</v>
      </c>
      <c r="J10" s="121">
        <v>170</v>
      </c>
      <c r="K10" s="121">
        <f>(190.7-139)/2/_xlfn.NORM.S.INV(0.975)*SQRT(F10)</f>
        <v>99.574901218171092</v>
      </c>
      <c r="L10" s="121">
        <f>(170-147.5)/_xlfn.NORM.S.INV(0.975)*SQRT(G10)</f>
        <v>93.262358668904213</v>
      </c>
      <c r="M10">
        <f t="shared" si="8"/>
        <v>95.87549269031237</v>
      </c>
      <c r="N10">
        <f t="shared" ref="N10" si="16">E10/M10*(1-3/(4*H10-9))</f>
        <v>4.3534723278663368E-2</v>
      </c>
      <c r="O10">
        <f t="shared" ref="O10" si="17">SQRT(H10/(F10*G10)+N10^2/(2*(H10-3.94)))</f>
        <v>0.18084063181657811</v>
      </c>
      <c r="P10" t="str">
        <f t="shared" ref="P10" si="18">CONCATENATE(FIXED(N10,2), " [", FIXED(N10-_xlfn.NORM.S.INV(0.975)*O10,2), ", ", FIXED(N10+_xlfn.NORM.S.INV(0.975)*O10,2), "]")</f>
        <v>0.04 [-0.31, 0.40]</v>
      </c>
      <c r="Q10">
        <f t="shared" ref="Q10" si="19">1/O10^2</f>
        <v>30.577922008150317</v>
      </c>
      <c r="R10">
        <f t="shared" ref="R10" si="20">SUMPRODUCT(N10,Q10)/SUM(Q10)</f>
        <v>4.3534723278663368E-2</v>
      </c>
      <c r="S10">
        <f t="shared" ref="S10" si="21">1/SQRT(SUM(Q10))</f>
        <v>0.18084063181657811</v>
      </c>
      <c r="T10" t="str">
        <f t="shared" ref="T10" si="22">CONCATENATE(FIXED(R10,2), " [", FIXED(R10-_xlfn.NORM.S.INV(0.975)*S10,2), ", ", FIXED(R10+_xlfn.NORM.S.INV(0.975)*S10,2), "]")</f>
        <v>0.04 [-0.31, 0.40]</v>
      </c>
    </row>
    <row r="11" spans="1:20" x14ac:dyDescent="0.25">
      <c r="A11" s="121" t="s">
        <v>1087</v>
      </c>
      <c r="B11" s="121" t="s">
        <v>1126</v>
      </c>
      <c r="C11" s="121">
        <v>3</v>
      </c>
      <c r="D11" s="121" t="s">
        <v>1121</v>
      </c>
      <c r="E11" s="121">
        <v>-1.3</v>
      </c>
      <c r="F11" s="121">
        <v>29</v>
      </c>
      <c r="G11" s="121">
        <v>29</v>
      </c>
      <c r="H11">
        <f t="shared" si="0"/>
        <v>58</v>
      </c>
      <c r="I11" s="121">
        <v>5.7</v>
      </c>
      <c r="J11" s="121">
        <v>5.0999999999999996</v>
      </c>
      <c r="K11" s="121">
        <f>(6.5-4.9)/2/_xlfn.NORM.S.INV(0.975)*SQRT(F11)</f>
        <v>2.1980668418856659</v>
      </c>
      <c r="L11" s="121">
        <f>(5.9-4.4)/2/_xlfn.NORM.S.INV(0.975)*SQRT(G11)</f>
        <v>2.0606876642678125</v>
      </c>
      <c r="M11">
        <f t="shared" si="8"/>
        <v>2.133287068096561</v>
      </c>
      <c r="N11">
        <f t="shared" ref="N11" si="23">E11/M11*(1-3/(4*H11-9))</f>
        <v>-0.6011901679536551</v>
      </c>
      <c r="O11">
        <f t="shared" ref="O11" si="24">SQRT(H11/(F11*G11)+N11^2/(2*(H11-3.94)))</f>
        <v>0.26890216342398554</v>
      </c>
      <c r="P11" t="str">
        <f t="shared" ref="P11" si="25">CONCATENATE(FIXED(N11,2), " [", FIXED(N11-_xlfn.NORM.S.INV(0.975)*O11,2), ", ", FIXED(N11+_xlfn.NORM.S.INV(0.975)*O11,2), "]")</f>
        <v>-0.60 [-1.13, -0.07]</v>
      </c>
      <c r="Q11">
        <f t="shared" ref="Q11" si="26">1/O11^2</f>
        <v>13.829656949503883</v>
      </c>
      <c r="R11">
        <f t="shared" ref="R11" si="27">SUMPRODUCT(N11,Q11)/SUM(Q11)</f>
        <v>-0.6011901679536551</v>
      </c>
      <c r="S11">
        <f t="shared" ref="S11" si="28">1/SQRT(SUM(Q11))</f>
        <v>0.26890216342398554</v>
      </c>
      <c r="T11" t="str">
        <f t="shared" ref="T11" si="29">CONCATENATE(FIXED(R11,2), " [", FIXED(R11-_xlfn.NORM.S.INV(0.975)*S11,2), ", ", FIXED(R11+_xlfn.NORM.S.INV(0.975)*S11,2), "]")</f>
        <v>-0.60 [-1.13, -0.07]</v>
      </c>
    </row>
    <row r="12" spans="1:20" x14ac:dyDescent="0.25">
      <c r="A12" s="121" t="s">
        <v>1087</v>
      </c>
      <c r="B12" s="121" t="s">
        <v>1126</v>
      </c>
      <c r="C12" s="121">
        <v>6</v>
      </c>
      <c r="D12" s="121" t="s">
        <v>1121</v>
      </c>
      <c r="E12" s="121">
        <v>-0.7</v>
      </c>
      <c r="F12" s="121">
        <v>29</v>
      </c>
      <c r="G12" s="121">
        <v>29</v>
      </c>
      <c r="H12">
        <f t="shared" ref="H12:H13" si="30">F12+G12</f>
        <v>58</v>
      </c>
      <c r="I12" s="121">
        <v>5.7</v>
      </c>
      <c r="J12" s="121">
        <v>5.0999999999999996</v>
      </c>
      <c r="K12" s="121">
        <f>(6.5-4.9)/2/_xlfn.NORM.S.INV(0.975)*SQRT(F12)</f>
        <v>2.1980668418856659</v>
      </c>
      <c r="L12" s="121">
        <f>(5.9-4.4)/2/_xlfn.NORM.S.INV(0.975)*SQRT(G12)</f>
        <v>2.0606876642678125</v>
      </c>
      <c r="M12">
        <f t="shared" si="8"/>
        <v>2.133287068096561</v>
      </c>
      <c r="N12">
        <f t="shared" ref="N12:N13" si="31">E12/M12*(1-3/(4*H12-9))</f>
        <v>-0.32371778274427571</v>
      </c>
      <c r="O12">
        <f t="shared" ref="O12:O13" si="32">SQRT(H12/(F12*G12)+N12^2/(2*(H12-3.94)))</f>
        <v>0.26445178719858015</v>
      </c>
      <c r="P12" t="str">
        <f t="shared" ref="P12:P13" si="33">CONCATENATE(FIXED(N12,2), " [", FIXED(N12-_xlfn.NORM.S.INV(0.975)*O12,2), ", ", FIXED(N12+_xlfn.NORM.S.INV(0.975)*O12,2), "]")</f>
        <v>-0.32 [-0.84, 0.19]</v>
      </c>
      <c r="Q12">
        <f t="shared" ref="Q12:Q13" si="34">1/O12^2</f>
        <v>14.299043496069832</v>
      </c>
      <c r="R12">
        <f t="shared" ref="R12:R13" si="35">SUMPRODUCT(N12,Q12)/SUM(Q12)</f>
        <v>-0.32371778274427565</v>
      </c>
      <c r="S12">
        <f t="shared" ref="S12:S13" si="36">1/SQRT(SUM(Q12))</f>
        <v>0.26445178719858015</v>
      </c>
      <c r="T12" t="str">
        <f t="shared" ref="T12:T13" si="37">CONCATENATE(FIXED(R12,2), " [", FIXED(R12-_xlfn.NORM.S.INV(0.975)*S12,2), ", ", FIXED(R12+_xlfn.NORM.S.INV(0.975)*S12,2), "]")</f>
        <v>-0.32 [-0.84, 0.19]</v>
      </c>
    </row>
    <row r="13" spans="1:20" x14ac:dyDescent="0.25">
      <c r="A13" s="121" t="s">
        <v>1087</v>
      </c>
      <c r="B13" s="121" t="s">
        <v>1126</v>
      </c>
      <c r="C13" s="121">
        <v>3</v>
      </c>
      <c r="D13" s="121" t="s">
        <v>1098</v>
      </c>
      <c r="E13" s="121">
        <v>-0.4</v>
      </c>
      <c r="F13" s="121">
        <v>29</v>
      </c>
      <c r="G13" s="121">
        <v>29</v>
      </c>
      <c r="H13">
        <f t="shared" si="30"/>
        <v>58</v>
      </c>
      <c r="I13" s="121">
        <v>9</v>
      </c>
      <c r="J13" s="121">
        <v>7.8</v>
      </c>
      <c r="K13" s="121">
        <f>(10.3-7.7)/2/_xlfn.NORM.S.INV(0.975)*SQRT(F13)</f>
        <v>3.5718586180642085</v>
      </c>
      <c r="L13" s="121">
        <f>(8.9-6.6)/2/_xlfn.NORM.S.INV(0.975)*SQRT(G13)</f>
        <v>3.1597210852106463</v>
      </c>
      <c r="M13">
        <f t="shared" si="8"/>
        <v>3.3967381594633395</v>
      </c>
      <c r="N13">
        <f t="shared" si="31"/>
        <v>-0.11617581796268467</v>
      </c>
      <c r="O13">
        <f t="shared" si="32"/>
        <v>0.26285043104617167</v>
      </c>
      <c r="P13" t="str">
        <f t="shared" si="33"/>
        <v>-0.12 [-0.63, 0.40]</v>
      </c>
      <c r="Q13">
        <f t="shared" si="34"/>
        <v>14.473801522349463</v>
      </c>
      <c r="R13">
        <f t="shared" si="35"/>
        <v>-0.11617581796268467</v>
      </c>
      <c r="S13">
        <f t="shared" si="36"/>
        <v>0.26285043104617167</v>
      </c>
      <c r="T13" t="str">
        <f t="shared" si="37"/>
        <v>-0.12 [-0.63, 0.40]</v>
      </c>
    </row>
    <row r="14" spans="1:20" x14ac:dyDescent="0.25">
      <c r="A14" s="121" t="s">
        <v>1087</v>
      </c>
      <c r="B14" s="121" t="s">
        <v>1126</v>
      </c>
      <c r="C14" s="121">
        <v>6</v>
      </c>
      <c r="D14" s="121" t="s">
        <v>1098</v>
      </c>
      <c r="E14" s="121">
        <v>0</v>
      </c>
      <c r="F14" s="121">
        <v>29</v>
      </c>
      <c r="G14" s="121">
        <v>29</v>
      </c>
      <c r="H14">
        <f t="shared" ref="H14:H18" si="38">F14+G14</f>
        <v>58</v>
      </c>
      <c r="I14" s="121">
        <v>9</v>
      </c>
      <c r="J14" s="121">
        <v>7.8</v>
      </c>
      <c r="K14" s="121">
        <f>(10.3-7.7)/2/_xlfn.NORM.S.INV(0.975)*SQRT(F14)</f>
        <v>3.5718586180642085</v>
      </c>
      <c r="L14" s="121">
        <f>(8.9-6.6)/2/_xlfn.NORM.S.INV(0.975)*SQRT(G14)</f>
        <v>3.1597210852106463</v>
      </c>
      <c r="M14">
        <f t="shared" si="8"/>
        <v>3.3967381594633395</v>
      </c>
      <c r="N14">
        <f t="shared" ref="N14" si="39">E14/M14*(1-3/(4*H14-9))</f>
        <v>0</v>
      </c>
      <c r="O14">
        <f t="shared" ref="O14" si="40">SQRT(H14/(F14*G14)+N14^2/(2*(H14-3.94)))</f>
        <v>0.26261286571944509</v>
      </c>
      <c r="P14" t="str">
        <f t="shared" ref="P14" si="41">CONCATENATE(FIXED(N14,2), " [", FIXED(N14-_xlfn.NORM.S.INV(0.975)*O14,2), ", ", FIXED(N14+_xlfn.NORM.S.INV(0.975)*O14,2), "]")</f>
        <v>0.00 [-0.51, 0.51]</v>
      </c>
      <c r="Q14">
        <f t="shared" ref="Q14" si="42">1/O14^2</f>
        <v>14.500000000000004</v>
      </c>
      <c r="R14">
        <f t="shared" ref="R14" si="43">SUMPRODUCT(N14,Q14)/SUM(Q14)</f>
        <v>0</v>
      </c>
      <c r="S14">
        <f t="shared" ref="S14" si="44">1/SQRT(SUM(Q14))</f>
        <v>0.26261286571944509</v>
      </c>
      <c r="T14" t="str">
        <f t="shared" ref="T14" si="45">CONCATENATE(FIXED(R14,2), " [", FIXED(R14-_xlfn.NORM.S.INV(0.975)*S14,2), ", ", FIXED(R14+_xlfn.NORM.S.INV(0.975)*S14,2), "]")</f>
        <v>0.00 [-0.51, 0.51]</v>
      </c>
    </row>
    <row r="15" spans="1:20" x14ac:dyDescent="0.25">
      <c r="A15" s="121" t="s">
        <v>1090</v>
      </c>
      <c r="B15" s="121" t="s">
        <v>1129</v>
      </c>
      <c r="C15" s="121">
        <v>0</v>
      </c>
      <c r="D15" s="121" t="s">
        <v>1121</v>
      </c>
      <c r="E15" s="121">
        <v>-2.7</v>
      </c>
      <c r="F15" s="121">
        <v>19</v>
      </c>
      <c r="G15" s="121">
        <v>19</v>
      </c>
      <c r="H15">
        <f t="shared" si="38"/>
        <v>38</v>
      </c>
      <c r="I15" s="121">
        <v>7.4</v>
      </c>
      <c r="J15" s="121">
        <v>7.3</v>
      </c>
      <c r="K15" s="121">
        <v>1.1000000000000001</v>
      </c>
      <c r="L15" s="121">
        <v>1.3</v>
      </c>
      <c r="M15">
        <f t="shared" ref="M15:M16" si="46">SQRT(((F15-1)*K15^2+(G15-1)*L15^2+F15*G15/H15*(I15-J15)^2)/(H15-1))</f>
        <v>1.1888559115293906</v>
      </c>
      <c r="N15">
        <f t="shared" ref="N15:N16" si="47">E15/M15*(1-3/(4*H15-9))</f>
        <v>-2.2234457664058938</v>
      </c>
      <c r="O15">
        <f t="shared" ref="O15:O16" si="48">SQRT(H15/(F15*G15)+N15^2/(2*(H15-3.94)))</f>
        <v>0.42170691288487766</v>
      </c>
      <c r="P15" t="str">
        <f t="shared" ref="P15:P16" si="49">CONCATENATE(FIXED(N15,2), " [", FIXED(N15-_xlfn.NORM.S.INV(0.975)*O15,2), ", ", FIXED(N15+_xlfn.NORM.S.INV(0.975)*O15,2), "]")</f>
        <v>-2.22 [-3.05, -1.40]</v>
      </c>
      <c r="Q15">
        <f t="shared" ref="Q15:Q16" si="50">1/O15^2</f>
        <v>5.6231356375214379</v>
      </c>
      <c r="R15">
        <f>SUMPRODUCT(N15:N17,Q15:Q17)/SUM(Q15:Q17)</f>
        <v>-1.0584718107846676</v>
      </c>
      <c r="S15">
        <f>1/SQRT(SUM(Q15:Q17))</f>
        <v>0.20687343508634401</v>
      </c>
      <c r="T15" t="str">
        <f>CONCATENATE(FIXED(R15,2), " [", FIXED(R15-_xlfn.NORM.S.INV(0.975)*S15,2), ", ", FIXED(R15+_xlfn.NORM.S.INV(0.975)*S15,2), "]")</f>
        <v>-1.06 [-1.46, -0.65]</v>
      </c>
    </row>
    <row r="16" spans="1:20" x14ac:dyDescent="0.25">
      <c r="A16" s="121" t="s">
        <v>1090</v>
      </c>
      <c r="B16" s="121" t="s">
        <v>1130</v>
      </c>
      <c r="C16" s="121">
        <v>0</v>
      </c>
      <c r="D16" s="121" t="s">
        <v>1121</v>
      </c>
      <c r="E16" s="121">
        <v>-16</v>
      </c>
      <c r="F16" s="121">
        <v>23</v>
      </c>
      <c r="G16" s="121">
        <v>23</v>
      </c>
      <c r="H16">
        <f t="shared" si="38"/>
        <v>46</v>
      </c>
      <c r="I16" s="121">
        <v>67.2</v>
      </c>
      <c r="J16" s="121">
        <v>68.400000000000006</v>
      </c>
      <c r="K16" s="121">
        <v>9.1</v>
      </c>
      <c r="L16" s="121">
        <v>7.1</v>
      </c>
      <c r="M16">
        <f t="shared" si="46"/>
        <v>8.0930697376074647</v>
      </c>
      <c r="N16">
        <f t="shared" si="47"/>
        <v>-1.9431087085088237</v>
      </c>
      <c r="O16">
        <f t="shared" si="48"/>
        <v>0.36309898226221771</v>
      </c>
      <c r="P16" t="str">
        <f t="shared" si="49"/>
        <v>-1.94 [-2.65, -1.23]</v>
      </c>
      <c r="Q16">
        <f t="shared" si="50"/>
        <v>7.5849013513257724</v>
      </c>
      <c r="R16" s="126" t="s">
        <v>1117</v>
      </c>
      <c r="S16" s="126" t="s">
        <v>1117</v>
      </c>
      <c r="T16" s="126" t="s">
        <v>1117</v>
      </c>
    </row>
    <row r="17" spans="1:23" x14ac:dyDescent="0.25">
      <c r="A17" s="121" t="s">
        <v>1090</v>
      </c>
      <c r="B17" s="121" t="s">
        <v>1226</v>
      </c>
      <c r="C17" s="121">
        <v>2</v>
      </c>
      <c r="D17" s="121" t="s">
        <v>1121</v>
      </c>
      <c r="E17" s="121">
        <f>(45-54)-(37-51)</f>
        <v>5</v>
      </c>
      <c r="F17" s="121">
        <v>21</v>
      </c>
      <c r="G17" s="121">
        <v>20</v>
      </c>
      <c r="H17">
        <f t="shared" si="38"/>
        <v>41</v>
      </c>
      <c r="I17" s="121">
        <v>54</v>
      </c>
      <c r="J17" s="121">
        <v>51</v>
      </c>
      <c r="K17" s="121">
        <v>21</v>
      </c>
      <c r="L17" s="121">
        <v>19</v>
      </c>
      <c r="M17">
        <f t="shared" ref="M17" si="51">SQRT(((F17-1)*K17^2+(G17-1)*L17^2+F17*G17/H17*(I17-J17)^2)/(H17-1))</f>
        <v>19.856482015925693</v>
      </c>
      <c r="N17">
        <f t="shared" ref="N17" si="52">E17/M17*(1-3/(4*H17-9))</f>
        <v>0.24693325849558995</v>
      </c>
      <c r="O17">
        <f t="shared" ref="O17" si="53">SQRT(H17/(F17*G17)+N17^2/(2*(H17-3.94)))</f>
        <v>0.31375422551244886</v>
      </c>
      <c r="P17" t="str">
        <f t="shared" ref="P17" si="54">CONCATENATE(FIXED(N17,2), " [", FIXED(N17-_xlfn.NORM.S.INV(0.975)*O17,2), ", ", FIXED(N17+_xlfn.NORM.S.INV(0.975)*O17,2), "]")</f>
        <v>0.25 [-0.37, 0.86]</v>
      </c>
      <c r="Q17">
        <f t="shared" ref="Q17" si="55">1/O17^2</f>
        <v>10.158295290618092</v>
      </c>
      <c r="R17" s="126"/>
      <c r="S17" s="126"/>
      <c r="T17" s="126"/>
    </row>
    <row r="18" spans="1:23" x14ac:dyDescent="0.25">
      <c r="A18" s="121" t="s">
        <v>1132</v>
      </c>
      <c r="B18" s="121" t="s">
        <v>1133</v>
      </c>
      <c r="C18" s="121">
        <v>4</v>
      </c>
      <c r="D18" s="121" t="s">
        <v>1121</v>
      </c>
      <c r="E18" s="121">
        <f>(5.28-5.63)-(6.05-5.48)</f>
        <v>-0.91999999999999904</v>
      </c>
      <c r="F18" s="121">
        <v>32</v>
      </c>
      <c r="G18" s="121">
        <v>32</v>
      </c>
      <c r="H18">
        <f t="shared" si="38"/>
        <v>64</v>
      </c>
      <c r="I18" s="121">
        <v>5.63</v>
      </c>
      <c r="J18" s="121">
        <v>5.48</v>
      </c>
      <c r="K18" s="121">
        <v>1.02</v>
      </c>
      <c r="L18" s="121">
        <v>1.23</v>
      </c>
      <c r="M18">
        <f t="shared" ref="M18" si="56">SQRT(((F18-1)*K18^2+(G18-1)*L18^2+F18*G18/H18*(I18-J18)^2)/(H18-1))</f>
        <v>1.1234322409473567</v>
      </c>
      <c r="N18">
        <f t="shared" ref="N18" si="57">E18/M18*(1-3/(4*H18-9))</f>
        <v>-0.80897260894416512</v>
      </c>
      <c r="O18">
        <f t="shared" ref="O18" si="58">SQRT(H18/(F18*G18)+N18^2/(2*(H18-3.94)))</f>
        <v>0.26066873772284888</v>
      </c>
      <c r="P18" t="str">
        <f t="shared" ref="P18" si="59">CONCATENATE(FIXED(N18,2), " [", FIXED(N18-_xlfn.NORM.S.INV(0.975)*O18,2), ", ", FIXED(N18+_xlfn.NORM.S.INV(0.975)*O18,2), "]")</f>
        <v>-0.81 [-1.32, -0.30]</v>
      </c>
      <c r="Q18">
        <f t="shared" ref="Q18" si="60">1/O18^2</f>
        <v>14.717095302219754</v>
      </c>
      <c r="R18">
        <f t="shared" ref="R18" si="61">SUMPRODUCT(N18,Q18)/SUM(Q18)</f>
        <v>-0.80897260894416523</v>
      </c>
      <c r="S18">
        <f t="shared" ref="S18" si="62">1/SQRT(SUM(Q18))</f>
        <v>0.26066873772284888</v>
      </c>
      <c r="T18" t="str">
        <f t="shared" ref="T18" si="63">CONCATENATE(FIXED(R18,2), " [", FIXED(R18-_xlfn.NORM.S.INV(0.975)*S18,2), ", ", FIXED(R18+_xlfn.NORM.S.INV(0.975)*S18,2), "]")</f>
        <v>-0.81 [-1.32, -0.30]</v>
      </c>
    </row>
    <row r="19" spans="1:23" x14ac:dyDescent="0.25">
      <c r="A19" s="121" t="s">
        <v>1132</v>
      </c>
      <c r="B19" s="121" t="s">
        <v>1133</v>
      </c>
      <c r="C19" s="121">
        <v>8</v>
      </c>
      <c r="D19" s="121" t="s">
        <v>1121</v>
      </c>
      <c r="E19" s="121">
        <f>(3.84-5.63)-(5.95-5.48)</f>
        <v>-2.2599999999999998</v>
      </c>
      <c r="F19" s="121">
        <v>32</v>
      </c>
      <c r="G19" s="121">
        <v>32</v>
      </c>
      <c r="H19">
        <f t="shared" ref="H19:H28" si="64">F19+G19</f>
        <v>64</v>
      </c>
      <c r="I19" s="121">
        <v>5.63</v>
      </c>
      <c r="J19" s="121">
        <v>5.48</v>
      </c>
      <c r="K19" s="121">
        <v>1.02</v>
      </c>
      <c r="L19" s="121">
        <v>1.23</v>
      </c>
      <c r="M19">
        <f t="shared" ref="M19:M20" si="65">SQRT(((F19-1)*K19^2+(G19-1)*L19^2+F19*G19/H19*(I19-J19)^2)/(H19-1))</f>
        <v>1.1234322409473567</v>
      </c>
      <c r="N19">
        <f t="shared" ref="N19" si="66">E19/M19*(1-3/(4*H19-9))</f>
        <v>-1.9872588002324079</v>
      </c>
      <c r="O19">
        <f t="shared" ref="O19" si="67">SQRT(H19/(F19*G19)+N19^2/(2*(H19-3.94)))</f>
        <v>0.30883183513057627</v>
      </c>
      <c r="P19" t="str">
        <f t="shared" ref="P19" si="68">CONCATENATE(FIXED(N19,2), " [", FIXED(N19-_xlfn.NORM.S.INV(0.975)*O19,2), ", ", FIXED(N19+_xlfn.NORM.S.INV(0.975)*O19,2), "]")</f>
        <v>-1.99 [-2.59, -1.38]</v>
      </c>
      <c r="Q19">
        <f t="shared" ref="Q19" si="69">1/O19^2</f>
        <v>10.484696797662357</v>
      </c>
      <c r="R19">
        <f t="shared" ref="R19" si="70">SUMPRODUCT(N19,Q19)/SUM(Q19)</f>
        <v>-1.9872588002324081</v>
      </c>
      <c r="S19">
        <f t="shared" ref="S19" si="71">1/SQRT(SUM(Q19))</f>
        <v>0.30883183513057627</v>
      </c>
      <c r="T19" t="str">
        <f t="shared" ref="T19" si="72">CONCATENATE(FIXED(R19,2), " [", FIXED(R19-_xlfn.NORM.S.INV(0.975)*S19,2), ", ", FIXED(R19+_xlfn.NORM.S.INV(0.975)*S19,2), "]")</f>
        <v>-1.99 [-2.59, -1.38]</v>
      </c>
    </row>
    <row r="20" spans="1:23" x14ac:dyDescent="0.25">
      <c r="A20" s="121" t="s">
        <v>1044</v>
      </c>
      <c r="B20" s="121" t="s">
        <v>1141</v>
      </c>
      <c r="C20" s="121">
        <v>12</v>
      </c>
      <c r="D20" s="121" t="s">
        <v>1098</v>
      </c>
      <c r="E20" s="121">
        <v>-2.2999999999999998</v>
      </c>
      <c r="F20" s="121">
        <v>34</v>
      </c>
      <c r="G20" s="121">
        <v>36</v>
      </c>
      <c r="H20">
        <f t="shared" si="64"/>
        <v>70</v>
      </c>
      <c r="I20" s="121">
        <v>8.1</v>
      </c>
      <c r="J20" s="121">
        <v>8</v>
      </c>
      <c r="K20" s="121">
        <v>2.4</v>
      </c>
      <c r="L20" s="121">
        <v>2.4</v>
      </c>
      <c r="M20">
        <f t="shared" si="65"/>
        <v>2.3830769816816906</v>
      </c>
      <c r="N20">
        <f t="shared" ref="N20" si="73">E20/M20*(1-3/(4*H20-9))</f>
        <v>-0.95445458240394587</v>
      </c>
      <c r="O20">
        <f t="shared" ref="O20" si="74">SQRT(H20/(F20*G20)+N20^2/(2*(H20-3.94)))</f>
        <v>0.25314949085481186</v>
      </c>
      <c r="P20" t="str">
        <f t="shared" ref="P20" si="75">CONCATENATE(FIXED(N20,2), " [", FIXED(N20-_xlfn.NORM.S.INV(0.975)*O20,2), ", ", FIXED(N20+_xlfn.NORM.S.INV(0.975)*O20,2), "]")</f>
        <v>-0.95 [-1.45, -0.46]</v>
      </c>
      <c r="Q20">
        <f t="shared" ref="Q20" si="76">1/O20^2</f>
        <v>15.604357210393974</v>
      </c>
      <c r="R20">
        <f t="shared" ref="R20" si="77">SUMPRODUCT(N20,Q20)/SUM(Q20)</f>
        <v>-0.95445458240394587</v>
      </c>
      <c r="S20">
        <f t="shared" ref="S20" si="78">1/SQRT(SUM(Q20))</f>
        <v>0.25314949085481186</v>
      </c>
      <c r="T20" t="str">
        <f t="shared" ref="T20" si="79">CONCATENATE(FIXED(R20,2), " [", FIXED(R20-_xlfn.NORM.S.INV(0.975)*S20,2), ", ", FIXED(R20+_xlfn.NORM.S.INV(0.975)*S20,2), "]")</f>
        <v>-0.95 [-1.45, -0.46]</v>
      </c>
    </row>
    <row r="21" spans="1:23" x14ac:dyDescent="0.25">
      <c r="A21" s="121" t="s">
        <v>1143</v>
      </c>
      <c r="B21" s="121" t="s">
        <v>1144</v>
      </c>
      <c r="C21" s="121">
        <v>12</v>
      </c>
      <c r="D21" s="121" t="s">
        <v>1098</v>
      </c>
      <c r="E21" s="121">
        <f>-23.8--15.3</f>
        <v>-8.5</v>
      </c>
      <c r="F21" s="121">
        <v>29</v>
      </c>
      <c r="G21" s="121">
        <v>28</v>
      </c>
      <c r="H21">
        <f t="shared" si="64"/>
        <v>57</v>
      </c>
      <c r="I21" s="121">
        <v>210.8</v>
      </c>
      <c r="J21" s="121">
        <v>198.6</v>
      </c>
      <c r="K21" s="121">
        <v>86.3</v>
      </c>
      <c r="L21" s="121">
        <v>110.9</v>
      </c>
      <c r="M21">
        <f t="shared" ref="M21" si="80">SQRT(((F21-1)*K21^2+(G21-1)*L21^2+F21*G21/H21*(I21-J21)^2)/(H21-1))</f>
        <v>98.445371652885171</v>
      </c>
      <c r="N21">
        <f t="shared" ref="N21" si="81">E21/M21*(1-3/(4*H21-9))</f>
        <v>-8.515953064198642E-2</v>
      </c>
      <c r="O21">
        <f t="shared" ref="O21" si="82">SQRT(H21/(F21*G21)+N21^2/(2*(H21-3.94)))</f>
        <v>0.26507618421585005</v>
      </c>
      <c r="P21" t="str">
        <f t="shared" ref="P21" si="83">CONCATENATE(FIXED(N21,2), " [", FIXED(N21-_xlfn.NORM.S.INV(0.975)*O21,2), ", ", FIXED(N21+_xlfn.NORM.S.INV(0.975)*O21,2), "]")</f>
        <v>-0.09 [-0.60, 0.43]</v>
      </c>
      <c r="Q21">
        <f t="shared" ref="Q21" si="84">1/O21^2</f>
        <v>14.231758955335017</v>
      </c>
      <c r="R21">
        <f>SUMPRODUCT(N21:N28,Q21:Q28)/SUM(Q21:Q28)</f>
        <v>-0.24040532283819432</v>
      </c>
      <c r="S21">
        <f>1/SQRT(SUM(Q21:Q28))</f>
        <v>3.8467811166937725E-2</v>
      </c>
      <c r="T21" t="str">
        <f>CONCATENATE(FIXED(R21,2), " [", FIXED(R21-_xlfn.NORM.S.INV(0.975)*S21,2), ", ", FIXED(R21+_xlfn.NORM.S.INV(0.975)*S21,2), "]")</f>
        <v>-0.24 [-0.32, -0.17]</v>
      </c>
    </row>
    <row r="22" spans="1:23" x14ac:dyDescent="0.25">
      <c r="A22" s="121" t="s">
        <v>1143</v>
      </c>
      <c r="B22" s="121" t="s">
        <v>1145</v>
      </c>
      <c r="C22" s="121">
        <v>6</v>
      </c>
      <c r="D22" s="121" t="s">
        <v>1121</v>
      </c>
      <c r="E22" s="121">
        <v>0</v>
      </c>
      <c r="F22" s="121">
        <v>405</v>
      </c>
      <c r="G22" s="121">
        <v>374</v>
      </c>
      <c r="H22">
        <f t="shared" si="64"/>
        <v>779</v>
      </c>
      <c r="I22" s="121">
        <v>66.7</v>
      </c>
      <c r="J22" s="121">
        <v>69</v>
      </c>
      <c r="K22" s="121">
        <v>18</v>
      </c>
      <c r="L22" s="121">
        <v>17</v>
      </c>
      <c r="M22">
        <f t="shared" ref="M22" si="85">SQRT(((F22-1)*K22^2+(G22-1)*L22^2+F22*G22/H22*(I22-J22)^2)/(H22-1))</f>
        <v>17.553502350143035</v>
      </c>
      <c r="N22">
        <f t="shared" ref="N22" si="86">E22/M22*(1-3/(4*H22-9))</f>
        <v>0</v>
      </c>
      <c r="O22">
        <f t="shared" ref="O22" si="87">SQRT(H22/(F22*G22)+N22^2/(2*(H22-3.94)))</f>
        <v>7.1714242615487381E-2</v>
      </c>
      <c r="P22" t="str">
        <f t="shared" ref="P22" si="88">CONCATENATE(FIXED(N22,2), " [", FIXED(N22-_xlfn.NORM.S.INV(0.975)*O22,2), ", ", FIXED(N22+_xlfn.NORM.S.INV(0.975)*O22,2), "]")</f>
        <v>0.00 [-0.14, 0.14]</v>
      </c>
      <c r="Q22">
        <f t="shared" ref="Q22" si="89">1/O22^2</f>
        <v>194.44159178433887</v>
      </c>
      <c r="R22" s="126" t="s">
        <v>1117</v>
      </c>
      <c r="S22" s="126" t="s">
        <v>1117</v>
      </c>
      <c r="T22" s="126" t="s">
        <v>1117</v>
      </c>
    </row>
    <row r="23" spans="1:23" x14ac:dyDescent="0.25">
      <c r="A23" s="121" t="s">
        <v>1143</v>
      </c>
      <c r="B23" s="121" t="s">
        <v>1146</v>
      </c>
      <c r="C23" s="121">
        <v>6</v>
      </c>
      <c r="D23" s="121" t="s">
        <v>1121</v>
      </c>
      <c r="E23" s="121">
        <f>-17.4--10.5</f>
        <v>-6.8999999999999986</v>
      </c>
      <c r="F23" s="121">
        <v>171</v>
      </c>
      <c r="G23" s="121">
        <v>172</v>
      </c>
      <c r="H23">
        <f t="shared" si="64"/>
        <v>343</v>
      </c>
      <c r="I23" s="121">
        <v>67.5</v>
      </c>
      <c r="J23" s="121">
        <v>64</v>
      </c>
      <c r="K23" s="121">
        <f>1.17*SQRT(F23)</f>
        <v>15.299735291827764</v>
      </c>
      <c r="L23" s="121">
        <f>1.16*SQRT(G23)</f>
        <v>15.213257376380639</v>
      </c>
      <c r="M23">
        <f t="shared" ref="M23" si="90">SQRT(((F23-1)*K23^2+(G23-1)*L23^2+F23*G23/H23*(I23-J23)^2)/(H23-1))</f>
        <v>15.334586025433765</v>
      </c>
      <c r="N23">
        <f t="shared" ref="N23" si="91">E23/M23*(1-3/(4*H23-9))</f>
        <v>-0.44897285790914199</v>
      </c>
      <c r="O23">
        <f t="shared" ref="O23" si="92">SQRT(H23/(F23*G23)+N23^2/(2*(H23-3.94)))</f>
        <v>0.10935796611221227</v>
      </c>
      <c r="P23" t="str">
        <f t="shared" ref="P23" si="93">CONCATENATE(FIXED(N23,2), " [", FIXED(N23-_xlfn.NORM.S.INV(0.975)*O23,2), ", ", FIXED(N23+_xlfn.NORM.S.INV(0.975)*O23,2), "]")</f>
        <v>-0.45 [-0.66, -0.23]</v>
      </c>
      <c r="Q23">
        <f t="shared" ref="Q23" si="94">1/O23^2</f>
        <v>83.617879736631281</v>
      </c>
      <c r="R23" s="126" t="s">
        <v>1117</v>
      </c>
      <c r="S23" s="126" t="s">
        <v>1117</v>
      </c>
      <c r="T23" s="126" t="s">
        <v>1117</v>
      </c>
    </row>
    <row r="24" spans="1:23" x14ac:dyDescent="0.25">
      <c r="A24" s="121" t="s">
        <v>1143</v>
      </c>
      <c r="B24" s="121" t="s">
        <v>1147</v>
      </c>
      <c r="C24" s="121">
        <v>6</v>
      </c>
      <c r="D24" s="121" t="s">
        <v>1121</v>
      </c>
      <c r="E24" s="121">
        <f>-13.8--7.6</f>
        <v>-6.2000000000000011</v>
      </c>
      <c r="F24" s="121">
        <v>185</v>
      </c>
      <c r="G24" s="121">
        <v>182</v>
      </c>
      <c r="H24">
        <f t="shared" si="64"/>
        <v>367</v>
      </c>
      <c r="I24" s="121">
        <v>64.599999999999994</v>
      </c>
      <c r="J24" s="121">
        <v>64.400000000000006</v>
      </c>
      <c r="K24" s="121">
        <f>1.24*SQRT(F24)</f>
        <v>16.865823430831952</v>
      </c>
      <c r="L24" s="121">
        <f>1.15*SQRT(G24)</f>
        <v>15.514348197716847</v>
      </c>
      <c r="M24">
        <f t="shared" ref="M24" si="95">SQRT(((F24-1)*K24^2+(G24-1)*L24^2+F24*G24/H24*(I24-J24)^2)/(H24-1))</f>
        <v>16.187879898681029</v>
      </c>
      <c r="N24">
        <f t="shared" ref="N24" si="96">E24/M24*(1-3/(4*H24-9))</f>
        <v>-0.38221506342262218</v>
      </c>
      <c r="O24">
        <f t="shared" ref="O24" si="97">SQRT(H24/(F24*G24)+N24^2/(2*(H24-3.94)))</f>
        <v>0.10536176381580166</v>
      </c>
      <c r="P24" t="str">
        <f t="shared" ref="P24" si="98">CONCATENATE(FIXED(N24,2), " [", FIXED(N24-_xlfn.NORM.S.INV(0.975)*O24,2), ", ", FIXED(N24+_xlfn.NORM.S.INV(0.975)*O24,2), "]")</f>
        <v>-0.38 [-0.59, -0.18]</v>
      </c>
      <c r="Q24">
        <f t="shared" ref="Q24" si="99">1/O24^2</f>
        <v>90.081152786901413</v>
      </c>
      <c r="R24" s="126" t="s">
        <v>1117</v>
      </c>
      <c r="S24" s="126" t="s">
        <v>1117</v>
      </c>
      <c r="T24" s="126" t="s">
        <v>1117</v>
      </c>
    </row>
    <row r="25" spans="1:23" x14ac:dyDescent="0.25">
      <c r="A25" s="121" t="s">
        <v>1143</v>
      </c>
      <c r="B25" s="121" t="s">
        <v>1148</v>
      </c>
      <c r="C25" s="121">
        <v>26</v>
      </c>
      <c r="D25" s="121" t="s">
        <v>1098</v>
      </c>
      <c r="E25" s="121">
        <v>-0.5</v>
      </c>
      <c r="F25" s="121">
        <v>108</v>
      </c>
      <c r="G25" s="121">
        <v>104</v>
      </c>
      <c r="H25">
        <f t="shared" si="64"/>
        <v>212</v>
      </c>
      <c r="I25" s="121">
        <v>8</v>
      </c>
      <c r="J25" s="121">
        <v>7.9</v>
      </c>
      <c r="K25" s="121">
        <v>2.9</v>
      </c>
      <c r="L25" s="121">
        <v>3</v>
      </c>
      <c r="M25">
        <f t="shared" ref="M25:M27" si="100">SQRT(((F25-1)*K25^2+(G25-1)*L25^2+F25*G25/H25*(I25-J25)^2)/(H25-1))</f>
        <v>2.9429003742727295</v>
      </c>
      <c r="N25">
        <f t="shared" ref="N25" si="101">E25/M25*(1-3/(4*H25-9))</f>
        <v>-0.16929290630617308</v>
      </c>
      <c r="O25">
        <f t="shared" ref="O25" si="102">SQRT(H25/(F25*G25)+N25^2/(2*(H25-3.94)))</f>
        <v>0.13763545491474069</v>
      </c>
      <c r="P25" t="str">
        <f t="shared" ref="P25" si="103">CONCATENATE(FIXED(N25,2), " [", FIXED(N25-_xlfn.NORM.S.INV(0.975)*O25,2), ", ", FIXED(N25+_xlfn.NORM.S.INV(0.975)*O25,2), "]")</f>
        <v>-0.17 [-0.44, 0.10]</v>
      </c>
      <c r="Q25">
        <f t="shared" ref="Q25" si="104">1/O25^2</f>
        <v>52.788504029026832</v>
      </c>
      <c r="R25" s="126" t="s">
        <v>1117</v>
      </c>
      <c r="S25" s="126" t="s">
        <v>1117</v>
      </c>
      <c r="T25" s="126" t="s">
        <v>1117</v>
      </c>
    </row>
    <row r="26" spans="1:23" x14ac:dyDescent="0.25">
      <c r="A26" s="121" t="s">
        <v>1143</v>
      </c>
      <c r="B26" s="121" t="s">
        <v>1149</v>
      </c>
      <c r="C26" s="121">
        <v>12</v>
      </c>
      <c r="D26" s="121" t="s">
        <v>1098</v>
      </c>
      <c r="E26" s="121">
        <f>-26.5--19.6</f>
        <v>-6.8999999999999986</v>
      </c>
      <c r="F26" s="121">
        <v>160</v>
      </c>
      <c r="G26" s="121">
        <v>83</v>
      </c>
      <c r="H26">
        <f t="shared" si="64"/>
        <v>243</v>
      </c>
      <c r="I26" s="121">
        <v>68.900000000000006</v>
      </c>
      <c r="J26" s="121">
        <v>66.3</v>
      </c>
      <c r="K26" s="121">
        <v>19.7</v>
      </c>
      <c r="L26" s="121">
        <v>19.3</v>
      </c>
      <c r="M26">
        <f t="shared" si="100"/>
        <v>19.563408814043598</v>
      </c>
      <c r="N26">
        <f t="shared" ref="N26:N27" si="105">E26/M26*(1-3/(4*H26-9))</f>
        <v>-0.3516005180017226</v>
      </c>
      <c r="O26">
        <f t="shared" ref="O26:O27" si="106">SQRT(H26/(F26*G26)+N26^2/(2*(H26-3.94)))</f>
        <v>0.13622317433193537</v>
      </c>
      <c r="P26" t="str">
        <f t="shared" ref="P26:P27" si="107">CONCATENATE(FIXED(N26,2), " [", FIXED(N26-_xlfn.NORM.S.INV(0.975)*O26,2), ", ", FIXED(N26+_xlfn.NORM.S.INV(0.975)*O26,2), "]")</f>
        <v>-0.35 [-0.62, -0.08]</v>
      </c>
      <c r="Q26">
        <f t="shared" ref="Q26:Q27" si="108">1/O26^2</f>
        <v>53.888737316885319</v>
      </c>
      <c r="R26" s="126" t="s">
        <v>1117</v>
      </c>
      <c r="S26" s="126" t="s">
        <v>1117</v>
      </c>
      <c r="T26" s="126" t="s">
        <v>1117</v>
      </c>
    </row>
    <row r="27" spans="1:23" x14ac:dyDescent="0.25">
      <c r="A27" s="121" t="s">
        <v>1143</v>
      </c>
      <c r="B27" s="121" t="s">
        <v>1150</v>
      </c>
      <c r="C27" s="121">
        <v>12</v>
      </c>
      <c r="D27" s="121" t="s">
        <v>1098</v>
      </c>
      <c r="E27" s="121">
        <f>-22.8--19.6</f>
        <v>-3.1999999999999993</v>
      </c>
      <c r="F27" s="121">
        <v>158</v>
      </c>
      <c r="G27" s="121">
        <v>82</v>
      </c>
      <c r="H27">
        <f t="shared" si="64"/>
        <v>240</v>
      </c>
      <c r="I27" s="121">
        <v>67.900000000000006</v>
      </c>
      <c r="J27" s="121">
        <v>66.3</v>
      </c>
      <c r="K27" s="121">
        <v>16.5</v>
      </c>
      <c r="L27" s="121">
        <v>19.3</v>
      </c>
      <c r="M27">
        <f t="shared" si="100"/>
        <v>17.483182275620372</v>
      </c>
      <c r="N27">
        <f t="shared" si="105"/>
        <v>-0.18245564866209887</v>
      </c>
      <c r="O27">
        <f t="shared" si="106"/>
        <v>0.13636255990761947</v>
      </c>
      <c r="P27" t="str">
        <f t="shared" si="107"/>
        <v>-0.18 [-0.45, 0.08]</v>
      </c>
      <c r="Q27">
        <f t="shared" si="108"/>
        <v>53.778626832547573</v>
      </c>
      <c r="R27" s="126" t="s">
        <v>1117</v>
      </c>
      <c r="S27" s="126" t="s">
        <v>1117</v>
      </c>
      <c r="T27" s="126" t="s">
        <v>1117</v>
      </c>
    </row>
    <row r="28" spans="1:23" x14ac:dyDescent="0.25">
      <c r="A28" s="121" t="s">
        <v>1143</v>
      </c>
      <c r="B28" s="121" t="s">
        <v>1151</v>
      </c>
      <c r="C28" s="121">
        <v>12</v>
      </c>
      <c r="D28" s="121" t="s">
        <v>1098</v>
      </c>
      <c r="E28" s="121">
        <f>-29.96--25.75</f>
        <v>-4.2100000000000009</v>
      </c>
      <c r="F28" s="121">
        <v>267</v>
      </c>
      <c r="G28" s="121">
        <v>275</v>
      </c>
      <c r="H28">
        <f t="shared" si="64"/>
        <v>542</v>
      </c>
      <c r="I28" s="121">
        <v>78.900000000000006</v>
      </c>
      <c r="J28" s="121">
        <v>80.8</v>
      </c>
      <c r="K28" s="121">
        <v>11.1</v>
      </c>
      <c r="L28" s="121">
        <v>10.51</v>
      </c>
      <c r="M28">
        <f t="shared" ref="M28" si="109">SQRT(((F28-1)*K28^2+(G28-1)*L28^2+F28*G28/H28*(I28-J28)^2)/(H28-1))</f>
        <v>10.836456561833968</v>
      </c>
      <c r="N28">
        <f t="shared" ref="N28" si="110">E28/M28*(1-3/(4*H28-9))</f>
        <v>-0.3879635419094134</v>
      </c>
      <c r="O28">
        <f t="shared" ref="O28" si="111">SQRT(H28/(F28*G28)+N28^2/(2*(H28-3.94)))</f>
        <v>8.6726875179333029E-2</v>
      </c>
      <c r="P28" t="str">
        <f t="shared" ref="P28" si="112">CONCATENATE(FIXED(N28,2), " [", FIXED(N28-_xlfn.NORM.S.INV(0.975)*O28,2), ", ", FIXED(N28+_xlfn.NORM.S.INV(0.975)*O28,2), "]")</f>
        <v>-0.39 [-0.56, -0.22]</v>
      </c>
      <c r="Q28">
        <f t="shared" ref="Q28" si="113">1/O28^2</f>
        <v>132.9513043480863</v>
      </c>
      <c r="R28" s="126" t="s">
        <v>1117</v>
      </c>
      <c r="S28" s="126" t="s">
        <v>1117</v>
      </c>
      <c r="T28" s="126" t="s">
        <v>1117</v>
      </c>
    </row>
    <row r="29" spans="1:23" x14ac:dyDescent="0.25">
      <c r="A29" s="121" t="s">
        <v>1143</v>
      </c>
      <c r="B29" s="121" t="s">
        <v>1144</v>
      </c>
      <c r="C29" s="121">
        <v>2</v>
      </c>
      <c r="D29" s="121" t="s">
        <v>1098</v>
      </c>
      <c r="E29" s="121">
        <f>-4.7--1.5</f>
        <v>-3.2</v>
      </c>
      <c r="F29" s="121">
        <v>29</v>
      </c>
      <c r="G29" s="121">
        <v>28</v>
      </c>
      <c r="H29">
        <f>F29+G29</f>
        <v>57</v>
      </c>
      <c r="I29" s="121">
        <v>210.8</v>
      </c>
      <c r="J29" s="121">
        <v>198.6</v>
      </c>
      <c r="K29" s="121">
        <v>86.3</v>
      </c>
      <c r="L29" s="121">
        <v>110.9</v>
      </c>
      <c r="M29">
        <f>SQRT(((F29-1)*K29^2+(G29-1)*L29^2+F29*G29/H29*(I29-J29)^2)/(H29-1))</f>
        <v>98.445371652885171</v>
      </c>
      <c r="N29">
        <f t="shared" ref="N29" si="114">E29/M29*(1-3/(4*H29-9))</f>
        <v>-3.2060058594630181E-2</v>
      </c>
      <c r="O29">
        <f t="shared" ref="O29" si="115">SQRT(H29/(F29*G29)+N29^2/(2*(H29-3.94)))</f>
        <v>0.26496552614104868</v>
      </c>
      <c r="P29" t="str">
        <f t="shared" ref="P29" si="116">CONCATENATE(FIXED(N29,2), " [", FIXED(N29-_xlfn.NORM.S.INV(0.975)*O29,2), ", ", FIXED(N29+_xlfn.NORM.S.INV(0.975)*O29,2), "]")</f>
        <v>-0.03 [-0.55, 0.49]</v>
      </c>
      <c r="Q29">
        <f t="shared" ref="Q29" si="117">1/O29^2</f>
        <v>14.243648712660953</v>
      </c>
    </row>
    <row r="30" spans="1:23" x14ac:dyDescent="0.25">
      <c r="A30" s="121" t="s">
        <v>1143</v>
      </c>
      <c r="B30" s="121" t="s">
        <v>1145</v>
      </c>
      <c r="C30" s="121">
        <v>1</v>
      </c>
      <c r="D30" s="121" t="s">
        <v>1121</v>
      </c>
      <c r="E30" s="121">
        <f>-16--15</f>
        <v>-1</v>
      </c>
      <c r="F30" s="121">
        <v>405</v>
      </c>
      <c r="G30" s="121">
        <v>374</v>
      </c>
      <c r="H30">
        <f>F30+G30</f>
        <v>779</v>
      </c>
      <c r="I30" s="121">
        <v>66.7</v>
      </c>
      <c r="J30" s="121">
        <v>69</v>
      </c>
      <c r="K30" s="121">
        <v>18</v>
      </c>
      <c r="L30" s="121">
        <v>17</v>
      </c>
      <c r="M30">
        <f>SQRT(((F30-1)*K30^2+(G30-1)*L30^2+F30*G30/H30*(I30-J30)^2)/(H30-1))</f>
        <v>17.553502350143035</v>
      </c>
      <c r="N30">
        <f>E30/M30*(1-3/(4*H30-9))</f>
        <v>-5.6913681294880829E-2</v>
      </c>
      <c r="O30">
        <f>SQRT(H30/(F30*G30)+N30^2/(2*(H30-3.94)))</f>
        <v>7.1728810232524073E-2</v>
      </c>
      <c r="P30" t="str">
        <f>CONCATENATE(FIXED(N30,2), " [", FIXED(N30-_xlfn.NORM.S.INV(0.975)*O30,2), ", ", FIXED(N30+_xlfn.NORM.S.INV(0.975)*O30,2), "]")</f>
        <v>-0.06 [-0.20, 0.08]</v>
      </c>
      <c r="Q30">
        <f>1/O30^2</f>
        <v>194.36262036405805</v>
      </c>
    </row>
    <row r="31" spans="1:23" x14ac:dyDescent="0.25">
      <c r="A31" s="121" t="s">
        <v>1156</v>
      </c>
      <c r="B31" s="121" t="s">
        <v>1157</v>
      </c>
      <c r="C31" s="121">
        <v>1</v>
      </c>
      <c r="D31" s="121" t="s">
        <v>1121</v>
      </c>
      <c r="E31" s="121">
        <f>(6.41-6.27)-(7.67-6.64)</f>
        <v>-0.88999999999999968</v>
      </c>
      <c r="F31" s="121">
        <v>65</v>
      </c>
      <c r="G31" s="121">
        <v>34</v>
      </c>
      <c r="H31">
        <f>F31+G31</f>
        <v>99</v>
      </c>
      <c r="I31" s="137" t="s">
        <v>1122</v>
      </c>
      <c r="J31" s="137"/>
      <c r="K31" s="137"/>
      <c r="L31" s="137"/>
      <c r="M31">
        <v>1.64</v>
      </c>
      <c r="N31">
        <f>E31/M31*(1-3/(4*H31-9))</f>
        <v>-0.53847608243524281</v>
      </c>
      <c r="O31">
        <f>SQRT(H31/(F31*G31)+N31^2/(2*(H31-3.94)))</f>
        <v>0.21522431008408163</v>
      </c>
      <c r="P31" t="str">
        <f>CONCATENATE(FIXED(N31,2), " [", FIXED(N31-_xlfn.NORM.S.INV(0.975)*O31,2), ", ", FIXED(N31+_xlfn.NORM.S.INV(0.975)*O31,2), "]")</f>
        <v>-0.54 [-0.96, -0.12]</v>
      </c>
      <c r="Q31">
        <f>1/O31^2</f>
        <v>21.588245656502234</v>
      </c>
      <c r="R31">
        <f>SUMPRODUCT(N31:N32,Q31:Q32)/SUM(Q31:Q32)</f>
        <v>-0.28937149533631162</v>
      </c>
      <c r="S31">
        <f>1/SQRT(SUM(Q31:Q32))</f>
        <v>0.1509181013553561</v>
      </c>
      <c r="T31" t="str">
        <f>CONCATENATE(FIXED(R31,2), " [", FIXED(R31-_xlfn.NORM.S.INV(0.975)*S31,2), ", ", FIXED(R31+_xlfn.NORM.S.INV(0.975)*S31,2), "]")</f>
        <v>-0.29 [-0.59, 0.01]</v>
      </c>
      <c r="W31" s="134"/>
    </row>
    <row r="32" spans="1:23" x14ac:dyDescent="0.25">
      <c r="A32" s="121" t="s">
        <v>1156</v>
      </c>
      <c r="B32" s="121" t="s">
        <v>1158</v>
      </c>
      <c r="C32" s="121">
        <v>1</v>
      </c>
      <c r="D32" s="121" t="s">
        <v>1121</v>
      </c>
      <c r="E32" s="121">
        <f>(4-4.5)-(4.18-4.6)</f>
        <v>-8.0000000000000071E-2</v>
      </c>
      <c r="F32" s="121">
        <v>34</v>
      </c>
      <c r="G32" s="121">
        <v>65</v>
      </c>
      <c r="H32">
        <f>F32+G32</f>
        <v>99</v>
      </c>
      <c r="I32" s="137" t="s">
        <v>1122</v>
      </c>
      <c r="J32" s="137"/>
      <c r="K32" s="137"/>
      <c r="L32" s="137"/>
      <c r="M32">
        <v>1.64</v>
      </c>
      <c r="N32">
        <f>E32/M32*(1-3/(4*H32-9))</f>
        <v>-4.8402344488561205E-2</v>
      </c>
      <c r="O32">
        <f>SQRT(H32/(F32*G32)+N32^2/(2*(H32-3.94)))</f>
        <v>0.21168066223771539</v>
      </c>
      <c r="P32" t="str">
        <f>CONCATENATE(FIXED(N32,2), " [", FIXED(N32-_xlfn.NORM.S.INV(0.975)*O32,2), ", ", FIXED(N32+_xlfn.NORM.S.INV(0.975)*O32,2), "]")</f>
        <v>-0.05 [-0.46, 0.37]</v>
      </c>
      <c r="Q32">
        <f>1/O32^2</f>
        <v>22.317093294033533</v>
      </c>
      <c r="R32" s="126" t="s">
        <v>1117</v>
      </c>
      <c r="S32" s="126" t="s">
        <v>1117</v>
      </c>
      <c r="T32" s="126" t="s">
        <v>1117</v>
      </c>
    </row>
    <row r="33" spans="1:23" x14ac:dyDescent="0.25">
      <c r="A33" s="121" t="s">
        <v>1156</v>
      </c>
      <c r="B33" s="121" t="s">
        <v>1157</v>
      </c>
      <c r="C33" s="121">
        <v>2</v>
      </c>
      <c r="D33" s="121" t="s">
        <v>1121</v>
      </c>
      <c r="E33" s="121">
        <f>(5.27-6.27)-(6.21-6.64)</f>
        <v>-0.57000000000000028</v>
      </c>
      <c r="F33" s="121">
        <v>65</v>
      </c>
      <c r="G33" s="121">
        <v>34</v>
      </c>
      <c r="H33">
        <f t="shared" ref="H33:H37" si="118">F33+G33</f>
        <v>99</v>
      </c>
      <c r="I33" s="137" t="s">
        <v>1122</v>
      </c>
      <c r="J33" s="137"/>
      <c r="K33" s="137"/>
      <c r="L33" s="137"/>
      <c r="M33">
        <v>1.64</v>
      </c>
      <c r="N33">
        <f t="shared" ref="N33:N37" si="119">E33/M33*(1-3/(4*H33-9))</f>
        <v>-0.34486670448099849</v>
      </c>
      <c r="O33">
        <f t="shared" ref="O33:O37" si="120">SQRT(H33/(F33*G33)+N33^2/(2*(H33-3.94)))</f>
        <v>0.21312425573704277</v>
      </c>
      <c r="P33" t="str">
        <f t="shared" ref="P33:P37" si="121">CONCATENATE(FIXED(N33,2), " [", FIXED(N33-_xlfn.NORM.S.INV(0.975)*O33,2), ", ", FIXED(N33+_xlfn.NORM.S.INV(0.975)*O33,2), "]")</f>
        <v>-0.34 [-0.76, 0.07]</v>
      </c>
      <c r="Q33">
        <f t="shared" ref="Q33:Q37" si="122">1/O33^2</f>
        <v>22.015788304756121</v>
      </c>
      <c r="R33">
        <f>SUMPRODUCT(N33:N34,Q33:Q34)/SUM(Q33:Q34)</f>
        <v>-0.33578485504047439</v>
      </c>
      <c r="S33">
        <f>1/SQRT(SUM(Q33:Q34))</f>
        <v>0.15064837790747942</v>
      </c>
      <c r="T33" t="str">
        <f>CONCATENATE(FIXED(R33,2), " [", FIXED(R33-_xlfn.NORM.S.INV(0.975)*S33,2), ", ", FIXED(R33+_xlfn.NORM.S.INV(0.975)*S33,2), "]")</f>
        <v>-0.34 [-0.63, -0.04]</v>
      </c>
      <c r="W33" s="134"/>
    </row>
    <row r="34" spans="1:23" x14ac:dyDescent="0.25">
      <c r="A34" s="121" t="s">
        <v>1156</v>
      </c>
      <c r="B34" s="121" t="s">
        <v>1158</v>
      </c>
      <c r="C34" s="121">
        <v>2</v>
      </c>
      <c r="D34" s="121" t="s">
        <v>1121</v>
      </c>
      <c r="E34" s="121">
        <f>(3.53-4.5)-(4.17-4.6)</f>
        <v>-0.54000000000000048</v>
      </c>
      <c r="F34" s="121">
        <v>34</v>
      </c>
      <c r="G34" s="121">
        <v>65</v>
      </c>
      <c r="H34">
        <f>F34+G34</f>
        <v>99</v>
      </c>
      <c r="I34" s="137" t="s">
        <v>1122</v>
      </c>
      <c r="J34" s="137"/>
      <c r="K34" s="137"/>
      <c r="L34" s="137"/>
      <c r="M34">
        <v>1.64</v>
      </c>
      <c r="N34">
        <f>E34/M34*(1-3/(4*H34-9))</f>
        <v>-0.32671582529778814</v>
      </c>
      <c r="O34">
        <f>SQRT(H34/(F34*G34)+N34^2/(2*(H34-3.94)))</f>
        <v>0.21297378234334224</v>
      </c>
      <c r="P34" t="str">
        <f>CONCATENATE(FIXED(N34,2), " [", FIXED(N34-_xlfn.NORM.S.INV(0.975)*O34,2), ", ", FIXED(N34+_xlfn.NORM.S.INV(0.975)*O34,2), "]")</f>
        <v>-0.33 [-0.74, 0.09]</v>
      </c>
      <c r="Q34">
        <f>1/O34^2</f>
        <v>22.046909137054158</v>
      </c>
      <c r="R34" s="126" t="s">
        <v>1117</v>
      </c>
      <c r="S34" s="126" t="s">
        <v>1117</v>
      </c>
      <c r="T34" s="126" t="s">
        <v>1117</v>
      </c>
    </row>
    <row r="35" spans="1:23" x14ac:dyDescent="0.25">
      <c r="A35" s="121" t="s">
        <v>1156</v>
      </c>
      <c r="B35" s="121" t="s">
        <v>1157</v>
      </c>
      <c r="C35" s="121">
        <v>3</v>
      </c>
      <c r="D35" s="121" t="s">
        <v>1121</v>
      </c>
      <c r="E35" s="121">
        <f>(5.04-6.27)-(5.51-6.64)</f>
        <v>-9.9999999999999645E-2</v>
      </c>
      <c r="F35" s="121">
        <v>65</v>
      </c>
      <c r="G35" s="121">
        <v>34</v>
      </c>
      <c r="H35">
        <f t="shared" si="118"/>
        <v>99</v>
      </c>
      <c r="I35" s="137" t="s">
        <v>1122</v>
      </c>
      <c r="J35" s="137"/>
      <c r="K35" s="137"/>
      <c r="L35" s="137"/>
      <c r="M35">
        <v>1.64</v>
      </c>
      <c r="N35">
        <f t="shared" si="119"/>
        <v>-6.0502930610701243E-2</v>
      </c>
      <c r="O35">
        <f t="shared" si="120"/>
        <v>0.21169703415501362</v>
      </c>
      <c r="P35" t="str">
        <f t="shared" si="121"/>
        <v>-0.06 [-0.48, 0.35]</v>
      </c>
      <c r="Q35">
        <f t="shared" si="122"/>
        <v>22.313641573712189</v>
      </c>
      <c r="R35">
        <f>SUMPRODUCT(N35:N36,Q35:Q36)/SUM(Q35:Q36)</f>
        <v>-0.22542459639693946</v>
      </c>
      <c r="S35">
        <f>1/SQRT(SUM(Q35:Q36))</f>
        <v>0.15034836832933232</v>
      </c>
      <c r="T35" t="str">
        <f>CONCATENATE(FIXED(R35,2), " [", FIXED(R35-_xlfn.NORM.S.INV(0.975)*S35,2), ", ", FIXED(R35+_xlfn.NORM.S.INV(0.975)*S35,2), "]")</f>
        <v>-0.23 [-0.52, 0.07]</v>
      </c>
      <c r="W35" s="134"/>
    </row>
    <row r="36" spans="1:23" x14ac:dyDescent="0.25">
      <c r="A36" s="121" t="s">
        <v>1156</v>
      </c>
      <c r="B36" s="121" t="s">
        <v>1158</v>
      </c>
      <c r="C36" s="121">
        <v>3</v>
      </c>
      <c r="D36" s="121" t="s">
        <v>1121</v>
      </c>
      <c r="E36" s="121">
        <f>(3.18-4.5)-(3.93-4.6)</f>
        <v>-0.65000000000000036</v>
      </c>
      <c r="F36" s="121">
        <v>34</v>
      </c>
      <c r="G36" s="121">
        <v>65</v>
      </c>
      <c r="H36">
        <f>F36+G36</f>
        <v>99</v>
      </c>
      <c r="I36" s="137" t="s">
        <v>1122</v>
      </c>
      <c r="J36" s="137"/>
      <c r="K36" s="137"/>
      <c r="L36" s="137"/>
      <c r="M36">
        <v>1.64</v>
      </c>
      <c r="N36">
        <f>E36/M36*(1-3/(4*H36-9))</f>
        <v>-0.39326904896955972</v>
      </c>
      <c r="O36">
        <f>SQRT(H36/(F36*G36)+N36^2/(2*(H36-3.94)))</f>
        <v>0.21356467211524832</v>
      </c>
      <c r="P36" t="str">
        <f>CONCATENATE(FIXED(N36,2), " [", FIXED(N36-_xlfn.NORM.S.INV(0.975)*O36,2), ", ", FIXED(N36+_xlfn.NORM.S.INV(0.975)*O36,2), "]")</f>
        <v>-0.39 [-0.81, 0.03]</v>
      </c>
      <c r="Q36">
        <f>1/O36^2</f>
        <v>21.925079332017056</v>
      </c>
      <c r="R36" s="126" t="s">
        <v>1117</v>
      </c>
      <c r="S36" s="126" t="s">
        <v>1117</v>
      </c>
      <c r="T36" s="126" t="s">
        <v>1117</v>
      </c>
    </row>
    <row r="37" spans="1:23" x14ac:dyDescent="0.25">
      <c r="A37" s="121" t="s">
        <v>1156</v>
      </c>
      <c r="B37" s="121" t="s">
        <v>1157</v>
      </c>
      <c r="C37" s="121">
        <v>4</v>
      </c>
      <c r="D37" s="121" t="s">
        <v>1121</v>
      </c>
      <c r="E37" s="121">
        <f>(4.46-6.27)-(4.56-6.64)</f>
        <v>0.27000000000000046</v>
      </c>
      <c r="F37" s="121">
        <v>65</v>
      </c>
      <c r="G37" s="121">
        <v>34</v>
      </c>
      <c r="H37">
        <f t="shared" si="118"/>
        <v>99</v>
      </c>
      <c r="I37" s="137" t="s">
        <v>1122</v>
      </c>
      <c r="J37" s="137"/>
      <c r="K37" s="137"/>
      <c r="L37" s="137"/>
      <c r="M37">
        <v>1.64</v>
      </c>
      <c r="N37">
        <f t="shared" si="119"/>
        <v>0.16335791264889421</v>
      </c>
      <c r="O37">
        <f t="shared" si="120"/>
        <v>0.21198288388282821</v>
      </c>
      <c r="P37" t="str">
        <f t="shared" si="121"/>
        <v>0.16 [-0.25, 0.58]</v>
      </c>
      <c r="Q37">
        <f t="shared" si="122"/>
        <v>22.253504191009085</v>
      </c>
      <c r="R37">
        <f>SUMPRODUCT(N37:N38,Q37:Q38)/SUM(Q37:Q38)</f>
        <v>-0.36359343980076914</v>
      </c>
      <c r="S37">
        <f>1/SQRT(SUM(Q37:Q38))</f>
        <v>0.15346009848562606</v>
      </c>
      <c r="T37" t="str">
        <f>CONCATENATE(FIXED(R37,2), " [", FIXED(R37-_xlfn.NORM.S.INV(0.975)*S37,2), ", ", FIXED(R37+_xlfn.NORM.S.INV(0.975)*S37,2), "]")</f>
        <v>-0.36 [-0.66, -0.06]</v>
      </c>
      <c r="W37" s="134"/>
    </row>
    <row r="38" spans="1:23" x14ac:dyDescent="0.25">
      <c r="A38" s="121" t="s">
        <v>1156</v>
      </c>
      <c r="B38" s="121" t="s">
        <v>1158</v>
      </c>
      <c r="C38" s="121">
        <v>4</v>
      </c>
      <c r="D38" s="121" t="s">
        <v>1121</v>
      </c>
      <c r="E38" s="121">
        <f>(2.03-4.5)-(3.69-4.6)</f>
        <v>-1.5600000000000005</v>
      </c>
      <c r="F38" s="121">
        <v>34</v>
      </c>
      <c r="G38" s="121">
        <v>65</v>
      </c>
      <c r="H38">
        <f t="shared" ref="H38:H51" si="123">F38+G38</f>
        <v>99</v>
      </c>
      <c r="I38" s="137" t="s">
        <v>1122</v>
      </c>
      <c r="J38" s="137"/>
      <c r="K38" s="137"/>
      <c r="L38" s="137"/>
      <c r="M38">
        <v>1.64</v>
      </c>
      <c r="N38">
        <f t="shared" ref="N38:N40" si="124">E38/M38*(1-3/(4*H38-9))</f>
        <v>-0.94384571752694313</v>
      </c>
      <c r="O38">
        <f t="shared" ref="O38:O40" si="125">SQRT(H38/(F38*G38)+N38^2/(2*(H38-3.94)))</f>
        <v>0.22244567251629202</v>
      </c>
      <c r="P38" t="str">
        <f t="shared" ref="P38:P40" si="126">CONCATENATE(FIXED(N38,2), " [", FIXED(N38-_xlfn.NORM.S.INV(0.975)*O38,2), ", ", FIXED(N38+_xlfn.NORM.S.INV(0.975)*O38,2), "]")</f>
        <v>-0.94 [-1.38, -0.51]</v>
      </c>
      <c r="Q38">
        <f t="shared" ref="Q38:Q40" si="127">1/O38^2</f>
        <v>20.209337524962432</v>
      </c>
      <c r="R38" s="126" t="s">
        <v>1117</v>
      </c>
      <c r="S38" s="126" t="s">
        <v>1117</v>
      </c>
      <c r="T38" s="126" t="s">
        <v>1117</v>
      </c>
    </row>
    <row r="39" spans="1:23" x14ac:dyDescent="0.25">
      <c r="A39" s="121" t="s">
        <v>1160</v>
      </c>
      <c r="B39" s="121" t="s">
        <v>1161</v>
      </c>
      <c r="C39" s="121">
        <v>156</v>
      </c>
      <c r="D39" s="121" t="s">
        <v>1121</v>
      </c>
      <c r="E39" s="121">
        <f>(445*-22.9+454*-28.5)/899--24.2</f>
        <v>-1.5280311457174633</v>
      </c>
      <c r="F39" s="121">
        <v>899</v>
      </c>
      <c r="G39" s="121">
        <v>472</v>
      </c>
      <c r="H39">
        <f t="shared" ref="H39" si="128">F39+G39</f>
        <v>1371</v>
      </c>
      <c r="I39" s="121">
        <f>(445*51.6+454*55.7)/899</f>
        <v>53.670522803114572</v>
      </c>
      <c r="J39" s="121">
        <v>53.7</v>
      </c>
      <c r="K39" s="121">
        <f>SQRT((445*22.4^2+454*22.1^2+445*454/899*(55.7-51.6)^2)/898)</f>
        <v>22.355674427872586</v>
      </c>
      <c r="L39" s="121">
        <v>22.5</v>
      </c>
      <c r="M39">
        <f t="shared" ref="M39" si="129">SQRT(((F39-1)*K39^2+(G39-1)*L39^2+F39*G39/H39*(I39-J39)^2)/(H39-1))</f>
        <v>22.397259800178052</v>
      </c>
      <c r="N39">
        <f t="shared" ref="N39" si="130">E39/M39*(1-3/(4*H39-9))</f>
        <v>-6.8186638990775275E-2</v>
      </c>
      <c r="O39">
        <f t="shared" ref="O39" si="131">SQRT(H39/(F39*G39)+N39^2/(2*(H39-3.94)))</f>
        <v>5.6856764216308579E-2</v>
      </c>
      <c r="P39" t="str">
        <f t="shared" ref="P39" si="132">CONCATENATE(FIXED(N39,2), " [", FIXED(N39-_xlfn.NORM.S.INV(0.975)*O39,2), ", ", FIXED(N39+_xlfn.NORM.S.INV(0.975)*O39,2), "]")</f>
        <v>-0.07 [-0.18, 0.04]</v>
      </c>
      <c r="Q39">
        <f t="shared" ref="Q39" si="133">1/O39^2</f>
        <v>309.33974292764782</v>
      </c>
      <c r="R39">
        <f t="shared" ref="R39" si="134">SUMPRODUCT(N39,Q39)/SUM(Q39)</f>
        <v>-6.8186638990775275E-2</v>
      </c>
      <c r="S39">
        <f t="shared" ref="S39" si="135">1/SQRT(SUM(Q39))</f>
        <v>5.6856764216308572E-2</v>
      </c>
      <c r="T39" t="str">
        <f t="shared" ref="T39" si="136">CONCATENATE(FIXED(R39,2), " [", FIXED(R39-_xlfn.NORM.S.INV(0.975)*S39,2), ", ", FIXED(R39+_xlfn.NORM.S.INV(0.975)*S39,2), "]")</f>
        <v>-0.07 [-0.18, 0.04]</v>
      </c>
    </row>
    <row r="40" spans="1:23" x14ac:dyDescent="0.25">
      <c r="A40" s="121" t="s">
        <v>1160</v>
      </c>
      <c r="B40" s="121" t="s">
        <v>1161</v>
      </c>
      <c r="C40" s="121">
        <v>156</v>
      </c>
      <c r="D40" s="121" t="s">
        <v>1098</v>
      </c>
      <c r="E40" s="121">
        <f>(445*-14.6+454*-19.1)/899--14.7</f>
        <v>-2.1725250278086783</v>
      </c>
      <c r="F40" s="121">
        <v>899</v>
      </c>
      <c r="G40" s="121">
        <v>472</v>
      </c>
      <c r="H40">
        <f t="shared" si="123"/>
        <v>1371</v>
      </c>
      <c r="I40" s="121">
        <f>(445*42.1+454*44.7)/899</f>
        <v>43.413014460511683</v>
      </c>
      <c r="J40" s="121">
        <v>41.8</v>
      </c>
      <c r="K40" s="121">
        <f>SQRT((445*21^2+454*22.1^2+445*454/899*(44.7-42.1)^2)/898)</f>
        <v>21.613694251799213</v>
      </c>
      <c r="L40" s="121">
        <v>21.5</v>
      </c>
      <c r="M40">
        <f t="shared" ref="M40" si="137">SQRT(((F40-1)*K40^2+(G40-1)*L40^2+F40*G40/H40*(I40-J40)^2)/(H40-1))</f>
        <v>21.580393174688208</v>
      </c>
      <c r="N40">
        <f t="shared" si="124"/>
        <v>-0.10061608171637391</v>
      </c>
      <c r="O40">
        <f t="shared" si="125"/>
        <v>5.6874368647243254E-2</v>
      </c>
      <c r="P40" t="str">
        <f t="shared" si="126"/>
        <v>-0.10 [-0.21, 0.01]</v>
      </c>
      <c r="Q40">
        <f t="shared" si="127"/>
        <v>309.14827153367702</v>
      </c>
      <c r="R40">
        <f t="shared" ref="R40" si="138">SUMPRODUCT(N40,Q40)/SUM(Q40)</f>
        <v>-0.10061608171637391</v>
      </c>
      <c r="S40">
        <f t="shared" ref="S40" si="139">1/SQRT(SUM(Q40))</f>
        <v>5.6874368647243254E-2</v>
      </c>
      <c r="T40" t="str">
        <f t="shared" ref="T40" si="140">CONCATENATE(FIXED(R40,2), " [", FIXED(R40-_xlfn.NORM.S.INV(0.975)*S40,2), ", ", FIXED(R40+_xlfn.NORM.S.INV(0.975)*S40,2), "]")</f>
        <v>-0.10 [-0.21, 0.01]</v>
      </c>
    </row>
    <row r="41" spans="1:23" x14ac:dyDescent="0.25">
      <c r="A41" s="121" t="s">
        <v>1257</v>
      </c>
      <c r="B41" s="121" t="s">
        <v>1161</v>
      </c>
      <c r="C41" s="121">
        <v>156</v>
      </c>
      <c r="D41" s="121" t="s">
        <v>1098</v>
      </c>
      <c r="E41" s="121">
        <f>-19.1--14.7</f>
        <v>-4.4000000000000021</v>
      </c>
      <c r="F41" s="121">
        <v>454</v>
      </c>
      <c r="G41" s="121">
        <v>472</v>
      </c>
      <c r="H41">
        <f t="shared" ref="H41" si="141">F41+G41</f>
        <v>926</v>
      </c>
      <c r="I41" s="121">
        <f>44.7</f>
        <v>44.7</v>
      </c>
      <c r="J41" s="121">
        <v>41.8</v>
      </c>
      <c r="K41" s="121">
        <f>22.1</f>
        <v>22.1</v>
      </c>
      <c r="L41" s="121">
        <v>21.5</v>
      </c>
      <c r="M41">
        <f t="shared" ref="M41" si="142">SQRT(((F41-1)*K41^2+(G41-1)*L41^2+F41*G41/H41*(I41-J41)^2)/(H41-1))</f>
        <v>21.83267225233535</v>
      </c>
      <c r="N41">
        <f t="shared" ref="N41" si="143">E41/M41*(1-3/(4*H41-9))</f>
        <v>-0.2013691935672777</v>
      </c>
      <c r="O41">
        <f t="shared" ref="O41" si="144">SQRT(H41/(F41*G41)+N41^2/(2*(H41-3.94)))</f>
        <v>6.5903534081278331E-2</v>
      </c>
      <c r="P41" t="str">
        <f t="shared" ref="P41" si="145">CONCATENATE(FIXED(N41,2), " [", FIXED(N41-_xlfn.NORM.S.INV(0.975)*O41,2), ", ", FIXED(N41+_xlfn.NORM.S.INV(0.975)*O41,2), "]")</f>
        <v>-0.20 [-0.33, -0.07]</v>
      </c>
      <c r="Q41">
        <f t="shared" ref="Q41" si="146">1/O41^2</f>
        <v>230.24096212965105</v>
      </c>
      <c r="R41">
        <f t="shared" ref="R41" si="147">SUMPRODUCT(N41,Q41)/SUM(Q41)</f>
        <v>-0.2013691935672777</v>
      </c>
      <c r="S41">
        <f t="shared" ref="S41" si="148">1/SQRT(SUM(Q41))</f>
        <v>6.5903534081278331E-2</v>
      </c>
      <c r="T41" t="str">
        <f t="shared" ref="T41" si="149">CONCATENATE(FIXED(R41,2), " [", FIXED(R41-_xlfn.NORM.S.INV(0.975)*S41,2), ", ", FIXED(R41+_xlfn.NORM.S.INV(0.975)*S41,2), "]")</f>
        <v>-0.20 [-0.33, -0.07]</v>
      </c>
    </row>
    <row r="42" spans="1:23" x14ac:dyDescent="0.25">
      <c r="A42" s="121" t="s">
        <v>1162</v>
      </c>
      <c r="B42" s="121" t="s">
        <v>1163</v>
      </c>
      <c r="C42" s="121">
        <v>52</v>
      </c>
      <c r="D42" s="121" t="s">
        <v>1098</v>
      </c>
      <c r="E42" s="121">
        <f>(21*-4.1+41*-3.54+60*-2.87)/122--5.56</f>
        <v>2.2531147540983598</v>
      </c>
      <c r="F42" s="121">
        <v>122</v>
      </c>
      <c r="G42" s="121">
        <v>41</v>
      </c>
      <c r="H42">
        <f t="shared" si="123"/>
        <v>163</v>
      </c>
      <c r="I42" s="121">
        <f>(21*8.8+42*9.7+63*10.4)/126</f>
        <v>9.9</v>
      </c>
      <c r="J42" s="121">
        <v>10.1</v>
      </c>
      <c r="K42" s="121">
        <f>SQRT((20*3.2^2+41*3.4^2+62*2.8^2+21*42/63*(9.7-8.8)^2+63*63/126*(10.4-(21*8.8+42*9.7)/63)^2)/125)</f>
        <v>3.1082857011542551</v>
      </c>
      <c r="L42" s="121">
        <v>2.6</v>
      </c>
      <c r="M42">
        <f>SQRT(((F42-1)*K42^2+(G42-1)*L42^2+F42*G42/H42*(I42-J42)^2)/(H42-1))</f>
        <v>2.9821089197123989</v>
      </c>
      <c r="N42">
        <f t="shared" ref="N42" si="150">E42/M42*(1-3/(4*H42-9))</f>
        <v>0.75201899561731755</v>
      </c>
      <c r="O42">
        <f t="shared" ref="O42" si="151">SQRT(H42/(F42*G42)+N42^2/(2*(H42-3.94)))</f>
        <v>0.18537717949776925</v>
      </c>
      <c r="P42" t="str">
        <f t="shared" ref="P42" si="152">CONCATENATE(FIXED(N42,2), " [", FIXED(N42-_xlfn.NORM.S.INV(0.975)*O42,2), ", ", FIXED(N42+_xlfn.NORM.S.INV(0.975)*O42,2), "]")</f>
        <v>0.75 [0.39, 1.12]</v>
      </c>
      <c r="Q42">
        <f t="shared" ref="Q42" si="153">1/O42^2</f>
        <v>29.099629516735455</v>
      </c>
      <c r="R42">
        <f t="shared" ref="R42" si="154">SUMPRODUCT(N42,Q42)/SUM(Q42)</f>
        <v>0.75201899561731755</v>
      </c>
      <c r="S42">
        <f t="shared" ref="S42" si="155">1/SQRT(SUM(Q42))</f>
        <v>0.18537717949776925</v>
      </c>
      <c r="T42" t="str">
        <f t="shared" ref="T42" si="156">CONCATENATE(FIXED(R42,2), " [", FIXED(R42-_xlfn.NORM.S.INV(0.975)*S42,2), ", ", FIXED(R42+_xlfn.NORM.S.INV(0.975)*S42,2), "]")</f>
        <v>0.75 [0.39, 1.12]</v>
      </c>
    </row>
    <row r="43" spans="1:23" x14ac:dyDescent="0.25">
      <c r="A43" s="121" t="s">
        <v>1166</v>
      </c>
      <c r="B43" s="121" t="s">
        <v>1167</v>
      </c>
      <c r="C43" s="121">
        <v>4</v>
      </c>
      <c r="D43" s="121" t="s">
        <v>1098</v>
      </c>
      <c r="E43" s="121">
        <v>-10.199999999999999</v>
      </c>
      <c r="F43" s="121">
        <v>585</v>
      </c>
      <c r="G43" s="121">
        <v>584</v>
      </c>
      <c r="H43">
        <f t="shared" si="123"/>
        <v>1169</v>
      </c>
      <c r="I43" s="121">
        <v>237</v>
      </c>
      <c r="J43" s="121">
        <v>238</v>
      </c>
      <c r="K43" s="121">
        <v>77</v>
      </c>
      <c r="L43" s="121">
        <v>75</v>
      </c>
      <c r="M43">
        <f t="shared" ref="M43:M50" si="157">SQRT(((F43-1)*K43^2+(G43-1)*L43^2+F43*G43/H43*(I43-J43)^2)/(H43-1))</f>
        <v>75.976537754759946</v>
      </c>
      <c r="N43">
        <f t="shared" ref="N43:N50" si="158">E43/M43*(1-3/(4*H43-9))</f>
        <v>-0.13416567307106764</v>
      </c>
      <c r="O43">
        <f t="shared" ref="O43:O50" si="159">SQRT(H43/(F43*G43)+N43^2/(2*(H43-3.94)))</f>
        <v>5.8561553805991831E-2</v>
      </c>
      <c r="P43" t="str">
        <f t="shared" ref="P43:P50" si="160">CONCATENATE(FIXED(N43,2), " [", FIXED(N43-_xlfn.NORM.S.INV(0.975)*O43,2), ", ", FIXED(N43+_xlfn.NORM.S.INV(0.975)*O43,2), "]")</f>
        <v>-0.13 [-0.25, -0.02]</v>
      </c>
      <c r="Q43">
        <f t="shared" ref="Q43:Q50" si="161">1/O43^2</f>
        <v>291.59147143216774</v>
      </c>
      <c r="R43">
        <f>SUMPRODUCT(N43:N44,Q43:Q44)/SUM(Q43:Q44)</f>
        <v>-5.6616210381621242E-2</v>
      </c>
      <c r="S43">
        <f>1/SQRT(SUM(Q43:Q44))</f>
        <v>4.2697447512175205E-2</v>
      </c>
      <c r="T43" t="str">
        <f>CONCATENATE(FIXED(R43,2), " [", FIXED(R43-_xlfn.NORM.S.INV(0.975)*S43,2), ", ", FIXED(R43+_xlfn.NORM.S.INV(0.975)*S43,2), "]")</f>
        <v>-0.06 [-0.14, 0.03]</v>
      </c>
    </row>
    <row r="44" spans="1:23" x14ac:dyDescent="0.25">
      <c r="A44" s="121" t="s">
        <v>1166</v>
      </c>
      <c r="B44" s="121" t="s">
        <v>1168</v>
      </c>
      <c r="C44" s="121">
        <v>4</v>
      </c>
      <c r="D44" s="121" t="s">
        <v>1098</v>
      </c>
      <c r="E44" s="121">
        <v>2.2000000000000002</v>
      </c>
      <c r="F44" s="121">
        <v>520</v>
      </c>
      <c r="G44" s="121">
        <v>508</v>
      </c>
      <c r="H44">
        <f t="shared" si="123"/>
        <v>1028</v>
      </c>
      <c r="I44" s="121">
        <v>244</v>
      </c>
      <c r="J44" s="121">
        <v>250</v>
      </c>
      <c r="K44" s="121">
        <v>69</v>
      </c>
      <c r="L44" s="121">
        <v>71</v>
      </c>
      <c r="M44">
        <f t="shared" si="157"/>
        <v>70.025706361389183</v>
      </c>
      <c r="N44">
        <f t="shared" si="158"/>
        <v>3.1394062768407553E-2</v>
      </c>
      <c r="O44">
        <f t="shared" si="159"/>
        <v>6.2386393353257692E-2</v>
      </c>
      <c r="P44" t="str">
        <f t="shared" si="160"/>
        <v>0.03 [-0.09, 0.15]</v>
      </c>
      <c r="Q44">
        <f t="shared" si="161"/>
        <v>256.93320932935052</v>
      </c>
      <c r="R44" s="126" t="s">
        <v>1117</v>
      </c>
      <c r="S44" s="126" t="s">
        <v>1117</v>
      </c>
      <c r="T44" s="126" t="s">
        <v>1117</v>
      </c>
    </row>
    <row r="45" spans="1:23" x14ac:dyDescent="0.25">
      <c r="A45" s="121" t="s">
        <v>1166</v>
      </c>
      <c r="B45" s="121" t="s">
        <v>1167</v>
      </c>
      <c r="C45" s="121">
        <v>26</v>
      </c>
      <c r="D45" s="121" t="s">
        <v>1098</v>
      </c>
      <c r="E45" s="121">
        <v>-8.8000000000000007</v>
      </c>
      <c r="F45" s="121">
        <v>585</v>
      </c>
      <c r="G45" s="121">
        <v>584</v>
      </c>
      <c r="H45">
        <f t="shared" si="123"/>
        <v>1169</v>
      </c>
      <c r="I45" s="121">
        <v>237</v>
      </c>
      <c r="J45" s="121">
        <v>238</v>
      </c>
      <c r="K45" s="121">
        <v>77</v>
      </c>
      <c r="L45" s="121">
        <v>75</v>
      </c>
      <c r="M45">
        <f t="shared" si="157"/>
        <v>75.976537754759946</v>
      </c>
      <c r="N45">
        <f t="shared" si="158"/>
        <v>-0.11575077676719564</v>
      </c>
      <c r="O45">
        <f t="shared" si="159"/>
        <v>5.8544688050921619E-2</v>
      </c>
      <c r="P45" t="str">
        <f t="shared" si="160"/>
        <v>-0.12 [-0.23, 0.00]</v>
      </c>
      <c r="Q45">
        <f t="shared" si="161"/>
        <v>291.75950097970656</v>
      </c>
      <c r="R45">
        <f>SUMPRODUCT(N45:N46,Q45:Q46)/SUM(Q45:Q46)</f>
        <v>-7.1570483133279059E-2</v>
      </c>
      <c r="S45">
        <f>1/SQRT(SUM(Q45:Q46))</f>
        <v>4.2690247913423948E-2</v>
      </c>
      <c r="T45" t="str">
        <f>CONCATENATE(FIXED(R45,2), " [", FIXED(R45-_xlfn.NORM.S.INV(0.975)*S45,2), ", ", FIXED(R45+_xlfn.NORM.S.INV(0.975)*S45,2), "]")</f>
        <v>-0.07 [-0.16, 0.01]</v>
      </c>
    </row>
    <row r="46" spans="1:23" x14ac:dyDescent="0.25">
      <c r="A46" s="121" t="s">
        <v>1166</v>
      </c>
      <c r="B46" s="121" t="s">
        <v>1168</v>
      </c>
      <c r="C46" s="121">
        <v>26</v>
      </c>
      <c r="D46" s="121" t="s">
        <v>1098</v>
      </c>
      <c r="E46" s="121">
        <v>-1.5</v>
      </c>
      <c r="F46" s="121">
        <v>520</v>
      </c>
      <c r="G46" s="121">
        <v>508</v>
      </c>
      <c r="H46">
        <f t="shared" si="123"/>
        <v>1028</v>
      </c>
      <c r="I46" s="121">
        <v>244</v>
      </c>
      <c r="J46" s="121">
        <v>250</v>
      </c>
      <c r="K46" s="121">
        <v>69</v>
      </c>
      <c r="L46" s="121">
        <v>71</v>
      </c>
      <c r="M46">
        <f t="shared" si="157"/>
        <v>70.025706361389183</v>
      </c>
      <c r="N46">
        <f t="shared" si="158"/>
        <v>-2.1405042796641512E-2</v>
      </c>
      <c r="O46">
        <f t="shared" si="159"/>
        <v>6.2384329487919367E-2</v>
      </c>
      <c r="P46" t="str">
        <f t="shared" si="160"/>
        <v>-0.02 [-0.14, 0.10]</v>
      </c>
      <c r="Q46">
        <f t="shared" si="161"/>
        <v>256.95020989089937</v>
      </c>
      <c r="R46" s="126" t="s">
        <v>1117</v>
      </c>
      <c r="S46" s="126" t="s">
        <v>1117</v>
      </c>
      <c r="T46" s="126" t="s">
        <v>1117</v>
      </c>
    </row>
    <row r="47" spans="1:23" x14ac:dyDescent="0.25">
      <c r="A47" s="121" t="s">
        <v>1166</v>
      </c>
      <c r="B47" s="121" t="s">
        <v>1167</v>
      </c>
      <c r="C47" s="121">
        <v>52</v>
      </c>
      <c r="D47" s="121" t="s">
        <v>1098</v>
      </c>
      <c r="E47" s="121">
        <v>-18.3</v>
      </c>
      <c r="F47" s="121">
        <v>585</v>
      </c>
      <c r="G47" s="121">
        <v>584</v>
      </c>
      <c r="H47">
        <f t="shared" si="123"/>
        <v>1169</v>
      </c>
      <c r="I47" s="121">
        <v>237</v>
      </c>
      <c r="J47" s="121">
        <v>238</v>
      </c>
      <c r="K47" s="121">
        <v>77</v>
      </c>
      <c r="L47" s="121">
        <v>75</v>
      </c>
      <c r="M47">
        <f t="shared" si="157"/>
        <v>75.976537754759946</v>
      </c>
      <c r="N47">
        <f t="shared" si="158"/>
        <v>-0.24070900168632728</v>
      </c>
      <c r="O47">
        <f t="shared" si="159"/>
        <v>5.87077209751104E-2</v>
      </c>
      <c r="P47" t="str">
        <f t="shared" si="160"/>
        <v>-0.24 [-0.36, -0.13]</v>
      </c>
      <c r="Q47">
        <f t="shared" si="161"/>
        <v>290.14130299070212</v>
      </c>
      <c r="R47">
        <f>SUMPRODUCT(N47:N48,Q47:Q48)/SUM(Q47:Q48)</f>
        <v>-8.7513378463181593E-2</v>
      </c>
      <c r="S47">
        <f>1/SQRT(SUM(Q47:Q48))</f>
        <v>4.2761988064634146E-2</v>
      </c>
      <c r="T47" t="str">
        <f>CONCATENATE(FIXED(R47,2), " [", FIXED(R47-_xlfn.NORM.S.INV(0.975)*S47,2), ", ", FIXED(R47+_xlfn.NORM.S.INV(0.975)*S47,2), "]")</f>
        <v>-0.09 [-0.17, 0.00]</v>
      </c>
    </row>
    <row r="48" spans="1:23" x14ac:dyDescent="0.25">
      <c r="A48" s="121" t="s">
        <v>1166</v>
      </c>
      <c r="B48" s="121" t="s">
        <v>1168</v>
      </c>
      <c r="C48" s="121">
        <v>52</v>
      </c>
      <c r="D48" s="121" t="s">
        <v>1098</v>
      </c>
      <c r="E48" s="121">
        <v>6</v>
      </c>
      <c r="F48" s="121">
        <v>520</v>
      </c>
      <c r="G48" s="121">
        <v>508</v>
      </c>
      <c r="H48">
        <f t="shared" si="123"/>
        <v>1028</v>
      </c>
      <c r="I48" s="121">
        <v>244</v>
      </c>
      <c r="J48" s="121">
        <v>250</v>
      </c>
      <c r="K48" s="121">
        <v>69</v>
      </c>
      <c r="L48" s="121">
        <v>71</v>
      </c>
      <c r="M48">
        <f t="shared" si="157"/>
        <v>70.025706361389183</v>
      </c>
      <c r="N48">
        <f t="shared" si="158"/>
        <v>8.5620171186566049E-2</v>
      </c>
      <c r="O48">
        <f t="shared" si="159"/>
        <v>6.2411218136202248E-2</v>
      </c>
      <c r="P48" t="str">
        <f t="shared" si="160"/>
        <v>0.09 [-0.04, 0.21]</v>
      </c>
      <c r="Q48">
        <f t="shared" si="161"/>
        <v>256.72885367599781</v>
      </c>
      <c r="R48" s="126" t="s">
        <v>1117</v>
      </c>
      <c r="S48" s="126" t="s">
        <v>1117</v>
      </c>
      <c r="T48" s="126" t="s">
        <v>1117</v>
      </c>
    </row>
    <row r="49" spans="1:22" x14ac:dyDescent="0.25">
      <c r="A49" s="121" t="s">
        <v>1166</v>
      </c>
      <c r="B49" s="121" t="s">
        <v>1167</v>
      </c>
      <c r="C49" s="121">
        <v>104</v>
      </c>
      <c r="D49" s="121" t="s">
        <v>1098</v>
      </c>
      <c r="E49" s="121">
        <v>-21.5</v>
      </c>
      <c r="F49" s="121">
        <v>585</v>
      </c>
      <c r="G49" s="121">
        <v>584</v>
      </c>
      <c r="H49">
        <f t="shared" si="123"/>
        <v>1169</v>
      </c>
      <c r="I49" s="121">
        <v>237</v>
      </c>
      <c r="J49" s="121">
        <v>238</v>
      </c>
      <c r="K49" s="121">
        <v>77</v>
      </c>
      <c r="L49" s="121">
        <v>75</v>
      </c>
      <c r="M49">
        <f t="shared" si="157"/>
        <v>75.976537754759946</v>
      </c>
      <c r="N49">
        <f t="shared" si="158"/>
        <v>-0.28280019323803474</v>
      </c>
      <c r="O49">
        <f t="shared" si="159"/>
        <v>5.8788205880017645E-2</v>
      </c>
      <c r="P49" t="str">
        <f t="shared" si="160"/>
        <v>-0.28 [-0.40, -0.17]</v>
      </c>
      <c r="Q49">
        <f t="shared" si="161"/>
        <v>289.34740191391353</v>
      </c>
      <c r="R49">
        <f>SUMPRODUCT(N49:N50,Q49:Q50)/SUM(Q49:Q50)</f>
        <v>-0.13033381506281486</v>
      </c>
      <c r="S49">
        <f>1/SQRT(SUM(Q49:Q50))</f>
        <v>4.2785973724521524E-2</v>
      </c>
      <c r="T49" t="str">
        <f>CONCATENATE(FIXED(R49,2), " [", FIXED(R49-_xlfn.NORM.S.INV(0.975)*S49,2), ", ", FIXED(R49+_xlfn.NORM.S.INV(0.975)*S49,2), "]")</f>
        <v>-0.13 [-0.21, -0.05]</v>
      </c>
    </row>
    <row r="50" spans="1:22" x14ac:dyDescent="0.25">
      <c r="A50" s="121" t="s">
        <v>1166</v>
      </c>
      <c r="B50" s="121" t="s">
        <v>1168</v>
      </c>
      <c r="C50" s="121">
        <v>104</v>
      </c>
      <c r="D50" s="121" t="s">
        <v>1098</v>
      </c>
      <c r="E50" s="121">
        <v>2.9</v>
      </c>
      <c r="F50" s="121">
        <v>520</v>
      </c>
      <c r="G50" s="121">
        <v>508</v>
      </c>
      <c r="H50">
        <f t="shared" si="123"/>
        <v>1028</v>
      </c>
      <c r="I50" s="121">
        <v>244</v>
      </c>
      <c r="J50" s="121">
        <v>250</v>
      </c>
      <c r="K50" s="121">
        <v>69</v>
      </c>
      <c r="L50" s="121">
        <v>71</v>
      </c>
      <c r="M50">
        <f t="shared" si="157"/>
        <v>70.025706361389183</v>
      </c>
      <c r="N50">
        <f t="shared" si="158"/>
        <v>4.1383082740173598E-2</v>
      </c>
      <c r="O50">
        <f t="shared" si="159"/>
        <v>6.238923802870501E-2</v>
      </c>
      <c r="P50" t="str">
        <f t="shared" si="160"/>
        <v>0.04 [-0.08, 0.16]</v>
      </c>
      <c r="Q50">
        <f t="shared" si="161"/>
        <v>256.90977981001197</v>
      </c>
      <c r="R50" s="126" t="s">
        <v>1117</v>
      </c>
      <c r="S50" s="126" t="s">
        <v>1117</v>
      </c>
      <c r="T50" s="126" t="s">
        <v>1117</v>
      </c>
      <c r="V50" s="134"/>
    </row>
    <row r="51" spans="1:22" x14ac:dyDescent="0.25">
      <c r="A51" s="121" t="s">
        <v>1173</v>
      </c>
      <c r="B51" s="121" t="s">
        <v>1174</v>
      </c>
      <c r="C51" s="121">
        <v>0.5</v>
      </c>
      <c r="D51" s="121" t="s">
        <v>1121</v>
      </c>
      <c r="E51" s="121">
        <f>(67*-25.6+34*-18.5)/101--15.4</f>
        <v>-7.809900990099008</v>
      </c>
      <c r="F51" s="121">
        <v>101</v>
      </c>
      <c r="G51" s="121">
        <v>69</v>
      </c>
      <c r="H51">
        <f t="shared" si="123"/>
        <v>170</v>
      </c>
      <c r="I51" s="137" t="s">
        <v>1122</v>
      </c>
      <c r="J51" s="137"/>
      <c r="K51" s="137"/>
      <c r="L51" s="137"/>
      <c r="M51">
        <v>22.7</v>
      </c>
      <c r="N51">
        <f t="shared" ref="N51" si="162">E51/M51*(1-3/(4*H51-9))</f>
        <v>-0.34251028193741584</v>
      </c>
      <c r="O51">
        <f t="shared" ref="O51" si="163">SQRT(H51/(F51*G51)+N51^2/(2*(H51-3.94)))</f>
        <v>0.15731169487090635</v>
      </c>
      <c r="P51" t="str">
        <f t="shared" ref="P51" si="164">CONCATENATE(FIXED(N51,2), " [", FIXED(N51-_xlfn.NORM.S.INV(0.975)*O51,2), ", ", FIXED(N51+_xlfn.NORM.S.INV(0.975)*O51,2), "]")</f>
        <v>-0.34 [-0.65, -0.03]</v>
      </c>
      <c r="Q51">
        <f t="shared" ref="Q51" si="165">1/O51^2</f>
        <v>40.40898851626504</v>
      </c>
      <c r="R51">
        <f t="shared" ref="R51:R53" si="166">SUMPRODUCT(N51,Q51)/SUM(Q51)</f>
        <v>-0.34251028193741584</v>
      </c>
      <c r="S51">
        <f t="shared" ref="S51:S53" si="167">1/SQRT(SUM(Q51))</f>
        <v>0.15731169487090635</v>
      </c>
      <c r="T51" t="str">
        <f t="shared" ref="T51:T53" si="168">CONCATENATE(FIXED(R51,2), " [", FIXED(R51-_xlfn.NORM.S.INV(0.975)*S51,2), ", ", FIXED(R51+_xlfn.NORM.S.INV(0.975)*S51,2), "]")</f>
        <v>-0.34 [-0.65, -0.03]</v>
      </c>
    </row>
    <row r="52" spans="1:22" x14ac:dyDescent="0.25">
      <c r="A52" s="121" t="s">
        <v>1173</v>
      </c>
      <c r="B52" s="121" t="s">
        <v>1174</v>
      </c>
      <c r="C52" s="121">
        <v>4</v>
      </c>
      <c r="D52" s="121" t="s">
        <v>1121</v>
      </c>
      <c r="E52" s="121">
        <f>(67*-26.2+34*-24.1)/101--21.7</f>
        <v>-3.7930693069306969</v>
      </c>
      <c r="F52" s="121">
        <v>101</v>
      </c>
      <c r="G52" s="121">
        <v>69</v>
      </c>
      <c r="H52">
        <f t="shared" ref="H52:H76" si="169">F52+G52</f>
        <v>170</v>
      </c>
      <c r="I52" s="137" t="s">
        <v>1122</v>
      </c>
      <c r="J52" s="137"/>
      <c r="K52" s="137"/>
      <c r="L52" s="137"/>
      <c r="M52">
        <v>22.7</v>
      </c>
      <c r="N52">
        <f t="shared" ref="N52:N55" si="170">E52/M52*(1-3/(4*H52-9))</f>
        <v>-0.16634849012452355</v>
      </c>
      <c r="O52">
        <f t="shared" ref="O52:O55" si="171">SQRT(H52/(F52*G52)+N52^2/(2*(H52-3.94)))</f>
        <v>0.15645146999282122</v>
      </c>
      <c r="P52" t="str">
        <f t="shared" ref="P52:P55" si="172">CONCATENATE(FIXED(N52,2), " [", FIXED(N52-_xlfn.NORM.S.INV(0.975)*O52,2), ", ", FIXED(N52+_xlfn.NORM.S.INV(0.975)*O52,2), "]")</f>
        <v>-0.17 [-0.47, 0.14]</v>
      </c>
      <c r="Q52">
        <f t="shared" ref="Q52:Q55" si="173">1/O52^2</f>
        <v>40.854575646693988</v>
      </c>
      <c r="R52">
        <f t="shared" si="166"/>
        <v>-0.16634849012452355</v>
      </c>
      <c r="S52">
        <f t="shared" si="167"/>
        <v>0.15645146999282122</v>
      </c>
      <c r="T52" t="str">
        <f t="shared" si="168"/>
        <v>-0.17 [-0.47, 0.14]</v>
      </c>
    </row>
    <row r="53" spans="1:22" x14ac:dyDescent="0.25">
      <c r="A53" s="121" t="s">
        <v>1173</v>
      </c>
      <c r="B53" s="121" t="s">
        <v>1174</v>
      </c>
      <c r="C53" s="121">
        <v>8</v>
      </c>
      <c r="D53" s="121" t="s">
        <v>1121</v>
      </c>
      <c r="E53" s="121">
        <f>(67*-24.5+34*-27.3)/101--20.7</f>
        <v>-4.7425742574257406</v>
      </c>
      <c r="F53" s="121">
        <v>101</v>
      </c>
      <c r="G53" s="121">
        <v>69</v>
      </c>
      <c r="H53">
        <f t="shared" si="169"/>
        <v>170</v>
      </c>
      <c r="I53" s="137" t="s">
        <v>1122</v>
      </c>
      <c r="J53" s="137"/>
      <c r="K53" s="137"/>
      <c r="L53" s="137"/>
      <c r="M53">
        <v>22.7</v>
      </c>
      <c r="N53">
        <f t="shared" si="170"/>
        <v>-0.20798988976676239</v>
      </c>
      <c r="O53">
        <f t="shared" si="171"/>
        <v>0.15660139599535466</v>
      </c>
      <c r="P53" t="str">
        <f t="shared" si="172"/>
        <v>-0.21 [-0.51, 0.10]</v>
      </c>
      <c r="Q53">
        <f t="shared" si="173"/>
        <v>40.776386928911549</v>
      </c>
      <c r="R53">
        <f t="shared" si="166"/>
        <v>-0.20798988976676236</v>
      </c>
      <c r="S53">
        <f t="shared" si="167"/>
        <v>0.15660139599535466</v>
      </c>
      <c r="T53" t="str">
        <f t="shared" si="168"/>
        <v>-0.21 [-0.51, 0.10]</v>
      </c>
    </row>
    <row r="54" spans="1:22" x14ac:dyDescent="0.25">
      <c r="A54" s="121" t="s">
        <v>1173</v>
      </c>
      <c r="B54" s="121" t="s">
        <v>1174</v>
      </c>
      <c r="C54" s="121">
        <v>12</v>
      </c>
      <c r="D54" s="121" t="s">
        <v>1121</v>
      </c>
      <c r="E54" s="121">
        <f>(67*-27.8+34*-18.9)/101--23.6</f>
        <v>-1.2039603960396015</v>
      </c>
      <c r="F54" s="121">
        <v>101</v>
      </c>
      <c r="G54" s="121">
        <v>69</v>
      </c>
      <c r="H54">
        <f t="shared" si="169"/>
        <v>170</v>
      </c>
      <c r="I54" s="137" t="s">
        <v>1122</v>
      </c>
      <c r="J54" s="137"/>
      <c r="K54" s="137"/>
      <c r="L54" s="137"/>
      <c r="M54">
        <v>22.7</v>
      </c>
      <c r="N54">
        <f t="shared" si="170"/>
        <v>-5.2800773686092414E-2</v>
      </c>
      <c r="O54">
        <f t="shared" si="171"/>
        <v>0.15621183707590866</v>
      </c>
      <c r="P54" t="str">
        <f t="shared" si="172"/>
        <v>-0.05 [-0.36, 0.25]</v>
      </c>
      <c r="Q54">
        <f t="shared" si="173"/>
        <v>40.980015695879288</v>
      </c>
      <c r="R54">
        <f t="shared" ref="R54:R63" si="174">SUMPRODUCT(N54,Q54)/SUM(Q54)</f>
        <v>-5.2800773686092421E-2</v>
      </c>
      <c r="S54">
        <f t="shared" ref="S54:S63" si="175">1/SQRT(SUM(Q54))</f>
        <v>0.15621183707590866</v>
      </c>
      <c r="T54" t="str">
        <f t="shared" ref="T54:T63" si="176">CONCATENATE(FIXED(R54,2), " [", FIXED(R54-_xlfn.NORM.S.INV(0.975)*S54,2), ", ", FIXED(R54+_xlfn.NORM.S.INV(0.975)*S54,2), "]")</f>
        <v>-0.05 [-0.36, 0.25]</v>
      </c>
    </row>
    <row r="55" spans="1:22" x14ac:dyDescent="0.25">
      <c r="A55" s="121" t="s">
        <v>1177</v>
      </c>
      <c r="B55" s="121" t="s">
        <v>1178</v>
      </c>
      <c r="C55" s="121">
        <v>20</v>
      </c>
      <c r="D55" s="121" t="s">
        <v>1121</v>
      </c>
      <c r="E55" s="121">
        <v>-1.24</v>
      </c>
      <c r="F55" s="121">
        <v>38</v>
      </c>
      <c r="G55" s="121">
        <v>37</v>
      </c>
      <c r="H55">
        <f t="shared" si="169"/>
        <v>75</v>
      </c>
      <c r="I55" s="121">
        <v>10.4</v>
      </c>
      <c r="J55" s="121">
        <v>11.3</v>
      </c>
      <c r="K55" s="121">
        <v>2.5</v>
      </c>
      <c r="L55" s="121">
        <v>3</v>
      </c>
      <c r="M55">
        <f t="shared" ref="M55:M63" si="177">SQRT((18*K55^2+16*L55^2+19*17/36*(I55-J55)^2)/35)</f>
        <v>2.7452166190875147</v>
      </c>
      <c r="N55">
        <f t="shared" si="170"/>
        <v>-0.44703812672286553</v>
      </c>
      <c r="O55">
        <f t="shared" si="171"/>
        <v>0.23398498644142871</v>
      </c>
      <c r="P55" t="str">
        <f t="shared" si="172"/>
        <v>-0.45 [-0.91, 0.01]</v>
      </c>
      <c r="Q55">
        <f t="shared" si="173"/>
        <v>18.265182507199182</v>
      </c>
      <c r="R55">
        <f t="shared" si="174"/>
        <v>-0.44703812672286553</v>
      </c>
      <c r="S55">
        <f t="shared" si="175"/>
        <v>0.23398498644142871</v>
      </c>
      <c r="T55" t="str">
        <f t="shared" si="176"/>
        <v>-0.45 [-0.91, 0.01]</v>
      </c>
    </row>
    <row r="56" spans="1:22" x14ac:dyDescent="0.25">
      <c r="A56" s="121" t="s">
        <v>1234</v>
      </c>
      <c r="B56" s="121" t="s">
        <v>1235</v>
      </c>
      <c r="C56" s="121">
        <v>12</v>
      </c>
      <c r="D56" s="121" t="s">
        <v>1121</v>
      </c>
      <c r="E56" s="121">
        <f>(7.7-10.4)-(9.1-11.3)</f>
        <v>-0.49999999999999911</v>
      </c>
      <c r="F56" s="121">
        <v>19</v>
      </c>
      <c r="G56" s="121">
        <v>17</v>
      </c>
      <c r="H56">
        <f t="shared" si="169"/>
        <v>36</v>
      </c>
      <c r="I56" s="121">
        <v>10.4</v>
      </c>
      <c r="J56" s="121">
        <v>11.3</v>
      </c>
      <c r="K56" s="121">
        <v>2.5</v>
      </c>
      <c r="L56" s="121">
        <v>3</v>
      </c>
      <c r="M56">
        <f t="shared" si="177"/>
        <v>2.7452166190875147</v>
      </c>
      <c r="N56">
        <f t="shared" ref="N56" si="178">E56/M56*(1-3/(4*H56-9))</f>
        <v>-0.17808754525586046</v>
      </c>
      <c r="O56">
        <f t="shared" ref="O56" si="179">SQRT(H56/(F56*G56)+N56^2/(2*(H56-3.94)))</f>
        <v>0.3345888978026556</v>
      </c>
      <c r="P56" t="str">
        <f t="shared" ref="P56" si="180">CONCATENATE(FIXED(N56,2), " [", FIXED(N56-_xlfn.NORM.S.INV(0.975)*O56,2), ", ", FIXED(N56+_xlfn.NORM.S.INV(0.975)*O56,2), "]")</f>
        <v>-0.18 [-0.83, 0.48]</v>
      </c>
      <c r="Q56">
        <f t="shared" ref="Q56" si="181">1/O56^2</f>
        <v>8.932580679209833</v>
      </c>
      <c r="R56">
        <f t="shared" ref="R56" si="182">SUMPRODUCT(N56,Q56)/SUM(Q56)</f>
        <v>-0.17808754525586046</v>
      </c>
      <c r="S56">
        <f t="shared" ref="S56" si="183">1/SQRT(SUM(Q56))</f>
        <v>0.3345888978026556</v>
      </c>
      <c r="T56" t="str">
        <f t="shared" ref="T56" si="184">CONCATENATE(FIXED(R56,2), " [", FIXED(R56-_xlfn.NORM.S.INV(0.975)*S56,2), ", ", FIXED(R56+_xlfn.NORM.S.INV(0.975)*S56,2), "]")</f>
        <v>-0.18 [-0.83, 0.48]</v>
      </c>
    </row>
    <row r="57" spans="1:22" x14ac:dyDescent="0.25">
      <c r="A57" s="121" t="s">
        <v>1234</v>
      </c>
      <c r="B57" s="121" t="s">
        <v>1235</v>
      </c>
      <c r="C57" s="121">
        <v>20</v>
      </c>
      <c r="D57" s="121" t="s">
        <v>1121</v>
      </c>
      <c r="E57" s="121">
        <f>(7.2-10.4)-(10.6-11.3)</f>
        <v>-2.4999999999999991</v>
      </c>
      <c r="F57" s="121">
        <v>19</v>
      </c>
      <c r="G57" s="121">
        <v>17</v>
      </c>
      <c r="H57">
        <f t="shared" si="169"/>
        <v>36</v>
      </c>
      <c r="I57" s="121">
        <v>10.4</v>
      </c>
      <c r="J57" s="121">
        <v>11.3</v>
      </c>
      <c r="K57" s="121">
        <v>2.5</v>
      </c>
      <c r="L57" s="121">
        <v>3</v>
      </c>
      <c r="M57">
        <f t="shared" si="177"/>
        <v>2.7452166190875147</v>
      </c>
      <c r="N57">
        <f t="shared" ref="N57:N58" si="185">E57/M57*(1-3/(4*H57-9))</f>
        <v>-0.89043772627930351</v>
      </c>
      <c r="O57">
        <f t="shared" ref="O57:O58" si="186">SQRT(H57/(F57*G57)+N57^2/(2*(H57-3.94)))</f>
        <v>0.35188160324277101</v>
      </c>
      <c r="P57" t="str">
        <f t="shared" ref="P57:P58" si="187">CONCATENATE(FIXED(N57,2), " [", FIXED(N57-_xlfn.NORM.S.INV(0.975)*O57,2), ", ", FIXED(N57+_xlfn.NORM.S.INV(0.975)*O57,2), "]")</f>
        <v>-0.89 [-1.58, -0.20]</v>
      </c>
      <c r="Q57">
        <f t="shared" ref="Q57:Q58" si="188">1/O57^2</f>
        <v>8.076196477943121</v>
      </c>
      <c r="R57">
        <f t="shared" ref="R57:R58" si="189">SUMPRODUCT(N57,Q57)/SUM(Q57)</f>
        <v>-0.89043772627930351</v>
      </c>
      <c r="S57">
        <f t="shared" ref="S57:S58" si="190">1/SQRT(SUM(Q57))</f>
        <v>0.35188160324277101</v>
      </c>
      <c r="T57" t="str">
        <f t="shared" ref="T57:T58" si="191">CONCATENATE(FIXED(R57,2), " [", FIXED(R57-_xlfn.NORM.S.INV(0.975)*S57,2), ", ", FIXED(R57+_xlfn.NORM.S.INV(0.975)*S57,2), "]")</f>
        <v>-0.89 [-1.58, -0.20]</v>
      </c>
    </row>
    <row r="58" spans="1:22" x14ac:dyDescent="0.25">
      <c r="A58" s="121" t="s">
        <v>1234</v>
      </c>
      <c r="B58" s="121" t="s">
        <v>1235</v>
      </c>
      <c r="C58" s="121">
        <v>12</v>
      </c>
      <c r="D58" s="121" t="s">
        <v>1236</v>
      </c>
      <c r="E58" s="121">
        <f>(37-45.6)-(39.8-41.3)</f>
        <v>-7.1000000000000014</v>
      </c>
      <c r="F58" s="121">
        <v>19</v>
      </c>
      <c r="G58" s="121">
        <v>17</v>
      </c>
      <c r="H58">
        <f t="shared" ref="H58:H59" si="192">F58+G58</f>
        <v>36</v>
      </c>
      <c r="I58" s="121">
        <v>45.6</v>
      </c>
      <c r="J58" s="121">
        <v>41.3</v>
      </c>
      <c r="K58" s="121">
        <v>12.2</v>
      </c>
      <c r="L58" s="121">
        <v>8.1</v>
      </c>
      <c r="M58">
        <f t="shared" si="177"/>
        <v>10.548901620397519</v>
      </c>
      <c r="N58">
        <f t="shared" si="185"/>
        <v>-0.65809905827528381</v>
      </c>
      <c r="O58">
        <f t="shared" si="186"/>
        <v>0.34381614757405482</v>
      </c>
      <c r="P58" t="str">
        <f t="shared" si="187"/>
        <v>-0.66 [-1.33, 0.02]</v>
      </c>
      <c r="Q58">
        <f t="shared" si="188"/>
        <v>8.4595538719391623</v>
      </c>
      <c r="R58">
        <f t="shared" si="189"/>
        <v>-0.65809905827528381</v>
      </c>
      <c r="S58">
        <f t="shared" si="190"/>
        <v>0.34381614757405482</v>
      </c>
      <c r="T58" t="str">
        <f t="shared" si="191"/>
        <v>-0.66 [-1.33, 0.02]</v>
      </c>
    </row>
    <row r="59" spans="1:22" x14ac:dyDescent="0.25">
      <c r="A59" s="121" t="s">
        <v>1234</v>
      </c>
      <c r="B59" s="121" t="s">
        <v>1235</v>
      </c>
      <c r="C59" s="121">
        <v>20</v>
      </c>
      <c r="D59" s="121" t="s">
        <v>1236</v>
      </c>
      <c r="E59" s="121">
        <f>(32-45.6)-(44.9-41.3)</f>
        <v>-17.200000000000003</v>
      </c>
      <c r="F59" s="121">
        <v>19</v>
      </c>
      <c r="G59" s="121">
        <v>17</v>
      </c>
      <c r="H59">
        <f t="shared" si="192"/>
        <v>36</v>
      </c>
      <c r="I59" s="121">
        <v>45.6</v>
      </c>
      <c r="J59" s="121">
        <v>41.3</v>
      </c>
      <c r="K59" s="121">
        <v>12.2</v>
      </c>
      <c r="L59" s="121">
        <v>8.1</v>
      </c>
      <c r="M59">
        <f t="shared" si="177"/>
        <v>10.548901620397519</v>
      </c>
      <c r="N59">
        <f t="shared" ref="N59:N60" si="193">E59/M59*(1-3/(4*H59-9))</f>
        <v>-1.594268141173927</v>
      </c>
      <c r="O59">
        <f t="shared" ref="O59:O60" si="194">SQRT(H59/(F59*G59)+N59^2/(2*(H59-3.94)))</f>
        <v>0.38870902294902626</v>
      </c>
      <c r="P59" t="str">
        <f t="shared" ref="P59:P60" si="195">CONCATENATE(FIXED(N59,2), " [", FIXED(N59-_xlfn.NORM.S.INV(0.975)*O59,2), ", ", FIXED(N59+_xlfn.NORM.S.INV(0.975)*O59,2), "]")</f>
        <v>-1.59 [-2.36, -0.83]</v>
      </c>
      <c r="Q59">
        <f t="shared" ref="Q59:Q60" si="196">1/O59^2</f>
        <v>6.6183656347432382</v>
      </c>
      <c r="R59">
        <f t="shared" ref="R59:R60" si="197">SUMPRODUCT(N59,Q59)/SUM(Q59)</f>
        <v>-1.594268141173927</v>
      </c>
      <c r="S59">
        <f t="shared" ref="S59:S60" si="198">1/SQRT(SUM(Q59))</f>
        <v>0.38870902294902621</v>
      </c>
      <c r="T59" t="str">
        <f t="shared" ref="T59:T60" si="199">CONCATENATE(FIXED(R59,2), " [", FIXED(R59-_xlfn.NORM.S.INV(0.975)*S59,2), ", ", FIXED(R59+_xlfn.NORM.S.INV(0.975)*S59,2), "]")</f>
        <v>-1.59 [-2.36, -0.83]</v>
      </c>
    </row>
    <row r="60" spans="1:22" x14ac:dyDescent="0.25">
      <c r="A60" s="121" t="s">
        <v>1234</v>
      </c>
      <c r="B60" s="121" t="s">
        <v>1235</v>
      </c>
      <c r="C60" s="121">
        <v>12</v>
      </c>
      <c r="D60" s="121" t="s">
        <v>1237</v>
      </c>
      <c r="E60" s="121">
        <f>(5.7-8.6)-(8.5-7.3)</f>
        <v>-4.0999999999999996</v>
      </c>
      <c r="F60" s="121">
        <v>19</v>
      </c>
      <c r="G60" s="121">
        <v>17</v>
      </c>
      <c r="H60">
        <f t="shared" ref="H60:H61" si="200">F60+G60</f>
        <v>36</v>
      </c>
      <c r="I60" s="121">
        <v>8.6</v>
      </c>
      <c r="J60" s="121">
        <v>7.3</v>
      </c>
      <c r="K60" s="121">
        <v>2.7</v>
      </c>
      <c r="L60" s="121">
        <v>3.3</v>
      </c>
      <c r="M60">
        <f t="shared" si="177"/>
        <v>3.026658013413265</v>
      </c>
      <c r="N60">
        <f t="shared" si="193"/>
        <v>-1.3245265474733725</v>
      </c>
      <c r="O60">
        <f t="shared" si="194"/>
        <v>0.37257998766381611</v>
      </c>
      <c r="P60" t="str">
        <f t="shared" si="195"/>
        <v>-1.32 [-2.05, -0.59]</v>
      </c>
      <c r="Q60">
        <f t="shared" si="196"/>
        <v>7.2037884731180162</v>
      </c>
      <c r="R60">
        <f t="shared" si="197"/>
        <v>-1.3245265474733725</v>
      </c>
      <c r="S60">
        <f t="shared" si="198"/>
        <v>0.37257998766381617</v>
      </c>
      <c r="T60" t="str">
        <f t="shared" si="199"/>
        <v>-1.32 [-2.05, -0.59]</v>
      </c>
    </row>
    <row r="61" spans="1:22" x14ac:dyDescent="0.25">
      <c r="A61" s="121" t="s">
        <v>1234</v>
      </c>
      <c r="B61" s="121" t="s">
        <v>1235</v>
      </c>
      <c r="C61" s="121">
        <v>20</v>
      </c>
      <c r="D61" s="121" t="s">
        <v>1237</v>
      </c>
      <c r="E61" s="121">
        <f>(5.7-8.6)-(10-7.3)</f>
        <v>-5.6</v>
      </c>
      <c r="F61" s="121">
        <v>19</v>
      </c>
      <c r="G61" s="121">
        <v>17</v>
      </c>
      <c r="H61">
        <f t="shared" si="200"/>
        <v>36</v>
      </c>
      <c r="I61" s="121">
        <v>8.6</v>
      </c>
      <c r="J61" s="121">
        <v>7.3</v>
      </c>
      <c r="K61" s="121">
        <v>2.7</v>
      </c>
      <c r="L61" s="121">
        <v>3.3</v>
      </c>
      <c r="M61">
        <f t="shared" si="177"/>
        <v>3.026658013413265</v>
      </c>
      <c r="N61">
        <f t="shared" ref="N61" si="201">E61/M61*(1-3/(4*H61-9))</f>
        <v>-1.8091094306953384</v>
      </c>
      <c r="O61">
        <f t="shared" ref="O61" si="202">SQRT(H61/(F61*G61)+N61^2/(2*(H61-3.94)))</f>
        <v>0.40311053671034197</v>
      </c>
      <c r="P61" t="str">
        <f t="shared" ref="P61" si="203">CONCATENATE(FIXED(N61,2), " [", FIXED(N61-_xlfn.NORM.S.INV(0.975)*O61,2), ", ", FIXED(N61+_xlfn.NORM.S.INV(0.975)*O61,2), "]")</f>
        <v>-1.81 [-2.60, -1.02]</v>
      </c>
      <c r="Q61">
        <f t="shared" ref="Q61" si="204">1/O61^2</f>
        <v>6.1539179253094778</v>
      </c>
      <c r="R61">
        <f t="shared" ref="R61" si="205">SUMPRODUCT(N61,Q61)/SUM(Q61)</f>
        <v>-1.8091094306953384</v>
      </c>
      <c r="S61">
        <f t="shared" ref="S61" si="206">1/SQRT(SUM(Q61))</f>
        <v>0.40311053671034197</v>
      </c>
      <c r="T61" t="str">
        <f t="shared" ref="T61" si="207">CONCATENATE(FIXED(R61,2), " [", FIXED(R61-_xlfn.NORM.S.INV(0.975)*S61,2), ", ", FIXED(R61+_xlfn.NORM.S.INV(0.975)*S61,2), "]")</f>
        <v>-1.81 [-2.60, -1.02]</v>
      </c>
    </row>
    <row r="62" spans="1:22" x14ac:dyDescent="0.25">
      <c r="A62" s="121" t="s">
        <v>1181</v>
      </c>
      <c r="B62" s="121" t="s">
        <v>1182</v>
      </c>
      <c r="C62" s="121">
        <v>16</v>
      </c>
      <c r="D62" s="121" t="s">
        <v>1098</v>
      </c>
      <c r="E62" s="121">
        <v>0.62</v>
      </c>
      <c r="F62" s="121">
        <v>28</v>
      </c>
      <c r="G62" s="121">
        <v>28</v>
      </c>
      <c r="H62">
        <f t="shared" si="169"/>
        <v>56</v>
      </c>
      <c r="I62" s="121">
        <v>9.1999999999999993</v>
      </c>
      <c r="J62" s="121">
        <v>9.8000000000000007</v>
      </c>
      <c r="K62" s="121">
        <v>2.2999999999999998</v>
      </c>
      <c r="L62" s="121">
        <v>3.5</v>
      </c>
      <c r="M62">
        <f t="shared" si="177"/>
        <v>2.9004925690056753</v>
      </c>
      <c r="N62">
        <f t="shared" ref="N62" si="208">E62/M62*(1-3/(4*H62-9))</f>
        <v>0.21077414358585317</v>
      </c>
      <c r="O62">
        <f t="shared" ref="O62" si="209">SQRT(H62/(F62*G62)+N62^2/(2*(H62-3.94)))</f>
        <v>0.2680582953027757</v>
      </c>
      <c r="P62" t="str">
        <f t="shared" ref="P62" si="210">CONCATENATE(FIXED(N62,2), " [", FIXED(N62-_xlfn.NORM.S.INV(0.975)*O62,2), ", ", FIXED(N62+_xlfn.NORM.S.INV(0.975)*O62,2), "]")</f>
        <v>0.21 [-0.31, 0.74]</v>
      </c>
      <c r="Q62">
        <f t="shared" ref="Q62" si="211">1/O62^2</f>
        <v>13.916867653297826</v>
      </c>
      <c r="R62">
        <f t="shared" si="174"/>
        <v>0.21077414358585317</v>
      </c>
      <c r="S62">
        <f t="shared" si="175"/>
        <v>0.2680582953027757</v>
      </c>
      <c r="T62" t="str">
        <f t="shared" si="176"/>
        <v>0.21 [-0.31, 0.74]</v>
      </c>
    </row>
    <row r="63" spans="1:22" x14ac:dyDescent="0.25">
      <c r="A63" s="121" t="s">
        <v>1186</v>
      </c>
      <c r="B63" s="121" t="s">
        <v>1187</v>
      </c>
      <c r="C63" s="121">
        <v>26</v>
      </c>
      <c r="D63" s="121" t="s">
        <v>1121</v>
      </c>
      <c r="E63" s="121">
        <v>-3.4</v>
      </c>
      <c r="F63" s="121">
        <v>25</v>
      </c>
      <c r="G63" s="121">
        <v>25</v>
      </c>
      <c r="H63">
        <f t="shared" si="169"/>
        <v>50</v>
      </c>
      <c r="K63" s="121">
        <v>1.1200000000000001</v>
      </c>
      <c r="L63" s="121">
        <v>0.85</v>
      </c>
      <c r="M63">
        <f t="shared" si="177"/>
        <v>0.98762630295355858</v>
      </c>
      <c r="N63">
        <f t="shared" ref="N63" si="212">E63/M63*(1-3/(4*H63-9))</f>
        <v>-3.3885254459409753</v>
      </c>
      <c r="O63">
        <f t="shared" ref="O63" si="213">SQRT(H63/(F63*G63)+N63^2/(2*(H63-3.94)))</f>
        <v>0.45237474303863306</v>
      </c>
      <c r="P63" t="str">
        <f t="shared" ref="P63" si="214">CONCATENATE(FIXED(N63,2), " [", FIXED(N63-_xlfn.NORM.S.INV(0.975)*O63,2), ", ", FIXED(N63+_xlfn.NORM.S.INV(0.975)*O63,2), "]")</f>
        <v>-3.39 [-4.28, -2.50]</v>
      </c>
      <c r="Q63">
        <f t="shared" ref="Q63" si="215">1/O63^2</f>
        <v>4.8865607369078825</v>
      </c>
      <c r="R63">
        <f t="shared" si="174"/>
        <v>-3.3885254459409753</v>
      </c>
      <c r="S63">
        <f t="shared" si="175"/>
        <v>0.45237474303863312</v>
      </c>
      <c r="T63" t="str">
        <f t="shared" si="176"/>
        <v>-3.39 [-4.28, -2.50]</v>
      </c>
    </row>
    <row r="64" spans="1:22" x14ac:dyDescent="0.25">
      <c r="A64" s="121" t="s">
        <v>1189</v>
      </c>
      <c r="B64" s="121" t="s">
        <v>1190</v>
      </c>
      <c r="C64" s="121">
        <v>5</v>
      </c>
      <c r="D64" s="121" t="s">
        <v>1098</v>
      </c>
      <c r="E64" s="121">
        <f>-8.17--3.28</f>
        <v>-4.8900000000000006</v>
      </c>
      <c r="F64" s="121">
        <v>30</v>
      </c>
      <c r="G64" s="121">
        <v>29</v>
      </c>
      <c r="H64">
        <f t="shared" si="169"/>
        <v>59</v>
      </c>
      <c r="I64" s="121">
        <v>66.8</v>
      </c>
      <c r="J64" s="121">
        <v>66.7</v>
      </c>
      <c r="K64" s="121">
        <v>14.9</v>
      </c>
      <c r="L64" s="121">
        <v>16.100000000000001</v>
      </c>
      <c r="M64">
        <f t="shared" ref="M64:M68" si="216">SQRT((18*K64^2+16*L64^2+19*17/36*(I64-J64)^2)/35)</f>
        <v>15.253692501182622</v>
      </c>
      <c r="N64">
        <f t="shared" ref="N64:N68" si="217">E64/M64*(1-3/(4*H64-9))</f>
        <v>-0.31634140054711968</v>
      </c>
      <c r="O64">
        <f t="shared" ref="O64:O68" si="218">SQRT(H64/(F64*G64)+N64^2/(2*(H64-3.94)))</f>
        <v>0.26215423888656192</v>
      </c>
      <c r="P64" t="str">
        <f t="shared" ref="P64:P68" si="219">CONCATENATE(FIXED(N64,2), " [", FIXED(N64-_xlfn.NORM.S.INV(0.975)*O64,2), ", ", FIXED(N64+_xlfn.NORM.S.INV(0.975)*O64,2), "]")</f>
        <v>-0.32 [-0.83, 0.20]</v>
      </c>
      <c r="Q64">
        <f t="shared" ref="Q64:Q68" si="220">1/O64^2</f>
        <v>14.550778550201523</v>
      </c>
      <c r="R64">
        <f t="shared" ref="R64:R68" si="221">SUMPRODUCT(N64,Q64)/SUM(Q64)</f>
        <v>-0.31634140054711968</v>
      </c>
      <c r="S64">
        <f t="shared" ref="S64:S68" si="222">1/SQRT(SUM(Q64))</f>
        <v>0.26215423888656192</v>
      </c>
      <c r="T64" t="str">
        <f t="shared" ref="T64:T68" si="223">CONCATENATE(FIXED(R64,2), " [", FIXED(R64-_xlfn.NORM.S.INV(0.975)*S64,2), ", ", FIXED(R64+_xlfn.NORM.S.INV(0.975)*S64,2), "]")</f>
        <v>-0.32 [-0.83, 0.20]</v>
      </c>
    </row>
    <row r="65" spans="1:20" x14ac:dyDescent="0.25">
      <c r="A65" s="121" t="s">
        <v>1189</v>
      </c>
      <c r="B65" s="121" t="s">
        <v>1190</v>
      </c>
      <c r="C65" s="121">
        <v>9</v>
      </c>
      <c r="D65" s="121" t="s">
        <v>1098</v>
      </c>
      <c r="E65" s="121">
        <f>-14--5.29</f>
        <v>-8.7100000000000009</v>
      </c>
      <c r="F65" s="121">
        <v>30</v>
      </c>
      <c r="G65" s="121">
        <v>26</v>
      </c>
      <c r="H65">
        <f t="shared" si="169"/>
        <v>56</v>
      </c>
      <c r="I65" s="121">
        <v>66.8</v>
      </c>
      <c r="J65" s="121">
        <v>66.7</v>
      </c>
      <c r="K65" s="121">
        <v>14.9</v>
      </c>
      <c r="L65" s="121">
        <v>16.100000000000001</v>
      </c>
      <c r="M65">
        <f t="shared" si="216"/>
        <v>15.253692501182622</v>
      </c>
      <c r="N65">
        <f t="shared" si="217"/>
        <v>-0.56304171043261853</v>
      </c>
      <c r="O65">
        <f t="shared" si="218"/>
        <v>0.27356825312529726</v>
      </c>
      <c r="P65" t="str">
        <f t="shared" si="219"/>
        <v>-0.56 [-1.10, -0.03]</v>
      </c>
      <c r="Q65">
        <f t="shared" si="220"/>
        <v>13.361911947738482</v>
      </c>
      <c r="R65">
        <f t="shared" si="221"/>
        <v>-0.56304171043261853</v>
      </c>
      <c r="S65">
        <f t="shared" si="222"/>
        <v>0.27356825312529726</v>
      </c>
      <c r="T65" t="str">
        <f t="shared" si="223"/>
        <v>-0.56 [-1.10, -0.03]</v>
      </c>
    </row>
    <row r="66" spans="1:20" x14ac:dyDescent="0.25">
      <c r="A66" s="121" t="s">
        <v>1189</v>
      </c>
      <c r="B66" s="121" t="s">
        <v>1190</v>
      </c>
      <c r="C66" s="121">
        <v>12</v>
      </c>
      <c r="D66" s="121" t="s">
        <v>1098</v>
      </c>
      <c r="E66" s="121">
        <f>-11.78--5.79</f>
        <v>-5.9899999999999993</v>
      </c>
      <c r="F66" s="121">
        <v>27</v>
      </c>
      <c r="G66" s="121">
        <v>24</v>
      </c>
      <c r="H66">
        <f t="shared" si="169"/>
        <v>51</v>
      </c>
      <c r="I66" s="121">
        <v>66.8</v>
      </c>
      <c r="J66" s="121">
        <v>66.7</v>
      </c>
      <c r="K66" s="121">
        <v>14.9</v>
      </c>
      <c r="L66" s="121">
        <v>16.100000000000001</v>
      </c>
      <c r="M66">
        <f t="shared" si="216"/>
        <v>15.253692501182622</v>
      </c>
      <c r="N66">
        <f t="shared" si="217"/>
        <v>-0.38665038995567091</v>
      </c>
      <c r="O66">
        <f t="shared" si="218"/>
        <v>0.28335858168090261</v>
      </c>
      <c r="P66" t="str">
        <f t="shared" si="219"/>
        <v>-0.39 [-0.94, 0.17]</v>
      </c>
      <c r="Q66">
        <f t="shared" si="220"/>
        <v>12.454527614823725</v>
      </c>
      <c r="R66">
        <f t="shared" si="221"/>
        <v>-0.38665038995567091</v>
      </c>
      <c r="S66">
        <f t="shared" si="222"/>
        <v>0.28335858168090261</v>
      </c>
      <c r="T66" t="str">
        <f t="shared" si="223"/>
        <v>-0.39 [-0.94, 0.17]</v>
      </c>
    </row>
    <row r="67" spans="1:20" x14ac:dyDescent="0.25">
      <c r="A67" s="121" t="s">
        <v>1189</v>
      </c>
      <c r="B67" s="121" t="s">
        <v>1190</v>
      </c>
      <c r="C67" s="121">
        <v>24</v>
      </c>
      <c r="D67" s="121" t="s">
        <v>1098</v>
      </c>
      <c r="E67" s="121">
        <f>-15.5--6.4</f>
        <v>-9.1</v>
      </c>
      <c r="F67" s="121">
        <v>28</v>
      </c>
      <c r="G67" s="121">
        <v>25</v>
      </c>
      <c r="H67">
        <f t="shared" si="169"/>
        <v>53</v>
      </c>
      <c r="I67" s="121">
        <v>66.8</v>
      </c>
      <c r="J67" s="121">
        <v>66.7</v>
      </c>
      <c r="K67" s="121">
        <v>14.9</v>
      </c>
      <c r="L67" s="121">
        <v>16.100000000000001</v>
      </c>
      <c r="M67">
        <f t="shared" si="216"/>
        <v>15.253692501182622</v>
      </c>
      <c r="N67">
        <f t="shared" si="217"/>
        <v>-0.58776045476753991</v>
      </c>
      <c r="O67">
        <f t="shared" si="218"/>
        <v>0.28148730087728646</v>
      </c>
      <c r="P67" t="str">
        <f t="shared" si="219"/>
        <v>-0.59 [-1.14, -0.04]</v>
      </c>
      <c r="Q67">
        <f t="shared" si="220"/>
        <v>12.620669286632525</v>
      </c>
      <c r="R67">
        <f t="shared" si="221"/>
        <v>-0.58776045476753991</v>
      </c>
      <c r="S67">
        <f t="shared" si="222"/>
        <v>0.28148730087728652</v>
      </c>
      <c r="T67" t="str">
        <f t="shared" si="223"/>
        <v>-0.59 [-1.14, -0.04]</v>
      </c>
    </row>
    <row r="68" spans="1:20" x14ac:dyDescent="0.25">
      <c r="A68" s="121" t="s">
        <v>1189</v>
      </c>
      <c r="B68" s="121" t="s">
        <v>1190</v>
      </c>
      <c r="C68" s="121">
        <v>52</v>
      </c>
      <c r="D68" s="121" t="s">
        <v>1098</v>
      </c>
      <c r="E68" s="121">
        <f>-14.18--7.38</f>
        <v>-6.8</v>
      </c>
      <c r="F68" s="121">
        <v>26</v>
      </c>
      <c r="G68" s="121">
        <v>25</v>
      </c>
      <c r="H68">
        <f t="shared" si="169"/>
        <v>51</v>
      </c>
      <c r="I68" s="121">
        <v>66.8</v>
      </c>
      <c r="J68" s="121">
        <v>66.7</v>
      </c>
      <c r="K68" s="121">
        <v>14.9</v>
      </c>
      <c r="L68" s="121">
        <v>16.100000000000001</v>
      </c>
      <c r="M68">
        <f t="shared" si="216"/>
        <v>15.253692501182622</v>
      </c>
      <c r="N68">
        <f t="shared" si="217"/>
        <v>-0.43893533417338271</v>
      </c>
      <c r="O68">
        <f t="shared" si="218"/>
        <v>0.28374027684571423</v>
      </c>
      <c r="P68" t="str">
        <f t="shared" si="219"/>
        <v>-0.44 [-1.00, 0.12]</v>
      </c>
      <c r="Q68">
        <f t="shared" si="220"/>
        <v>12.421041812029202</v>
      </c>
      <c r="R68">
        <f t="shared" si="221"/>
        <v>-0.43893533417338271</v>
      </c>
      <c r="S68">
        <f t="shared" si="222"/>
        <v>0.28374027684571423</v>
      </c>
      <c r="T68" t="str">
        <f t="shared" si="223"/>
        <v>-0.44 [-1.00, 0.12]</v>
      </c>
    </row>
    <row r="69" spans="1:20" x14ac:dyDescent="0.25">
      <c r="A69" s="121" t="s">
        <v>1215</v>
      </c>
      <c r="B69" s="121" t="s">
        <v>1216</v>
      </c>
      <c r="C69" s="121">
        <v>2</v>
      </c>
      <c r="D69" s="121" t="s">
        <v>1217</v>
      </c>
      <c r="E69" s="121">
        <f>(59*51.9+58*53.2)/117-47.9</f>
        <v>4.6444444444444528</v>
      </c>
      <c r="F69" s="121">
        <v>117</v>
      </c>
      <c r="G69" s="121">
        <v>59</v>
      </c>
      <c r="H69">
        <f t="shared" si="169"/>
        <v>176</v>
      </c>
      <c r="I69" s="121">
        <f>(61*59.3+58*59.3)/119</f>
        <v>59.29999999999999</v>
      </c>
      <c r="J69" s="121">
        <v>59.5</v>
      </c>
      <c r="K69" s="121">
        <f>SQRT((60*16.7^2+57*22.2^2)/118)</f>
        <v>19.490388765678535</v>
      </c>
      <c r="L69" s="121">
        <v>18.5</v>
      </c>
      <c r="M69">
        <f t="shared" ref="M69:M75" si="224">SQRT((18*K69^2+16*L69^2+19*17/36*(I69-J69)^2)/35)</f>
        <v>18.757180312890522</v>
      </c>
      <c r="N69">
        <f t="shared" ref="N69:N75" si="225">E69/M69*(1-3/(4*H69-9))</f>
        <v>0.24654006655977639</v>
      </c>
      <c r="O69">
        <f t="shared" ref="O69:O75" si="226">SQRT(H69/(F69*G69)+N69^2/(2*(H69-3.94)))</f>
        <v>0.16022731149054156</v>
      </c>
      <c r="P69" t="str">
        <f t="shared" ref="P69:P75" si="227">CONCATENATE(FIXED(N69,2), " [", FIXED(N69-_xlfn.NORM.S.INV(0.975)*O69,2), ", ", FIXED(N69+_xlfn.NORM.S.INV(0.975)*O69,2), "]")</f>
        <v>0.25 [-0.07, 0.56]</v>
      </c>
      <c r="Q69">
        <f t="shared" ref="Q69:Q75" si="228">1/O69^2</f>
        <v>38.951744142846565</v>
      </c>
      <c r="R69">
        <f t="shared" ref="R69:R75" si="229">SUMPRODUCT(N69,Q69)/SUM(Q69)</f>
        <v>0.24654006655977639</v>
      </c>
      <c r="S69">
        <f t="shared" ref="S69:S75" si="230">1/SQRT(SUM(Q69))</f>
        <v>0.16022731149054156</v>
      </c>
      <c r="T69" t="str">
        <f t="shared" ref="T69:T75" si="231">CONCATENATE(FIXED(R69,2), " [", FIXED(R69-_xlfn.NORM.S.INV(0.975)*S69,2), ", ", FIXED(R69+_xlfn.NORM.S.INV(0.975)*S69,2), "]")</f>
        <v>0.25 [-0.07, 0.56]</v>
      </c>
    </row>
    <row r="70" spans="1:20" x14ac:dyDescent="0.25">
      <c r="A70" s="121" t="s">
        <v>1215</v>
      </c>
      <c r="B70" s="121" t="s">
        <v>1216</v>
      </c>
      <c r="C70" s="121">
        <v>6</v>
      </c>
      <c r="E70" s="121">
        <f>(57*52.4+59*49.9)/116-50.8</f>
        <v>0.32844827586206549</v>
      </c>
      <c r="F70" s="121">
        <v>116</v>
      </c>
      <c r="G70" s="121">
        <v>57</v>
      </c>
      <c r="H70">
        <f t="shared" si="169"/>
        <v>173</v>
      </c>
      <c r="I70" s="121">
        <f t="shared" ref="I70:I75" si="232">(61*59.3+58*59.3)/119</f>
        <v>59.29999999999999</v>
      </c>
      <c r="J70" s="121">
        <v>59.5</v>
      </c>
      <c r="K70" s="121">
        <f t="shared" ref="K70:K75" si="233">SQRT((60*16.7^2+57*22.2^2)/118)</f>
        <v>19.490388765678535</v>
      </c>
      <c r="L70" s="121">
        <v>18.5</v>
      </c>
      <c r="M70">
        <f t="shared" si="224"/>
        <v>18.757180312890522</v>
      </c>
      <c r="N70">
        <f t="shared" si="225"/>
        <v>1.7433622678064992E-2</v>
      </c>
      <c r="O70">
        <f t="shared" si="226"/>
        <v>0.16175737445290408</v>
      </c>
      <c r="P70" t="str">
        <f t="shared" si="227"/>
        <v>0.02 [-0.30, 0.33]</v>
      </c>
      <c r="Q70">
        <f t="shared" si="228"/>
        <v>38.21834018444671</v>
      </c>
      <c r="R70">
        <f t="shared" si="229"/>
        <v>1.7433622678064992E-2</v>
      </c>
      <c r="S70">
        <f t="shared" si="230"/>
        <v>0.16175737445290408</v>
      </c>
      <c r="T70" t="str">
        <f t="shared" si="231"/>
        <v>0.02 [-0.30, 0.33]</v>
      </c>
    </row>
    <row r="71" spans="1:20" x14ac:dyDescent="0.25">
      <c r="A71" s="121" t="s">
        <v>1215</v>
      </c>
      <c r="B71" s="121" t="s">
        <v>1216</v>
      </c>
      <c r="C71" s="121">
        <v>12</v>
      </c>
      <c r="E71" s="121">
        <f>(59*53.7+58*49.9)/117-50.1</f>
        <v>1.7162393162393172</v>
      </c>
      <c r="F71" s="121">
        <v>117</v>
      </c>
      <c r="G71" s="121">
        <v>56</v>
      </c>
      <c r="H71">
        <f t="shared" si="169"/>
        <v>173</v>
      </c>
      <c r="I71" s="121">
        <f t="shared" si="232"/>
        <v>59.29999999999999</v>
      </c>
      <c r="J71" s="121">
        <v>59.5</v>
      </c>
      <c r="K71" s="121">
        <f t="shared" si="233"/>
        <v>19.490388765678535</v>
      </c>
      <c r="L71" s="121">
        <v>18.5</v>
      </c>
      <c r="M71">
        <f t="shared" si="224"/>
        <v>18.757180312890522</v>
      </c>
      <c r="N71">
        <f t="shared" si="225"/>
        <v>9.1095831104748365E-2</v>
      </c>
      <c r="O71">
        <f t="shared" si="226"/>
        <v>0.16256904477551976</v>
      </c>
      <c r="P71" t="str">
        <f t="shared" si="227"/>
        <v>0.09 [-0.23, 0.41]</v>
      </c>
      <c r="Q71">
        <f t="shared" si="228"/>
        <v>37.83766189586494</v>
      </c>
      <c r="R71">
        <f t="shared" si="229"/>
        <v>9.1095831104748365E-2</v>
      </c>
      <c r="S71">
        <f t="shared" si="230"/>
        <v>0.16256904477551976</v>
      </c>
      <c r="T71" t="str">
        <f t="shared" si="231"/>
        <v>0.09 [-0.23, 0.41]</v>
      </c>
    </row>
    <row r="72" spans="1:20" x14ac:dyDescent="0.25">
      <c r="A72" s="121" t="s">
        <v>1215</v>
      </c>
      <c r="B72" s="121" t="s">
        <v>1216</v>
      </c>
      <c r="C72" s="121">
        <v>26</v>
      </c>
      <c r="E72" s="121">
        <f>(59*54.8+55*52)/114-50</f>
        <v>3.4491228070175453</v>
      </c>
      <c r="F72" s="121">
        <v>114</v>
      </c>
      <c r="G72" s="121">
        <v>57</v>
      </c>
      <c r="H72">
        <f t="shared" si="169"/>
        <v>171</v>
      </c>
      <c r="I72" s="121">
        <f t="shared" si="232"/>
        <v>59.29999999999999</v>
      </c>
      <c r="J72" s="121">
        <v>59.5</v>
      </c>
      <c r="K72" s="121">
        <f t="shared" si="233"/>
        <v>19.490388765678535</v>
      </c>
      <c r="L72" s="121">
        <v>18.5</v>
      </c>
      <c r="M72">
        <f t="shared" si="224"/>
        <v>18.757180312890522</v>
      </c>
      <c r="N72">
        <f t="shared" si="225"/>
        <v>0.18306554157075938</v>
      </c>
      <c r="O72">
        <f t="shared" si="226"/>
        <v>0.16253027944931528</v>
      </c>
      <c r="P72" t="str">
        <f t="shared" si="227"/>
        <v>0.18 [-0.14, 0.50]</v>
      </c>
      <c r="Q72">
        <f t="shared" si="228"/>
        <v>37.855713476581734</v>
      </c>
      <c r="R72">
        <f t="shared" si="229"/>
        <v>0.18306554157075938</v>
      </c>
      <c r="S72">
        <f t="shared" si="230"/>
        <v>0.16253027944931528</v>
      </c>
      <c r="T72" t="str">
        <f t="shared" si="231"/>
        <v>0.18 [-0.14, 0.50]</v>
      </c>
    </row>
    <row r="73" spans="1:20" x14ac:dyDescent="0.25">
      <c r="A73" s="121" t="s">
        <v>1215</v>
      </c>
      <c r="B73" s="121" t="s">
        <v>1216</v>
      </c>
      <c r="C73" s="121">
        <v>52</v>
      </c>
      <c r="E73" s="121">
        <f>(57*57.8+51*53.3)/108-53.6</f>
        <v>2.0749999999999957</v>
      </c>
      <c r="F73" s="121">
        <v>108</v>
      </c>
      <c r="G73" s="121">
        <v>54</v>
      </c>
      <c r="H73">
        <f t="shared" si="169"/>
        <v>162</v>
      </c>
      <c r="I73" s="121">
        <f t="shared" si="232"/>
        <v>59.29999999999999</v>
      </c>
      <c r="J73" s="121">
        <v>59.5</v>
      </c>
      <c r="K73" s="121">
        <f t="shared" si="233"/>
        <v>19.490388765678535</v>
      </c>
      <c r="L73" s="121">
        <v>18.5</v>
      </c>
      <c r="M73">
        <f t="shared" si="224"/>
        <v>18.757180312890522</v>
      </c>
      <c r="N73">
        <f t="shared" si="225"/>
        <v>0.11010494016220163</v>
      </c>
      <c r="O73">
        <f t="shared" si="226"/>
        <v>0.16678167599682028</v>
      </c>
      <c r="P73" t="str">
        <f t="shared" si="227"/>
        <v>0.11 [-0.22, 0.44]</v>
      </c>
      <c r="Q73">
        <f t="shared" si="228"/>
        <v>35.950367349241347</v>
      </c>
      <c r="R73">
        <f t="shared" si="229"/>
        <v>0.11010494016220163</v>
      </c>
      <c r="S73">
        <f t="shared" si="230"/>
        <v>0.16678167599682028</v>
      </c>
      <c r="T73" t="str">
        <f t="shared" si="231"/>
        <v>0.11 [-0.22, 0.44]</v>
      </c>
    </row>
    <row r="74" spans="1:20" x14ac:dyDescent="0.25">
      <c r="A74" s="121" t="s">
        <v>1215</v>
      </c>
      <c r="B74" s="121" t="s">
        <v>1216</v>
      </c>
      <c r="C74" s="121">
        <v>78</v>
      </c>
      <c r="E74" s="121">
        <f>(57*55.4+51*50.7)/108-55.6</f>
        <v>-2.4194444444444443</v>
      </c>
      <c r="F74" s="121">
        <v>108</v>
      </c>
      <c r="G74" s="121">
        <v>52</v>
      </c>
      <c r="H74">
        <f t="shared" si="169"/>
        <v>160</v>
      </c>
      <c r="I74" s="121">
        <f t="shared" si="232"/>
        <v>59.29999999999999</v>
      </c>
      <c r="J74" s="121">
        <v>59.5</v>
      </c>
      <c r="K74" s="121">
        <f t="shared" si="233"/>
        <v>19.490388765678535</v>
      </c>
      <c r="L74" s="121">
        <v>18.5</v>
      </c>
      <c r="M74">
        <f t="shared" si="224"/>
        <v>18.757180312890522</v>
      </c>
      <c r="N74">
        <f t="shared" si="225"/>
        <v>-0.12837438777237392</v>
      </c>
      <c r="O74">
        <f t="shared" si="226"/>
        <v>0.16894623003194917</v>
      </c>
      <c r="P74" t="str">
        <f t="shared" si="227"/>
        <v>-0.13 [-0.46, 0.20]</v>
      </c>
      <c r="Q74">
        <f t="shared" si="228"/>
        <v>35.035070018541781</v>
      </c>
      <c r="R74">
        <f t="shared" si="229"/>
        <v>-0.12837438777237392</v>
      </c>
      <c r="S74">
        <f t="shared" si="230"/>
        <v>0.16894623003194917</v>
      </c>
      <c r="T74" t="str">
        <f t="shared" si="231"/>
        <v>-0.13 [-0.46, 0.20]</v>
      </c>
    </row>
    <row r="75" spans="1:20" x14ac:dyDescent="0.25">
      <c r="A75" s="121" t="s">
        <v>1215</v>
      </c>
      <c r="B75" s="121" t="s">
        <v>1216</v>
      </c>
      <c r="C75" s="121">
        <v>104</v>
      </c>
      <c r="E75" s="121">
        <f>(56*56.7+53*54)/109-52.5</f>
        <v>2.8871559633027601</v>
      </c>
      <c r="F75" s="121">
        <v>109</v>
      </c>
      <c r="G75" s="121">
        <v>55</v>
      </c>
      <c r="H75">
        <f t="shared" si="169"/>
        <v>164</v>
      </c>
      <c r="I75" s="121">
        <f t="shared" si="232"/>
        <v>59.29999999999999</v>
      </c>
      <c r="J75" s="121">
        <v>59.5</v>
      </c>
      <c r="K75" s="121">
        <f t="shared" si="233"/>
        <v>19.490388765678535</v>
      </c>
      <c r="L75" s="121">
        <v>18.5</v>
      </c>
      <c r="M75">
        <f t="shared" si="224"/>
        <v>18.757180312890522</v>
      </c>
      <c r="N75">
        <f t="shared" si="225"/>
        <v>0.15320900014998329</v>
      </c>
      <c r="O75">
        <f t="shared" si="226"/>
        <v>0.16561840395684482</v>
      </c>
      <c r="P75" t="str">
        <f t="shared" si="227"/>
        <v>0.15 [-0.17, 0.48]</v>
      </c>
      <c r="Q75">
        <f t="shared" si="228"/>
        <v>36.457157949911142</v>
      </c>
      <c r="R75">
        <f t="shared" si="229"/>
        <v>0.15320900014998329</v>
      </c>
      <c r="S75">
        <f t="shared" si="230"/>
        <v>0.1656184039568448</v>
      </c>
      <c r="T75" t="str">
        <f t="shared" si="231"/>
        <v>0.15 [-0.17, 0.48]</v>
      </c>
    </row>
    <row r="76" spans="1:20" x14ac:dyDescent="0.25">
      <c r="A76" s="121" t="s">
        <v>1220</v>
      </c>
      <c r="B76" s="121" t="s">
        <v>1221</v>
      </c>
      <c r="C76" s="121">
        <v>52</v>
      </c>
      <c r="D76" s="121" t="s">
        <v>1121</v>
      </c>
      <c r="E76" s="121">
        <v>0.1</v>
      </c>
      <c r="F76" s="121">
        <v>70</v>
      </c>
      <c r="G76" s="121">
        <v>76</v>
      </c>
      <c r="H76">
        <f t="shared" si="169"/>
        <v>146</v>
      </c>
      <c r="I76" s="121">
        <v>5.8</v>
      </c>
      <c r="J76" s="121">
        <v>6.1</v>
      </c>
      <c r="K76" s="121">
        <v>2</v>
      </c>
      <c r="L76" s="121">
        <v>2</v>
      </c>
      <c r="M76">
        <f t="shared" ref="M76" si="234">SQRT((18*K76^2+16*L76^2+19*17/36*(I76-J76)^2)/35)</f>
        <v>1.9770649241453135</v>
      </c>
      <c r="N76">
        <f t="shared" ref="N76" si="235">E76/M76*(1-3/(4*H76-9))</f>
        <v>5.0316132593657609E-2</v>
      </c>
      <c r="O76">
        <f t="shared" ref="O76" si="236">SQRT(H76/(F76*G76)+N76^2/(2*(H76-3.94)))</f>
        <v>0.16568801930302623</v>
      </c>
      <c r="P76" t="str">
        <f t="shared" ref="P76" si="237">CONCATENATE(FIXED(N76,2), " [", FIXED(N76-_xlfn.NORM.S.INV(0.975)*O76,2), ", ", FIXED(N76+_xlfn.NORM.S.INV(0.975)*O76,2), "]")</f>
        <v>0.05 [-0.27, 0.38]</v>
      </c>
      <c r="Q76">
        <f t="shared" ref="Q76" si="238">1/O76^2</f>
        <v>36.426528764954867</v>
      </c>
      <c r="R76">
        <f t="shared" ref="R76" si="239">SUMPRODUCT(N76,Q76)/SUM(Q76)</f>
        <v>5.0316132593657609E-2</v>
      </c>
      <c r="S76">
        <f t="shared" ref="S76" si="240">1/SQRT(SUM(Q76))</f>
        <v>0.16568801930302623</v>
      </c>
      <c r="T76" t="str">
        <f t="shared" ref="T76" si="241">CONCATENATE(FIXED(R76,2), " [", FIXED(R76-_xlfn.NORM.S.INV(0.975)*S76,2), ", ", FIXED(R76+_xlfn.NORM.S.INV(0.975)*S76,2), "]")</f>
        <v>0.05 [-0.27, 0.38]</v>
      </c>
    </row>
  </sheetData>
  <mergeCells count="16">
    <mergeCell ref="I38:L38"/>
    <mergeCell ref="I51:L51"/>
    <mergeCell ref="I52:L52"/>
    <mergeCell ref="I53:L53"/>
    <mergeCell ref="I54:L54"/>
    <mergeCell ref="I33:L33"/>
    <mergeCell ref="I35:L35"/>
    <mergeCell ref="I37:L37"/>
    <mergeCell ref="I32:L32"/>
    <mergeCell ref="I34:L34"/>
    <mergeCell ref="I36:L36"/>
    <mergeCell ref="I5:L5"/>
    <mergeCell ref="I6:L6"/>
    <mergeCell ref="I7:L7"/>
    <mergeCell ref="I8:L8"/>
    <mergeCell ref="I31:L3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RACGP 2017</vt:lpstr>
      <vt:lpstr>Ross' Notes</vt:lpstr>
      <vt:lpstr>ES calculator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Ross Wilson</cp:lastModifiedBy>
  <dcterms:created xsi:type="dcterms:W3CDTF">2018-08-09T04:38:04Z</dcterms:created>
  <dcterms:modified xsi:type="dcterms:W3CDTF">2019-03-26T04:47:21Z</dcterms:modified>
</cp:coreProperties>
</file>