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JCHUA/Dropbox/0. PhD documents/Performance Matrix/Sent to Ross/"/>
    </mc:Choice>
  </mc:AlternateContent>
  <xr:revisionPtr revIDLastSave="0" documentId="13_ncr:1_{A0EE53F8-F36F-C644-B3F1-783B27012B69}" xr6:coauthVersionLast="43" xr6:coauthVersionMax="43" xr10:uidLastSave="{00000000-0000-0000-0000-000000000000}"/>
  <bookViews>
    <workbookView xWindow="780" yWindow="960" windowWidth="27640" windowHeight="16540" activeTab="1" xr2:uid="{DA579680-7BB5-4C4B-948D-EA46FE0566DA}"/>
  </bookViews>
  <sheets>
    <sheet name="Performance Matrix" sheetId="1" r:id="rId1"/>
    <sheet name="Duration scores from ind papers" sheetId="2" r:id="rId2"/>
    <sheet name="Dur scores extractd from SysRVs" sheetId="3" state="hidden" r:id="rId3"/>
  </sheets>
  <externalReferences>
    <externalReference r:id="rId4"/>
  </externalReferences>
  <definedNames>
    <definedName name="_xlnm._FilterDatabase" localSheetId="2" hidden="1">'Dur scores extractd from SysRVs'!$A$62:$F$75</definedName>
    <definedName name="_xlnm._FilterDatabase" localSheetId="1" hidden="1">'Duration scores from ind papers'!$AG$2:$AI$77</definedName>
    <definedName name="_xlnm._FilterDatabase" localSheetId="0" hidden="1">'Performance Matrix'!$A$1:$AL$77</definedName>
    <definedName name="duration1">'Duration scores from ind papers'!$A$2:$AI$77</definedName>
    <definedName name="dure" localSheetId="2">'[1]Duration scores v1'!$AG$2:$AI$77</definedName>
    <definedName name="dure">'Duration scores from ind papers'!$AG$2:$AI$77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9" i="3" l="1"/>
  <c r="B114" i="3"/>
  <c r="B92" i="3"/>
  <c r="B86" i="3"/>
  <c r="B99" i="3" s="1"/>
  <c r="E81" i="3"/>
  <c r="E80" i="3"/>
  <c r="E79" i="3"/>
  <c r="E78" i="3"/>
  <c r="E77" i="3"/>
  <c r="B72" i="3"/>
  <c r="B70" i="3"/>
  <c r="B69" i="3"/>
  <c r="B68" i="3"/>
  <c r="B66" i="3"/>
  <c r="B64" i="3"/>
  <c r="G38" i="3"/>
  <c r="G37" i="3"/>
  <c r="G36" i="3"/>
  <c r="G35" i="3"/>
  <c r="AE77" i="2"/>
  <c r="AA77" i="2"/>
  <c r="Z77" i="2"/>
  <c r="Y77" i="2"/>
  <c r="X77" i="2"/>
  <c r="W77" i="2"/>
  <c r="AC77" i="2" s="1"/>
  <c r="AA76" i="2"/>
  <c r="Z76" i="2"/>
  <c r="Y76" i="2"/>
  <c r="X76" i="2"/>
  <c r="W76" i="2"/>
  <c r="AC76" i="2" s="1"/>
  <c r="AE76" i="2" s="1"/>
  <c r="AA75" i="2"/>
  <c r="Z75" i="2"/>
  <c r="Y75" i="2"/>
  <c r="X75" i="2"/>
  <c r="W75" i="2"/>
  <c r="AC75" i="2" s="1"/>
  <c r="AE75" i="2" s="1"/>
  <c r="AC74" i="2"/>
  <c r="AE74" i="2" s="1"/>
  <c r="AB74" i="2"/>
  <c r="AA74" i="2"/>
  <c r="Z74" i="2"/>
  <c r="Y74" i="2"/>
  <c r="X74" i="2"/>
  <c r="W74" i="2"/>
  <c r="AA73" i="2"/>
  <c r="Z73" i="2"/>
  <c r="Y73" i="2"/>
  <c r="X73" i="2"/>
  <c r="W73" i="2"/>
  <c r="AC73" i="2" s="1"/>
  <c r="AE73" i="2" s="1"/>
  <c r="AE72" i="2"/>
  <c r="AA72" i="2"/>
  <c r="Z72" i="2"/>
  <c r="Y72" i="2"/>
  <c r="X72" i="2"/>
  <c r="AB72" i="2" s="1"/>
  <c r="W72" i="2"/>
  <c r="AC72" i="2" s="1"/>
  <c r="AA71" i="2"/>
  <c r="Z71" i="2"/>
  <c r="Y71" i="2"/>
  <c r="X71" i="2"/>
  <c r="W71" i="2"/>
  <c r="AC71" i="2" s="1"/>
  <c r="AE71" i="2" s="1"/>
  <c r="AA70" i="2"/>
  <c r="Z70" i="2"/>
  <c r="Y70" i="2"/>
  <c r="X70" i="2"/>
  <c r="W70" i="2"/>
  <c r="AC70" i="2" s="1"/>
  <c r="AA69" i="2"/>
  <c r="Z69" i="2"/>
  <c r="Y69" i="2"/>
  <c r="X69" i="2"/>
  <c r="W69" i="2"/>
  <c r="AC69" i="2" s="1"/>
  <c r="AE69" i="2" s="1"/>
  <c r="AE68" i="2"/>
  <c r="AA68" i="2"/>
  <c r="Z68" i="2"/>
  <c r="Y68" i="2"/>
  <c r="X68" i="2"/>
  <c r="W68" i="2"/>
  <c r="AC68" i="2" s="1"/>
  <c r="D67" i="2"/>
  <c r="Y67" i="2" s="1"/>
  <c r="AE66" i="2"/>
  <c r="Y66" i="2"/>
  <c r="X66" i="2"/>
  <c r="W66" i="2"/>
  <c r="AC66" i="2" s="1"/>
  <c r="B66" i="2"/>
  <c r="Z66" i="2" s="1"/>
  <c r="C65" i="2"/>
  <c r="B65" i="2"/>
  <c r="AA65" i="2" s="1"/>
  <c r="AE64" i="2"/>
  <c r="B64" i="2"/>
  <c r="AA63" i="2"/>
  <c r="Z63" i="2"/>
  <c r="Y63" i="2"/>
  <c r="X63" i="2"/>
  <c r="W63" i="2"/>
  <c r="AC63" i="2" s="1"/>
  <c r="AE63" i="2" s="1"/>
  <c r="AE62" i="2"/>
  <c r="AC62" i="2"/>
  <c r="AB62" i="2"/>
  <c r="AA62" i="2"/>
  <c r="Z62" i="2"/>
  <c r="Y62" i="2"/>
  <c r="X62" i="2"/>
  <c r="W62" i="2"/>
  <c r="AA61" i="2"/>
  <c r="Z61" i="2"/>
  <c r="Y61" i="2"/>
  <c r="X61" i="2"/>
  <c r="W61" i="2"/>
  <c r="AC61" i="2" s="1"/>
  <c r="AE61" i="2" s="1"/>
  <c r="AE60" i="2"/>
  <c r="AA60" i="2"/>
  <c r="Z60" i="2"/>
  <c r="Y60" i="2"/>
  <c r="X60" i="2"/>
  <c r="W60" i="2"/>
  <c r="AC60" i="2" s="1"/>
  <c r="AE59" i="2"/>
  <c r="AA59" i="2"/>
  <c r="Z59" i="2"/>
  <c r="Y59" i="2"/>
  <c r="X59" i="2"/>
  <c r="W59" i="2"/>
  <c r="AC59" i="2" s="1"/>
  <c r="Y58" i="2"/>
  <c r="X58" i="2"/>
  <c r="W58" i="2"/>
  <c r="AC58" i="2" s="1"/>
  <c r="AE58" i="2" s="1"/>
  <c r="B58" i="2"/>
  <c r="Z58" i="2" s="1"/>
  <c r="AA57" i="2"/>
  <c r="Z57" i="2"/>
  <c r="Y57" i="2"/>
  <c r="X57" i="2"/>
  <c r="W57" i="2"/>
  <c r="AB57" i="2" s="1"/>
  <c r="AA56" i="2"/>
  <c r="Z56" i="2"/>
  <c r="Y56" i="2"/>
  <c r="X56" i="2"/>
  <c r="W56" i="2"/>
  <c r="AC56" i="2" s="1"/>
  <c r="AE56" i="2" s="1"/>
  <c r="AC55" i="2"/>
  <c r="AE55" i="2" s="1"/>
  <c r="AA55" i="2"/>
  <c r="Z55" i="2"/>
  <c r="Y55" i="2"/>
  <c r="X55" i="2"/>
  <c r="W55" i="2"/>
  <c r="AB55" i="2" s="1"/>
  <c r="AA54" i="2"/>
  <c r="Z54" i="2"/>
  <c r="Y54" i="2"/>
  <c r="X54" i="2"/>
  <c r="W54" i="2"/>
  <c r="AC54" i="2" s="1"/>
  <c r="AE54" i="2" s="1"/>
  <c r="AA53" i="2"/>
  <c r="Z53" i="2"/>
  <c r="Y53" i="2"/>
  <c r="X53" i="2"/>
  <c r="W53" i="2"/>
  <c r="AC53" i="2" s="1"/>
  <c r="AE53" i="2" s="1"/>
  <c r="Y52" i="2"/>
  <c r="X52" i="2"/>
  <c r="C52" i="2"/>
  <c r="AA52" i="2" s="1"/>
  <c r="AA51" i="2"/>
  <c r="Z51" i="2"/>
  <c r="Y51" i="2"/>
  <c r="X51" i="2"/>
  <c r="W51" i="2"/>
  <c r="AC50" i="2"/>
  <c r="AE50" i="2" s="1"/>
  <c r="AA50" i="2"/>
  <c r="Z50" i="2"/>
  <c r="Y50" i="2"/>
  <c r="X50" i="2"/>
  <c r="W50" i="2"/>
  <c r="AE49" i="2"/>
  <c r="B49" i="2"/>
  <c r="Y49" i="2" s="1"/>
  <c r="AE48" i="2"/>
  <c r="AA48" i="2"/>
  <c r="Z48" i="2"/>
  <c r="Y48" i="2"/>
  <c r="X48" i="2"/>
  <c r="W48" i="2"/>
  <c r="AC48" i="2" s="1"/>
  <c r="AE47" i="2"/>
  <c r="AC47" i="2"/>
  <c r="AB47" i="2"/>
  <c r="AA47" i="2"/>
  <c r="Z47" i="2"/>
  <c r="Y47" i="2"/>
  <c r="X47" i="2"/>
  <c r="W47" i="2"/>
  <c r="AE46" i="2"/>
  <c r="B46" i="2"/>
  <c r="AA45" i="2"/>
  <c r="Z45" i="2"/>
  <c r="Y45" i="2"/>
  <c r="X45" i="2"/>
  <c r="W45" i="2"/>
  <c r="AC45" i="2" s="1"/>
  <c r="AE45" i="2" s="1"/>
  <c r="AA44" i="2"/>
  <c r="Z44" i="2"/>
  <c r="Y44" i="2"/>
  <c r="X44" i="2"/>
  <c r="W44" i="2"/>
  <c r="AC44" i="2" s="1"/>
  <c r="AE44" i="2" s="1"/>
  <c r="AA43" i="2"/>
  <c r="Z43" i="2"/>
  <c r="Y43" i="2"/>
  <c r="X43" i="2"/>
  <c r="W43" i="2"/>
  <c r="AC43" i="2" s="1"/>
  <c r="AE43" i="2" s="1"/>
  <c r="AA42" i="2"/>
  <c r="Z42" i="2"/>
  <c r="Y42" i="2"/>
  <c r="X42" i="2"/>
  <c r="W42" i="2"/>
  <c r="AC42" i="2" s="1"/>
  <c r="AE42" i="2" s="1"/>
  <c r="AA41" i="2"/>
  <c r="Z41" i="2"/>
  <c r="Y41" i="2"/>
  <c r="X41" i="2"/>
  <c r="W41" i="2"/>
  <c r="AC41" i="2" s="1"/>
  <c r="AE41" i="2" s="1"/>
  <c r="AA40" i="2"/>
  <c r="Z40" i="2"/>
  <c r="Y40" i="2"/>
  <c r="X40" i="2"/>
  <c r="W40" i="2"/>
  <c r="AC40" i="2" s="1"/>
  <c r="AE40" i="2" s="1"/>
  <c r="AA39" i="2"/>
  <c r="Z39" i="2"/>
  <c r="Y39" i="2"/>
  <c r="X39" i="2"/>
  <c r="W39" i="2"/>
  <c r="AC39" i="2" s="1"/>
  <c r="AE39" i="2" s="1"/>
  <c r="AA38" i="2"/>
  <c r="Z38" i="2"/>
  <c r="Y38" i="2"/>
  <c r="X38" i="2"/>
  <c r="W38" i="2"/>
  <c r="AC38" i="2" s="1"/>
  <c r="AE38" i="2" s="1"/>
  <c r="AE37" i="2"/>
  <c r="AC37" i="2"/>
  <c r="AB37" i="2"/>
  <c r="AA37" i="2"/>
  <c r="Z37" i="2"/>
  <c r="Y37" i="2"/>
  <c r="X37" i="2"/>
  <c r="W37" i="2"/>
  <c r="AE36" i="2"/>
  <c r="AA36" i="2"/>
  <c r="Z36" i="2"/>
  <c r="Y36" i="2"/>
  <c r="X36" i="2"/>
  <c r="W36" i="2"/>
  <c r="AC36" i="2" s="1"/>
  <c r="AE35" i="2"/>
  <c r="AA35" i="2"/>
  <c r="Z35" i="2"/>
  <c r="Y35" i="2"/>
  <c r="X35" i="2"/>
  <c r="W35" i="2"/>
  <c r="AC35" i="2" s="1"/>
  <c r="AE34" i="2"/>
  <c r="AC34" i="2"/>
  <c r="AB34" i="2"/>
  <c r="AA34" i="2"/>
  <c r="Z34" i="2"/>
  <c r="Y34" i="2"/>
  <c r="X34" i="2"/>
  <c r="W34" i="2"/>
  <c r="B33" i="2"/>
  <c r="Z33" i="2" s="1"/>
  <c r="AE32" i="2"/>
  <c r="AA32" i="2"/>
  <c r="Z32" i="2"/>
  <c r="Y32" i="2"/>
  <c r="X32" i="2"/>
  <c r="W32" i="2"/>
  <c r="AB32" i="2" s="1"/>
  <c r="AE31" i="2"/>
  <c r="AC31" i="2"/>
  <c r="AB31" i="2"/>
  <c r="AA31" i="2"/>
  <c r="Z31" i="2"/>
  <c r="Y31" i="2"/>
  <c r="X31" i="2"/>
  <c r="W31" i="2"/>
  <c r="AE30" i="2"/>
  <c r="AA30" i="2"/>
  <c r="Z30" i="2"/>
  <c r="Y30" i="2"/>
  <c r="X30" i="2"/>
  <c r="W30" i="2"/>
  <c r="AC30" i="2" s="1"/>
  <c r="AE29" i="2"/>
  <c r="AC29" i="2"/>
  <c r="AB29" i="2"/>
  <c r="AA29" i="2"/>
  <c r="Z29" i="2"/>
  <c r="Y29" i="2"/>
  <c r="X29" i="2"/>
  <c r="W29" i="2"/>
  <c r="AE28" i="2"/>
  <c r="AC28" i="2"/>
  <c r="AB28" i="2"/>
  <c r="AA28" i="2"/>
  <c r="Z28" i="2"/>
  <c r="Y28" i="2"/>
  <c r="X28" i="2"/>
  <c r="W28" i="2"/>
  <c r="AE27" i="2"/>
  <c r="AC27" i="2"/>
  <c r="AB27" i="2"/>
  <c r="AA27" i="2"/>
  <c r="Z27" i="2"/>
  <c r="Y27" i="2"/>
  <c r="X27" i="2"/>
  <c r="W27" i="2"/>
  <c r="AC26" i="2"/>
  <c r="AE26" i="2" s="1"/>
  <c r="AA26" i="2"/>
  <c r="Z26" i="2"/>
  <c r="Y26" i="2"/>
  <c r="X26" i="2"/>
  <c r="AB26" i="2" s="1"/>
  <c r="W26" i="2"/>
  <c r="AE25" i="2"/>
  <c r="AC25" i="2"/>
  <c r="AB25" i="2"/>
  <c r="AA25" i="2"/>
  <c r="Z25" i="2"/>
  <c r="Y25" i="2"/>
  <c r="X25" i="2"/>
  <c r="W25" i="2"/>
  <c r="AA24" i="2"/>
  <c r="Z24" i="2"/>
  <c r="Y24" i="2"/>
  <c r="X24" i="2"/>
  <c r="W24" i="2"/>
  <c r="AC24" i="2" s="1"/>
  <c r="AE24" i="2" s="1"/>
  <c r="AC23" i="2"/>
  <c r="AE23" i="2" s="1"/>
  <c r="AA23" i="2"/>
  <c r="Z23" i="2"/>
  <c r="Y23" i="2"/>
  <c r="X23" i="2"/>
  <c r="W23" i="2"/>
  <c r="AB23" i="2" s="1"/>
  <c r="AA22" i="2"/>
  <c r="Z22" i="2"/>
  <c r="Y22" i="2"/>
  <c r="X22" i="2"/>
  <c r="W22" i="2"/>
  <c r="AC22" i="2" s="1"/>
  <c r="AE22" i="2" s="1"/>
  <c r="I21" i="2"/>
  <c r="C21" i="2"/>
  <c r="AA21" i="2" s="1"/>
  <c r="AA20" i="2"/>
  <c r="Z20" i="2"/>
  <c r="Y20" i="2"/>
  <c r="X20" i="2"/>
  <c r="W20" i="2"/>
  <c r="AC20" i="2" s="1"/>
  <c r="AE20" i="2" s="1"/>
  <c r="AE19" i="2"/>
  <c r="C19" i="2"/>
  <c r="B19" i="2"/>
  <c r="AE18" i="2"/>
  <c r="AA18" i="2"/>
  <c r="Z18" i="2"/>
  <c r="Y18" i="2"/>
  <c r="X18" i="2"/>
  <c r="W18" i="2"/>
  <c r="AC18" i="2" s="1"/>
  <c r="AA17" i="2"/>
  <c r="Z17" i="2"/>
  <c r="Y17" i="2"/>
  <c r="X17" i="2"/>
  <c r="W17" i="2"/>
  <c r="AC17" i="2" s="1"/>
  <c r="AE17" i="2" s="1"/>
  <c r="AE16" i="2"/>
  <c r="AC16" i="2"/>
  <c r="AB16" i="2"/>
  <c r="AA16" i="2"/>
  <c r="Z16" i="2"/>
  <c r="Y16" i="2"/>
  <c r="X16" i="2"/>
  <c r="W16" i="2"/>
  <c r="AE15" i="2"/>
  <c r="AC15" i="2"/>
  <c r="AB15" i="2"/>
  <c r="AA15" i="2"/>
  <c r="Z15" i="2"/>
  <c r="Y15" i="2"/>
  <c r="X15" i="2"/>
  <c r="W15" i="2"/>
  <c r="AA14" i="2"/>
  <c r="Z14" i="2"/>
  <c r="Y14" i="2"/>
  <c r="X14" i="2"/>
  <c r="W14" i="2"/>
  <c r="AC14" i="2" s="1"/>
  <c r="AE14" i="2" s="1"/>
  <c r="AE13" i="2"/>
  <c r="AA13" i="2"/>
  <c r="Z13" i="2"/>
  <c r="Y13" i="2"/>
  <c r="X13" i="2"/>
  <c r="W13" i="2"/>
  <c r="AC13" i="2" s="1"/>
  <c r="AA12" i="2"/>
  <c r="Z12" i="2"/>
  <c r="Y12" i="2"/>
  <c r="X12" i="2"/>
  <c r="W12" i="2"/>
  <c r="AC12" i="2" s="1"/>
  <c r="AE12" i="2" s="1"/>
  <c r="AA11" i="2"/>
  <c r="Z11" i="2"/>
  <c r="Y11" i="2"/>
  <c r="X11" i="2"/>
  <c r="W11" i="2"/>
  <c r="AC11" i="2" s="1"/>
  <c r="AE11" i="2" s="1"/>
  <c r="AE10" i="2"/>
  <c r="AC10" i="2"/>
  <c r="AB10" i="2"/>
  <c r="AA10" i="2"/>
  <c r="Z10" i="2"/>
  <c r="Y10" i="2"/>
  <c r="X10" i="2"/>
  <c r="W10" i="2"/>
  <c r="AE9" i="2"/>
  <c r="AC9" i="2"/>
  <c r="AB9" i="2"/>
  <c r="AA9" i="2"/>
  <c r="Z9" i="2"/>
  <c r="Y9" i="2"/>
  <c r="X9" i="2"/>
  <c r="W9" i="2"/>
  <c r="AE8" i="2"/>
  <c r="AC8" i="2"/>
  <c r="AB8" i="2"/>
  <c r="AA8" i="2"/>
  <c r="Z8" i="2"/>
  <c r="Y8" i="2"/>
  <c r="X8" i="2"/>
  <c r="W8" i="2"/>
  <c r="AA7" i="2"/>
  <c r="Z7" i="2"/>
  <c r="Y7" i="2"/>
  <c r="X7" i="2"/>
  <c r="W7" i="2"/>
  <c r="AC7" i="2" s="1"/>
  <c r="AE7" i="2" s="1"/>
  <c r="AA6" i="2"/>
  <c r="Z6" i="2"/>
  <c r="Y6" i="2"/>
  <c r="X6" i="2"/>
  <c r="W6" i="2"/>
  <c r="AC6" i="2" s="1"/>
  <c r="AE6" i="2" s="1"/>
  <c r="AC5" i="2"/>
  <c r="AE5" i="2" s="1"/>
  <c r="AA5" i="2"/>
  <c r="Z5" i="2"/>
  <c r="Y5" i="2"/>
  <c r="X5" i="2"/>
  <c r="AB5" i="2" s="1"/>
  <c r="W5" i="2"/>
  <c r="AA4" i="2"/>
  <c r="Z4" i="2"/>
  <c r="Y4" i="2"/>
  <c r="X4" i="2"/>
  <c r="W4" i="2"/>
  <c r="AC4" i="2" s="1"/>
  <c r="AE4" i="2" s="1"/>
  <c r="AE3" i="2"/>
  <c r="E3" i="2"/>
  <c r="B3" i="2"/>
  <c r="AA3" i="2" s="1"/>
  <c r="AA2" i="2"/>
  <c r="Z2" i="2"/>
  <c r="Y2" i="2"/>
  <c r="X2" i="2"/>
  <c r="W2" i="2"/>
  <c r="AC2" i="2" s="1"/>
  <c r="AE2" i="2" s="1"/>
  <c r="K77" i="1"/>
  <c r="J77" i="1"/>
  <c r="I77" i="1"/>
  <c r="K76" i="1"/>
  <c r="J76" i="1"/>
  <c r="I76" i="1"/>
  <c r="K75" i="1"/>
  <c r="J75" i="1"/>
  <c r="I75" i="1"/>
  <c r="K74" i="1"/>
  <c r="J74" i="1"/>
  <c r="I74" i="1"/>
  <c r="K73" i="1"/>
  <c r="J73" i="1"/>
  <c r="I73" i="1"/>
  <c r="K72" i="1"/>
  <c r="J72" i="1"/>
  <c r="I72" i="1"/>
  <c r="K71" i="1"/>
  <c r="J71" i="1"/>
  <c r="I71" i="1"/>
  <c r="K70" i="1"/>
  <c r="J70" i="1"/>
  <c r="I70" i="1"/>
  <c r="K69" i="1"/>
  <c r="J69" i="1"/>
  <c r="I69" i="1"/>
  <c r="K68" i="1"/>
  <c r="J68" i="1"/>
  <c r="I68" i="1"/>
  <c r="K67" i="1"/>
  <c r="J67" i="1"/>
  <c r="I67" i="1"/>
  <c r="K66" i="1"/>
  <c r="J66" i="1"/>
  <c r="I66" i="1"/>
  <c r="K65" i="1"/>
  <c r="J65" i="1"/>
  <c r="I65" i="1"/>
  <c r="K64" i="1"/>
  <c r="J64" i="1"/>
  <c r="I64" i="1"/>
  <c r="K63" i="1"/>
  <c r="J63" i="1"/>
  <c r="I63" i="1"/>
  <c r="K62" i="1"/>
  <c r="J62" i="1"/>
  <c r="I62" i="1"/>
  <c r="K61" i="1"/>
  <c r="J61" i="1"/>
  <c r="I61" i="1"/>
  <c r="K60" i="1"/>
  <c r="J60" i="1"/>
  <c r="I60" i="1"/>
  <c r="K59" i="1"/>
  <c r="J59" i="1"/>
  <c r="I59" i="1"/>
  <c r="K58" i="1"/>
  <c r="J58" i="1"/>
  <c r="I58" i="1"/>
  <c r="K57" i="1"/>
  <c r="J57" i="1"/>
  <c r="I57" i="1"/>
  <c r="K56" i="1"/>
  <c r="J56" i="1"/>
  <c r="I56" i="1"/>
  <c r="K55" i="1"/>
  <c r="J55" i="1"/>
  <c r="I55" i="1"/>
  <c r="K54" i="1"/>
  <c r="J54" i="1"/>
  <c r="I54" i="1"/>
  <c r="K53" i="1"/>
  <c r="J53" i="1"/>
  <c r="I53" i="1"/>
  <c r="K52" i="1"/>
  <c r="J52" i="1"/>
  <c r="I52" i="1"/>
  <c r="K51" i="1"/>
  <c r="J51" i="1"/>
  <c r="I51" i="1"/>
  <c r="K50" i="1"/>
  <c r="J50" i="1"/>
  <c r="I50" i="1"/>
  <c r="K49" i="1"/>
  <c r="J49" i="1"/>
  <c r="I49" i="1"/>
  <c r="K48" i="1"/>
  <c r="J48" i="1"/>
  <c r="I48" i="1"/>
  <c r="K47" i="1"/>
  <c r="J47" i="1"/>
  <c r="I47" i="1"/>
  <c r="K46" i="1"/>
  <c r="J46" i="1"/>
  <c r="I4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S35" i="1"/>
  <c r="K35" i="1"/>
  <c r="J35" i="1"/>
  <c r="I35" i="1"/>
  <c r="K34" i="1"/>
  <c r="J34" i="1"/>
  <c r="I34" i="1"/>
  <c r="K33" i="1"/>
  <c r="J33" i="1"/>
  <c r="I33" i="1"/>
  <c r="K32" i="1"/>
  <c r="J32" i="1"/>
  <c r="I32" i="1"/>
  <c r="K31" i="1"/>
  <c r="J31" i="1"/>
  <c r="I31" i="1"/>
  <c r="K30" i="1"/>
  <c r="J30" i="1"/>
  <c r="I30" i="1"/>
  <c r="K29" i="1"/>
  <c r="J29" i="1"/>
  <c r="I29" i="1"/>
  <c r="K28" i="1"/>
  <c r="J28" i="1"/>
  <c r="I28" i="1"/>
  <c r="K27" i="1"/>
  <c r="J27" i="1"/>
  <c r="I27" i="1"/>
  <c r="K26" i="1"/>
  <c r="J26" i="1"/>
  <c r="I26" i="1"/>
  <c r="K25" i="1"/>
  <c r="J25" i="1"/>
  <c r="I25" i="1"/>
  <c r="K24" i="1"/>
  <c r="J24" i="1"/>
  <c r="I24" i="1"/>
  <c r="K23" i="1"/>
  <c r="J23" i="1"/>
  <c r="I23" i="1"/>
  <c r="K22" i="1"/>
  <c r="J22" i="1"/>
  <c r="I22" i="1"/>
  <c r="K21" i="1"/>
  <c r="J21" i="1"/>
  <c r="I21" i="1"/>
  <c r="K20" i="1"/>
  <c r="J20" i="1"/>
  <c r="I20" i="1"/>
  <c r="K19" i="1"/>
  <c r="J19" i="1"/>
  <c r="I19" i="1"/>
  <c r="K18" i="1"/>
  <c r="J18" i="1"/>
  <c r="I18" i="1"/>
  <c r="K17" i="1"/>
  <c r="J17" i="1"/>
  <c r="I17" i="1"/>
  <c r="K16" i="1"/>
  <c r="J16" i="1"/>
  <c r="I16" i="1"/>
  <c r="K15" i="1"/>
  <c r="J15" i="1"/>
  <c r="I15" i="1"/>
  <c r="K14" i="1"/>
  <c r="J14" i="1"/>
  <c r="I14" i="1"/>
  <c r="K13" i="1"/>
  <c r="J13" i="1"/>
  <c r="I13" i="1"/>
  <c r="K12" i="1"/>
  <c r="J12" i="1"/>
  <c r="I12" i="1"/>
  <c r="K11" i="1"/>
  <c r="J11" i="1"/>
  <c r="I11" i="1"/>
  <c r="K10" i="1"/>
  <c r="J10" i="1"/>
  <c r="I10" i="1"/>
  <c r="K9" i="1"/>
  <c r="J9" i="1"/>
  <c r="I9" i="1"/>
  <c r="K8" i="1"/>
  <c r="J8" i="1"/>
  <c r="I8" i="1"/>
  <c r="K7" i="1"/>
  <c r="J7" i="1"/>
  <c r="I7" i="1"/>
  <c r="K6" i="1"/>
  <c r="J6" i="1"/>
  <c r="I6" i="1"/>
  <c r="K5" i="1"/>
  <c r="J5" i="1"/>
  <c r="I5" i="1"/>
  <c r="K4" i="1"/>
  <c r="J4" i="1"/>
  <c r="I4" i="1"/>
  <c r="K3" i="1"/>
  <c r="J3" i="1"/>
  <c r="I3" i="1"/>
  <c r="B100" i="3" l="1"/>
  <c r="AB17" i="2"/>
  <c r="W33" i="2"/>
  <c r="AB51" i="2"/>
  <c r="AB54" i="2"/>
  <c r="X3" i="2"/>
  <c r="AB4" i="2"/>
  <c r="AB6" i="2"/>
  <c r="AB14" i="2"/>
  <c r="AA19" i="2"/>
  <c r="AB24" i="2"/>
  <c r="AB30" i="2"/>
  <c r="AC32" i="2"/>
  <c r="X33" i="2"/>
  <c r="AC51" i="2"/>
  <c r="AE51" i="2" s="1"/>
  <c r="AB56" i="2"/>
  <c r="AC57" i="2"/>
  <c r="AE57" i="2" s="1"/>
  <c r="X65" i="2"/>
  <c r="AB7" i="2"/>
  <c r="AB12" i="2"/>
  <c r="AB22" i="2"/>
  <c r="Y3" i="2"/>
  <c r="AB11" i="2"/>
  <c r="AB13" i="2"/>
  <c r="AB18" i="2"/>
  <c r="X21" i="2"/>
  <c r="AA33" i="2"/>
  <c r="AB50" i="2"/>
  <c r="AB53" i="2"/>
  <c r="AA58" i="2"/>
  <c r="AA66" i="2"/>
  <c r="AB71" i="2"/>
  <c r="B97" i="3"/>
  <c r="B101" i="3"/>
  <c r="B98" i="3"/>
  <c r="Z46" i="2"/>
  <c r="Z67" i="2"/>
  <c r="AB35" i="2"/>
  <c r="AB36" i="2"/>
  <c r="AB38" i="2"/>
  <c r="AB39" i="2"/>
  <c r="AB40" i="2"/>
  <c r="AB41" i="2"/>
  <c r="AB42" i="2"/>
  <c r="AB43" i="2"/>
  <c r="AB44" i="2"/>
  <c r="AB45" i="2"/>
  <c r="W46" i="2"/>
  <c r="AC46" i="2" s="1"/>
  <c r="AA46" i="2"/>
  <c r="Z49" i="2"/>
  <c r="AB58" i="2"/>
  <c r="AB59" i="2"/>
  <c r="AB60" i="2"/>
  <c r="AB61" i="2"/>
  <c r="AB63" i="2"/>
  <c r="W64" i="2"/>
  <c r="AC64" i="2" s="1"/>
  <c r="AA64" i="2"/>
  <c r="Y65" i="2"/>
  <c r="AB66" i="2"/>
  <c r="W67" i="2"/>
  <c r="AA67" i="2"/>
  <c r="AB73" i="2"/>
  <c r="AB75" i="2"/>
  <c r="AB76" i="2"/>
  <c r="AB77" i="2"/>
  <c r="Z19" i="2"/>
  <c r="W19" i="2"/>
  <c r="AC19" i="2" s="1"/>
  <c r="Y21" i="2"/>
  <c r="AB2" i="2"/>
  <c r="Z3" i="2"/>
  <c r="X19" i="2"/>
  <c r="AB20" i="2"/>
  <c r="Z21" i="2"/>
  <c r="Y33" i="2"/>
  <c r="AB33" i="2" s="1"/>
  <c r="AC33" i="2"/>
  <c r="AE33" i="2" s="1"/>
  <c r="X46" i="2"/>
  <c r="AB48" i="2"/>
  <c r="W49" i="2"/>
  <c r="AC49" i="2" s="1"/>
  <c r="AA49" i="2"/>
  <c r="Z52" i="2"/>
  <c r="X64" i="2"/>
  <c r="Z65" i="2"/>
  <c r="X67" i="2"/>
  <c r="AB68" i="2"/>
  <c r="AB69" i="2"/>
  <c r="AB70" i="2"/>
  <c r="Z64" i="2"/>
  <c r="W3" i="2"/>
  <c r="AB3" i="2" s="1"/>
  <c r="Y19" i="2"/>
  <c r="AB19" i="2" s="1"/>
  <c r="W21" i="2"/>
  <c r="Y46" i="2"/>
  <c r="X49" i="2"/>
  <c r="W52" i="2"/>
  <c r="Y64" i="2"/>
  <c r="W65" i="2"/>
  <c r="AB46" i="2" l="1"/>
  <c r="AB64" i="2"/>
  <c r="AC52" i="2"/>
  <c r="AE52" i="2" s="1"/>
  <c r="AB52" i="2"/>
  <c r="AC67" i="2"/>
  <c r="AE67" i="2" s="1"/>
  <c r="AB67" i="2"/>
  <c r="AB65" i="2"/>
  <c r="AC3" i="2"/>
  <c r="AC21" i="2"/>
  <c r="AE21" i="2" s="1"/>
  <c r="AB21" i="2"/>
  <c r="AC65" i="2"/>
  <c r="AE65" i="2" s="1"/>
  <c r="AB4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tc={202CFF73-F9FC-884E-ADBF-A17EA20CB018}</author>
    <author>tc={A50C3040-E9B8-B643-9355-E916177426F7}</author>
    <author>Jason Chua</author>
    <author>GIIVIAK</author>
    <author>tc={A596CFCA-3C9F-F442-888B-1AB137A16151}</author>
    <author>tc={2EE711B0-895D-5C46-BB87-0845227568B5}</author>
    <author>tc={A44898C3-3392-1844-B3A4-819F97B59B12}</author>
    <author>tc={72753F8F-0C37-1647-8425-15A6FB5339F9}</author>
    <author>tc={D55B092F-8C73-7346-A1A1-D028D1C3F811}</author>
    <author>tc={7E8C6B23-4233-E949-AA4F-C36ECEC8B244}</author>
    <author>tc={3C0FAEBF-C3C7-D344-B813-5B7A80EA5BDF}</author>
    <author>tc={464EBB4A-651D-AE46-9612-EB5E3A07B859}</author>
    <author>tc={D3AB13F4-A4A4-AB47-B104-EBCF4056AFD4}</author>
    <author>tc={008D1D76-606D-114E-BEE5-7D5182C819CE}</author>
    <author>tc={2F269B8C-831F-C446-AABA-D0F76007D065}</author>
    <author>tc={B7A6F8BA-2CDB-4843-BD7D-5A067B1259C0}</author>
    <author>tc={85849285-9E6D-0147-86C4-21ADC2942628}</author>
    <author>tc={2771CB93-1EF5-D140-9736-53573E818FBE}</author>
    <author>tc={FCD946DF-573D-6E4A-B3D8-CC6B4C4A23E1}</author>
    <author>tc={2E8D115D-99AD-0D46-B3CF-89F8D2569EAA}</author>
    <author>tc={C14013E3-4CCE-2D45-B2FD-F67998B2F507}</author>
    <author>tc={5E4090CA-9813-B741-B5E5-D5C26EA51EA3}</author>
    <author>tc={4D1CFE69-D43E-AA40-8B7E-52B25E6CB7E8}</author>
  </authors>
  <commentList>
    <comment ref="Z1" authorId="0" shapeId="0" xr:uid="{202CFF73-F9FC-884E-ADBF-A17EA20CB018}">
      <text>
        <t>[Threaded comment]
Your version of Excel allows you to read this threaded comment; however, any edits to it will get removed if the file is opened in a newer version of Excel. Learn more: https://go.microsoft.com/fwlink/?linkid=870924
Comment:
    The individual studies referred to in the RACG CPG were reviewed to identify which ones reported positive outcomes. The average ± SD (range) [number of studies] follow up duration was then calculated for these studies. These summarised in the next tab, 'duration scores'.</t>
      </text>
    </comment>
    <comment ref="Z6" authorId="1" shapeId="0" xr:uid="{A50C3040-E9B8-B643-9355-E916177426F7}">
      <text>
        <t>[Threaded comment]
Your version of Excel allows you to read this threaded comment; however, any edits to it will get removed if the file is opened in a newer version of Excel. Learn more: https://go.microsoft.com/fwlink/?linkid=870924
Comment:
    1.5-24 months follow up in Fransen's systematic review of 44 trials. Fransen did not detect any significant difference on pain &gt;6 months across all exercise modalities.</t>
      </text>
    </comment>
    <comment ref="AA6" authorId="2" shapeId="0" xr:uid="{431A2F05-8C2E-2C4B-8F8A-E2B5BA120FC5}">
      <text>
        <r>
          <rPr>
            <b/>
            <sz val="9"/>
            <color indexed="81"/>
            <rFont val="Tahoma"/>
            <family val="2"/>
          </rPr>
          <t>Jason Chua:</t>
        </r>
        <r>
          <rPr>
            <sz val="9"/>
            <color indexed="81"/>
            <rFont val="Tahoma"/>
            <family val="2"/>
          </rPr>
          <t xml:space="preserve">
Supported by the Cochrane Review (Fransen)</t>
        </r>
      </text>
    </comment>
    <comment ref="AA8" authorId="3" shapeId="0" xr:uid="{EA7B96D9-EF6E-824A-A88A-1BF5F68FDD71}">
      <text>
        <r>
          <rPr>
            <b/>
            <sz val="9"/>
            <color indexed="81"/>
            <rFont val="Tahoma"/>
            <family val="2"/>
          </rPr>
          <t>GIIVIAK:</t>
        </r>
        <r>
          <rPr>
            <sz val="9"/>
            <color indexed="81"/>
            <rFont val="Tahoma"/>
            <family val="2"/>
          </rPr>
          <t xml:space="preserve">
3 trials in a cochrane reivew measured effect on pain, function and QoL 24-24 weeks after intervention; there were no statistically signficant effects remaining.
This should be changed to a </t>
        </r>
        <r>
          <rPr>
            <b/>
            <sz val="9"/>
            <color indexed="81"/>
            <rFont val="Tahoma"/>
            <family val="2"/>
          </rPr>
          <t>low score.</t>
        </r>
        <r>
          <rPr>
            <sz val="9"/>
            <color indexed="81"/>
            <rFont val="Tahoma"/>
            <family val="2"/>
          </rPr>
          <t xml:space="preserve">
</t>
        </r>
      </text>
    </comment>
    <comment ref="Z17" authorId="4" shapeId="0" xr:uid="{A596CFCA-3C9F-F442-888B-1AB137A16151}">
      <text>
        <t>[Threaded comment]
Your version of Excel allows you to read this threaded comment; however, any edits to it will get removed if the file is opened in a newer version of Excel. Learn more: https://go.microsoft.com/fwlink/?linkid=870924
Comment:
    3 months duration if all RACGP trials are considered (have not looked up individual studies)</t>
      </text>
    </comment>
    <comment ref="AL19" authorId="5" shapeId="0" xr:uid="{2EE711B0-895D-5C46-BB87-0845227568B5}">
      <text>
        <t>[Threaded comment]
Your version of Excel allows you to read this threaded comment; however, any edits to it will get removed if the file is opened in a newer version of Excel. Learn more: https://go.microsoft.com/fwlink/?linkid=870924
Comment:
    ES downgraded one level due to floor effect in GRADE summary (total points subtracted = 5 out of  maximum 4)</t>
      </text>
    </comment>
    <comment ref="Z21" authorId="6" shapeId="0" xr:uid="{A44898C3-3392-1844-B3A4-819F97B59B12}">
      <text>
        <t>[Threaded comment]
Your version of Excel allows you to read this threaded comment; however, any edits to it will get removed if the file is opened in a newer version of Excel. Learn more: https://go.microsoft.com/fwlink/?linkid=870924
Comment:
    Could not locate 5 of the 6 articles. Perhaps removed because they were industry sponsored?</t>
      </text>
    </comment>
    <comment ref="Z22" authorId="7" shapeId="0" xr:uid="{72753F8F-0C37-1647-8425-15A6FB5339F9}">
      <text>
        <t>[Threaded comment]
Your version of Excel allows you to read this threaded comment; however, any edits to it will get removed if the file is opened in a newer version of Excel. Learn more: https://go.microsoft.com/fwlink/?linkid=870924
Comment:
    From the cochrane review: “when stratifying results according to length of follow up benefits were moderate at 1 to 2 weeks after end of treatment, small to moderate at 4-6 weeks, small at 13 weeks…no evidence of effect at 26 weeks…”</t>
      </text>
    </comment>
    <comment ref="Z32" authorId="8" shapeId="0" xr:uid="{D55B092F-8C73-7346-A1A1-D028D1C3F811}">
      <text>
        <t>[Threaded comment]
Your version of Excel allows you to read this threaded comment; however, any edits to it will get removed if the file is opened in a newer version of Excel. Learn more: https://go.microsoft.com/fwlink/?linkid=870924
Comment:
    3 months duration if all RACGP trials are considered (have not looked up individual studies)</t>
      </text>
    </comment>
    <comment ref="Z36" authorId="9" shapeId="0" xr:uid="{7E8C6B23-4233-E949-AA4F-C36ECEC8B244}">
      <text>
        <t>[Threaded comment]
Your version of Excel allows you to read this threaded comment; however, any edits to it will get removed if the file is opened in a newer version of Excel. Learn more: https://go.microsoft.com/fwlink/?linkid=870924
Comment:
    &lt;6 weeks [2]</t>
      </text>
    </comment>
    <comment ref="Z37" authorId="10" shapeId="0" xr:uid="{3C0FAEBF-C3C7-D344-B813-5B7A80EA5BDF}">
      <text>
        <t>[Threaded comment]
Your version of Excel allows you to read this threaded comment; however, any edits to it will get removed if the file is opened in a newer version of Excel. Learn more: https://go.microsoft.com/fwlink/?linkid=870924
Comment:
    6 months [1]</t>
      </text>
    </comment>
    <comment ref="AK38" authorId="11" shapeId="0" xr:uid="{464EBB4A-651D-AE46-9612-EB5E3A07B859}">
      <text>
        <t>[Threaded comment]
Your version of Excel allows you to read this threaded comment; however, any edits to it will get removed if the file is opened in a newer version of Excel. Learn more: https://go.microsoft.com/fwlink/?linkid=870924
Comment:
    This SR also concludes that there is insufficient information available to determine its effectiveness: Duivenvoorden, T., et al. (2015). "Braces and orthoses for treating osteoarthritis of the knee."</t>
      </text>
    </comment>
    <comment ref="Z39" authorId="12" shapeId="0" xr:uid="{D3AB13F4-A4A4-AB47-B104-EBCF4056AFD4}">
      <text>
        <t>[Threaded comment]
Your version of Excel allows you to read this threaded comment; however, any edits to it will get removed if the file is opened in a newer version of Excel. Learn more: https://go.microsoft.com/fwlink/?linkid=870924
Comment:
    Chosen the more conservative of two options (short-medium (yoga) vs medium (cycling)) [3]</t>
      </text>
    </comment>
    <comment ref="AA39" authorId="2" shapeId="0" xr:uid="{D91F2291-C89F-B74D-8918-647C2215C12E}">
      <text>
        <r>
          <rPr>
            <b/>
            <sz val="9"/>
            <color indexed="81"/>
            <rFont val="Tahoma"/>
            <family val="2"/>
          </rPr>
          <t>Jason Chua:</t>
        </r>
        <r>
          <rPr>
            <sz val="9"/>
            <color indexed="81"/>
            <rFont val="Tahoma"/>
            <family val="2"/>
          </rPr>
          <t xml:space="preserve">
Given that there's only a couple of studies to support this assumption of duration of treatment effect, this could be assigned a </t>
        </r>
        <r>
          <rPr>
            <b/>
            <sz val="9"/>
            <color indexed="81"/>
            <rFont val="Tahoma"/>
            <family val="2"/>
          </rPr>
          <t>low score.</t>
        </r>
      </text>
    </comment>
    <comment ref="AA40" authorId="2" shapeId="0" xr:uid="{8A6FBF21-EEAC-AD47-B6B9-18589D343796}">
      <text>
        <r>
          <rPr>
            <b/>
            <sz val="9"/>
            <color indexed="81"/>
            <rFont val="Tahoma"/>
            <family val="2"/>
          </rPr>
          <t>Jason Chua:</t>
        </r>
        <r>
          <rPr>
            <sz val="9"/>
            <color indexed="81"/>
            <rFont val="Tahoma"/>
            <family val="2"/>
          </rPr>
          <t xml:space="preserve">
Backed by Cochrane Review (Fransen)
</t>
        </r>
      </text>
    </comment>
    <comment ref="AA41" authorId="2" shapeId="0" xr:uid="{DFF530F3-EEFB-7949-9DC1-3618D978F81B}">
      <text>
        <r>
          <rPr>
            <b/>
            <sz val="9"/>
            <color indexed="81"/>
            <rFont val="Tahoma"/>
            <family val="2"/>
          </rPr>
          <t>Jason Chua:</t>
        </r>
        <r>
          <rPr>
            <sz val="9"/>
            <color indexed="81"/>
            <rFont val="Tahoma"/>
            <family val="2"/>
          </rPr>
          <t xml:space="preserve">
Backed by Cochrane review (Fransen)</t>
        </r>
      </text>
    </comment>
    <comment ref="AA42" authorId="2" shapeId="0" xr:uid="{F3238227-31C0-7844-BC0A-7C734764D04C}">
      <text>
        <r>
          <rPr>
            <b/>
            <sz val="9"/>
            <color indexed="81"/>
            <rFont val="Tahoma"/>
            <family val="2"/>
          </rPr>
          <t>Jason Chua:</t>
        </r>
        <r>
          <rPr>
            <sz val="9"/>
            <color indexed="81"/>
            <rFont val="Tahoma"/>
            <family val="2"/>
          </rPr>
          <t xml:space="preserve">
The study which informs the ES for this study did not measure outcomes following treatment, only immediately after a 12-week cycling programme. 
</t>
        </r>
        <r>
          <rPr>
            <b/>
            <sz val="9"/>
            <color indexed="81"/>
            <rFont val="Tahoma"/>
            <family val="2"/>
          </rPr>
          <t>Therefore, the duration could be set to low.</t>
        </r>
      </text>
    </comment>
    <comment ref="AA43" authorId="2" shapeId="0" xr:uid="{BA8F27D9-9D66-5945-8143-4CD1933E8F48}">
      <text>
        <r>
          <rPr>
            <b/>
            <sz val="9"/>
            <color indexed="81"/>
            <rFont val="Tahoma"/>
            <family val="2"/>
          </rPr>
          <t>Jason Chua:</t>
        </r>
        <r>
          <rPr>
            <sz val="9"/>
            <color indexed="81"/>
            <rFont val="Tahoma"/>
            <family val="2"/>
          </rPr>
          <t xml:space="preserve">
I reviewed the RACGP CPG referenced artciles; I could not locate a few of them. The highest-quality one published in Arthritis Care &amp; Rheumatism found sustained changes following a 12-wk program at 24wks
3 month effects based on 1 study with follow up 12-weeks post intervention.</t>
        </r>
      </text>
    </comment>
    <comment ref="AA46" authorId="3" shapeId="0" xr:uid="{6FA77344-7F84-474D-A64C-671D8B2ED813}">
      <text>
        <r>
          <rPr>
            <b/>
            <sz val="9"/>
            <color indexed="81"/>
            <rFont val="Tahoma"/>
            <family val="2"/>
          </rPr>
          <t>GIIVIAK:</t>
        </r>
        <r>
          <rPr>
            <sz val="9"/>
            <color indexed="81"/>
            <rFont val="Tahoma"/>
            <family val="2"/>
          </rPr>
          <t xml:space="preserve">
Most studies compared manual therapy with exercise vs exercise alone with no signficant differences between groups. Therefore the effects are at least as good as exercise alone.</t>
        </r>
      </text>
    </comment>
    <comment ref="AA47" authorId="3" shapeId="0" xr:uid="{E32E50BD-5B35-1748-B5BF-B21EC7EFE169}">
      <text>
        <r>
          <rPr>
            <b/>
            <sz val="9"/>
            <color indexed="81"/>
            <rFont val="Tahoma"/>
            <family val="2"/>
          </rPr>
          <t>GIIVIAK:</t>
        </r>
        <r>
          <rPr>
            <sz val="9"/>
            <color indexed="81"/>
            <rFont val="Tahoma"/>
            <family val="2"/>
          </rPr>
          <t xml:space="preserve">
Studies by Abbott (2013) and Fitzgerald suggest that the effects of manual therapy may last up to 9 months post-intervention (with booster sessions)</t>
        </r>
      </text>
    </comment>
    <comment ref="Z54" authorId="13" shapeId="0" xr:uid="{008D1D76-606D-114E-BEE5-7D5182C819CE}">
      <text>
        <t>[Threaded comment]
Your version of Excel allows you to read this threaded comment; however, any edits to it will get removed if the file is opened in a newer version of Excel. Learn more: https://go.microsoft.com/fwlink/?linkid=870924
Comment:
    Could not locate 2 articles.</t>
      </text>
    </comment>
    <comment ref="Z57" authorId="14" shapeId="0" xr:uid="{2F269B8C-831F-C446-AABA-D0F76007D065}">
      <text>
        <t>[Threaded comment]
Your version of Excel allows you to read this threaded comment; however, any edits to it will get removed if the file is opened in a newer version of Excel. Learn more: https://go.microsoft.com/fwlink/?linkid=870924
Comment:
    Couldn't locate 1 article.</t>
      </text>
    </comment>
    <comment ref="Z58" authorId="15" shapeId="0" xr:uid="{B7A6F8BA-2CDB-4843-BD7D-5A067B1259C0}">
      <text>
        <t>[Threaded comment]
Your version of Excel allows you to read this threaded comment; however, any edits to it will get removed if the file is opened in a newer version of Excel. Learn more: https://go.microsoft.com/fwlink/?linkid=870924
Comment:
    Could not locate 3 articles.</t>
      </text>
    </comment>
    <comment ref="AK59" authorId="16" shapeId="0" xr:uid="{85849285-9E6D-0147-86C4-21ADC2942628}">
      <text>
        <t>[Threaded comment]
Your version of Excel allows you to read this threaded comment; however, any edits to it will get removed if the file is opened in a newer version of Excel. Learn more: https://go.microsoft.com/fwlink/?linkid=870924
Comment:
    Used Farid et al., 2007</t>
      </text>
    </comment>
    <comment ref="AA60" authorId="2" shapeId="0" xr:uid="{315D71CD-D272-8144-A549-65900608A4E5}">
      <text>
        <r>
          <rPr>
            <b/>
            <sz val="9"/>
            <color indexed="81"/>
            <rFont val="Tahoma"/>
            <family val="2"/>
          </rPr>
          <t>Jason Chua:</t>
        </r>
        <r>
          <rPr>
            <sz val="9"/>
            <color indexed="81"/>
            <rFont val="Tahoma"/>
            <family val="2"/>
          </rPr>
          <t xml:space="preserve">
Refers to follow-up times following an intervention (not immediately post-intervention).</t>
        </r>
      </text>
    </comment>
    <comment ref="Z61" authorId="17" shapeId="0" xr:uid="{2771CB93-1EF5-D140-9736-53573E818FBE}">
      <text>
        <t>[Threaded comment]
Your version of Excel allows you to read this threaded comment; however, any edits to it will get removed if the file is opened in a newer version of Excel. Learn more: https://go.microsoft.com/fwlink/?linkid=870924
Comment:
    10.3 (2-24) [4]. Based on studies which reported an effect - Barrios ([follow up] 12), Hatef (2), Pham (24) and Wallace (3). Bennell and Toda reported no effect (FU 12 and 3 months, respectively)</t>
      </text>
    </comment>
    <comment ref="AA62" authorId="3" shapeId="0" xr:uid="{E982DC19-2378-E54A-B2F5-6C2900DB1D95}">
      <text>
        <r>
          <rPr>
            <b/>
            <sz val="9"/>
            <color indexed="81"/>
            <rFont val="Tahoma"/>
            <family val="2"/>
          </rPr>
          <t>GIIVIAK:</t>
        </r>
        <r>
          <rPr>
            <sz val="9"/>
            <color indexed="81"/>
            <rFont val="Tahoma"/>
            <family val="2"/>
          </rPr>
          <t xml:space="preserve">
Evidence for effect at 2 months</t>
        </r>
      </text>
    </comment>
    <comment ref="Z64" authorId="18" shapeId="0" xr:uid="{FCD946DF-573D-6E4A-B3D8-CC6B4C4A23E1}">
      <text>
        <t>[Threaded comment]
Your version of Excel allows you to read this threaded comment; however, any edits to it will get removed if the file is opened in a newer version of Excel. Learn more: https://go.microsoft.com/fwlink/?linkid=870924
Comment:
    no change using Jevotovsky's SR: 11, 12 (median) (6-24) [12] (Using level I and II trials only in Jevotovsky et al 2018)</t>
      </text>
    </comment>
    <comment ref="Z66" authorId="19" shapeId="0" xr:uid="{2E8D115D-99AD-0D46-B3CF-89F8D2569EAA}">
      <text>
        <t>[Threaded comment]
Your version of Excel allows you to read this threaded comment; however, any edits to it will get removed if the file is opened in a newer version of Excel. Learn more: https://go.microsoft.com/fwlink/?linkid=870924
Comment:
    2 of 3 trials were immediately post-intervention [2]</t>
      </text>
    </comment>
    <comment ref="AA67" authorId="3" shapeId="0" xr:uid="{CEEFC61E-C942-DC4B-BC13-4EA8E24C2D86}">
      <text>
        <r>
          <rPr>
            <b/>
            <sz val="9"/>
            <color indexed="81"/>
            <rFont val="Tahoma"/>
            <family val="2"/>
          </rPr>
          <t>GIIVIAK:</t>
        </r>
        <r>
          <rPr>
            <sz val="9"/>
            <color indexed="81"/>
            <rFont val="Tahoma"/>
            <family val="2"/>
          </rPr>
          <t xml:space="preserve">
maybe 3 weeks</t>
        </r>
      </text>
    </comment>
    <comment ref="Z72" authorId="20" shapeId="0" xr:uid="{C14013E3-4CCE-2D45-B2FD-F67998B2F507}">
      <text>
        <t>[Threaded comment]
Your version of Excel allows you to read this threaded comment; however, any edits to it will get removed if the file is opened in a newer version of Excel. Learn more: https://go.microsoft.com/fwlink/?linkid=870924
Comment:
    Couldn't locate 2 articles.</t>
      </text>
    </comment>
    <comment ref="Z75" authorId="21" shapeId="0" xr:uid="{5E4090CA-9813-B741-B5E5-D5C26EA51EA3}">
      <text>
        <t>[Threaded comment]
Your version of Excel allows you to read this threaded comment; however, any edits to it will get removed if the file is opened in a newer version of Excel. Learn more: https://go.microsoft.com/fwlink/?linkid=870924
Comment:
    52 studies in SR paper; "the outcome of measure of interest were change from baseline in pain…at 3 month follow-up. If 3-month data were not available, we used data from 2-6 onths (the data point closest to 3 months was given preference"</t>
      </text>
    </comment>
    <comment ref="Z77" authorId="22" shapeId="0" xr:uid="{4D1CFE69-D43E-AA40-8B7E-52B25E6CB7E8}">
      <text>
        <t>[Threaded comment]
Your version of Excel allows you to read this threaded comment; however, any edits to it will get removed if the file is opened in a newer version of Excel. Learn more: https://go.microsoft.com/fwlink/?linkid=870924
Comment:
    12 [6-18) [3]
All studies reported meaningful effects.</t>
      </text>
    </comment>
    <comment ref="AA77" authorId="3" shapeId="0" xr:uid="{37D95871-1F68-A349-9636-16BCC339530C}">
      <text>
        <r>
          <rPr>
            <b/>
            <sz val="9"/>
            <color indexed="81"/>
            <rFont val="Tahoma"/>
            <family val="2"/>
          </rPr>
          <t>GIIVIAK:</t>
        </r>
        <r>
          <rPr>
            <sz val="9"/>
            <color indexed="81"/>
            <rFont val="Tahoma"/>
            <family val="2"/>
          </rPr>
          <t xml:space="preserve">
Most studies measured effects immediately after intervention, for which, the longest lasted about a year.
Technically, this could be set to 'low' because there aren't any studies with a follow-up period after no intervention.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tc={687F6329-FFDC-8B42-9230-82F8728219A2}</author>
    <author>tc={007ACB9F-9719-104B-9DF6-0DF9E2FDEC43}</author>
    <author>GIIVIAK</author>
  </authors>
  <commentList>
    <comment ref="A32" authorId="0" shapeId="0" xr:uid="{687F6329-FFDC-8B42-9230-82F8728219A2}">
      <text>
        <t>[Threaded comment]
Your version of Excel allows you to read this threaded comment; however, any edits to it will get removed if the file is opened in a newer version of Excel. Learn more: https://go.microsoft.com/fwlink/?linkid=870924
Comment:
    The RACGP guideline states follow up durations ranging fom 4-12 months in their review, which puts this in the medium duration rating. I did not look up all individual trials for this intervention.</t>
      </text>
    </comment>
    <comment ref="A35" authorId="1" shapeId="0" xr:uid="{007ACB9F-9719-104B-9DF6-0DF9E2FDEC43}">
      <text>
        <t>[Threaded comment]
Your version of Excel allows you to read this threaded comment; however, any edits to it will get removed if the file is opened in a newer version of Excel. Learn more: https://go.microsoft.com/fwlink/?linkid=870924
Comment:
    The RACGP CPG reports 2 trials with follow up duration of 6 week, putting it in the short-medium duration. I did not look up both individual trials for this intervention.</t>
      </text>
    </comment>
    <comment ref="D55" authorId="2" shapeId="0" xr:uid="{BC36C86D-47A3-104A-BE78-0B73576CAE6D}">
      <text>
        <r>
          <rPr>
            <sz val="9"/>
            <color rgb="FF000000"/>
            <rFont val="Tahoma"/>
            <family val="2"/>
          </rPr>
          <t>Data extracted by Machado - could be anywhere from 1-3 months.</t>
        </r>
      </text>
    </comment>
  </commentList>
</comments>
</file>

<file path=xl/sharedStrings.xml><?xml version="1.0" encoding="utf-8"?>
<sst xmlns="http://schemas.openxmlformats.org/spreadsheetml/2006/main" count="2532" uniqueCount="943">
  <si>
    <t>knee, hip or both filter (1/0/10)</t>
  </si>
  <si>
    <t>1= Non-pharmacologic interventions
2= Electrotherapies
3= Pharmacological 
4= Herbal therapies
5= Nutraceuticals
6= Surgical therapies</t>
  </si>
  <si>
    <t>Intervention name</t>
  </si>
  <si>
    <t xml:space="preserve">Strength of recommendations from the RACGP guideline (worst-best):
1. strong against
2. conditional against
3. conditional (neutral)
4. conditional for
5. strong for
</t>
  </si>
  <si>
    <t xml:space="preserve">Strength of recommendations from the RACGP guideline (worst-best):
Strong for ↑↑
Conditional for ↑
Neutral ↔
Conditional against ↓
Strong against ↓↓
</t>
  </si>
  <si>
    <t>1st line recommendation score
5 = best timing
4 = 
3 = neutral timing
2 = 
1 = worst timing</t>
  </si>
  <si>
    <t>2nd line recommendation score
5 = best timing
4 = 
3 = neutral timing
2 = 
1 = worst timing</t>
  </si>
  <si>
    <t>3rd line recommendation score
5 = best timing
4 = 
3 = neutral timing
2 = 
1 = worst timing</t>
  </si>
  <si>
    <t>1st line intervention timing. Do not modify
↑↑= strong for
↑= conditional for
↔= neutral
↓= conditional against
↓↓= strong against</t>
  </si>
  <si>
    <t>2nd line intervention timing. Do not modify
↑↑= strong for
↑= conditional for
↔= neutral
↓= conditional against
↓↓= strong against</t>
  </si>
  <si>
    <t>3rd line intervention timing. Do not modify. 
↑↑= strong for
↑= conditional for
↔= neutral
↓= conditional against
↓↓= strong against</t>
  </si>
  <si>
    <t>Do not modify these columns.</t>
  </si>
  <si>
    <t>Quality of the evidence
✓= very low
✓✓= Low
✓✓✓= moderate
✓✓✓✓= high</t>
  </si>
  <si>
    <t>Cost 
$$$= high $1k/mo or &gt;$15k one-off
$$= medium $100-$1k/mo or $1500-$15k one-off
$= low &lt;$100/mo or &lt;$1500 one-off</t>
  </si>
  <si>
    <t xml:space="preserve">Cost expressed in NZ$ 2017 prices
Adjustments for inflation and currency followed  Welte et al 2004 rcommendations. OECD purchasing power parities (PPP) were used to exchange currency, and inflation was calculated using consumer price index (CPI):
PPP: $1USD = NZ$ 2017 1.48; NZ$ 2012 1.5; NZ$ 2009 1.47; NZ$ 2008 1.49 (http://stats.oecd.org/Index.aspx?DataSetCode=CPL#)
CPI (inflation): 2008 (2010= 100) = 95.7, 2009= 97.7, 2012= 105.1, 2013= 106.3 and 2017= 110.7 (https://data.oecd.org/price/inflation-cpi.htm#indicator-chart)
Steps 1) convert original value to NZD using the PPP for the correct year, 2) convert the adjusted value for PPP to 2017 $NZ, by subtracting the appropriate year CPI from the 2017 CPI (110.7) and dividing by 100 then adding 1 to convert to a % and multiplying by the corrected value for PPP to convert into 2017 $NZ.
</t>
  </si>
  <si>
    <t>Unit</t>
  </si>
  <si>
    <t>PHARMAC subsidy?</t>
  </si>
  <si>
    <t>unadjusted cost/ unit</t>
  </si>
  <si>
    <t>Description of costed intervention (assumptions)</t>
  </si>
  <si>
    <t>Cost source(s)</t>
  </si>
  <si>
    <t>Duration of effect
⧗= Short: up to 4-6hrs
⧗⧗= short-medium &lt;3 months
⧗⧗⧗= Medium: 3-12 months 
⧗⧗⧗⧗= Long: &gt;12 months</t>
  </si>
  <si>
    <t>Average months, median (range) [# studies] of the number of studies reporting a positive intervention effect.</t>
  </si>
  <si>
    <t>DURATION (old)
Duration refers to the follow-up period measured with a sustained relevant effect size. This means that the duration of a pharmaceutical intervention is not based on the frequency of dosing - it ensures that the risks and effects of intervention are all on equal playing field (e.g. the risks associated with acetaminophen are only realised after extended chronic use; the risks aren't associated with 4-6hr/12hr dosing schedules/frequencies).</t>
  </si>
  <si>
    <t>DURATION (unadjusted, old)
The frequency of intervention required for effect to be sustained after all relevant treatment is conducted. E.g.  PRP injections require an initial 'block' of injections over 1-4 weeks which are sustained for 12 months (apparently!). This is not the case for panadol, which requires ongoing dosing to be effective (assumed).</t>
  </si>
  <si>
    <t xml:space="preserve">Accessiblity - informed by the MoH MAP membership
1. Number of interventions reaching consensus after round 1 = 5 (Convenient: Alternative medicines, pharmacological agents. Inconvenient: mechanical aids, psychological interventions, surgical interventions)
2. Number of interventions reaching consensus after round 2 = 1 (Convenient: pharmacological interventions - presecription only medicine)
3. Number of interventions which did not reach consensus after round 2 = 4 (Electrotherapies, exercise, injectable agents, other physical therapies, self-management &amp; education, weight management)
♿ - inaccessible travel, or wait time
♿♿ - neither accessible or inaccessible travel, or wait time
♿♿♿ - accessible travel, or wait time.
</t>
  </si>
  <si>
    <t>Access comment in the RACGP guideline</t>
  </si>
  <si>
    <t xml:space="preserve">Mild/ moderate harms:
⚠⚠⚠ High: 3 in 4: &gt;50% 
⚠⚠ Moderate: 2 in 4: 25% ≤50% 
⚠ Low: 1 in 4: &lt;25%
adverse events: An unfavourable outcome that occurs during or after the use of a drug or other intervention but is not necessarily caused by it.  It can be defined as “any abnormal sign, symptom, or laboratory test, or any syndromic combination of such abnormalities, any untoward or unplanned occurrence (for example, an accident or unplanned pregnancy), or any unexpected worsening or improvement in a concurrent illness” </t>
  </si>
  <si>
    <t>Serious harms :
⚠⚠⚠ High: &gt;0.5%
⚠⚠ Moderate: 0.2% - 0.5%
⚠ Low: &lt;0.2%
Assumptions made: 
1. If no SAEs were detected in the RACGP CPG, then I assumed that there were no SAEs related to the intervention.
2. If SAEs were noted, then the type of SAE and whether it was  attributable to the intervention was reviewed in the SAE summary table provided in the technical document.
3. If the level of risk was unclear for mild/moderate or serious adverse events, a literature review was conducted to search for systematic reviews to inform what level level should be used (quantitative reviews&gt; qualitative reviews&gt; individual papers).
4. I have assumed that the level of mild and moderate harm is high across all surgical interventions.</t>
  </si>
  <si>
    <t xml:space="preserve">DOUBLE CHECK risks </t>
  </si>
  <si>
    <t>Serious harms as reported in the guidelines.
(‘Serious’ refers to adverse effects that have significant medical consequences, eg lead to death, permanent disability or prolonged hospitalisation (WHO)) or 'death or injury possibly related to participation in the trial and requiring medical attention' (tech doc p.257)
We assumed that the RACGP expert panel statements ‘no adverse events reported,’ 'no evidence of harm',  ‘very low/ low risk of harm,’ and ‘very low/ low likelihood of serious adverse effects’ conferred to low levels of mild or moderate, or serious harm. If the statements were different or the treatment harms were further specified, the evidence tables were reviewed in the technical document for further information and literature review was undertaken if more information was required.</t>
  </si>
  <si>
    <t>Relative Risk [intervention: control] RR &lt;1 favours intervention (as reported in the RACGP CPG)</t>
  </si>
  <si>
    <t>Rates (as reported in the RACGP CPG)</t>
  </si>
  <si>
    <t>Effect - pain
(lower numbers are better. Right justified ES's have been calculated by JC)</t>
  </si>
  <si>
    <t>ES downgrade notes</t>
  </si>
  <si>
    <t>Actioned?</t>
  </si>
  <si>
    <t>1000minds variable names</t>
  </si>
  <si>
    <t>Alternative</t>
  </si>
  <si>
    <t>Rec</t>
  </si>
  <si>
    <t>Rec1</t>
  </si>
  <si>
    <t>Rec2</t>
  </si>
  <si>
    <t>Rec3</t>
  </si>
  <si>
    <t>↑↑</t>
  </si>
  <si>
    <t>↑</t>
  </si>
  <si>
    <t>↔</t>
  </si>
  <si>
    <t>↓</t>
  </si>
  <si>
    <t>↓↓</t>
  </si>
  <si>
    <t>Qua</t>
  </si>
  <si>
    <t>Cos</t>
  </si>
  <si>
    <t>Acc</t>
  </si>
  <si>
    <t>Rmi</t>
  </si>
  <si>
    <t>Rse</t>
  </si>
  <si>
    <t>Acupuncture (electroacupuncture) - knee</t>
  </si>
  <si>
    <t>Conditional against</t>
  </si>
  <si>
    <t>✓</t>
  </si>
  <si>
    <t>$</t>
  </si>
  <si>
    <t>mean total cost per person</t>
  </si>
  <si>
    <t>-</t>
  </si>
  <si>
    <t xml:space="preserve">$702 US$2008 </t>
  </si>
  <si>
    <t>Mean total cost per person</t>
  </si>
  <si>
    <t>Pinto, D., et al. (2012). "Cost-Effectiveness of Nonpharmacologic, Nonsurgical Interventions for Hip and/or Knee Osteoarthritis: Systematic Review." Value in Health 15(1): 1-12.</t>
  </si>
  <si>
    <t>⧗⧗⧗</t>
  </si>
  <si>
    <t>3.5 ± 0 (3.5-4) [1]</t>
  </si>
  <si>
    <t xml:space="preserve">1. The review by Manyanga (2014) included studies with follow-up periods 4-52 weeks, however, they did not report on duration of the effect, only duration of intervention, which seems to have greater effects with more time: Manheimer, E., et al. (2010). "Acupuncture for peripheral joint osteoarthritis." Cochrane Database Syst Rev(1): CD001977 investigated follow up at 8 weeks. Manyanga's subgroup analysis hinted at greater effects on pain at 4 weeks (ES 0.38 0.69,0.06), see  Manyanga, T., et al. (2014). "Pain management with acupuncture in osteoarthritis: a systematic review and meta-analysis." BMC Complement Altern Med 14: 312.
2. The network meta-analysis by Corbett et al 2013 suggests little effect after 7 weeks (see discussion, p.1296): Corbett, M. S., et al. (2013). "Acupuncture and other physical treatments for the relief of pain due to osteoarthritis of the knee: network meta-analysis." Osteoarthritis Cartilage 21(9): 1290-1298.
3. On balance, I chose a short, rather than medium level of duration, as there is little evidence to suggest that the effects of acupuncture last 3-12 months or more.
</t>
  </si>
  <si>
    <t>0; unclear</t>
  </si>
  <si>
    <t>♿♿</t>
  </si>
  <si>
    <t>Clinicians should not offer acupuncture to people with knee and/or hip OA due to its lack of clinical effectiveness and the necessity of multiple, visits to a clinician for passive treatment that may come at a financial cost to the patient.</t>
  </si>
  <si>
    <t>⚠</t>
  </si>
  <si>
    <t>Y - serious Aes not reported in the SR by Manyanga, T., et al., Pain management with acupuncture in osteoarthritis: a systematic review and meta-analysis. BMC Complement Altern Med, 2014. 14: p. 312. See page 4/9 for reported RR of 1.44 for adverse events (mild/moderate harms).</t>
  </si>
  <si>
    <t>There is a statistically significant increase in risk of adverse events with acupuncture compared to sham in people with knee OA, although most were unrelated to acupuncture treatment (Technical document, Appendix 5 adverse events table, p257/258)</t>
  </si>
  <si>
    <t>+32/1000 serious Aes; Risk ratio 2.28 (does not cross null)</t>
  </si>
  <si>
    <t xml:space="preserve"> </t>
  </si>
  <si>
    <t>-0.23 [-0.47,0]</t>
  </si>
  <si>
    <t>⚕⚕</t>
  </si>
  <si>
    <t>Acupuncture (laser) - knee</t>
  </si>
  <si>
    <t>✓✓</t>
  </si>
  <si>
    <t>Assumed the same as traditional acupuncture</t>
  </si>
  <si>
    <t>Assumed the same as traditional and electroacupuncture for the knee</t>
  </si>
  <si>
    <t>⧗⧗</t>
  </si>
  <si>
    <t>0.6 ± 0.2 (0.3-1) [4]</t>
  </si>
  <si>
    <t>Assumed the same as traditional accupuncture.</t>
  </si>
  <si>
    <t>Y</t>
  </si>
  <si>
    <t>There is a statistically significant increase in risk of adverse events with acupuncture compared to sham in people with knee OA, although most were unrelated to acupuncture treatment (Technical document, Appendix 5 adverse events table, p257/258). 
The evidence for adverse events differs for laser acupuncuture (no significant differences), that's why the risk of serious harm is low.</t>
  </si>
  <si>
    <t>Withdrawals due to Aes: N/A. Total Aes +37/1000. RR 1.62</t>
  </si>
  <si>
    <t>RR 1.62</t>
  </si>
  <si>
    <t>-0.08 [-0.4, +0.24]</t>
  </si>
  <si>
    <t>⚕</t>
  </si>
  <si>
    <t>Acupuncture (traditional with manual stimulation) - knee</t>
  </si>
  <si>
    <t>3.4 ± 1.8 (2-7) [4]</t>
  </si>
  <si>
    <t>-0.3 [-0.61,0]</t>
  </si>
  <si>
    <t>ALL LAND-BASED EXERCISE - knee (all land based, muscle-strengthening, walking, Tai Chi)</t>
  </si>
  <si>
    <t>strong for</t>
  </si>
  <si>
    <t>$800.20 - $1334.82</t>
  </si>
  <si>
    <t>$467 - $779 mean total cost per person. US$2008.</t>
  </si>
  <si>
    <t xml:space="preserve">Cost range is for mean total cost per person for class-based exercise ($769), home based exercise ($779) and facility-based aerobic exercise ($467). </t>
  </si>
  <si>
    <t>Pinto, D., et al., Cost-Effectiveness of Nonpharmacologic, Nonsurgical Interventions for Hip and/or Knee Osteoarthritis: Systematic Review. Value in Health, 2012. 15(1): p. 1-12. Table 2
$503.22 US$2012 annual cost above usual care, excl. GST in Table III of Pinto, D., et al., Manual therapy, exercise therapy, or both, in addition to usual care, for osteoarthritis of the hip or knee. 2: economic evaluation alongside a randomized controlled trial. Osteoarthritis and Cartilage, 2013. 21(10): p. 1504-1513.</t>
  </si>
  <si>
    <t>3.8 ± 3.1 (2-12) [17]</t>
  </si>
  <si>
    <t xml:space="preserve">3-6 months, possibly more with booster sessions (Pisters, 2007). 
1. Other refs: Fransen, M., et al. (2015). "Exercise for osteoarthritis of the knee." Cochrane Database of Systematic Reviews(1). "High-quality evidence indicates that land-based therapeutic exercise provides short-term benefit that is sustained for at least two to six months after cessation of formal treatment in terms of reduced knee pain, and moderate-quality evidence shows improvement in physical function among people with knee OA"
2. Tanaka, R., et al. (2014). "Effect of the Frequency and Duration of Land-based Therapeutic Exercise on Pain Relief for People with Knee Osteoarthritis: A Systematic Review and Meta-analysis of Randomized Controlled Trials." Journal of Physical Therapy Science 26(7): 969. 
3. Pisters, M. F., et al. (2007). "Long-term effectiveness of exercise therapy in patients with osteoarthritis of the hip or knee: a systematic review." Arthritis Rheum 57(7): 1245-1253.
Other note: benefits of exercise maximised around 9-12 weeks, with no improvements after 12 weeks (Tanaka et al, Li et al).
</t>
  </si>
  <si>
    <t>2-6 months</t>
  </si>
  <si>
    <t>Very low likelihood of serious adverse effects. Most are minor and include temporary increased pain at affected joint or pain at other sites.</t>
  </si>
  <si>
    <t>Study withdrawals: 0.89 [0.78-1.03]</t>
  </si>
  <si>
    <t>-0.49 [-0.59, -0.39]</t>
  </si>
  <si>
    <t>Anti-nerve growth factor (NGF) - knee</t>
  </si>
  <si>
    <t>conditional against</t>
  </si>
  <si>
    <t>✓✓✓</t>
  </si>
  <si>
    <t>$$</t>
  </si>
  <si>
    <t>$100-$500</t>
  </si>
  <si>
    <t>per month</t>
  </si>
  <si>
    <t>N</t>
  </si>
  <si>
    <t>Did not find anything on NZ formulary or pharmac schedule for fulranumab, tanezumab or fasimumab (requires off-label prescribing; RACGP)
?2016 paper estimates between $200-$1000 per dose (USD), in the absence of any published cost in RedBook: "Model-based evaluation of cost-effectiveness of Nerve Growth
Factor Inhibitors in Knee Osteoarthritis: Impact of drug cost, toxicity, and means of administration". Based on other studies they assumed that the drug was administered once every 8 weeks,  an annual cost of 6x200-1000= $1200-$6000 per annum, average $3600.
Losina, E., et al. (2016). "Model-based evaluation of cost-effectiveness of nerve growth factor inhibitors in knee osteoarthritis: impact of drug cost, toxicity, and means of administration." Osteoarthritis Cartilage 24(5): 776-785.</t>
  </si>
  <si>
    <t>4.1 ± 2.8 (1.5-8) [6]</t>
  </si>
  <si>
    <r>
      <t xml:space="preserve">Narrative review suggests early success with NGFs up to 4-12 months follow up: </t>
    </r>
    <r>
      <rPr>
        <b/>
        <sz val="10"/>
        <color theme="1"/>
        <rFont val="Segoe UI Symbol"/>
        <family val="2"/>
      </rPr>
      <t>Dimitroulas, T., et al., Biologic drugs as analgesics for the management of osteoarthritis. Seminars in Arthritis and Rheumatism, 2017. 46(6): p. 687-691.</t>
    </r>
  </si>
  <si>
    <t>4-12 months</t>
  </si>
  <si>
    <t>♿</t>
  </si>
  <si>
    <t>The Working Group discussed that anti-NGF requires off-label prescribing and is expensive which limited its accessibility and affordability</t>
  </si>
  <si>
    <t>⚠⚠</t>
  </si>
  <si>
    <t>⚠⚠⚠</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</si>
  <si>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
Risk levels set the same as the oral nsaids (Checked with HA, OK)</t>
  </si>
  <si>
    <t>withdrawals 1.78 [0.97-3.25]; total Aes 1.08 [0.91-1.27]; treatment related Aes 1.04 [0.72-1.51]; Serious Aes 0.89 [0.49-1.62]</t>
  </si>
  <si>
    <t>withdrawals +18/1000; treatment related Aes +18/1000; Serious Aes -3/1000</t>
  </si>
  <si>
    <t>-0.6 [-0.83, -0.38]</t>
  </si>
  <si>
    <t>⚕⚕⚕</t>
  </si>
  <si>
    <t>Aquatic exercise/ hydrotherapy - knee (same as hip)</t>
  </si>
  <si>
    <t>conditional for</t>
  </si>
  <si>
    <t>$796 mean total cost per person, US$2008.</t>
  </si>
  <si>
    <t>Usual care  + water-based therapy, maximum 30 participants per 1-h class, up to 84 in 12 mo, led by
swimming instructors.</t>
  </si>
  <si>
    <t>See Table 2, water-based therapy mean total cost per person and  mean program cost per person, in Pinto, D., et al. (2012). "Cost-Effectiveness of Nonpharmacologic, Nonsurgical Interventions for Hip and/or Knee Osteoarthritis: Systematic Review." Value in Health 15(1): 1-12.</t>
  </si>
  <si>
    <t>7 ± 4.4 (3-15) [5]</t>
  </si>
  <si>
    <t xml:space="preserve">Three included trials performed measurements some weeks after the end of the aquatic exercise intervention. One trial measured 24 weeks after the exercise period (Cochrane 2005), one trial measured 12 weeks after the exercise period (Lund 2008), and one trial measured four, 12, and 24 weeks following the exercise period (Stener-Victorin 2004). We did not observe any statistically significant effect on pain. 
Bartels, E. M., et al. (2016). "Aquatic exercise for the treatment of knee and hip osteoarthritis." Cochrane Database of Systematic Reviews(3).
</t>
  </si>
  <si>
    <t>Total adverse events: 1.25 [0.98-1.60]</t>
  </si>
  <si>
    <t>withdrawals +38/1000</t>
  </si>
  <si>
    <t>-0.31 [-0.47, -0.15]</t>
  </si>
  <si>
    <t>Arthroscopic cartilage repair  – knee</t>
  </si>
  <si>
    <t>strong against</t>
  </si>
  <si>
    <t>Assumed the same as arthroscopic menniscectomy</t>
  </si>
  <si>
    <t>Assumed the same as arthroscopic meniscectomy</t>
  </si>
  <si>
    <t>⧗</t>
  </si>
  <si>
    <t>Assumed the same as arthroscopic meniscectomy. Intervention survivorship is dependent on the type of intervention administered, ranging from about from 2-5 years, or more. See the narrative review by: Brittberg, M., et al. (2016). "Cartilage repair in the degenerative ageing knee: A narrative review and analysis." Acta Orthopaedica 87(Suppl 363): 26-38.</t>
  </si>
  <si>
    <t>3 monhs</t>
  </si>
  <si>
    <t>Y - assumed the same as meniscectomy</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</si>
  <si>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This review did not cover cartilage repair, but found low rates of harm for memiscectomy and debridement intervention: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</si>
  <si>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Not reported</t>
  </si>
  <si>
    <t>Not available</t>
  </si>
  <si>
    <t>No RCT data found</t>
  </si>
  <si>
    <t>Arthroscopic lavage and debridement – knee</t>
  </si>
  <si>
    <t>$4,300-$7,100 (private cost, inc. GST)</t>
  </si>
  <si>
    <t>per procedure</t>
  </si>
  <si>
    <t>$4,300 - $7,100 (/occasion)</t>
  </si>
  <si>
    <t xml:space="preserve">Assumed under the cost covered by 'knee arthroscopy'. </t>
  </si>
  <si>
    <t xml:space="preserve">Health Funds Association NZ indicative costs (inc. GST). </t>
  </si>
  <si>
    <t>Outcomes worse at 2 weeks and not statistically different 24 months post-op for pain: Laupattarakasem, W., et al. (2008). "Arthroscopic debridement for knee osteoarthritis." Cochrane Database of Systematic Reviews(1).</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</si>
  <si>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 = risk of VTE and infection (serious AEs)</t>
  </si>
  <si>
    <t>Serious Aes rates not available, 95% CI crosses null</t>
  </si>
  <si>
    <t>+0.1 [-0.25, 0.46]</t>
  </si>
  <si>
    <t>Arthroscopic meniscectomy  – knee</t>
  </si>
  <si>
    <t xml:space="preserve"> Assumed under the cost covered by 'knee arthroscopy'. </t>
  </si>
  <si>
    <t>Health Funds Association NZ indicative costs (inc. GST).</t>
  </si>
  <si>
    <t>3+ month duration of effect: Brignardello-Petersen, R., et al. (2017). "Knee arthroscopy versus conservative management in patients with degenerative knee disease: a systematic review." BMJ Open 7(5): e016114.
The 6 studies included in the Lamplot et al 2016 SR used follow-up times ranging from 6-24 months (median 12 months). How effective this intervention is, may be dependent on whether or not it was used as an early or late-stage intervention. 3 studies reported no improvement at 12 months in the review, while another 3 studies reported improvement at 12 months. Papalia et al 2011 suggest that the amount of cartilage removed mediates the progression of OA, with less removal being better. The SR by Petty et al 2011 report that in some patients radiographic progression of OA in patients with meniscectomy is worse 8-years post-intervention (20%-60%), but may not be clinically worse.
A few SR have been conducted; there isn't enough evidence to determine the long-term effects of meniscectomy:
1. Petty, C. A. and J. H. Lubowitz (2011). "Does arthroscopic partial meniscectomy result in knee osteoarthritis? A systematic review with a minimum of 8 years' follow-up." Arthroscopy 27(3): 419-424.
2. Lamplot, J. D. and R. H. Brophy (2016). "The role for arthroscopic partial meniscectomy in knees with degenerative changes: a systematic review." Bone Joint J 98-b(7): 934-938.
3. Papalia, R., et al. (2011). "Meniscectomy as a risk factor for knee osteoarthritis: a systematic review." Br Med Bull 99: 89-106.</t>
  </si>
  <si>
    <t>3 months</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</si>
  <si>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</si>
  <si>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Serious Aes 3.25 [0.13 - 78.58]</t>
  </si>
  <si>
    <t>+0.04 [-0.27, 0.37]</t>
  </si>
  <si>
    <t xml:space="preserve">Assistive walking device - knee </t>
  </si>
  <si>
    <t xml:space="preserve">$32 - $369.67 </t>
  </si>
  <si>
    <t>$32-$369.67 (average cost of items 1-3)</t>
  </si>
  <si>
    <t>1. $28 for basic crutch/cane up to $399 for walker/rollator: https://www.lifeunlimitedstore.co.nz/product-category/mobility/walkers-rollators
2. $27 for basic crutch up to $75 for forearm crutch and $190 for underarm version; walking frames $85 - $415+ for walker https://www.ilsnz.org/Products/Mobility/Walking-Sticks-Standard?page=2
3. $41 for basic walking stick; $295 for a walker http://www.aspirecanterbury.org.nz/Shop/Walkers/</t>
  </si>
  <si>
    <t>2 ± 0 (2-2) [1]</t>
  </si>
  <si>
    <t xml:space="preserve">No SR or narrative reviews on this topic. </t>
  </si>
  <si>
    <t>Few adverse events. 
Jason's comment: None reported in the serious adverse events table on page 257 in the technical document.</t>
  </si>
  <si>
    <t>0.50 [0.05-5.24]</t>
  </si>
  <si>
    <t>-31/1000</t>
  </si>
  <si>
    <t>-1.84 [-2.43, -1.25]</t>
  </si>
  <si>
    <t>Avocado-soybean unsaponifiables – same for knee and hip</t>
  </si>
  <si>
    <t>conditional (neutral)</t>
  </si>
  <si>
    <t xml:space="preserve">$27.05/30d </t>
  </si>
  <si>
    <t>1 tablet/ day</t>
  </si>
  <si>
    <t>International online shops - can't seem to find anything in NZ
$0.90/tab average items 1-3
1. $57.90 NZD 'avocado 300' 60x600mg= $0.965/tab https://nz.iherb.com/pr/Maximum-International-Avocado-300-Soy-Unsaponifiables-600-mg-60-Tablets/11676
2. $61.08 NZD 'avocado 300' 60x600mg= $1.02/tab, https://www.luckyvitamin.com/p-7058-maximum-international-avocado-300-soy-unsaponifiables-with-sierrasil-60-tablets
3. $30.39 USD (43.32 NZD) 600mgx60 tabs= $0.72/tab https://www.vitacost.com/maximum-international-avocado-300-soy-unsaponifiables-with-sierrasil</t>
  </si>
  <si>
    <t>2.4 ± 0.9 (1.5-3) [2]</t>
  </si>
  <si>
    <t>Assumed short, based on the dosing schedule.</t>
  </si>
  <si>
    <t>♿♿♿</t>
  </si>
  <si>
    <t>In pooled data from 5 RCTs spanning 3 months to 3 years follow up, with a total of nearly 600 patients there was no significant increase in adverse events over placebo</t>
  </si>
  <si>
    <t>Total Aes 1.0 [1.0 - 1.1]</t>
  </si>
  <si>
    <t>0/1000</t>
  </si>
  <si>
    <t>-0.57 [-0.95, -0.19] (efficacy at 6 months -0.45 [0.77-, 0.14]</t>
  </si>
  <si>
    <t>Biphosphonates - knee</t>
  </si>
  <si>
    <t>$45.60/30d</t>
  </si>
  <si>
    <t xml:space="preserve">Risedronate sodium was used to estimate the cost (PAHRMAC fully subsidised). The NZ formulary recommends 35mg once weekly for treatment of osteoporosis; treatment of postmenopausal osteoporosis; prevention of glucocorticoid-induced osteoporosis.
</t>
  </si>
  <si>
    <t>NZ formulary http://www.nzf.org.nz/nzf_4030</t>
  </si>
  <si>
    <t>3.5 ± 0.4 (3.2-4) [3]</t>
  </si>
  <si>
    <t>1x per week. Not indicated in the NZ formulary for OA. For the treatment of osteoporosis, Risdronate dose is recommended for adults over 18 years 35 mg once weekly.</t>
  </si>
  <si>
    <t>1 week</t>
  </si>
  <si>
    <t>Y - saes correct. Oral biphosphonates incur a risk of &lt;25% gastro events resulting in discontinuation of the treatment. 
Reid, I. R. (2011). "Bisphosphonates in the treatment of osteoporosis: a review of their contribution and controversies." Skeletal Radiol 40(9): 1191-1196.</t>
  </si>
  <si>
    <t>Bisphosphonates come with significant side effect profiles and restrictions on some day to day activities such as dental procedures. Treatment with these drugs should be reserved for patients who meet the PBS guidelines for treatment of their osteoporosis but not for the management of OA. 
The jury is still out about the serious SEs associated with biphosphonate use. GI events are &lt;20% Reyes, C., et al. (2016). "Risks and Benefits of Bisphosphonate Therapies." J Cell Biochem 117(1): 20-28.
This SR provides a good overview of the risks associated with biphosphonate use: Eriksen, E.F., A. Díez-Pérez, and S. Boonen, Update on long-term treatment with bisphosphonates for postmenopausal osteoporosis: A systematic review. Bone, 2014. 58: p. 126-135.
"Depending on the severity of osteoporosis, between 9 and 60 patients need to be treated for 3 years to prevent one vertebral fracture (Table 1); between 20 and 68 patients need to be treated for 3 years to avoid one nonvertebral fracture. Even discounting the increased risk of fracture with advancing age, the number needed to treat for 8 years would be between 3 and 23 to prevent a vertebral fracture, and between 7 and 26 for nonvertebral fracture. Based on the range of risk estimates for osteonecrosis of the jaw, one case would occur for every 1000 to 100,000 patients treated. Using the data from California,47 one atypical femoral fracture would occur in 1282 patients treated for 8 years (0.08%). Based on the Swedish data,40 8 years of therapy would result in one atypical femoral fracture for every 149 patients treated (8.4 cases/10,000 patient-years)" in McClung, M., et al. (2013). "Bisphosphonate therapy for osteoporosis: benefits, risks, and drug holiday." Am J Med 126(1): 13-20.
Similar reports of harms in : Khosla, S., et al. (2012). "Benefits and risks of bisphosphonate therapy for osteoporosis." J Clin Endocrinol Metab 97(7): 2272-2282.</t>
  </si>
  <si>
    <t>withdrawals due to Aes 0.88 [0.70 - 1.12]; total Aes 1.10 [0.80-1.51]; serious Aes 1.83 [0.38-8.75]; gastrointestinal adverse events 1.07 [0.93-1.24]</t>
  </si>
  <si>
    <t>withdrawals due to Aes -13/1000; total aes +71/1000; serious aes +15/1000; gastro events +12/1000</t>
  </si>
  <si>
    <t>-0.16 [-0.34, +0.02]</t>
  </si>
  <si>
    <t>Boswellia serrata extract - same for knee and hip</t>
  </si>
  <si>
    <t xml:space="preserve">$11.40/30d </t>
  </si>
  <si>
    <t xml:space="preserve">1. $28.95 250mgx100caps=0.29/cap https://www.biovea.net/nz/results.aspx?AG=boswellia&amp;FiltersObject=%7B%22SortValue%22:%7B%7D,%22PageSize%22:%2212%22,%22CompareProducts%22:%5B%5D,%22Brands%22:%7B%7D,%22FormValues%22:%7B%7D,%22PriceRanges%22:%7B%7D,%22Categories%22:%5B%5D,%22objects%22:%5B%5D%7D
2. *$67.19 120caps=0.56/cap Glucosamine with boswellia https://shop.amway.co.nz/en/Product/Detail/6122?c=EN-NZ
3. 7.85 pounds, $26.50AUD ($29.13)x100 caps=0.29/cap https://www.amazon.co.uk/Swanson-Boswellia-400mg-100-Capsules/dp/B001ENXPKE
</t>
  </si>
  <si>
    <t>2.5 ± 1 (1-3) [3]</t>
  </si>
  <si>
    <t>Assumed the same as ASU</t>
  </si>
  <si>
    <t>Limited data on safety available. In 2 RCTs with follow up of 30-90 days pooled (n=117) there was no significant increase in adverse events over placebo. (Technical document, Appendix 5, p85,199).</t>
  </si>
  <si>
    <t>Total Aes 0.7 [0.10-4.80]</t>
  </si>
  <si>
    <t>-12/1000</t>
  </si>
  <si>
    <t>-1.61 [-2.1, -1.13]</t>
  </si>
  <si>
    <t>Calcitonin - same for knee and hip</t>
  </si>
  <si>
    <t>$121 per 5 100 units. Therefore 4 weeks worth of 50 unit injections = ten doses per 5 units, so 121*3 = monthly cost.</t>
  </si>
  <si>
    <t>Unapproved NZ formulary recommendation is as follows: Prevention of acute bone loss due to sudden immobility [unapproved indication] - Subcutaneous or intramuscular injection: Adult 100 units daily in 1–2 divided doses, reduced to 50 units daily at start of mobilisation; duration of treatment 2 weeks, maximum 4 weeks. 
The drug is still in phase III trials for management of OA.</t>
  </si>
  <si>
    <t>Calcitonin Inj 100iu per ml, 1 ml ampoule =  $121.00 per 5. NZ fully subsidised pharmac schedule: http://www.pharmac.govt.nz/Schedule?osq=calci</t>
  </si>
  <si>
    <t>Assumed short given that the drug needs to be administered every 24hrs.</t>
  </si>
  <si>
    <t>24hrs</t>
  </si>
  <si>
    <t>Y - SAEs reported not related to the Tx.</t>
  </si>
  <si>
    <t>There were markedly higher incidences of gastrointestinal disorders and hot flushes in the active treatment arms of included studies. No other adverse events were markedly different between the two groups in either study.</t>
  </si>
  <si>
    <t>Withdrawals 2.68 [2.07-3.47]; total adverse events 1.03 [0.98-1.09]; serious adverse events 1.59 [0.75-3.40]; gastrointestinal events 1.55 [1.20-2.00]; hot flush 4.11 p3.02-5.59]</t>
  </si>
  <si>
    <r>
      <t xml:space="preserve">withdrawals +107/1000; total Aes +27/1000; Serious Aes +6/1000; Gastro </t>
    </r>
    <r>
      <rPr>
        <b/>
        <sz val="10"/>
        <color theme="1"/>
        <rFont val="Segoe UI Symbol"/>
        <family val="2"/>
      </rPr>
      <t>+150/1000; hot flush +132/1000</t>
    </r>
  </si>
  <si>
    <t>-0.03 [-0.11, 0.05]</t>
  </si>
  <si>
    <t>!</t>
  </si>
  <si>
    <t>Cannot downgrade any further</t>
  </si>
  <si>
    <t>Although a statistically signfiicant treatment effect was detected, it was considered non-significant because of the 'hierarchical testing procedure'</t>
  </si>
  <si>
    <t>Chondroitin – same for knee and hip</t>
  </si>
  <si>
    <t>Assumed the same as glucosamine and chondroitin compound</t>
  </si>
  <si>
    <t>Assumed the same as glucosamine and chondroitin compound for knee</t>
  </si>
  <si>
    <t>Pooled data from 6 trials and more than 1000 patients shows the risk of adverse events is comparable to placebo.</t>
  </si>
  <si>
    <t>Withdrawals 1.16 [.85 - 1.59]; total Aes 1.21 [.9 - 1.61]; Serious Aes 1.32 [0.45-3.87]; Gastrointestinal events 0.72 [.52 - 0.99]</t>
  </si>
  <si>
    <t>withdrawals +7/1000; total aes +42/1000; serious aes +4/1000; gastro events -21/1000</t>
  </si>
  <si>
    <t>P105 - high quality data suggest no effect. * (if all trial data was used, SMD = -0.63 [-0.91,-0.36] and the duration would be ⧗⧗⧗)</t>
  </si>
  <si>
    <t xml:space="preserve">Cognitive behavioural therapy - knee </t>
  </si>
  <si>
    <t>Conditional for</t>
  </si>
  <si>
    <t>Assumed the same as self-management education programs</t>
  </si>
  <si>
    <t>6.8 ± 3.9 (2.5-12) [3]</t>
  </si>
  <si>
    <t>Assumed the same as self-manageemnt and education programs</t>
  </si>
  <si>
    <t>6-12 months</t>
  </si>
  <si>
    <t>[clinicians] should be cognizant of issues related to cost and access.</t>
  </si>
  <si>
    <t>Y - lit RV revealed no SRs</t>
  </si>
  <si>
    <t>Low likelihood of adverse effects</t>
  </si>
  <si>
    <t>(0.38 [0.14-1.09] (withdrawal due to no-response or dissatisfaction)</t>
  </si>
  <si>
    <t>not reported</t>
  </si>
  <si>
    <t>-0.21 [-0.42, -0.01]</t>
  </si>
  <si>
    <r>
      <t xml:space="preserve">Colchicine – same for knee and hip. </t>
    </r>
    <r>
      <rPr>
        <sz val="10"/>
        <color rgb="FFFF0000"/>
        <rFont val="Segoe UI Symbol"/>
        <family val="2"/>
      </rPr>
      <t>Only indicated for goutin the NZ Formulary</t>
    </r>
    <r>
      <rPr>
        <sz val="10"/>
        <color theme="1"/>
        <rFont val="Segoe UI Symbol"/>
        <family val="2"/>
      </rPr>
      <t>. Should be considered as an investigational medication only.</t>
    </r>
  </si>
  <si>
    <r>
      <t xml:space="preserve">Not approved for OA in the NZ formulary. However, for Acute gout: Oral Adult 1 mg, followed by 500 micrograms every 6 hours up to 2.5 mg on the first day; maximum 1.5 mg on subsequent days; total maximum 6 mg over 4 days; course not to be repeated within 3 days. see http://www.nzf.org.nz/nzf_5674
PHARMAC: </t>
    </r>
    <r>
      <rPr>
        <b/>
        <sz val="10"/>
        <color theme="1"/>
        <rFont val="Segoe UI Symbol"/>
        <family val="2"/>
      </rPr>
      <t>Colgout 2200503 $10.08 per 100 = 0.1008/tablet. 3*0.1008*4*4= cost per month: $4.84</t>
    </r>
  </si>
  <si>
    <t>PHARMAC: Colgout 2200503 $10.08 per 100 = 0.1008/tablet. 3*0.1008*4*4= cost per month: $4.84</t>
  </si>
  <si>
    <t>PHARMAC: http://www.pharmac.govt.nz/Schedule?osq=colchicine</t>
  </si>
  <si>
    <t>5 ± 0 (5-5) [2]</t>
  </si>
  <si>
    <t xml:space="preserve">No high quality evidence for OA. It is typically used to treat gout, for which, there is a NZ formulary 6 dosing schedule that goes for 4 days and is not to be repeated again for three days. Two small trials exist with some other unpublished data from Iran and Singapore in 2014/2015.
 NZ formulary "Acute gout: Oral Adult 1 mg, followed by 500 micrograms every 6 hours up to 2.5 mg on the first day; maximum 1.5 mg on subsequent days; total maximum 6 mg over 4 days; course not to be repeated within 3 days. "
</t>
  </si>
  <si>
    <t>6hrs</t>
  </si>
  <si>
    <t>There are no significant adverse events in the included trials of colchicine. The most commonly reported adverse events encountered with colchicine were gastrointestinal adverse events such as loose bowel movements and pain in the abdomen, which were usually mild.
- Mild/moderate SEs &lt;25% from Leung, Y.Y., L.L. Yao Hui, and V.B. Kraus, Colchicine--Update on mechanisms of action and therapeutic uses. Semin Arthritis Rheum, 2015. 45(3): p. 341-50.
- No mention of SAEs was made by Leung et al 2015.</t>
  </si>
  <si>
    <t>withdrawals 2.89 [0.31-26.79]; total adverse events 3.10 [0.13-73.16]; serious Aes not available; gastrointestinal events 1.26 [0.83-1.93]</t>
  </si>
  <si>
    <t>withdrawals not available; serious Aes not available; gastrointestinal Aes +75/1000.</t>
  </si>
  <si>
    <t>-0.44 [-0.9, 0.02]</t>
  </si>
  <si>
    <t>Downgraded from 2 to 1</t>
  </si>
  <si>
    <t>Cold therapy - same for knee and hip</t>
  </si>
  <si>
    <t>Assumed the same as heat therapy</t>
  </si>
  <si>
    <t>0.5 ± 0.2 (0.2-1) [2]</t>
  </si>
  <si>
    <t>After 3 months follow up, there was no statistical difference in knee circumference (edema) according to the Cochrane review by Brosseau (2003).</t>
  </si>
  <si>
    <t>There is emerging clinical evidence that patients with symptomatic knee OA may experience cold hyperalgesia, suggesting therapeutic use of cold may be unhelpful. No adverse effects reported.</t>
  </si>
  <si>
    <t>Total Aes: not available - see page 41 of technical document.</t>
  </si>
  <si>
    <t>not calculable</t>
  </si>
  <si>
    <t>-0.5 [-1.07, +0.07]</t>
  </si>
  <si>
    <t xml:space="preserve">Collagen - knee </t>
  </si>
  <si>
    <t xml:space="preserve">$9.60/30d </t>
  </si>
  <si>
    <t>1cap/day</t>
  </si>
  <si>
    <t xml:space="preserve">$32/100caps   (cap average of items 1-3)
1.  $58.50/ 210 caps= $0.28/cap http://www.pharmacydirect.co.nz/GO-Healthy-GO-Collagen-for-Joints-Capsules-210.html?&amp;partner=sli&amp;bid=3
2. $60.90/ 210 caps= $0.0.29/cap http://www.healthpost.co.nz/go-healthy-go-collagen-for-joints-gycolj-g.html
3. $49.90/ 120 caps (400mg)= $0.42/cap https://www.larsonspharmacy.co.nz/catalog/search.html?Filter%5BKeyword%5D=collagen
</t>
  </si>
  <si>
    <t>6 ± 0 (6-6) [1]</t>
  </si>
  <si>
    <t>Relatively safe, a non-statistically significant increase in gastrointestinal adverse events.</t>
  </si>
  <si>
    <t>Withdrawals 0.26 [0.09 - 0.78]; total adverse events 1.08 [0.87-1.36]; serious aes 3.00 [0.13-68.26]; gastrointestinal events 1.43 [0.90-2.25]</t>
  </si>
  <si>
    <t>withdrawals -32/1000; total adverse events 39/1000; serious Aes not available; gastrointestinal events 31/1000</t>
  </si>
  <si>
    <t>-0.58 [-0.98, -0.17]</t>
  </si>
  <si>
    <t>Corticosteroid injection – knee</t>
  </si>
  <si>
    <t>per annum</t>
  </si>
  <si>
    <t>$5.64/annum</t>
  </si>
  <si>
    <t>NZ Formulary recommends no more than 4 treatments per year  (4x4ml injections).</t>
  </si>
  <si>
    <t>, "0.4–4 mg according to size (soft tissue infiltration 2–6 mg); repeated at intervals of 3–21 days if necessary, depending on site": http://www.nzf.org.nz/nzf_10066 and http://www.nzf.org.nz/nzf_5563?searchterm=corticosteroids
Using 'Max Health', fully subsidised inj 4mg per ml, 1ml ampoule - up to 5 inj available on a PSO... $14.10 per 10 ampoules. Assuming 4mg per injection, the cost per annum = ($14.10/10*4) = $5.64</t>
  </si>
  <si>
    <t>2.8 ± 1.9 (0.2-6) [11]</t>
  </si>
  <si>
    <t>3 months, given that only 4 injections should be used over a 12 month period. At weeks 1-4 corticosteroids are superior to hyaluronic acid (HA), after which HA has greater effect. Bannuru, R. R., et al. (2009). "Therapeutic trajectory of hyaluronic acid versus corticosteroids in the treatment of knee osteoarthritis: a systematic review and meta-analysis." Arthritis Rheum 61(12): 1704-1711.</t>
  </si>
  <si>
    <t>Serious and total adverse events were not significantly increased versus placebo. There are however concerns of more rapid cartilage loss with repeated injections with no benefit in long term symptom outcomes at 2 years so these injections should be used judiciously</t>
  </si>
  <si>
    <t>Withdrawals due to Aes 0.33 [0.05-2.07]; total adverse events 0.89 [0.64-1.23]; serious Aes 0.80 [0.22-2.94]</t>
  </si>
  <si>
    <t>withdrawals -26/1000; total Aes -63/1000; serious Aes -6/1000</t>
  </si>
  <si>
    <t>-0.4 [-0.58, -0.22] (immediate 4-6weeks follow up) p141.</t>
  </si>
  <si>
    <t>Curcuma/curcuminoid – same for knee and hip</t>
  </si>
  <si>
    <t xml:space="preserve">$24.30/30d </t>
  </si>
  <si>
    <t xml:space="preserve"> - $81/100caps  (cap average of items 1-3)
1. $34.90 60 caps=0.58c/cap Tumeric 15800 http://www.healthpost.co.nz/good-health-turmeric-15800-complex-ghtur-g.html
2. $31.90 15800mg 60 tabs=0.53c/cap : http://products.pharmacydirect.co.nz/medical/Turmeric-Capsules
3. $39.99 15800mg tumeric 30= $1.33/cap capsules w/boswellia, ginger, ashwagandha and black pepper - http://www.unichempharmacy.co.nz/shop/Natural+Health/Joint+Health/Good+Health+Turmeric+15800+Complex+30+Capsules.html
Other refs:
4. $48.44 60 caps 400mg tumeric root extract
5. $34.90 30 capsules 550mg: http://www.unichempharmacy.co.nz/shop/Natural+Health/Joint+Health/Nutra+Life+Turmeric++Meriva+Curcumin+550+30+Capsules.html 
6. $11.95/50gm https://www.cottagehillherbs.co.nz/herbal-products-wellington/whole-dried-herbs-and-powders-wellington/</t>
  </si>
  <si>
    <t>1.7 ± 0.2 (1.5-2) [3]</t>
  </si>
  <si>
    <t>Limited data on safety available. In 2 RCTs with follow up of 6-8 weeks pooled (n=113) there was no significant increase in serious adverse events over placebo though there was a non-statistically significant increase in gastrointestinal adverse events 15.8% vs 7.1% in placebo. (Technical document, Appendix 5, p86,200)</t>
  </si>
  <si>
    <t>Withdrawals 1.46 [0.34-6.31]; total Aes 1.48 [0.57-3.83]; serious Aes not available; gastrointenstinal events 1.92 [.68-5.41]</t>
  </si>
  <si>
    <t>withdrawals +17/1000; total aes +51/1000; serious aes not estimable; gastro events +66/1000</t>
  </si>
  <si>
    <t>-1.1 [-1.66, -0.54]</t>
  </si>
  <si>
    <t xml:space="preserve">Dextrose prolotherapy - knee </t>
  </si>
  <si>
    <t>$496 (8 sessions)</t>
  </si>
  <si>
    <t>8 sessions of GP community cost at $62/session to full recovery.</t>
  </si>
  <si>
    <t xml:space="preserve">One NZ website claims that it 'depends on number and time but on average NZD$220 for full regional treatment ( Plus preliminary consultation at usual rates)' (http://www.medcom.co.nz/prolotherapy-prolozone/) 
Another NZ website states 6-8 sessions, or more, from 1 week to 1 month apart until full recovery: http://www.southernsportspodiatry.co.nz/podiatry-treatments/prolotherapy
Assuming GP consultation cost of $62 (as reported in Pinto et al 2013) and 8 sessions without any additional costs, it costs 62*8= $496
1. $500 USD: https://www.caringmedical.com/for-patients/pricing-and-payment-policies/
2.  $150 - $400 USD: https://www.georgekramermd.com/prolotherapy-faq/
3. $250 USD: http://www.prolohawaii.com/prolotherapy/faqs-about-prolotherapy
4.  ?? Call to get cost: http://www.southernsportspodiatry.co.nz/podiatry-treatments/prolotherapy
$1424-$3000 based on 4-6 sessions @ $356-$500 NZD/ session (250-300USD)
</t>
  </si>
  <si>
    <t>3 ± 0 (3-3) [1]</t>
  </si>
  <si>
    <t>12-16 weeks based on low-quality evidence: Regina Ws, S., et al. (2016). "Hypertonic dextrose injections (prolotherapy) in the treatment of symptomatic knee osteoarthritis: A systematic review and meta-analysis." Scientific Reports 6(1).</t>
  </si>
  <si>
    <t>3-4 months months</t>
  </si>
  <si>
    <t>The Working Group has considered that since prolotherapy is relatively cheap and accessible a conditional against recommendation was agreed upon</t>
  </si>
  <si>
    <t>The study reported self-limited bruises after both dextrose (n = 3) and saline injections (n = 5). This was an expected side effect and deemed to be of minimal clinical relevance due to its transient nature. No serious adverse events were reported; however, this may be because the study sample size is not large enough to detect uncommon adverse events.117</t>
  </si>
  <si>
    <t>Total Aes not estimable.</t>
  </si>
  <si>
    <t>Not estimable.</t>
  </si>
  <si>
    <t>-0.57 [-1.12, -0.02]</t>
  </si>
  <si>
    <r>
      <t>Diacerein – knee (</t>
    </r>
    <r>
      <rPr>
        <sz val="10"/>
        <color rgb="FFFF0000"/>
        <rFont val="Segoe UI Symbol"/>
        <family val="2"/>
      </rPr>
      <t>not available in NZ</t>
    </r>
    <r>
      <rPr>
        <sz val="10"/>
        <color theme="1"/>
        <rFont val="Segoe UI Symbol"/>
        <family val="2"/>
      </rPr>
      <t>)</t>
    </r>
  </si>
  <si>
    <t xml:space="preserve">$73.70/30d </t>
  </si>
  <si>
    <t>100mg/day (50mg twice daily)</t>
  </si>
  <si>
    <t>The Fidelix et al 2014 SR noted that 50mg, 100mg and 150mg doses were trialled; at 150mg the adverse events was so high they didn't do a subgroup analysis for this group (RR 2:1 adverse events).
US Site US$55/60x50mg caps= $0.92/cap: http://www.pharmacy2home.com/generic-cartidin-diacerein.htm; NZ$ 81.70 using PPP 1.48 (2017)</t>
  </si>
  <si>
    <t>3.8 ± 1.1 (2-5) [4]</t>
  </si>
  <si>
    <t>Y - SAE level is related to diarrhoea and described as severe in RACGP CPG &amp; removed from EU pharma schedule, so in this case, not considered mild/moderate harm.</t>
  </si>
  <si>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There is an increase in rash, but the between-group difference was not significant.
From the cochrane review, "Diacerein for osteoarthritis": Low-quality evidence from seven trials showed significantly more adverse events in the diacerein group compared with the placebo group after two to 36 months, mainly diarrhoea (RR 3.52, 95% CI 2.42 to 5.11), with an absolute risk increase of 24% (95% CI 12% to 35%), and a number needed to treat for an additional harmful outcome (NNTH) of 4 (95% CI 3 to 7).No statistically significant differences in participant withdrawal due to adverse events were seen at two to 36 months for diacerein compared with placebo (RR 1.29, 95% CI 0.83 to 2.01).</t>
  </si>
  <si>
    <t>Withdrawals 0.94 [0.67-1.30]; total adverse events 1.95 [1.08 -3.54]; serious aes not available; rash/pruritus 2.97 [0.51-17.29]; diarrhea 3.50 [1.95-6.27]</t>
  </si>
  <si>
    <t>withdrawals -8/1000; total aes 339/1000; +35/1000; diarrhea +208/1000. P103/4.</t>
  </si>
  <si>
    <t>-0.45 [-0.91, -0.01]</t>
  </si>
  <si>
    <t>Doxycycline - knee</t>
  </si>
  <si>
    <t xml:space="preserve">$2.02/30d </t>
  </si>
  <si>
    <t>Estimate based on NZ Formulary dosage of 100mg daily:  Adult 200 mg on first day, then 100 mg daily; severe infections (including refractory urinary-tract infections), 200 mg daily</t>
  </si>
  <si>
    <t xml:space="preserve">Pharmac schedule http://www.pharmac.govt.nz/Schedule?osq=doxycycline
1. $6.75/250x100mg, fully subsidised= $0.0675 per 100mg tablet
</t>
  </si>
  <si>
    <t>12 hrs: The da Costa review identified 2 RCTs which used a dose regimen of two times 100mg per day doxycycline.</t>
  </si>
  <si>
    <t>12hrs</t>
  </si>
  <si>
    <t>Y - checked SAEs - none related to drug Tx (tech doc p 263)</t>
  </si>
  <si>
    <t>Adverse events that occurred significantly more frequently in the doxycycline group than in the placebo group were restricted to recognised side effects of doxycycline (i.e., monilial vaginitis, sun sensitivity, nonspecific gastrointestinal symptoms). However, only a small proportion of subjects reporting doxycycline-related side effects discontinued the study medication prematurely. Subjects in the active treatment group reported fewer urinary tract infections, and there was a trend toward fewer upper respiratory tract infections in the doxycycline group than in the placebo group.
⚠ &lt;20% , see p.3 of da Costa, B.R., et al., Doxycycline for osteoarthritis of the knee or hip. Cochrane Database of Systematic Reviews, 2012(11).)</t>
  </si>
  <si>
    <t>withdrawals 2.28 [1.06-4.90]; total aes 1.36 [1.08 - 1.72]; serious Aes 1.07 [0.68-1.68]</t>
  </si>
  <si>
    <t>withdrawals +105/1000; total adverse events +171/1000; serious aes +7/1000.</t>
  </si>
  <si>
    <t>-0.05 [-0.22, +0.13]</t>
  </si>
  <si>
    <t>Both studies didn't report any effects in the Systematic Review</t>
  </si>
  <si>
    <r>
      <t xml:space="preserve">Duloxetine - knee </t>
    </r>
    <r>
      <rPr>
        <sz val="10"/>
        <color rgb="FFFF0000"/>
        <rFont val="Segoe UI Symbol"/>
        <family val="2"/>
      </rPr>
      <t>(not available in NZ)</t>
    </r>
  </si>
  <si>
    <t>$132.56-$165/30d (NZ$2015)</t>
  </si>
  <si>
    <t>(assuming 1 tablet/day using NZ 2015 prices)</t>
  </si>
  <si>
    <t>1. 2015 prices for 60mgx28 = $150 (154.64 NZ2017) or 30mg x 28 = $120  (NZ2017 123.72) http://www.pharmacydirect.co.nz/images/textarea_images/Pharmacy%20Direct%20NSS%20Pricelist%20-%20MARCH%202015.pdf
2. $489.19 Cymbalta 20mgx 360 ($1.36/pill) or x30 ($2.58/pill= $77.46); cymbalta 40mgx180 = $479.15; or 30x40mg = $137.71: http://www.schickersunichem.co.nz/buy-cymbalta-in-nz.html
PPP $AUD 2015= 1.47, $NZD 2015= 1.46. therefore 
Other ref: Table 1 Wielage, R. C., et al. (2014). "Cost effectiveness of duloxetine for osteoarthritis: a Quebec societal perspective." Arthritis Care Res (Hoboken) 66(5): 702-708. 60-120mg @ US$576.41 initial 3-month drug cost (subsequent cost $590.23)
NZ Formulary does not have recommendations for treating OA with Duloxetine.</t>
  </si>
  <si>
    <t>3.3 ± 0.5 (3-4) [3]</t>
  </si>
  <si>
    <t>Based on the dosing schedule analysed in the SR by Wang et al (2015) of 1 tablet/day. Not included in the NZ Formulary.
Wang, Z.Y., et al., assessed 60/120mg duloxetine daily for 10-13 weeks of treatment: Efficacy and Safety of Duloxetine on Osteoarthritis Knee Pain: A Meta-Analysis of Randomized Controlled Trials. Pain Medicine, 2015. 16(7): p. 1373-1385 measured after 10-13 weeks of treatment.</t>
  </si>
  <si>
    <t>Among the patients in the three included RCTs, treatment with duloxetine was well tolerated, with the majority of adverse events being of mild or moderate intensity, for example, constipation, nausea, hyperhidrosis, cough, myalgia, arthralgia and palpitations.</t>
  </si>
  <si>
    <t>withdrawals 2.42 [1.46-4.03]; treatment related Aes 1.55 [1.15-2.09]; serious adverse events 1.04 [0.25-4.33]</t>
  </si>
  <si>
    <r>
      <t xml:space="preserve">withdrawals +72/1000; </t>
    </r>
    <r>
      <rPr>
        <b/>
        <sz val="10"/>
        <color theme="1"/>
        <rFont val="Segoe UI Symbol"/>
        <family val="2"/>
      </rPr>
      <t>treatment related</t>
    </r>
    <r>
      <rPr>
        <sz val="10"/>
        <color theme="1"/>
        <rFont val="Segoe UI Symbol"/>
        <family val="2"/>
      </rPr>
      <t xml:space="preserve"> Aes +180/1000; serious aes 0/1000.</t>
    </r>
  </si>
  <si>
    <t>-0.43 [-0.58, -0.29]</t>
  </si>
  <si>
    <r>
      <t xml:space="preserve">Fibroblast growth factor (FGF) – same for knee and hip, e.g. Sprifemin: </t>
    </r>
    <r>
      <rPr>
        <sz val="10"/>
        <color rgb="FFFF0000"/>
        <rFont val="Segoe UI Symbol"/>
        <family val="2"/>
      </rPr>
      <t>not avaliable in NZ</t>
    </r>
  </si>
  <si>
    <t>Not available in NZ; only available in phase II trials.
Did not find anything on NZ formulary or pharmac schedule for Sprifemin; currently only available in phase II trials in Australia (RACGP).
As per our systematic approach for interventions not available in NZ, the cost has been set to medium.</t>
  </si>
  <si>
    <t>RACGP guideline states that this drug is only available in phase II trials; it is not recommended due to dose-dependent reductions in cartilage thickness and lateral joint space widening.</t>
  </si>
  <si>
    <t>?</t>
  </si>
  <si>
    <t>Currently, sprifermin is expensive and mainly available in phase II trials.</t>
  </si>
  <si>
    <t>According to the findings from two recent trials, the overall proportion of patients experiencing at least one treatment emergent adverse event (TEAE) was not increased in the sprifermin group versus placebo (Technical document, Appendix 5, p120,233). Incidence, severity, and nature of reported TEAEs raised no local or systemic safety concerns for doses up to 300 μg.
⚠ 6.7% treatment-emergent AEs</t>
  </si>
  <si>
    <t>Withdrawals 1.00 [0.11-9.39]; treatment emergent Aes 0.94 [0.48-1.82]; Serious Aes 0.33 [0.11-1.00]; Local treatment emergent Aes 1.37 [0.78-2.41]</t>
  </si>
  <si>
    <t>Withdrawals 0/1000; treatment emergent adverse events -38/1000; serious Aes -186/1000; Local treatment emergent Aes +67/1000</t>
  </si>
  <si>
    <t>0.71 [0.35, 1.07]</t>
  </si>
  <si>
    <t>Footwear (minimalist footwear) - same for hip and knee</t>
  </si>
  <si>
    <t>Assumed the same as unloading shoes</t>
  </si>
  <si>
    <t xml:space="preserve">The RACGP guidelines note limited evidence of very poor quality. Given that its effectiveness is uncertain, I have assumed a low duration of effect. One study suggests benefits may be up to 3-6 months duration (see p.54 of Newberry et al 2017), but as noted in the RACGP review, the studies investigating this footwear are mostly from the same group of researchers, with serious risk of bias. </t>
  </si>
  <si>
    <t>Low likelihood of adverse effects.</t>
  </si>
  <si>
    <t>Withdrawal due to Aes 1.00 [0.07-15.21]</t>
  </si>
  <si>
    <t>No RCT data</t>
  </si>
  <si>
    <t>Footwear (rocker soled shoes) - same for hip and knee</t>
  </si>
  <si>
    <t>There is limited low quality evidence avaialble about this intervention. I have assumed that the duration is short, given the recommendations in the RACGP guideline and uncertainty about its effectiveness.</t>
  </si>
  <si>
    <t>Withdrawal due to Aes 1.16 [0.07-18.06]</t>
  </si>
  <si>
    <t>+2/1000</t>
  </si>
  <si>
    <t>-0.01 [-0.37, 0.33]</t>
  </si>
  <si>
    <t>Single study did not report a significant effect at 12 weeks. Therefore, the duration score stays short.</t>
  </si>
  <si>
    <t>Footwear (unloading shoes) - same for hip and knee</t>
  </si>
  <si>
    <t>Assumed cost is equivalent to a fully custom shoe that put its in the &lt;$1500 level of cost. Agreed in discussion with HA.</t>
  </si>
  <si>
    <t>Assumed &lt;$1500 for unloading footwear</t>
  </si>
  <si>
    <t>Cannot find specific unloading shoes.</t>
  </si>
  <si>
    <t>One RCT study found that unloading shoes were no different to conventional walking shoes - both conferred clinically relevant benefits. At 6 months follow up, there was a large and clinically important benefit of unloading shoes over conventional shoes which was clinically relevant for function, but not pain (Hinman 2016). There are no  Systematic Reviews or narrative reviews which specifically investigate unloading shoes.</t>
  </si>
  <si>
    <t>Withdrawals: 0.27 [0.08-0.88]; total Aes 1.27 [0.77-2.08]; withdrawal due to potentially treatment related reasons 0.39 [0.13-1.14]</t>
  </si>
  <si>
    <t>withdrawals -206/1000; total aes +67/1000; withdrawal due to treamtent-related reasons -156/1000</t>
  </si>
  <si>
    <t>-0.11 [-0.37, +0.14]</t>
  </si>
  <si>
    <t>Hinman 2016 - no changes at 6 months. Erhart - changes at 6 months.</t>
  </si>
  <si>
    <t>Glucosamine – knee</t>
  </si>
  <si>
    <t>Overall there was a low risk of adverse effects reported in the trials. Shellfish allergy and interactions with warfarin and diabetes are of concern and trials are likely to have excluded patients with those conditions more carefully than usual practice (Technical document, Appendix 5, p90,204).
Backup study to confirm SAE level as low:  Zeng, C., et al., Effectiveness and safety of Glucosamine, chondroitin, the two in combination, or celecoxib in the treatment of osteoarthritis of the knee. Sci Rep, 2015. 5: p. 16827.</t>
  </si>
  <si>
    <t>Withdrawals .89 [.64-1.24]; total Aes 1.01 [.95-1.07]; Serious Aes .82 [.23-3.00]; gastrointestinal events .82 [.64-1.05]</t>
  </si>
  <si>
    <t>withdrawals -7/1000; total aes +4/1000; serious aes -3/1000; gastro events -29/1000</t>
  </si>
  <si>
    <t>p101 - Large publically funded trials demonstrate no effect. * (if all trial data was used, SMD = -0.83 [-1.55,-0.11] and the duration would be ⧗⧗⧗)</t>
  </si>
  <si>
    <t>Glucosamine and chondroitin in compound form – same for knee and hip</t>
  </si>
  <si>
    <t>$10.80/30d</t>
  </si>
  <si>
    <t xml:space="preserve">$36/100caps  (cap average of items 1-3)
1. $84.40 1500mgx180= $0.47/cap: http://www.hardys.co.nz/product/222-GO-Healthy-Glucosamine-1-A-Day-180-Capsules
2. $62.90 1500mgx210= $0.30/cap: http://www.pharmacydirect.co.nz/GO-Healthy-GO-Glucosamine-1-A-Day-Capsules-210.html?&amp;partner=sli&amp;bid=3
3. $63.90 1500mg x210= $0.30/cap: http://www.healthpost.co.nz/go-healthy-go-glucosamine-1-a-day-gyglu-g.html
</t>
  </si>
  <si>
    <t>12 ± 0 (12-12) [1]</t>
  </si>
  <si>
    <t>As with the individual components, the reported rates of adverse events were similar to placebo.
Backup study to confirm SAE level as low:  Zeng, C., et al., Effectiveness and safety of Glucosamine, chondroitin, the two in combination, or celecoxib in the treatment of osteoarthritis of the knee. Sci Rep, 2015. 5: p. 16827.</t>
  </si>
  <si>
    <t>withdrawals 1.18 [0.68-2.04]; total Aes 1.45 [0.77-2.73]; serious aes 1.16 [0.36-3.75]; gastrointestinal events 1.00 [0.21-4.81]</t>
  </si>
  <si>
    <t>withdrawals +7/1000; total aes +88/1000; serious aes +3/1000; gastro events 0/1000</t>
  </si>
  <si>
    <t>p107 - high quality trials suggest no effect. Estimate is not significant in either case.</t>
  </si>
  <si>
    <t>Heat therapy - same for knee and hip</t>
  </si>
  <si>
    <t>$11.02 (average retail cost of items 1-3)</t>
  </si>
  <si>
    <t>1. $16.99 reusable hot/cold pack http://www.pharmacydirect.co.nz/Nexcare-Reusable-Hot/Cold-Pack-with-Cover.html?&amp;partner=sli&amp;bid=3
2.  $7.12 https://www.amtech.co.nz/shop/Physiotherapy+Consumables/Hot+and+Cold+Therapy+PHYSUHOTCO/Patient+Packs+PHYSUHOTCOPATIENT+PACKS/TP470Platinum+Reusable+Hot+and+Cold+Pack+TP470.html
3. 8.95 https://gosport.nz/products/mcdavid-211-reusable-hot-cold-gel-pack?utm_medium=cpc&amp;utm_source=googlepla&amp;variant=28683822595&amp;gclid=CjwKCAiAsejRBRB3EiwAZft7sEX-zwXZFZWGemw0BFPQNjbKQFhbRGT6TKZYIUMs3nJKC7OtsjEzWhoCX-cQAvD_BwE
4. $10 http://firstaid.kiwi/hot-and-cold-packs/coldhot-pack-reusable-freezer-and-microwave-safe
5. $18.90 hot &amp; cold clay pack: http://www.pharmacydirect.co.nz/SurgiPack-Hot-Cold-Clay-Pack-Medium.html</t>
  </si>
  <si>
    <t>0.6 ± 0.4 (0.2-1) [2]</t>
  </si>
  <si>
    <t>There are no narrative or Systematic Reviews specifically investigating heat therapy. In Aciksoz et al (2017) no difference was measured 2 weeks after commencing the intervention regimen. The review by newberry (2017) suggests that there are no benefits associated with heat therapy, based on limited evidence of low quality. 
1. Yildirim, N., et al. (2010). "The effect of heat application on pain, stiffness, physical function and quality of life in patients with knee osteoarthritis." J Clin Nurs 19(7-8): 1113-1120.
2. Kim, H., et al. (2013). "Effectiveness of exercise with or without thermal therapy for community-dwelling elderly Japanese women with non-specific knee pain: a randomized controlled trial." Arch Gerontol Geriatr 57(3): 352-359.
3. Ochiai, S., et al. (2014). "Effectiveness of Thermotherapy Using a Heat and Steam Generating Sheet for Cartilage in Knee Osteoarthritis." Journal of Physical Therapy Science 26(2): 281-284.
4. Aciksoz, S., et al. (2017). "The effect of self-administered superficial local hot and cold application methods on pain, functional status and quality of life in primary knee osteoarthritis patients." J Clin Nurs.
Newberry, S. J., et al. (2017). AHRQ Comparative Effectiveness Reviews. Treatment of Osteoarthritis of the Knee: An Update Review. Rockville (MD), Agency for Healthcare Research and Quality (US).</t>
  </si>
  <si>
    <t>No adverse effects reported. However, patients should be warned about the risks of burns and heat therapy may not be suitable in those with compromised sensation.</t>
  </si>
  <si>
    <t>Total Aes: not calculable - see page 40 of technical document.</t>
  </si>
  <si>
    <t>-0.38 [-0.69, -0.07]</t>
  </si>
  <si>
    <r>
      <t>Interleukin-1 (IL-1) inhibitors - same for knee and hip. E.g. anakinra (</t>
    </r>
    <r>
      <rPr>
        <sz val="10"/>
        <color rgb="FFFF0000"/>
        <rFont val="Segoe UI Symbol"/>
        <family val="2"/>
      </rPr>
      <t>unapproved in NZ</t>
    </r>
    <r>
      <rPr>
        <sz val="10"/>
        <color theme="1"/>
        <rFont val="Segoe UI Symbol"/>
        <family val="2"/>
      </rPr>
      <t xml:space="preserve">), rilonacept </t>
    </r>
    <r>
      <rPr>
        <sz val="10"/>
        <color rgb="FFFF0000"/>
        <rFont val="Segoe UI Symbol"/>
        <family val="2"/>
      </rPr>
      <t>(not listed in NZ Formulary)</t>
    </r>
    <r>
      <rPr>
        <sz val="10"/>
        <color theme="1"/>
        <rFont val="Segoe UI Symbol"/>
        <family val="2"/>
      </rPr>
      <t xml:space="preserve">, canakinumab </t>
    </r>
    <r>
      <rPr>
        <sz val="10"/>
        <color rgb="FFFF0000"/>
        <rFont val="Segoe UI Symbol"/>
        <family val="2"/>
      </rPr>
      <t>(not listed in NZ Formulary)</t>
    </r>
    <r>
      <rPr>
        <sz val="10"/>
        <color theme="1"/>
        <rFont val="Segoe UI Symbol"/>
        <family val="2"/>
      </rPr>
      <t>.</t>
    </r>
  </si>
  <si>
    <t>$$$</t>
  </si>
  <si>
    <t>Not covered by pharmac. Anakinra (kineret) is an IL-1 drug that is mentioned in the NZ formulary. However, it is not covered by PHARMAC. 100mg per day is recommended. According to a document published by a Dr in Timaru hospital in 2013, Kineret costs about $15000 annually. See: https://www.healthinfo.org.nz/patientinfo/Drug%20Therapy%20for%20Rheumatoid%20Arthritis.pdf  .Inflation to 2017 = 4.4% NZ$2017 15,660</t>
  </si>
  <si>
    <t>Dosing regimen for rheumatoid arthritis, in combination with methotrexate: Subcutaneous injection: Adult 100 mg once daily. Not listed for managing osteoarthritis. Px medicine only.</t>
  </si>
  <si>
    <t xml:space="preserve"> anakinra (unapproved in NZ) is listed under section 29 of the NZ Formulary http://www.nzf.org.nz/nzf_5648</t>
  </si>
  <si>
    <t>This SR suggests it's not effective for hand OA (of less inflammatory nature) in two double blind studies: Dimitroulas, T., et al., Biologic drugs as analgesics for the management of osteoarthritis. Seminars in Arthritis and Rheumatism, 2017. 46(6): p. 687-691.</t>
  </si>
  <si>
    <t>As IL-1 inhibitors require an authority prescription which cannot be prescribed by a GP, GPs need to work with specialists to get access to these agents. The Working Group discussed the limitations in current efficacy and safety, access and costs and considered it was not a feasible nor cost-effective treatment.</t>
  </si>
  <si>
    <t>The percentage of patients reporting adverse events (AEs) was similar between the placebo group and the anakinra groups (Technical document, Appendix 5, p115,228). The most common AE was arthralgia (10%), with similar rates between the anakinra 150 mg group and the placebo group but a lower rate for the anakinra 50 mg group (3%). Headache (10% versus 1%), upper respiratory tract infection (8% versus 1%), back pain (8% versus 3%), and extremity pain (6% versus 0%) occurred more often in the anakinra 150 mg group than in the placebo group. Infections were reported in 10% of patients, more frequently for the anakinra 150 mg group compared with the anakinra 50 mg or the placebo group.
[serious adverse events less likely in the IL-1 group; all other adverse events &lt;25%]</t>
  </si>
  <si>
    <t>Withdrawals not available; total adverse events 0.88 [0.67-1.16]; serious Aes 0.68 [0.04-10.74]; infections 2.22 [0.76-6.53]; Injection site reactions 0.68 [0.18-2.64]</t>
  </si>
  <si>
    <t>withdrawals not estimatable; total adverse events -71/1000; serious Aes -5/1000; Infections +71/1000; Injection site reactions -19/1000.</t>
  </si>
  <si>
    <t>-0.02 [-0.33, 0.28]</t>
  </si>
  <si>
    <t>Single study did not report a significant effect at 4 weeks. Therefore, the duration score stays short.</t>
  </si>
  <si>
    <t>Knee braces (re-aligning patellofemoral braces)</t>
  </si>
  <si>
    <t>Assumed the same as varus unloading/re-alignment braces</t>
  </si>
  <si>
    <t>Assumed the same as varus unloading knee braces</t>
  </si>
  <si>
    <t>1.5 ± 0 (1.5-2) [2]</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</si>
  <si>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patello-femoral knee braces. Beaudreuil, J. (2017). "Orthoses for osteoarthritis: A narrative review." Ann Phys Rehabil Med 60(2): 102-106</t>
  </si>
  <si>
    <t>Y - performed lit search to look for more data and found Raja</t>
  </si>
  <si>
    <r>
      <t xml:space="preserve">Low likelihood of adverse effects which can include skin irritation.
</t>
    </r>
    <r>
      <rPr>
        <b/>
        <sz val="10"/>
        <color theme="1"/>
        <rFont val="Segoe UI Symbol"/>
        <family val="2"/>
      </rPr>
      <t>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r>
  </si>
  <si>
    <t>Withdrawals due to Aes: 3 [0.32 - 28.07]; Treatment related Aes: 1.25 [0.63 - 2.50]; Serious Aes 3.00 [0.12 - 72.27]</t>
  </si>
  <si>
    <t>Aes &amp; risk assumed the same as valgus unloading brackes</t>
  </si>
  <si>
    <t>-0.3 [-0.75, +0.14]</t>
  </si>
  <si>
    <t>Knee braces (valgus unloading/re-alignment braces)</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</si>
  <si>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knee braces. Beaudreuil, J. (2017). "Orthoses for osteoarthritis: A narrative review." Ann Phys Rehabil Med 60(2): 102-106</t>
  </si>
  <si>
    <t>Low likelihood of adverse effects which can include skin irritation.
(Moyer Rebecca, F., et al. (2015). "Valgus Bracing for Knee Osteoarthritis: A Meta‐Analysis of Randomized Trials." Arthritis Care &amp; Research 67(4): 493-501 reports &lt;25% minor Aes and no serious AEs)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</si>
  <si>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Total Aes: 1.63 [0.94 - 2.82]. Assumed the same risk as varus unloading/relalignment braces</t>
  </si>
  <si>
    <t>-0.26 [-0.62, 0.1]</t>
  </si>
  <si>
    <t>Knee braces (varus unloading/re-alignment braces)</t>
  </si>
  <si>
    <t>$1408.33 (average cost of items 1-3)</t>
  </si>
  <si>
    <t>1. $1635 for a medial/lateral unloading brace: https://www.alliedmedical.co.nz/products/bracing-supports/lower-body/knee/ossur-unloader-one-ots-knee-brace/
2. $1495 for Ossur Rebound knee brace: http://www.queenstownrm.co.nz/cellular-therapy-pricing/
3. $1095 for Ossur Unloader Hip brace: http://www.queenstownrm.co.nz/cellular-therapy-pricing/
$1200 Ossur knee brace unloader: https://www.aucklandorthotics.co.nz/products/knee-brace-unloader-fit</t>
  </si>
  <si>
    <t>A narrative review by Beaudreuil reported that there were positive effects associated with knee braces, however, when compared against neutral knee braces, the effect on pain diminished by 60% and the effect on function was lost. Based on this information, I propose that the duration should be short for knee braces. Beaudreuil, J. (2017). "Orthoses for osteoarthritis: A narrative review." Ann Phys Rehabil Med 60(2): 102-106</t>
  </si>
  <si>
    <t>Low likelihood of adverse effects which can include skin irritation.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</si>
  <si>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No RCT data found, but according to the review by Moyer et al (2015) for valgus unloading braces, the Aes most likely relate to skin irritation (&lt;25% minor Aes, no serious Aes))</t>
  </si>
  <si>
    <t>Knee exercise: Land-based exercise - knee (stationary cycling, hatha yoga)</t>
  </si>
  <si>
    <t>Assumed the same as all land-based knee exercise</t>
  </si>
  <si>
    <t>2.3 ± 0.5 (2-3) [3]</t>
  </si>
  <si>
    <t>Assumed the same as land-based knee exercise</t>
  </si>
  <si>
    <t>See cycling &amp; yoga</t>
  </si>
  <si>
    <t>Effect sizes reported for individual exercises</t>
  </si>
  <si>
    <t>Knee exercise: MUSCLE STRENGTHENING ONLY for lower limb strengthening</t>
  </si>
  <si>
    <t>4.7 ± 5.5 (2-18) [7]</t>
  </si>
  <si>
    <t>3-6 months</t>
  </si>
  <si>
    <t>Same as quadriceps</t>
  </si>
  <si>
    <t>-0.53 [-0.78, -0.28]</t>
  </si>
  <si>
    <t xml:space="preserve">Knee exercise: MUSCLE STRENGTHENING ONLY for quadriceps strengthening </t>
  </si>
  <si>
    <t>3 ± 0.7 (2-4) [4]</t>
  </si>
  <si>
    <t>Withdrawals due to Aes: 1.33 [0.76-2.31]; treatment-related Aes: 3.9 [1.55-9.81]; Serious Aes: 3.06 [0.32-29.10]. See page 27-28 of technical document.</t>
  </si>
  <si>
    <t>-0.64 [-0.95, -0.33]</t>
  </si>
  <si>
    <t>Knee exercise: Stationary cycling only (same as hip)</t>
  </si>
  <si>
    <t>Assumed the same as land-based knee exercise; the study by Salacinski (2012) measured changes after a 12 week cycling programme, but did not  follow-up therafter.</t>
  </si>
  <si>
    <t>6.65 [0.37-120.36] treatment-related Aes. Withdrawals due to Aes 8.55 [0.49-148.33]</t>
  </si>
  <si>
    <t>Not calculable due to zero events in the comparator arm.</t>
  </si>
  <si>
    <t>-0.97 [-1.76, -0.17]</t>
  </si>
  <si>
    <t>Downgraded from 3 to 2</t>
  </si>
  <si>
    <t>Knee exercise: Tai Chi only (same as hip)</t>
  </si>
  <si>
    <t>4.5 ± 2.9 (2-12) [10]</t>
  </si>
  <si>
    <t xml:space="preserve">Newberry et al 2017 (P.36/37) conclude that 1) there's insufficient evidence if yoga is beneficial for the knee (1 RCT) and 2) there appears to be short to medium term benefits (1-6 months) on pain and function with Tai Chi (Low SoE):  Newberry, S.J., et al., AHRQ Comparative Effectiveness Reviews, in Treatment of Osteoarthritis of the Knee: An Update Review. 2017, Agency for Healthcare Research and Quality (US): Rockville (MD). </t>
  </si>
  <si>
    <t>withdrawals: 1.90 [0.43-8.37]; treatment related 3.00 [0.13 - 69.52]; serious 1.00 [0.07-14.90]</t>
  </si>
  <si>
    <t>withdrawals +14/1000; treatment related aes not calculable; serious aes 0/1000</t>
  </si>
  <si>
    <t>-0.57 [-0.76, -0.37]</t>
  </si>
  <si>
    <t>Knee exercise: Walking only (same as hip)</t>
  </si>
  <si>
    <t>10.5 ± 7.5 (3-18) [2]</t>
  </si>
  <si>
    <t>withdrawals 2.07 [0.19-22.57]; serious Aes 2.07 [0.17-22.57]</t>
  </si>
  <si>
    <t>withdrawals -39/1000; serious Aes +7/1000</t>
  </si>
  <si>
    <t>-0.48 [-0.83, -0.13]</t>
  </si>
  <si>
    <t>Knee exercise: Yoga only (same as hip)</t>
  </si>
  <si>
    <t>2 ± 0 (2-2) [2]</t>
  </si>
  <si>
    <t>Treatment related Aes: Not available; Serious Aes: Not available - see page 33 of technical document.</t>
  </si>
  <si>
    <t>Not calculable due to zero events in both study arms.</t>
  </si>
  <si>
    <t>-0.54 [-0.96, -0.12]</t>
  </si>
  <si>
    <t>Manual therapy (massage) - knee (same as hip)</t>
  </si>
  <si>
    <t xml:space="preserve">$416 NZ$2009/ 30d </t>
  </si>
  <si>
    <t>Based on 3x $52 sessions per week ($52 NZ$ 2009 is the reported average cost per session in Pinto et al 2013)</t>
  </si>
  <si>
    <t>Supplment 1: Pinto, D., et al., Manual therapy, exercise therapy, or both, in addition to usual care, for osteoarthritis of the hip or knee. 2: economic evaluation alongside a randomized controlled trial. Osteoarthritis and Cartilage, 2013. 21(10): p. 1504-1513.</t>
  </si>
  <si>
    <t>3 ± 1.9 (1-6) [4]</t>
  </si>
  <si>
    <t>Evidence review from Newberry suggests that the effects of manual therapy are similar to exercise alone.
• It is unclear whether manual therapies have any benefit for patients with knee OA beyond the effects of exercise alone. Across nine RCTs, benefits were inconsistent across time points and outcomes. Pooled analysis showed no statistically significant effect on short term pain, although a clinically important effect could not be ruled out, due to the wide 95% confidence intervals.
• Manual therapy showed no statistically significant beneficial short-term effects on pain compared with treatment as usual, based on pooled analysis of three RCTs and four additional RCTs (low strength of evidence).
• Manual therapy showed no consistent beneficial effects on short-term function, based on four RCTs (low strength of evidence).
• Insufficient evidence was found to assess medium-term effects of manual therapy on pain, function, and other outcomes, based on four RCTs.
• Manual therapy had a small beneficial effect on long-term pain of borderline significance when combined with exercise, compared with exercise alone, based on two studies that conducted 12-month follow-up of three-month interventions (low strength of evidence).
• Evidence was insufficient to assess effects on long-term function.</t>
  </si>
  <si>
    <t>When considering manual therapies, clinicians and patients should be aware of possible cost, time and access barriers.</t>
  </si>
  <si>
    <t>Very low risk of harm reported.</t>
  </si>
  <si>
    <t>Withdrawals due to Aes: 1.17 [0.23 - 5.89]; Total adverse events: 2.01 [0.22-18.82] - see page 36</t>
  </si>
  <si>
    <t>withdrawals +2/1000; total aes not calculable</t>
  </si>
  <si>
    <t>-0.70 [ -0.97, -0.43]</t>
  </si>
  <si>
    <t xml:space="preserve">Manual therapy (mobilisation and manipulation) - knee </t>
  </si>
  <si>
    <t>$548.82 (Excl. GST)</t>
  </si>
  <si>
    <t>$485.68 cost to patient, family, friends NZ$2009, excl. GST</t>
  </si>
  <si>
    <t>Manual therapy focused on improving joint mobility through manually administered forces to the target joint and surrounding soft tissue.</t>
  </si>
  <si>
    <t>Pinto, D., et al., Manual therapy, exercise therapy, or both, in addition to usual care, for osteoarthritis of the hip or knee. 2: economic evaluation alongside a randomized controlled trial. Osteoarthritis and Cartilage, 2013. 21(10): p. 1504-1513. See table III</t>
  </si>
  <si>
    <t>0.5 ± 0 (0.5-0) [1]</t>
  </si>
  <si>
    <t>3-6 months: the study by Abbott et al (2015) and Fitzgerald et al (2016) reported sustained changes 12-months posttreatment, which is also confirmed by the Newberry et al 2017 systematic review.
Abbott, J.H., et al., The Incremental Effects of Manual Therapy or Booster Sessions in Addition to Exercise Therapy for Knee Osteoarthritis: A Randomized Clinical Trial. J Orthop Sports Phys Ther, 2015. 45(12): p. 975-83.
Most studies in the Salamh review only followed treatment in the region of months (1-4 weeks; one study 9 months, which showed no favourable outcomes): Salamh, P., et al., Treatment effectiveness and fidelity of manual therapy to the knee: A systematic review and meta-analysis. Musculoskeletal Care, 2017. 15(3): p. 238-248.
Jansen, M. J., et al. (2011). "Strength training alone, exercise therapy alone, and exercise therapy with passive manual mobilisation each reduce pain and disability in people with knee osteoarthritis: a systematic review." J Physiother 57(1): 11-20.</t>
  </si>
  <si>
    <t>Withdrawals due to Aes: not available; Total Aes - not available. See page 37 of technical document.</t>
  </si>
  <si>
    <t>-0.16 [-0.52, +0.21]</t>
  </si>
  <si>
    <t>Moss reported no sig change in WOMAC pain</t>
  </si>
  <si>
    <t>Methotrexate - knee. Should be considered as an investigational medication only</t>
  </si>
  <si>
    <t>$58.44/ 30d</t>
  </si>
  <si>
    <t>7.5mg weekly dose according to NZ formulary use for rheumatoid arthritis - OA not specified: Oral Adult initially 7.5 mg once weekly, adjusted according to response; usual maximum 20 mg once weekly
$14.61 per pre-filled syringe x4 = $58.44/ 30d</t>
  </si>
  <si>
    <t>http://www.pharmac.govt.nz/Schedule?osq=Methotrexate</t>
  </si>
  <si>
    <t>RACGP: Very low quality evidence from one small trial of 56 patients used 7.5 mg methotrexate weekly versus placebo for painful knee OA and did not find a reduction in pain at 4 months (Technical document, Appendix 5, p124). Another open-label study by Wenham et al has evaluated effects of methotrexate for pain relief in patients with knee OA. At 24 weeks, 13/30 participants (43%) had achieved ≥30% reduction in VAS pain, of whom 7 (23%) had achieved ≥50% reduction. Four participants (13%) had experienced a flare. Thirteen of 30 (43%) participants achieved OARSI responder criteria.107 An ongoing pragmatic phase III trial (ISRCTN77854383) has been designed to confirm these inconsistent findings.</t>
  </si>
  <si>
    <t>In terms of cost and access, methotrexate is a relatively cheap and widely available. Currently, there is no direct evidence for hip OA.</t>
  </si>
  <si>
    <t xml:space="preserve">⚠⚠⚠ </t>
  </si>
  <si>
    <t xml:space="preserve">Y </t>
  </si>
  <si>
    <t>Side-effects of methotrexate can include gastrointestinal side-effects, haematological abnormalities and elevated liver transaminases. Side-effects resulting in discontinuation of the drug vary in frequency from 15 to 17%, but have been shown to reduce to 4% in the second year of treatment.
Pulmonary toxicity &amp; gastro events: A review of 21 prospective studies described only 15  cases out of 3,463 RA patients (0.43 %) treated up to 3 years with MTX, with  30.8% experiencing gastrointestiinal adverse events (Salliot 2009).
Liver toxicity &gt;0.2% (severe fibrosis, cirrhosis): Visser, K. and D. van Der Heijde, Risk and management of liver toxicity during methotrexate treatment in rheumatoid and psoriatic arthritis: a systematic review of the literature, in Clin. Exp. Rheumatol. 2009. p. 1017-1025.
Salliot, C. and D. van der Heijde, Long-term safety of methotrexate monotherapy in patients with rheumatoid arthritis: a systematic literature research. Annals of the Rheumatic Diseases, 2009. 68(7): p. 1100-1104.
In the SR review by Lopez-Olivo for rheumatoid arthritis, rate of serious adverse events were not statistically significant between control (2%) and intervention groups (3%). The non-serious AEs were also &lt;25%, see page 18 for a discussion of the toxicity in Lopez-Olivo, M.A., et al., Methotrexate for treating rheumatoid arthritis. Cochrane Database Syst Rev, 2014(6): p. Cd000957.</t>
  </si>
  <si>
    <t>Withdrawals not estimable due to zero events in both study arms, an absolute risk reduction was not estimable; serious Aes not estimable; Gastro events 1.00 [0.37-2.74]</t>
  </si>
  <si>
    <t>Gastro 0/1000</t>
  </si>
  <si>
    <t>0.2 [-0.31, 0.73]</t>
  </si>
  <si>
    <t>Methylsulfonylmethane – same for knee and hip</t>
  </si>
  <si>
    <t xml:space="preserve">$12.13/30d </t>
  </si>
  <si>
    <t>1 tsp/day</t>
  </si>
  <si>
    <t xml:space="preserve">(192 teaspoons in a kg; $77.65/kg= 0.40c per teaspoon)
1. $27.50 250g= $0.11/g msm powder http://www.pharmacydirect.co.nz/Doctor-s-Best-MSM-Powder-with-OptiMSM-250g.html?&amp;partner=sli&amp;bid=3
2. 1kg $49.95=  $0.05/g: https://www.nzhealthfood.com/product/msm-powder/
3. $36.50 500g= $0.073/g http://www.healthpost.co.nz/biobalance-msm-powder-bbmsm.html
4. $25.80 500mg/60 caps http://www.expressthebest.co.nz/methyl-sulfonyl-methane-msm-60-caps-500mg/
2. $25.52 90 tablets natures sunshine MSM https://www.netpharmacy.co.nz/products/natures-sunshine-msm
The suggested oral dose is 4-6g per day.
</t>
  </si>
  <si>
    <t>3 ± 0 (3-3) [3]</t>
  </si>
  <si>
    <t>Relatively safe. Minor side effects were recorded including gastrointestinal adverse events, fatigue and headaches but not statistically significant compared to placebo.</t>
  </si>
  <si>
    <t>Total Aes 1.1 [0.8-1.5]</t>
  </si>
  <si>
    <t>Total Aes +76/1000</t>
  </si>
  <si>
    <t>-0.47 [-0.80, -0.14]</t>
  </si>
  <si>
    <t>Omega-3 fatty acids - same for knee and hip</t>
  </si>
  <si>
    <t>$8.70/30d</t>
  </si>
  <si>
    <t>$29/100caps (cap average of items 1-3)
1.  $20.70, 150 caps 1000mg= $0.14/cap: http://www.healthpost.co.nz/good-health-omega-3-fish-oil-health-guard-ghom4-g.html
2. $29.90, 200 caps 1000mg= $0.15/cap: https://www.netpharmacy.co.nz/products/blackmores-odourless-fish-oil-1000mg (instructions reccy 4 capsules 3x/day!)
3. $34.99, 60 caps, 1000mg= $0.58/cap: https://www.larsonspharmacy.co.nz/catalog/Health-1/Wellbeing-127/Vitamins-and-Minerals-132/Blackmores-Omega-Brain-60-Capsules-2583.html
4. $28.90, 500 caps 1000mg= $0.06.cap : http://www.pharmacydirect.co.nz/Swisse-Odourless-Wild-Fish-Oil-1000mg-Capsules-500.html?&amp;partner=sli&amp;bid=3</t>
  </si>
  <si>
    <t>6.5 ± 0 (6.5-7) [1]</t>
  </si>
  <si>
    <t>Side-effects are usually minor and uncommon.</t>
  </si>
  <si>
    <t>Withdrawals 1.33 [0.52-3.39]; Total Aes 1.31 [0.79-2.18]; Serious Aes not available.</t>
  </si>
  <si>
    <t>withdrawals +14/1000; total Aes +38/1000; Serious not available. P98 of technical document.</t>
  </si>
  <si>
    <t>-0.16 [-0.57, +0.24]</t>
  </si>
  <si>
    <t>The only study which reported a significant effect was by Gruenwald, however it was glucosamine vs glucosamine plus omega-3</t>
  </si>
  <si>
    <t>Oral non-steroidal anti-inflammatory drugs (NSAIDs) including COX-2 inhibitors - knee</t>
  </si>
  <si>
    <t>$2.30-$58.65</t>
  </si>
  <si>
    <t>$2.30-$58.65/30d (Celecoxib 200mg/day - Etoricoxib (Arcoxia) 60mg/day)</t>
  </si>
  <si>
    <t>Celecoxib is based on most efficacous dosage which is recommended by the NZ Formulary. It is subsidised by PHARMAC. Etorocoxib is not subsidised and the dosage is based on NZ Formulary recommendations.</t>
  </si>
  <si>
    <t xml:space="preserve">1. Pharmac Schedule http://www.pharmac.govt.nz/2018/01/01/Schedule.pdf#page=121
*Celecoxib  $2.30/30x200mg cap, fully subsidised (Celecoxib Pfizer) - the most widely investigated drug in da Costa et al 2017 and also more effective than 100 or 400mg/day
2. Celecoxib $3.63/60x100mg cap, fully subsidised (Celexocib Pfizer)
3. Meloxicam $11.50/30x7.5mg, fully subsidised (Arrow-Meloxicam)
NZ Formulary recommends Celexocib 200mg per day: http://www.nzf.org.nz/nzf_5498
For ARCOXIA/ETEROCOXIB:
1. 30x60mg, $60.00: http://onlinechemist.co.nz/shop/PRESCRIPTIONS/Arcoxia/Arcoxia+90mg+30s.html
2. 30x60mg, $57.30 (2015 price): http://www.pharmacydirect.co.nz/images/textarea_images/Pharmacy%20Direct%20NSS%20Pricelist%20-%20MARCH%202015.pdf
3. NZ Formulary recommends 30 or 60mg once daily. Da Costa's systematic review suggests 60mg is the most efficacious dose. Not subsidised by PHARMAC.
For other drugs such as Etoricoxib (Arcoxia) the cost can rise to $58.65/month. See tab "Version 6" for a list of NSAIDs drug costs for: Diclofenac, celecoxib, etoricoxib...
Additional Refs
2. Wielage, R. C., et al. (2013). "The Cost-Effectiveness of Duloxetine in Chronic Low Back Pain: A US Private Payer Perspective." Value in Health 16(2): 334-344.
3. Annual cost of Celecoxib is $3,700 according to Katz, J. N., et al. (2016). "Cost-effectiveness of nonsteroidal anti-inflammatory drugs and opioids in the treatment of knee osteoarthritis in older patients with multiple comorbidities." Osteoarthritis and Cartilage 24(3): 409-418.
4. Wielage, R. C., et al. (2014). "Cost effectiveness of duloxetine for osteoarthritis: a Quebec societal perspective." Arthritis Care Res (Hoboken) 66(5): 702-708. 3month cost is $126.04 for 200mg.
</t>
  </si>
  <si>
    <t>3.4 ± 0.9 (3-6) [11]</t>
  </si>
  <si>
    <t>12-24hrs: Assumption based on optimal or NZ Formulary recommended initial dosing schedule.
Applies to diclofenac, celecoxib, etoricoxib and non-selective NSAIDs. Etoricoxib is recommended adult 30-60mg once daily.</t>
  </si>
  <si>
    <t>12-24 hrs</t>
  </si>
  <si>
    <t xml:space="preserve">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Up to 40% experience upper GI problems - from: Sostres, C., C.J. Gargallo, and A. Lanas, Nonsteroidal anti-inflammatory drugs and upper and lower gastrointestinal mucosal damage. Arthritis research &amp; therapy, 2013. 15 Suppl 3: p. S3. which references this article: Larkai EN, Smith JL, Lidsky MD, Graham DY: Gastroduodenal mucosa and dyspeptic symptoms in arthritic patients during chronic steroidal antiinflammatory drug use. Am J Gastroenterol 1987, 82:1153-1158. Sostres also states that 1-2% of users experience serious adverse effects, although I'm not sure if it relates only to non-specific NSAIDs or also includes COX-2 inhibitors, or where Sostres found this estimate.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
</t>
  </si>
  <si>
    <t>Withdrawals 1.01 [0.85-1.21]; Total Aes 1.07 [1.01 - 1.13]; serious Aes 0.85 [0.56-1.29]; Gastrointestinal events 1.26 [1.13-1.40]</t>
  </si>
  <si>
    <t>withdrawals +1/1000; total aes +34/1000; serious aes -2/1000; gastro events +36/1000</t>
  </si>
  <si>
    <t>-0.26 [-0.31, -0.22]</t>
  </si>
  <si>
    <t>Oral opioids - knee</t>
  </si>
  <si>
    <t>$8.55/30d</t>
  </si>
  <si>
    <t>Based on morhpine sulfate long acting tablet (recommended NZ formulary max 20mg per 12 hours)</t>
  </si>
  <si>
    <t xml:space="preserve">1. Phamac Schedule: http://www.pharmac.govt.nz/2018/01/01/Schedule.pdf#page=121
*Tab long-acting 60mg $5.60 per 10, fully subsidised (Arrow-Morphine lA).
In a SR by da costa (2014) the median daily dose of opioids across 22 trials of weak opioids was 59mg morphine equivalents (range 13-160) (p.11)
For Chronic pain NZ Formulary recommends oral, modified 12-hourly preparations 10-20mg every 12 hours or, if immediate release, 5-10mg every 4 hours: http://www.nzf.org.nz/nzf_2515
Calculating monthly usage with long-acting 30mg $2.80/10 (tab, arrow-morphine LA, fully subsidised). Per month calculation = $2.80x3 (for 30 tablets, 1 tablet per day (30mg/24hrs)) = $8.40/30d.
Tramadol $2.75/20x200mg, fully sbsidised (Tramal SR 200) 
Tramadol $2.25/100x50mg cap, fully subsidised (Arrow-Tramadol) 
Paracetamol with codeine $18.21/1000x500mg with codein 8mg, fully subsidised (Paracetamol + Codeine (Relieve))
Oxycodone Controlled-resease $14.11/20x80mg, fully subsidised (BNM)
Oxycodone Controlled-resease $2.64/20x5mg, fully subsidised (BNM)
Oxycodone inj $51.00/50mg per ml, 1 ml ampoulex5, fully subsidised (OxyNorm)
Oxycodone inj $8.57/10mg per ml, 1 ml ampoulex5, fully subsidised (OxyNorm)
Codeine Phosphase $13.50/100x60mg tab, fully subsidised (PSM)
Codeine Phosphase $5.75/100x15mg tab, fully subsidised (PSM)
Fentanyl Patch 12.5mcg per ml, 2ml ampoule $3.95x10, fully subsidised (Boucher and Muir)
Fentanyl Patch 12.5mcg per ml, 10ml ampoule $10.45x10, fully subsidised (Boucher and Muir)
Patch 100 mcg per hour $11.40x5, fully subsidised (Fentanyl Sandoz)
Patch 12.5 mcg per hour $2.95x5, fully subsidised (Fentanyl Sandoz)
Additional Refs:
2. Medium: Wielage, R. C., et al. (2013). "The Cost-Effectiveness of Duloxetine in Chronic Low Back Pain: A US Private Payer Perspective." Value in Health 16(2): 334-344.
3. Low: Katz, J. N., et al. (2016). "Cost-effectiveness of nonsteroidal anti-inflammatory drugs and opioids in the treatment of knee osteoarthritis in older patients with multiple comorbidities." Osteoarthritis and Cartilage 24(3): 409-418.
Medium: Wielage, R. C., et al. (2014). "Cost effectiveness of duloxetine for osteoarthritis: a Quebec societal perspective." Arthritis Care Res (Hoboken) 66(5): 702-708.
da Costa 2014 Cochrane SR: Opiods were administered at a median daily dose of 59mg morphine equivalents (range 13-160mg)
</t>
  </si>
  <si>
    <t>3 ± 0 (3-3) [2]</t>
  </si>
  <si>
    <t>4-12hrs.For Chronic pain NZ Formulary recommends oral, modified 12-hourly preparations 10-20mg every 12 hours or, if immediate release, 5-10mg every 4 hours</t>
  </si>
  <si>
    <t>12 hours</t>
  </si>
  <si>
    <r>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t>
    </r>
    <r>
      <rPr>
        <b/>
        <sz val="10"/>
        <color theme="1"/>
        <rFont val="Segoe UI Symbol"/>
        <family val="2"/>
      </rPr>
      <t xml:space="preserve"> 1 in 550 patients (0.18%)</t>
    </r>
  </si>
  <si>
    <t>Withdrawal &gt;= 5d after last medication intake 1.00 [0.37 - 2.67]; Withdrawals due to Aes 3.31 [2.19-5.02]; total Aes 1.33 [1.25 - 1.42]; Serious Aes 1.30 [0.65-2.60]; gastrointestinal events 2.67 [2.07-3.45]</t>
  </si>
  <si>
    <t>%withdrawal 5d after last med intake 0/1000; withdrawal due to aes +185/1000; total aes +180/1000; serious aes +5/1000; gastro events +438/1000</t>
  </si>
  <si>
    <t>-0.21 [-0.35, -0.07]</t>
  </si>
  <si>
    <t>Other electrotherapy - knee (interferential)</t>
  </si>
  <si>
    <t>Assumed the same as pulsed electromagnetic shortwave therapy</t>
  </si>
  <si>
    <t>0.9 ± 0.1 (0.8-1) [2]</t>
  </si>
  <si>
    <t xml:space="preserve">Assumed the same as laser therapy. There is very low quality evidence avaiable about IFC therapy. </t>
  </si>
  <si>
    <t>Other electrotherapy - knee (laser)</t>
  </si>
  <si>
    <t>Across these modalities, there is no evidence of harm.</t>
  </si>
  <si>
    <t>treatment-related withdrawals not available P.63.</t>
  </si>
  <si>
    <t>-0.79 [-1.27 -0.32]</t>
  </si>
  <si>
    <t>Other electrotherapy - knee (laser) (same as hip)</t>
  </si>
  <si>
    <t>1 ± 0.7 (0.3-2) [3]</t>
  </si>
  <si>
    <t>The RACGP guideline states interventions in trials only lasting 3 weeks, hightligting ilmited evidence. 
However, no effect immediately after or 12-weeks post-intervention is reported in the review by Huang et al 2015: Huang, Z., et al., Effectiveness of low-level laser therapy in patients with knee osteoarthritis: a systematic review and meta-analysis. Osteoarthritis Cartilage, 2015. 23(9): p. 1437-1444.</t>
  </si>
  <si>
    <t>withdrawals 0.32 [0.01-7.5]; total Aes not available. P.65 of technical document.</t>
  </si>
  <si>
    <t>-7/1000; not calculable</t>
  </si>
  <si>
    <t>-0.49 [-0.82, -0.17]</t>
  </si>
  <si>
    <t>Other electrotherapy - knee (shockwave)</t>
  </si>
  <si>
    <t>Assumed the same as laser therapy. There is very low quality evidence avaiable about shockwave therapy. A qualitative review in 2016 confirms that more research needs to be conducted, and made no mention about the duration of treatment effect: Ji, Q., P. Wang, and C. He, Extracorporeal shockwave therapy as a novel and potential treatment for degenerative cartilage and bone disease: Osteoarthritis. A qualitative analysis of the literature. Prog Biophys Mol Biol, 2016. 121(3): p. 255-65.</t>
  </si>
  <si>
    <t>withdrawals 0.35 [0.01-8.36]; treatment related Aes not available. Page 60 of technical document.</t>
  </si>
  <si>
    <t>-0.94 [-1.44, -0.45]</t>
  </si>
  <si>
    <t>Paracetamol - knee and/or hip (same for both)</t>
  </si>
  <si>
    <t>$1.71/30d (paracetamol 4000mg per day)</t>
  </si>
  <si>
    <t xml:space="preserve">According to the meta analysis by da Costa et al 2017, a maximum daily dose of 3900-4000mg is most efficacous (ES -0.16 [-0.27, 0.06]). See Figure 2, page e28. </t>
  </si>
  <si>
    <t>1. $7.12/1000x500mg blister pack 1 month supply on prescription, fully subsidised (Pharmacare)
NZ formulary recommendation for mild to moderate pain: Oral Adult 0.5–1g every 4–6 hours; maximum 4 g daily.
According to the meta analysis by da Costa et al 2017, a maximum daily dose of 3900-4000mg is most efficacous (ES -0.16 [-0.27, 0.06]). See Figure 2, page e28. 
Using the maximum dosage, 30 days equates to 8 tablets/day x 30 days = 240 tablets per month. 240* ($7.12/1000)= $1.71/30d
http://www.pharmac.govt.nz/2018/01/01/Schedule.pdf#page=134
http://www.medsafe.govt.nz/profs/Datasheet/p/panadolOsteocaplets.pdf
http://www.nzf.org.nz/nzf_2439</t>
  </si>
  <si>
    <t>2.4 ± 0.6 (1.5-3) [4]</t>
  </si>
  <si>
    <t>6hrs. Assumption based on optimal dosing of 3900-4000mg/day (da Costa et al 2017)</t>
  </si>
  <si>
    <t>6 hrs</t>
  </si>
  <si>
    <t>There is no significant increase of adverse events (AEs) with the use of paracetamol compared to placebos. However, clinicians should be cautious that paracetamol is more likely to increase the risk of abnormal liver functions and side effects are multiplied when combined with alcoholic drinks.
A systematic review of observational studies paints a poor picture for paracetamol dose/time relationship; but OR are only reported. See  Roberts, E., et al., Paracetamol: not as safe as we thought? A systematic literature review of observational studies. Annals of the Rheumatic Diseases, 2016. 75(3): p. 552. The review by da costa (2017) also suggests it's clinically ineffective.
Low risk: Hazlewood, G., D.M. van der Heijde, and C. Bombardier, Paracetamol for the management of pain in inflammatory arthritis: a systematic literature review. J Rheumatol Suppl, 2012. 90: p. 11-6.
No difference between control and intervention groups: Machado, G.C., et al., Efficacy and safety of paracetamol for spinal pain and osteoarthritis: systematic review and meta-analysis of randomised placebo controlled trials. Bmj, 2015. 350: p. h1225.</t>
  </si>
  <si>
    <t>Withdrawals 1.2 [0.9 - 1.5]; Total Aes 1.0 [0.9 - 1.1]; Serious Aes 1.2 [0.7 - 2.1]; Abnormal liver function 3.8 [1.9 -7.4]. P.72/73 of technical document</t>
  </si>
  <si>
    <t>withdrawals +13/1000; total aes -/1000; serious aes +2/1000; abnormal liver function +51/1000</t>
  </si>
  <si>
    <t>-0.26 [-0.33, -0.19]</t>
  </si>
  <si>
    <t>Platelet-rich plasma (PRP) injection – same for knee and hip</t>
  </si>
  <si>
    <t>per injection</t>
  </si>
  <si>
    <t>$483.33/inj</t>
  </si>
  <si>
    <t>Average of items 1 and 2, excluding consultation cost. Assumed ongoing, rather than one-off cost.</t>
  </si>
  <si>
    <t>1. $550 for first injection + $43-$85 for first consultation, 2-3 injections required: http://www.prp.co.nz/common-questions.html
2. 1st injection is $450 followed by 2 injections at $400 (avg $416.66), all within the first 3 months http://mskmedspecialists.co.nz/is-prp-right-for-you/</t>
  </si>
  <si>
    <t>8 ± 2.8 (6-12) [3]</t>
  </si>
  <si>
    <t>12 months: Shen, L., et al. (2017). "The temporal effect of platelet-rich plasma on pain and physical function in the treatment of knee osteoarthritis: systematic review and meta-analysis of randomized controlled trials." J Orthop Surg Res 12(1): 16.
Wheling et al (2017) note the low quality and inconsistent treatment protocol regarding PRP, but noted that two of 3 SRs reported benefits up to 12 months, whilst the last concluded there was insufficient evidence: Wehling, P., et al. (2017). "Effectiveness of intra-articular therapies in osteoarthritis: a literature review." Ther Adv Musculoskelet Dis 9(8): 183-196.
SR by Dai reports possible sustained benefits for 12 months post injection: Dai, W. L., et al. (2017). "Efficacy of Platelet-Rich Plasma in the Treatment of Knee Osteoarthritis: A Meta-analysis of Randomized Controlled Trials." Arthroscopy 33(3): 659-670.e651.
Kanchanatawan, W., et al., Short-term outcomes of platelet-rich plasma injection for treatment of osteoarthritis of the knee. Knee Surgery, Sports Traumatology, Arthroscopy, 2016. 24(5): p. 1665-1677.</t>
  </si>
  <si>
    <t>12 months</t>
  </si>
  <si>
    <t>The cost of PRP treatment is high and additional equipment might be required for the preparation and administration.</t>
  </si>
  <si>
    <t>Y - mild/moderate harm informed by the only RCT avaialable.</t>
  </si>
  <si>
    <t>Serious harm level the same as viscospplementation as per RACGP CPG statement regarding hyaluronic acid vs saline. Most common treatment related adverse events were local swelling and transient regional pain. PRP did not increase the risk of adverse events compared with hyaluronic acid and saline according to other systematic reviews.114 
For mild to moderate harm level see Treatment of Knee Osteoarthritis With Allogeneic Bone Marrow Mesenchymal Stem Cells: A Randomized Controlled Trial, "Transient mild local pain and discomfort in the injected knee with inflammation and swelling during the first 1 to 7 days occurred frequently in both the control and cell-treated patients (50-60% of patients)."
These levels were discussed with HA.</t>
  </si>
  <si>
    <t>adverse events 3.06 [0.39-23.87]</t>
  </si>
  <si>
    <t>+34/1000</t>
  </si>
  <si>
    <t>-1.87 [-2.47, -1.27]</t>
  </si>
  <si>
    <t>Pulsed electromagnetic/ shortwave therapy - knee</t>
  </si>
  <si>
    <t>$768 NZ$2009/ 30d</t>
  </si>
  <si>
    <t>Assuming 4 sessions per week or 16/30d - as per RACGP for the most efficacious treatment regimen</t>
  </si>
  <si>
    <t xml:space="preserve">$64 NZ$2009, excl. GST  for 1 occasion of service for community physiotherapy services - see Appendix 1 of Pinto et al. 2013 Given that more than 1 treatment would be required per month, I bumped up the cost to medium. </t>
  </si>
  <si>
    <t>1.4 ± 1.1 (0.2-3) [7]</t>
  </si>
  <si>
    <t>Assumed short, based on the recommended dosing schedule in the RACGP guideline (3-5 sessions, per week).</t>
  </si>
  <si>
    <t>The available evidence suggests 3-5 treatment sessions/week are required for benefits, when this treatment is administered by clinicians. Given the large number of visits required to a health professional for a treatment modality that is passive, the financial cost this may impose on a patient and the evidence suggesting no benefit for hip OA, the Working Group felt that clinician-delivered pulsed electromagnetic therapy should not be offered to people with knee and/or hip OA.</t>
  </si>
  <si>
    <t>Low risk of adverse events with no serious adverse events reported.</t>
  </si>
  <si>
    <t>withdrawals 0.72 [0.05 - 10.91]; treatment related Aes: 1.95 [0.81 - 4.71]; Serious Aes not available. Page 59 of technical document</t>
  </si>
  <si>
    <t>withdrawals due to Aes -3/1000; treatment-related aes +28/1000; SAEs not estimated - 0 events in both arms</t>
  </si>
  <si>
    <t>-0.53 [-0.84, -0.21]</t>
  </si>
  <si>
    <t>Pycnogenol – knee</t>
  </si>
  <si>
    <t>$31.50/30d</t>
  </si>
  <si>
    <t xml:space="preserve">$105/100caps (cap average of items 1-3)
1. $101.40 100mgx 60caps=$1.69/cap:  http://www.healthpost.co.nz/life-extension-pycnogenol-french-maritime-pine-bark-extract-lxpyc.html
2. $37.50 25mgx50caps=$0.75/cap: http://www.pharmacydirect.co.nz/Nutralife-Pine-Bark-Extract-NZ-250mg-Capsules-50.html?&amp;partner=sli&amp;bid=3
3. $42.65 100mg x60caps=%=$0.71/cap: https://nz.pipingrock.com/pycnogenol/pycnogenol-100-mg-311?prd=2800ad34&amp;gclid=CjwKCAiA1O3RBRBHEiwAq5fD_CCDw9gNTEP8eVgTjrIwNgJpxg1K70ORO5LkiIbvsobY83yPxm956xoC4g0QAvD_BwE
4. $51.40 50mgx 60: https://www.biovea.net/nz/product_detail.aspx?PID=1575&amp;deptid=0&amp;cid=0&amp;OS=204&amp;NAME=PYCNOGENOL-50mg-60-Vegetarian-Capsules
</t>
  </si>
  <si>
    <t>Limited data on safety available. In 2 RCTs with follow up to 3 months (n=137) there was no significant increase in serious adverse events over placebo. (Technical document, Appendix 5, p88,202)</t>
  </si>
  <si>
    <t>Withdrawals 0.50 [0.10-2.61]; total Aes 0.50 [0.10-2.61]; Gastrointestinal Aes 1.00 [0.06-15.55]; Serious Aes not available. P.88/9 of technical document.</t>
  </si>
  <si>
    <t>withdrawals -29/1000; total aes -27/1000; gastro events 0/1000; serious aes not estimable.</t>
  </si>
  <si>
    <t>-1.17 [-1.88, -0.47]</t>
  </si>
  <si>
    <t>self-management education programs - knee</t>
  </si>
  <si>
    <t>$1129.20-$4158.66
2008 US to 2008 NZD = $659x 1.49 (2008 PPP): $981.91
adjust for inflation to 2017 NZD= 981.91x ((110.7-95.7/100)+1) = $1129.20 2017NZD</t>
  </si>
  <si>
    <t>$659 mean total cost per person, 2008 US dollars, for the nurse-led patient education program.
$2427 mean total cost per person, US$ 2008, for the 6-session arthritis self-management program (NZ$ 4158.66)</t>
  </si>
  <si>
    <t>"Patient education program" Nurse-led patient education + conventional management for knee patients (4 1hr sessionsx4 wk).</t>
  </si>
  <si>
    <t>Pinto, D., et al., Cost-Effectiveness of Nonpharmacologic, Nonsurgical Interventions for Hip and/or Knee Osteoarthritis: Systematic Review. Value in Health, 2012. 15(1): p. 1-12. Table 2</t>
  </si>
  <si>
    <t>6-12 months: Moderate effect at 6 months and a reduced, but still significant small effect at 12 months. See P. e306 of Du, S., et al., Self-management programs for chronic musculoskeletal pain conditions: a systematic review and meta-analysis. Patient Educ Couns, 2011. 85(3): p. e299-310.
"At 6 months, there were 3 RCTs [35,37,46] which used VASs as pain scales, and the data of changes from baseline were available or calculated. The result of meta-analysis showed that, compared with control group, self-management group had a moderate, significan effect in reducing pain intensity at 6 months [SMD = 0.29, 95% CI ( 0.41, 0.17), p= &lt;0.00001]"</t>
  </si>
  <si>
    <t>They may also require a considerable time commitment by the person to attend and many Australians may experience access difficulties (e.g. those in rural/remote areas, or those for whom English is not a native language).</t>
  </si>
  <si>
    <t>No adverse events reported</t>
  </si>
  <si>
    <t>0.8 [0.47-1.35] (non-adherence)</t>
  </si>
  <si>
    <t>-44/1000</t>
  </si>
  <si>
    <t>-0.16 [-0.39, +0.06]</t>
  </si>
  <si>
    <t>The studies by Ravaud and victor did not report any meaningful effect.</t>
  </si>
  <si>
    <t>Shoe orthotics (lateral wedge insoles for medial tibiofemoral knee OA) - knee</t>
  </si>
  <si>
    <t>Assumed the same as medial wedged insoles</t>
  </si>
  <si>
    <t>Assumed the same as medial wedge inserts</t>
  </si>
  <si>
    <t>10.3 ± 8.8 (2-24) [4]</t>
  </si>
  <si>
    <t>Parkes, M. J., et al. (2013). "Lateral wedge insoles as a conservative treatment for pain in patients with medial knee osteoarthritis: A meta-analysis." Jama 310(7): 722-730 suggests no beneficial treatment effect over neutral wedge insoles. Based on this assessment, I suggest the duration is short as it has little or no treatment effect.</t>
  </si>
  <si>
    <t>Withdrawals dut to Aes: 2.06 [0.64 - 6.59]; treatment related Aes 1.45 [0.55-3.80]</t>
  </si>
  <si>
    <t>-0.36 [-0.92, +0.2]</t>
  </si>
  <si>
    <t>Shoe orthotics (medial wedged insoles for lateral tibiofemoral OA and valgus deformity) - knee</t>
  </si>
  <si>
    <t>$207.28 (average cost of items 1-3)</t>
  </si>
  <si>
    <t xml:space="preserve">1. $295-$495 Custom moulded orthotic from 5: https://www.shoreorthotics.co.nz/pricing.html
2. $76.94 customisable: https://www.dme.co.nz/physipod-component-orthotic
3. $49.91 customisable: https://www.dme.co.nz/orthotics-2
4. $495 (custom), $190-$240 (foam custom): https://aucklandsportspodiatry.co.nz/products-prices/
</t>
  </si>
  <si>
    <t>The narrative review by Beaudreuil  reported that one small trial reported effects after 8 weeks of use. Beaudreuil, J. (2017). "Orthoses for osteoarthritis: A narrative review." Ann Phys Rehabil Med 60(2): 102-106: "Medial wedge insoles for lateral femorotibial OA could reduce pain and functional disability at 2-month follow-up in one small-sized randomized trial [39]."</t>
  </si>
  <si>
    <t>-51/1000 treatment related Aes</t>
  </si>
  <si>
    <t>-1.05 [-1.83, -0.28]</t>
  </si>
  <si>
    <t>Shoe orthotics (shock absorbing insoles or arch supports) - same for hip and knee</t>
  </si>
  <si>
    <t>The review by Newberry (2017) concluded that shoe inserts show no consistent beneficial effect (low quality evidence) and no medium or long-term benefits on pain or function (4 RCTs, pooled analysis of 3 RCTSs, low strenght of evidence). Based on their review, I assume the same duration of effect for lateral wedge insoles and medial wedge insoles.</t>
  </si>
  <si>
    <t>Y - Assumed the same as other orthotics</t>
  </si>
  <si>
    <t>No RCTs found</t>
  </si>
  <si>
    <t>Stem cell therapy – same for knee and hip</t>
  </si>
  <si>
    <t>Strong against</t>
  </si>
  <si>
    <t>$10,000 per procedure.</t>
  </si>
  <si>
    <t>1. http://www.queenstownrm.co.nz/cellular-therapy-pricing/  $12,500
2. http://www.stemcell.co.nz/faqs/#section-34 $8-12,000 
1. NZD$7500-$12500 
2. NZD$8000-$12000</t>
  </si>
  <si>
    <t>3-12 months based on low-quality evidence:  Xia, P., et al. (2015). "Efficacy of mesenchymal stem cells injection for the management of knee osteoarthritis: a systematic review and meta-analysis." Int Orthop 39(12): 2363-2372.</t>
  </si>
  <si>
    <t>3-12 months</t>
  </si>
  <si>
    <t>No serious adverse events were reported in those trials. There are two groups reporting minor adverse events including mild pain and effusion after the injections, which persisted for no more than 7 days
for mild to moderate harm: "Transient mild local pain and discomfort in the injected knee with inflammation and swelling during the first 1 to 7 days occurred frequently in both the control and cell-treated patients (50-60% of patients). This pain was controlled with ibuprofen." in Treatment of Knee Osteoarthritis With Allogeneic Bone Marrow Mesenchymal Stem Cells: A Randomized Controlled Trial</t>
  </si>
  <si>
    <t>-3.36 [-4.24, -2.48]</t>
  </si>
  <si>
    <r>
      <t xml:space="preserve">Strontium ranelate - same for knee and hip; </t>
    </r>
    <r>
      <rPr>
        <sz val="10"/>
        <color rgb="FFFF0000"/>
        <rFont val="Segoe UI Symbol"/>
        <family val="2"/>
      </rPr>
      <t>only indicated for osteoporosis in the NZ formulary</t>
    </r>
    <r>
      <rPr>
        <sz val="10"/>
        <color theme="1"/>
        <rFont val="Segoe UI Symbol"/>
        <family val="2"/>
      </rPr>
      <t>)</t>
    </r>
  </si>
  <si>
    <t xml:space="preserve">$$ </t>
  </si>
  <si>
    <t>Cannot find NZ cost. Not in Pharmac schedule. Not indicated for OA in the NZ formulary. Not listed in the NZ Universal List of Medicines.</t>
  </si>
  <si>
    <t>NZ Formulary only for severe osteoporisis http://www.nzf.org.nz/nzf_4041: Severe osteoporosis in postmenopausal women or men at high risk of fracture when other treatments are contra-indicated or not tolerated: Adult 2 g dissolved in at least 30 mL water daily, preferably at bedtime. Drug not subsidised by PHARMAC.</t>
  </si>
  <si>
    <t>⧗⧗⧗⧗</t>
  </si>
  <si>
    <t>36 ± 0 (36-36) [1]</t>
  </si>
  <si>
    <t xml:space="preserve">Not included in the NZ formulary for OA. For the treatment of severe osteoporosis in postmenopausal women or men at high risk of fracture (last-resort treatment), strontium ralenate dosage is Adult 2 g dissolved in at least 30 mL water daily, preferably at bedtime. Assumed 1 tablet per day based on the dosage for high risk of fracture.
Still a relatively new drug for treatment of OA; Reginster, J.-Y., et al., Efficacy and safety of strontium ranelate in the treatment of knee osteoarthritis: results of a double-blind, randomised placebo-controlled trial. Annals of the Rheumatic Diseases, 2013. 72(2): p. 179.
</t>
  </si>
  <si>
    <t>As strontium ranelate is not accessible for people in Australia, the Working Group considered this treatment as unfeasible for use.</t>
  </si>
  <si>
    <t>Strontium ranelate was well tolerated for the treatment of OA in a study duration over 3 years. Despite its listed side effects such as myocardial infarction, venous thromboembolism events, pulmonary embolism, and hypersensitivity reaction in the approved product information, the European Medicines Agency recommended in 2014 that strontium ranelate remains available for patients with osteoporosis with restrictions relative to patients with existing heart disease.99 As strontium ranelate would be used as a daily treatment for OA and its effects could be relatively slow, the potential harm caused by its side effects if a concern.
⚠ 2% gastro events
⚠⚠⚠ 0.40% venous embolism</t>
  </si>
  <si>
    <t>Withdrawals 0.83 [0.52-1.33]; gastrointestinal 1.31 [0.97-1.77]; skin and subcutaneous disorders 1.10 [0.65-1.85]; venous thromboembolsim 2.25 [0.49-10.38]</t>
  </si>
  <si>
    <t>withdrawals -8/1000; gastrointestinal +29/1000; skin +4/1000; venous thromboembolism +4/1000</t>
  </si>
  <si>
    <t>-0.09 [-0.21, 0.01]</t>
  </si>
  <si>
    <t>Taping (kinesio taping) - same for knee and hip</t>
  </si>
  <si>
    <t>Assumed the same as patellar taping</t>
  </si>
  <si>
    <t>0 ± 0 (0-0) [2]</t>
  </si>
  <si>
    <t>none of the trials in this Systematic Review examined duration of treatment effect: Li, X., et al. (2018). "Effects of Elastic Therapeutic Taping on Knee Osteoarthritis: A Systematic Review and Meta-analysis." Aging Dis 9(2): 296-308.</t>
  </si>
  <si>
    <t>t is possible that people with specific patellofemoral pain symptoms may benefit from self-application of patellar taping to minimise pain and enable engagement in physical activity and rehabilitation</t>
  </si>
  <si>
    <t>Side effects are minor and include skin irritation from the tape.</t>
  </si>
  <si>
    <t>Withdrawals due to Aes (12 days FU): 0.32 [0.01-7.42]; skin irritation 0.32 [0.01 - 7.42]</t>
  </si>
  <si>
    <t>withdrawals -32/1000; skin irritation -32/1000</t>
  </si>
  <si>
    <t>-1.07 [-1.47, -0.67]</t>
  </si>
  <si>
    <t>Taping (patellar taping) - same for knee and hip</t>
  </si>
  <si>
    <t>conditional neutral</t>
  </si>
  <si>
    <t>mean total cost per month</t>
  </si>
  <si>
    <t>$21.68/30d (average cost of items 1-3)</t>
  </si>
  <si>
    <t>Assumed 1m of tape per use, changing tape 3x per week</t>
  </si>
  <si>
    <t xml:space="preserve">Average $1.80/m 
1. $8. 00 USL Sport economy kinesio Ktape 5cmx5m Blue: http://www.pharmacydirect.co.nz/USL-Sport-Economy-KTape-5cm-x-5m-BLUE.html?&amp;partner=sli&amp;bid=3
2. $14.99 D3 Dressing Tape Kinesioogy 6.0m https://shop.countdown.co.nz/Shop/ProductDetails?stockcode=757033
3. Strapping tape: 12.5mmx13.7m $4.50, K-tpae 5cmx9.1m $12, Foam undewrap 7cmx27m, $6.70: https://www.roslynphysio.co.nz/pages/5/Products 
</t>
  </si>
  <si>
    <t>0.7 ± 0 (0.7-1) [1]</t>
  </si>
  <si>
    <t>Hinman 2003, 'effects may last up to 3 weeks post-treatment, and also quoted in: Beaudreuil, J. (2017). "Orthoses for osteoarthritis: A narrative review." Ann Phys Rehabil Med 60(2): 102-106</t>
  </si>
  <si>
    <t>3 weeks</t>
  </si>
  <si>
    <t>Side effects are minor and include skin irritation from the tape.
+241/1000</t>
  </si>
  <si>
    <t>Total Aes not available; Skin irritation 8.00 [1.07 - 59.95]</t>
  </si>
  <si>
    <t>skin irritation +241/1000</t>
  </si>
  <si>
    <t>-0.32 [-0.84, 0.19]</t>
  </si>
  <si>
    <t>Therapeutic ultrasound - knee (same as hip)</t>
  </si>
  <si>
    <t>0.9 ± 0.7 (0.3-2) [4]</t>
  </si>
  <si>
    <t>Effects last up to 10 months post US according to Loyola-Sánchez, A., et al. (2010). "Efficacy of ultrasound therapy for the management of knee osteoarthritis: a systematic review with meta-analysis." Osteoarthritis and Cartilage 18(9): 1117-1126.</t>
  </si>
  <si>
    <t>10 months</t>
  </si>
  <si>
    <t>The available evidence suggests that 3-5 treatment sessions/week are required for benefits. Given the large number of visits required to a health professional for a treatment modality that is passive, and the financial cost this may impose on a patient, the Working Group felt that therapeutic ultrasound should not be offered to people with knee and/or hip OA.</t>
  </si>
  <si>
    <t>No adverse events reported.</t>
  </si>
  <si>
    <t>withdrawals not available; total adverse events; not available. P 64 of technical document.</t>
  </si>
  <si>
    <t>-0.55 [-0.88, -0.22]</t>
  </si>
  <si>
    <t xml:space="preserve">Topical capsaicin - knee </t>
  </si>
  <si>
    <t>$9.95/45g</t>
  </si>
  <si>
    <t>NZ Formulary recommends for adults to  apply a pea-sized amount to the affected area 4 times daily (not more often than every 4 hours); it may need to be used for 1–2 weeks before pain is relieved http://www.nzf.org.nz/nzf_5765</t>
  </si>
  <si>
    <t xml:space="preserve">Pharmac schedule: http://www.pharmac.govt.nz/Schedule?osq=capsaicin
$9.95/45g 0.025%, fully subsidised, Zostrix. </t>
  </si>
  <si>
    <t>1 ± 0 (1-1) [1]</t>
  </si>
  <si>
    <t>4hrs: NZ Formulary recommends for adults to  apply a pea-sized amount to the affected area 4 times daily (not more often than every 4 hours)</t>
  </si>
  <si>
    <t>4hrs</t>
  </si>
  <si>
    <t>Mild application site burning was the most comment adverse event associated with topical use of capsaicin, being more common in patients using capsaicin (35 – 100 %), and causally associated with capsaicin use, but rapidly ameliorates with continuing use 94. There have been no reports of systemic toxicity with the use of topical capsaicin in OA. A high level of mild/moderate harm was chosen based on the average of 35-100% (mild application site burning).</t>
  </si>
  <si>
    <t>Withdrawals not available; burning sensation 4.12 [3.3-5.15]</t>
  </si>
  <si>
    <t>withdrawals not estimable; burning sensation +609/1000</t>
  </si>
  <si>
    <t>0.16 [-0.24, 0.58]</t>
  </si>
  <si>
    <t>Topical NSAIDs - knee (same for hip)</t>
  </si>
  <si>
    <t>$27.93/100g (average of items 1-3)</t>
  </si>
  <si>
    <t xml:space="preserve">NZ Formulary recommends to apply a small amount to the affected area(s) 3–4 times daily; review use after 2 weeks (4 weeks for osteoarthritis): http://www.nzf.org.nz/nzf_10071 </t>
  </si>
  <si>
    <t xml:space="preserve">1. Voltaren $25.90 100g http://www.pharmacydirect.co.nz/Anti-Inflammatory-Topical-Rubs-Creams/
2.  Voltaren $27.90 100g https://www.netpharmacy.co.nz/products/voltaren-emulgel?variant=46902987014
3. Voltaren $29.99 100g https://www.lifepharmacy.co.nz/search/?q=voltarenhttps://www.lifepharmacy.co.nz/search/?q=voltaren
NZ Formulary recommends to apply a small amount to the affected area(s) 3–4 times daily; review use after 4 weeks for osteoarthritis: http://www.nzf.org.nz/nzf_10071 </t>
  </si>
  <si>
    <t>3 ± 0 (3-3) [6]</t>
  </si>
  <si>
    <t>6-8hrs: NZ Formulary recommends 3-4 applications per day.</t>
  </si>
  <si>
    <t>Usually, adverse events from topical NSAIDs agents are minimal, but there is mild toxicity due to local skin reactions.</t>
  </si>
  <si>
    <t>withdrawals 1.36 [1.02 - 1.82]; total adverse events 1.07 [0.98 - 1.16]; serious Aes 1.089 [0.26 - 4.47]; gastrointestinal events .94 [0.70-1.25]; local reactions 1.32 [1.04-1.67]. P.79 of technical document.</t>
  </si>
  <si>
    <t>withdrawals +16/1000; total aes +34/1000; serious aes +1/1000; gastro evens -3/1000; local reactions +39/1000</t>
  </si>
  <si>
    <t>-0.2 [-0.29, -0.11]</t>
  </si>
  <si>
    <t>Total Joint Replacement - knee</t>
  </si>
  <si>
    <t>Conditional against - early
Neutral - mid
Strong for - advanced</t>
  </si>
  <si>
    <t>✓ - early &amp; mid
✓✓✓✓ - advanced</t>
  </si>
  <si>
    <t>$21,600-$30,600 TKA (private cost NZ$2017)
$17,290.13 TKA (public cost, adjusted from NZ$ 2009)</t>
  </si>
  <si>
    <t>$20,300 - $30,600 per procedure
PUBLIC TKA $15,301 per procedure NZ$2009= $17,290.13</t>
  </si>
  <si>
    <t>private cost - Health Funds Association of New Zealand
public cost estimate is from pinto et al 2013 paper suppl 1</t>
  </si>
  <si>
    <t xml:space="preserve">1. $20,600 and $29,300 for hips and 21,600-$30,600 for knees - Health Funds Assocation NZ (2017) indicative costs of surgery (inc. GST): Health Funds Association of New Zealand, Indicative costs of surgery. 2017, healthfunds.org.nz.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OTHER
2. Royal Australasian College of Surgeons and Medibank (2017). Surgical Variance Report 2017: Orthopaedic Surgery. For Australian hip/knee surguries using private health care data from 2015/16 (MediBank).
Knee average separation cost $22,925: Page 19.
Hip average separation cost: $27,079: Page 11.
3. &gt;$12,000 USD: Pasquale, M.K., et al., Healthcare Utilization and Costs of Knee or Hip Replacements versus Pain-Relief Injections. American Health &amp; Drug Benefits, 2015. 8(7): p. 384-394.
4. $24761 (2012 USD) - Konopka, J.F., et al., The cost-effectiveness of surgical treatment of medial unicompartmental knee osteoarthritis in younger patients: a computer model-based evaluation. J Bone Joint Surg Am, 2015. 97(10): p. 807-17.
Konopka: convert 24761USD2012 to 2017USD= 26,602.49
Convert to NZD2017 = 37907.16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t>
  </si>
  <si>
    <t>Based on NZJR revision data</t>
  </si>
  <si>
    <t>NZ Joint Registry  Survival is &gt;85% and &gt;92% 17 years for hip, and knees, respectively.
10 years or more: Ten years or more given &gt;90% survivorship 10-year cumulative survivorship: Bottomley, N., et al., A survival analysis of 1084 knees of the Oxford unicompartmental knee arthroplasty: a comparison between consultant and trainee surgeons. Bone Joint J, 2016. 98-b(10 Supple B): p. 22-27.
Duration of effect seems to peak at 2-3 years and then progressively decline 16 years post-operatively. See page 402 from: Shan, L., et al. (2014). "Total hip replacement: a systematic review and meta-analysis on mid-term quality of life." Osteoarthritis and Cartilage 22(3): 389-406.
Pollock's review suggests that effectiveness &amp; safety is the same for TKA, UKA and THA: Pollock, M., et al., Outpatient Total Hip Arthroplasty, Total Knee Arthroplasty, and Unicompartmental Knee Arthroplasty: A Systematic Review of the Literature. JBJS Rev, 2016. 4(12).
51patient follow up: Fifteen-year survivorship was 93% and 20-year survivorship was 90%. Four of 62 knees were revised to total knee arthroplasty at a mean of 144 months: Foran, J.R., et al., Long-term survivorship and failure modes of unicompartmental knee arthroplasty. Clin Orthop Relat Res, 2013. 471(1): p. 102-8.
NZ Joint Registry states &gt;80% survivorship at 15 years for unicompartmental knee replacement.</t>
  </si>
  <si>
    <t>&gt;10 years</t>
  </si>
  <si>
    <t>Y - spoke to HA about this. Patient satisfaction is not considered a harm, so the level of mild/moderate is low, even though satisfaction with pain relief varies from 72-86% post-surgery. In another systematic review of pain outcomes, an unfavourable pain outcome was reported in 9% or more of patients after hip and about 20% of patients after knee replacement in high quality studies. See Beswick, A.D., et al., What proportion of patients report long-term pain after total hip or knee replacement for osteoarthritis? A systematic review of prospective studies in unselected patients. BMJ Open, 2012. 2(1).</t>
  </si>
  <si>
    <r>
      <t xml:space="preserve">Health round table - see word table. No data for knees, only hips. Some data is available for southland only (not national): 5.6% 1yr rate for unplanned readmissions of knees,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If patient satisfaction is considered a mild/moderate harm, Satisfaction with pain relief varied from 72-86% and with function from 70-84% for specific activities of daily living Bourne, R.B., et al., Patient satisfaction after total knee arthroplasty: who is satisfied and who is not? Clin Orthop Relat Res, 2010. 468(1): p. 57-63.
Fourteen articles describing 17 cohorts (6 with hip and 11 with knee replacement) presented appropriate data on pain intensity. The proportion of people with an unfavourable long-term pain outcome in studies ranged from about 7% to 23% after hip and 10% to 34% after knee replacement. In the best quality studies, an unfavourable pain outcome was reported in 9% or more of patients after hip and about 20% of patients after knee replacement. Beswick, A.D., et al., What proportion of patients report long-term pain after total hip or knee replacement for osteoarthritis? A systematic review of prospective studies in unselected patients. BMJ Open, 2012. 2(1).</t>
    </r>
  </si>
  <si>
    <t>-1.72 [-0.97, -2.46]  
Shan, L., et al. (2015). "Intermediate and long-term quality of life after total knee replacement: a systematic review and meta-analysis." J Bone Joint Surg Am 97(2): 156-168, "When WOMAC and KSS scores were combined, the total pain and function domains all demonstrated substantial benefit from total knee replacement. The pooled effect for each of these domains was &gt;1.0. 
The combined WOMAC and KSS Total Score SMD was 2.17 [1.13 - 3.22]</t>
  </si>
  <si>
    <t xml:space="preserve">Transcutaneous electrical nerve stimulation (TENS) - knee </t>
  </si>
  <si>
    <t>0.5 ± 0 (0.5-1) [3]</t>
  </si>
  <si>
    <t xml:space="preserve">&lt;8weeks. The SR by Newberry reviewed studies which reported inconsistent benefits at 8 weeks, and none at 12 weeks follow up. See page 42/43 of Newberry, S. J., et al. (2017). AHRQ Comparative Effectiveness Reviews. Treatment of Osteoarthritis of the Knee: An Update Review. Rockville (MD), Agency for Healthcare Research and Quality (US). </t>
  </si>
  <si>
    <t>8 weeks</t>
  </si>
  <si>
    <t>portable home units are now available at home</t>
  </si>
  <si>
    <t>No adverse events have been reported in the included trials, however, clinicians should provide information to patients about how to use portable TENS units safely and minimise the risks of possible skin irritation.</t>
  </si>
  <si>
    <t>Treatment related Aes not estimable; serious Aes not not estimable; treatment related withdrawals 3 [0.13-68.57]. P.61 of technical document.</t>
  </si>
  <si>
    <t>treatment related withdrawals N/A because at least all studies received at least one high risk of bias rating</t>
  </si>
  <si>
    <t>-0.76 [-1.13, -0.39]</t>
  </si>
  <si>
    <r>
      <rPr>
        <i/>
        <sz val="10"/>
        <color theme="1"/>
        <rFont val="Segoe UI Symbol"/>
        <family val="2"/>
      </rPr>
      <t>Transdermal buprenorphine</t>
    </r>
    <r>
      <rPr>
        <sz val="10"/>
        <color theme="1"/>
        <rFont val="Segoe UI Symbol"/>
        <family val="2"/>
      </rPr>
      <t xml:space="preserve"> - same for knee and hip</t>
    </r>
  </si>
  <si>
    <t>$41.33AUD/ 30d with PPP of 1.52 for AUD$ 2017 and PPP of 1.48 NZ$ 2017 = $42.98</t>
  </si>
  <si>
    <t xml:space="preserve">NZ formulary for buprenorphine (Norspan): Transdermal Adult initially apply one 5 micrograms/hour patch (supplement with short-acting analgesia until adequate effect) replaced weekly, increase as required at intervals of 3 days or more; maximum 2 patches applied at same time. Norspan is not subsidised by PHARMAC.
</t>
  </si>
  <si>
    <t xml:space="preserve">1. $19.30AUD x2 patches https://www.chemistwarehouse.com.au/Buy/50558/Norspan-5mcg-Patches-2 
2. $19.39x2 AUD patches http://www.epharmacy.com.au/product.asp?id=50558
3. $23.39x2 AUD patches http://www.mychemist.com.au/product.asp?id=65689
1 patch lasts 1 week. Therefore monthly cost = 19.30@2= $41.33.
</t>
  </si>
  <si>
    <t>Patches last 3-7 days before needing replacement according to NZ formulary.</t>
  </si>
  <si>
    <t>3-7 days</t>
  </si>
  <si>
    <t>Comparing with oral opioid, transdermal patches increased drug bioavailability which enable the use of lower drug doses, thus reducing the incidence of adverse events. However, from the evidence, the risk of adverse effects both significantly increased after administrated with opioid regardless the delivery methods. Other potential risks, such as deliberate misuse, are also not different from oral opioid. SAE level informed by p.260 of technical document. Mild/moderate risk based on oral opioids.</t>
  </si>
  <si>
    <t>withdrawals 3.10 [1.38-6.94]; total Aes 1.25 [1.09-1.42]</t>
  </si>
  <si>
    <t>withdrawals +151/1000; total aes +184/1000</t>
  </si>
  <si>
    <t>-0.19 [-0.3, -0.09]</t>
  </si>
  <si>
    <r>
      <rPr>
        <i/>
        <sz val="10"/>
        <color theme="1"/>
        <rFont val="Segoe UI Symbol"/>
        <family val="2"/>
      </rPr>
      <t xml:space="preserve">Transdermal Fentanyl </t>
    </r>
    <r>
      <rPr>
        <sz val="10"/>
        <color theme="1"/>
        <rFont val="Segoe UI Symbol"/>
        <family val="2"/>
      </rPr>
      <t>- same for knee and hip</t>
    </r>
  </si>
  <si>
    <t>$22.80/ 30d</t>
  </si>
  <si>
    <t>Patch 100 mcg per hour $11.40x5, fully subsidised (Fentanyl Sandoz) is the equivalent for oral morphine &lt;60mg/ 24hrs.  http://www.nzf.org.nz/nzf_155?searchterm=Fentanyl%20patch
Patch duration = 72hrs.</t>
  </si>
  <si>
    <t>1 patch lasts 72hrs. Therefore need ten patches per 30d, which = 2*($11.40x5)= $22.80/ 30d. Pharmac subsidised.</t>
  </si>
  <si>
    <t>Withdrawals 2.63 [1.64-4.23]; total Aes 1.55 [1.33-1.81]; Serious Aes 2.78 [0.57-13.6]</t>
  </si>
  <si>
    <t>wtihdrawals +165/1000; total aes +278/1000; serious aes +18/1000</t>
  </si>
  <si>
    <t>-0.22 [-0.42, -0.03]</t>
  </si>
  <si>
    <t>Viscosupplementation injection – knee</t>
  </si>
  <si>
    <t>per injection (Excl. GST)</t>
  </si>
  <si>
    <t>$650/injection</t>
  </si>
  <si>
    <t>NZ ACC report suggests that most requests are made by surgeons, with injections costing $650 excluding GST.</t>
  </si>
  <si>
    <t>https://www.acc.co.nz/assets/research/hyaluronic-injections-review.pdf</t>
  </si>
  <si>
    <t>6months: Bannuru, R. R., et al. (2011). "Therapeutic trajectory following intra-articular hyaluronic acid injection in knee osteoarthritis – meta-analysis." Osteoarthritis and Cartilage 19(6): 611-619.
total duration 6 months, with maximum effects at 8 weeks and residul effects by 24 weeks.</t>
  </si>
  <si>
    <t>2 - 6 months</t>
  </si>
  <si>
    <t xml:space="preserve">⚠⚠ </t>
  </si>
  <si>
    <t>Minor side effects include pain at the injection site (which occurs in 1 to 33% of patients), local joint pain and swelling (in &lt;1 to 30%), and local skin reactions (in 3 to 21%).111Pseudoseptic reactions (occurring in 1 to 3% of patients), which are characterised by inflammation and swelling of the joint that are not caused by infection, can be severe and may require further medical treatment. These reactions usually occur after sensitisation with the second or third injection of a series or with a repeat treatment course. True joint infections have also been reported, but these appear to be rare.112</t>
  </si>
  <si>
    <t>withdrawals 1.19 p1.03-1.15]; serious Aes 1.4 [1.02-1.91]; Local reactions 1.30 [1.14-1.47]; Septic Joint 0.28 [0.01-6.79]</t>
  </si>
  <si>
    <t>Withdrawals +6/1000; total Aes +36/1000; Serious Aes +8/1000; Local reactions +30/1000; Septic joint -1/1000.</t>
  </si>
  <si>
    <t>-0.34 [-0.42, -0.26]</t>
  </si>
  <si>
    <t xml:space="preserve">Vitamin D – knee </t>
  </si>
  <si>
    <t xml:space="preserve">$9.30/30d </t>
  </si>
  <si>
    <t>1. $27.90 1,000IU 90 caps= $0.31/cap: https://www.larsonspharmacy.co.nz/catalog/search.html?Filter%5BKeyword%5D=collagen
2. $14.95 60 caps, 1000IU= $0.25/cap http://www.healthpost.co.nz/swisse-vitamin-d-swd-g.html 
3. $17.90 60 caps, 1000IU= $0.30/cap https://www.netpharmacy.co.nz/products/go-healthy-go-vitamin-d3-1000iu</t>
  </si>
  <si>
    <t>Relatively safe, a non-statistically significant increase in hypercalciuria. No clinical effects or safety concerns.</t>
  </si>
  <si>
    <t>serious Aes 0.97 [0.75-1.27]; withdrawals 0.99 [0.48-2.05]; hypercalcemia 0.99 [0.32-3.10]; hypercaciuria 1.37 [0.93-2.01]</t>
  </si>
  <si>
    <t>Serious Aes -5/1000; withdrawals 0/1000; hypercalcemia 0/1000; hypercalciuria +45/1000</t>
  </si>
  <si>
    <t>-0.36 [-0.70, -0.02]</t>
  </si>
  <si>
    <t>Weight management - knee (same as hip)</t>
  </si>
  <si>
    <t>$3523 US$2008 mean total cost per person</t>
  </si>
  <si>
    <t>Diet: encouraged to lose 5% baseline weight, maintain loss  x 18 mo, included home visit and group
meetings.</t>
  </si>
  <si>
    <t>Pinto, D., et al., Cost-Effectiveness of Nonpharmacologic, Nonsurgical Interventions for Hip and/or Knee Osteoarthritis: Systematic Review. Value in Health, 2012. 15(1): p. 1-12. See Table 2.</t>
  </si>
  <si>
    <t>12 ± 4.9 (6-18) [3]</t>
  </si>
  <si>
    <t xml:space="preserve">The review by Newberry (2017) reports that most studies measured effects directly after intervention, rather than a period after no intervention. Therefore, this could be set to a short duration.
Systematic review of weight loss among obese patients shows that 3-6% weight reduction from baseline can be maintained up to 4 years after intervention. No studies among populations with osteoarthritis have been investigated apart from one RCT in 2017 among knee OA patients which showed sustained weight reduction after 3 years: 
1. Anderson, J. W., Konz, E. C., Frederich, R. C., &amp; Wood, C. L. (2001). Long-term weight-loss maintenance: a meta-analysis of US studies. Am J Clin Nutr, 74(5), 579-584. doi:10.1093/ajcn/74.5.579
2. Christensen, P., Henriksen, M., Bartels, E. M., Leeds, A. R., Meinert Larsen, T., Gudbergsen, H., . . . Bliddal, H. (2017). Long-term weight-loss maintenance in obese patients with knee osteoarthritis: a randomized trial. Am J Clin Nutr, 106(3), 755-763. doi:10.3945/ajcn.117.158543
3. Franz, M. J., VanWormer, J. J., Crain, A. L., Boucher, J. L., Histon, T., Caplan, W., . . . Pronk, N. P. (2007). Weight-loss outcomes: a systematic review and meta-analysis of weight-loss clinical trials with a minimum 1-year follow-up. J Am Diet Assoc, 107(10), 1755-1767. doi:10.1016/j.jada.2007.07.017
</t>
  </si>
  <si>
    <t>Y - SAEs not reported</t>
  </si>
  <si>
    <t>Low risk of harms.</t>
  </si>
  <si>
    <t>Withdrawals due to Aes: 1.02 [0.15 - 6.94]; Serious Aes: not available; non-compliance with regimen 0.77 [0.37-1.67] in favour of weight management. Page 39 of technical document.</t>
  </si>
  <si>
    <t>withdrawals due to AEs +1/1000; non-compliance -71/1000; serious aes not calculable.</t>
  </si>
  <si>
    <t>-0.38  [-0.88, +0.11]</t>
  </si>
  <si>
    <t>Unicompartmental Joint Replacement</t>
  </si>
  <si>
    <t>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</si>
  <si>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Neutral</t>
  </si>
  <si>
    <t>$15,849.50 (estimated 1st year cost of uncomplicated HTO in a US study)</t>
  </si>
  <si>
    <t>$15,849.50 per procedure</t>
  </si>
  <si>
    <t>Estimate from a US study (Konopka, 2015). "For each procedure, we used average Medicare reimbursement rates to estimate costs of physician visits, preoperative imaging, preoperative laboratory tests, anesthesia fees, surgeon fees, surgery-related technical needs, acute inpatient recovery, major medical complications, postoperative rehabilitation, and postoperative evaluations."</t>
  </si>
  <si>
    <t xml:space="preserve">$10,006 (2012 USD), see table 1 for included parameters: Konopka, J.F., et al., The cost-effectiveness of surgical treatment of medial unicompartmental knee osteoarthritis in younger patients: a computer model-based evaluation. J Bone Joint Surg Am, 2015. 97(10): p. 807-17.
convert from 2012$US to 2012$NZ= $10,006*1.5 (2012 CPI)
convert from 2012$NZ to 2017 $NZ= 15,009* (110.7-105.1)*100= 1.056; 15,009*1.056= $15,849.50
convert to 2017USD= 21,955.83
convert to 2017NZD= $31,342.91 
</t>
  </si>
  <si>
    <t>NZ Joint Registry data put unicompartmental knee replacement in the long category (&gt;10 years). There is no data for osteotomy.
1. NZ Joint Registry: &gt;80% survivorship at 15 years for unicompartmental knee replacement.</t>
  </si>
  <si>
    <t xml:space="preserve">NZ Specific data from the NZ Joint Registry report 2017 for unicompartmental knee replacement only:
Over 17 year period there was an 8% revision rate - the majority were for TKR (82%). Mean time to revision = 1828 days (5yrs). Primary reasons for revision were pain and loosening.
</t>
  </si>
  <si>
    <t>5 fewer in 1000 venus thromboembolism vs conservative management. See graphic on Page 2 of 8. in Siemieniuk, R.A.C., et al., Arthroscopic surgery for degenerative knee arthritis and meniscal tears: a clinical practice guideline. BMJ, 2017. 357.</t>
  </si>
  <si>
    <t>Weight management (combination weight management plus exercise vs exercise alone) - knee</t>
  </si>
  <si>
    <t>Good</t>
  </si>
  <si>
    <t>$6704 mean total cost per person US$2008</t>
  </si>
  <si>
    <t>Exercise: aerobic and resistance, facility-based; 1-h, 3 xweek  x 4 mo, then given the option to exercise at home with telephone contact; Diet: encouraged to lose 5% baseline weight, maintain loss  x 18 mo, included home visit and group meetings.</t>
  </si>
  <si>
    <t>3-6 months or more with booster sessions (assumed the same as all land based knee exercise)</t>
  </si>
  <si>
    <t>Y - SAEs unrelated to Tx</t>
  </si>
  <si>
    <t>SAEs unrelated to Tx +19/1000.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</si>
  <si>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-0.56 [-0.81, -0.32]</t>
  </si>
  <si>
    <t>Weight management (combination weight management plus exercise vs exercise alone) - hip</t>
  </si>
  <si>
    <t>Assumed the same as knee</t>
  </si>
  <si>
    <t>SAEs unrelated to Tx +33/1000.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</si>
  <si>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-0.46 [-0.7, -0.21]</t>
  </si>
  <si>
    <t>Cognitive behavioural therapy + exercise vs exercise alone (knee and hip)</t>
  </si>
  <si>
    <t>-0.52 [-1.0, -0.03]</t>
  </si>
  <si>
    <t>Cognitive behavioural therapy + exercise vs cognitive behavioural therapy alone (knee and hip)</t>
  </si>
  <si>
    <t>-0.28 [-0.64, 0.08]</t>
  </si>
  <si>
    <t>could use up to date website to check rates of serious and moderate/mild harm.</t>
  </si>
  <si>
    <t>Tibial osteotomy and joint preserving surgical procedures (e.g. osteotomy for isolated PFJ OA, partial replacement for unicompartmental OA, osteotomy for hip OA)</t>
  </si>
  <si>
    <t>"Neutral" 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</si>
  <si>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 Suggest low - results from the cochrane review remain inconclusive and the studies reviewed were of low quality (GRADE): Brouwer, R. W., et al. (2014). "Osteotomy for treating knee osteoarthritis." Cochrane Database Syst Rev(12): Cd004019</t>
  </si>
  <si>
    <t xml:space="preserve">There is no data for osteotomy in the NZJR. In the review by Woodacre (2015), the 5 year survival rate for osteotomy is 80% with an overall complication rate of 31%. Their review did not highlight any follow up studies beyond 5 years for opening wedge high tibial osteotomy.
1. 5 years: 80% survival rate at 5 years. 31% overall complicaton rate: Woodacre, T., et al., Complications associated with opening wedge high tibial osteotomy — A review of the literature and of 15years of experience. The Knee, 2016. 23(2): p. 276-282.
88% survival at 6 years, 63% survival post ten-year follow up: Yasuda, K., et al., A ten- to 15-year follow-up observation of high tibial osteotomy in medial compartment osteoarthrosis. Clin Orthop Relat Res, 1992(282): p. 186-95.
</t>
  </si>
  <si>
    <t xml:space="preserve">For HTO % patients with complications, based on a a non-systematic review (Woodacre, 2016): 
1. 0-10% all infections
2. complications from bone defect, non-union requiring revision 0-5.4%
3. complications from implant 0-23%
Woodacre, T., et al., Complications associated with opening wedge high tibial osteotomy — A review of the literature and of 15 years of experience. The Knee, 2016. 23(2): p. 276-282.
</t>
  </si>
  <si>
    <t>-0.13 [-0.55, 0.29]
Brouwer, R. W., et al. (2014). "Osteotomy for treating knee osteoarthritis." Cochrane Database Syst Rev(12): Cd004019. PAN: '-0.13 [-0.55, 0.29]</t>
  </si>
  <si>
    <t>Intervention</t>
  </si>
  <si>
    <t>Average</t>
  </si>
  <si>
    <t>SD</t>
  </si>
  <si>
    <t>Min</t>
  </si>
  <si>
    <t>Max</t>
  </si>
  <si>
    <t># studies</t>
  </si>
  <si>
    <t>±</t>
  </si>
  <si>
    <t>Duration score:
⧗= Short: up to 4-6hrs
⧗⧗= short-medium &lt;3 months
⧗⧗⧗= Medium: 3-12 months 
⧗⧗⧗⧗= Long: &gt;12 months</t>
  </si>
  <si>
    <t>ES is small or crosses the null</t>
  </si>
  <si>
    <t>Corrected duration score for small or non-significant estimates of effect size.</t>
  </si>
  <si>
    <t>paste values</t>
  </si>
  <si>
    <t>Note the red ones where the formula didn't work properly.</t>
  </si>
  <si>
    <t>*</t>
  </si>
  <si>
    <t>Colchicine – same for knee and hip. Only indicated for goutin the NZ Formulary. Should be considered as an investigational medication only.</t>
  </si>
  <si>
    <t>Diacerein – knee (not available in NZ)</t>
  </si>
  <si>
    <t>Duloxetine - knee (not available in NZ)</t>
  </si>
  <si>
    <t>Fibroblast growth factor (FGF) – same for knee and hip, e.g. Sprifemin: not avaliable in NZ</t>
  </si>
  <si>
    <t>Interleukin-1 (IL-1) inhibitors - same for knee and hip. E.g. anakinra (unapproved in NZ), rilonacept (not listed in NZ Formulary), canakinumab (not listed in NZ Formulary).</t>
  </si>
  <si>
    <t>Strontium ranelate - same for knee and hip; only indicated for osteoporosis in the NZ formulary)</t>
  </si>
  <si>
    <t>N/A</t>
  </si>
  <si>
    <t>Transdermal buprenorphine - same for knee and hip</t>
  </si>
  <si>
    <t>Transdermal Fentanyl - same for knee and hip</t>
  </si>
  <si>
    <t>Transdermal opioids - same for knee and hip</t>
  </si>
  <si>
    <t>See intervention duration scores.doc for all interventions.</t>
  </si>
  <si>
    <t>Fransen et al., 2015 - review of all studies with beneficial effects. See charactersitics of included studies, page 41.</t>
  </si>
  <si>
    <t>Studies (page 41)</t>
  </si>
  <si>
    <t>Follow up (months, p.41)</t>
  </si>
  <si>
    <t>Effect (Figure 2, p16 forest plot). No if crosses null. Change scores</t>
  </si>
  <si>
    <t>End of treatment scores (Fig2 p.18)</t>
  </si>
  <si>
    <t>&gt; 6 month Ax</t>
  </si>
  <si>
    <t>Abbott 2013</t>
  </si>
  <si>
    <t>An 2008</t>
  </si>
  <si>
    <t>Baker 2001</t>
  </si>
  <si>
    <t>Bautch 1997</t>
  </si>
  <si>
    <t>Bennell 2005</t>
  </si>
  <si>
    <t>3 &amp; 6</t>
  </si>
  <si>
    <t>Bennell 2010</t>
  </si>
  <si>
    <t>Bezalel 2010</t>
  </si>
  <si>
    <t>1 &amp; 2</t>
  </si>
  <si>
    <t>Brismee 2007</t>
  </si>
  <si>
    <t>1.5 &amp; 3</t>
  </si>
  <si>
    <t>Bruce-Brand 2012</t>
  </si>
  <si>
    <t>2 &amp; 3.5</t>
  </si>
  <si>
    <t>Chang 2012</t>
  </si>
  <si>
    <t>Deyle 2000</t>
  </si>
  <si>
    <t>Doi 2008</t>
  </si>
  <si>
    <t># with significant effect</t>
  </si>
  <si>
    <t>Ettinger 1997 a/b</t>
  </si>
  <si>
    <t>3, 9 &amp; 18</t>
  </si>
  <si>
    <t>Foley 2003</t>
  </si>
  <si>
    <t>Foroughi 2011</t>
  </si>
  <si>
    <t>Fransen 2001</t>
  </si>
  <si>
    <t>Fransen 2007</t>
  </si>
  <si>
    <t>Gur 2002</t>
  </si>
  <si>
    <t>Hay 2006</t>
  </si>
  <si>
    <t>Hopman-Rock 2000</t>
  </si>
  <si>
    <t>Huang 2003</t>
  </si>
  <si>
    <t>2 &amp; 12</t>
  </si>
  <si>
    <t>Huang 2005</t>
  </si>
  <si>
    <t>Hughes 2004</t>
  </si>
  <si>
    <t>2 &amp; 6</t>
  </si>
  <si>
    <t>Hurley 2007</t>
  </si>
  <si>
    <t>1.5 &amp; 6</t>
  </si>
  <si>
    <t>Jan 2008</t>
  </si>
  <si>
    <t>Jan 2009</t>
  </si>
  <si>
    <t>Jenkinson 2009</t>
  </si>
  <si>
    <t>Kao 2012</t>
  </si>
  <si>
    <t>Keefe 2004</t>
  </si>
  <si>
    <t>Kovar 1992</t>
  </si>
  <si>
    <t>Lee 2009</t>
  </si>
  <si>
    <t>Av</t>
  </si>
  <si>
    <t>Lim 2008</t>
  </si>
  <si>
    <t>Lin 2009</t>
  </si>
  <si>
    <t>Lund 2008</t>
  </si>
  <si>
    <t>2 &amp; 5</t>
  </si>
  <si>
    <t>Maurer 1999</t>
  </si>
  <si>
    <t>Messier 2004</t>
  </si>
  <si>
    <t>6 &amp; 18</t>
  </si>
  <si>
    <t>Mikesky 2006</t>
  </si>
  <si>
    <t>Minor 1989</t>
  </si>
  <si>
    <t>3 &amp; 12</t>
  </si>
  <si>
    <t>O'Reilly 1999</t>
  </si>
  <si>
    <t>Peloquin 1999</t>
  </si>
  <si>
    <t>Quilty 2003</t>
  </si>
  <si>
    <t>5 &amp; 12</t>
  </si>
  <si>
    <t>Rogind 1998</t>
  </si>
  <si>
    <t>Salacinski 2012</t>
  </si>
  <si>
    <t>Salli 2010</t>
  </si>
  <si>
    <t>2 and 5</t>
  </si>
  <si>
    <t>Schilke 1996</t>
  </si>
  <si>
    <t>Simao 2012</t>
  </si>
  <si>
    <t>Song 2003</t>
  </si>
  <si>
    <t>Talbot 2003</t>
  </si>
  <si>
    <t>Thomas 2002</t>
  </si>
  <si>
    <t>Thorstensson 2005</t>
  </si>
  <si>
    <t xml:space="preserve">Topp 2002 </t>
  </si>
  <si>
    <t>van Baar 1998</t>
  </si>
  <si>
    <t>Wang 2011</t>
  </si>
  <si>
    <t>Yip 2007</t>
  </si>
  <si>
    <t>Aquatic Exercise - see page 25, characteristics of included studies.</t>
  </si>
  <si>
    <t>Study</t>
  </si>
  <si>
    <t>Followup (months)</t>
  </si>
  <si>
    <t>Intervention Cx</t>
  </si>
  <si>
    <t>Follow-up (months)</t>
  </si>
  <si>
    <t>Sig effect at FU? (Figure 4, p.13)</t>
  </si>
  <si>
    <t>Cochrane 2005</t>
  </si>
  <si>
    <t>12 &amp; 18</t>
  </si>
  <si>
    <t>12 weeks intervention + 6 months posttreatment Ax</t>
  </si>
  <si>
    <t>2x per week</t>
  </si>
  <si>
    <t>Hinman 2007</t>
  </si>
  <si>
    <t>Kim 2012</t>
  </si>
  <si>
    <t>3x per week</t>
  </si>
  <si>
    <t>Lim 2010</t>
  </si>
  <si>
    <t>Arnold 2008</t>
  </si>
  <si>
    <t>Hale 2012</t>
  </si>
  <si>
    <t>Patrick 2001</t>
  </si>
  <si>
    <t>Stener-Victorin 2004</t>
  </si>
  <si>
    <t>2.5 &amp; 5.5</t>
  </si>
  <si>
    <t>2x per week. Immediately 10 week post intervention + 22 weeks posttreatment</t>
  </si>
  <si>
    <t>Wang 2006</t>
  </si>
  <si>
    <t>Number</t>
  </si>
  <si>
    <t>Studies extracted from Fig 3. with sig effect</t>
  </si>
  <si>
    <t>FU duration (months)</t>
  </si>
  <si>
    <t>Beyaz 2012</t>
  </si>
  <si>
    <t>Campos 2013</t>
  </si>
  <si>
    <t>Chao 2010</t>
  </si>
  <si>
    <t>Di Samte 2012</t>
  </si>
  <si>
    <t>Dieppe 1980</t>
  </si>
  <si>
    <t>Jones 1996</t>
  </si>
  <si>
    <t>NCT00414427</t>
  </si>
  <si>
    <t>Poppov 1989</t>
  </si>
  <si>
    <t>Ravaud 1999</t>
  </si>
  <si>
    <t>Yavuz 2012</t>
  </si>
  <si>
    <t>Zhilyayev 2012</t>
  </si>
  <si>
    <t>Buprenorphine (Analysis 1.1, page 77/97)</t>
  </si>
  <si>
    <t>Shannon 2005</t>
  </si>
  <si>
    <t>Fentanyl (Analysis 1.1, page 77/97)</t>
  </si>
  <si>
    <t>Langford 2006</t>
  </si>
  <si>
    <t>Laser Acupuncture - p70 RACGP Tech Doc</t>
  </si>
  <si>
    <t>Alfredo</t>
  </si>
  <si>
    <t>Huang</t>
  </si>
  <si>
    <t>Gworys</t>
  </si>
  <si>
    <t>Ghegdus</t>
  </si>
  <si>
    <t>Hseih</t>
  </si>
  <si>
    <t>Stelian</t>
  </si>
  <si>
    <t>Tascioglw</t>
  </si>
  <si>
    <t>Biphosphonates - p.123 tech ndoc</t>
  </si>
  <si>
    <t>Bingham</t>
  </si>
  <si>
    <t>&lt;- considered the pooled null result of these 3 trials</t>
  </si>
  <si>
    <t>Laslett</t>
  </si>
  <si>
    <t>Rossini</t>
  </si>
  <si>
    <t>Spector</t>
  </si>
  <si>
    <t>Varenna</t>
  </si>
  <si>
    <t>Study duration (months) extracted from abstracts or study characteristics included in Cochrane reviews (where referenced by the RACGP CPG). Only studies which reported a significant effect are included.</t>
  </si>
  <si>
    <t>Pain ES adjusted for imprecision because of the GRADE floor effect for rating the QoE.
⚕ Low: &lt;0.2 ⚕
⚕⚕ Medium: 0.2 - 0.5 ⚕⚕
⚕⚕⚕ High: &gt;0.5 ⚕
The point estimate of effect size was only considered because the QoE should have been considered in the QoE attribute (i.e. scores were not deducted if the CIs crossed the null).</t>
  </si>
  <si>
    <t>Downgraded 1 level of effectiveness due to floor effect of GRADEing for QoE. I.e. the sum of the 4 rosk ofk bias, inconsistency, indirectness and imprecision is greater than 3. This means that then minimum QoE score of 1 is exceeded…so a further subtraction of points from the effect size is warranted.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</si>
</sst>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quot;$&quot;#,##0;[Red]\-&quot;$&quot;#,##0"/>
    <numFmt numFmtId="166" formatCode="&quot;$&quot;#,##0.00;[Red]\-&quot;$&quot;#,##0.00"/>
    <numFmt numFmtId="167" formatCode="0.0"/>
  </numFmts>
  <fonts count="21" x14ac:knownFonts="1">
    <font>
      <sz val="11"/>
      <color theme="1"/>
      <name val="Calibri"/>
      <family val="2"/>
      <scheme val="minor"/>
    </font>
    <font>
      <sz val="11"/>
      <color theme="1"/>
      <name val="Calibri"/>
      <family val="2"/>
      <scheme val="minor"/>
    </font>
    <font>
      <sz val="10"/>
      <color theme="1"/>
      <name val="Segoe UI Symbol"/>
      <family val="2"/>
    </font>
    <font>
      <b/>
      <sz val="14"/>
      <color theme="1"/>
      <name val="Segoe UI Symbol"/>
      <family val="2"/>
    </font>
    <font>
      <sz val="10"/>
      <name val="Arial"/>
      <family val="2"/>
    </font>
    <font>
      <sz val="10"/>
      <color rgb="FF00B0F0"/>
      <name val="Segoe UI Symbol"/>
      <family val="2"/>
    </font>
    <font>
      <sz val="10"/>
      <color rgb="FF00B050"/>
      <name val="Segoe UI Symbol"/>
      <family val="2"/>
    </font>
    <font>
      <i/>
      <sz val="10"/>
      <color theme="1"/>
      <name val="Segoe UI Symbol"/>
      <family val="2"/>
    </font>
    <font>
      <sz val="10"/>
      <color rgb="FFFF0000"/>
      <name val="Segoe UI Symbol"/>
      <family val="2"/>
    </font>
    <font>
      <b/>
      <sz val="10"/>
      <color theme="1"/>
      <name val="Segoe UI Symbol"/>
      <family val="2"/>
    </font>
    <font>
      <u/>
      <sz val="11"/>
      <color theme="10"/>
      <name val="Calibri"/>
      <family val="2"/>
      <scheme val="minor"/>
    </font>
    <font>
      <u/>
      <sz val="10"/>
      <color theme="10"/>
      <name val="Segoe UI Symbol"/>
      <family val="2"/>
    </font>
    <font>
      <b/>
      <sz val="9"/>
      <color indexed="81"/>
      <name val="Tahoma"/>
      <family val="2"/>
    </font>
    <font>
      <sz val="9"/>
      <color indexed="81"/>
      <name val="Tahoma"/>
      <family val="2"/>
    </font>
    <font>
      <b/>
      <sz val="11"/>
      <color theme="1"/>
      <name val="Calibri"/>
      <family val="2"/>
      <scheme val="minor"/>
    </font>
    <font>
      <b/>
      <sz val="11"/>
      <color theme="1"/>
      <name val="Calibri"/>
      <family val="2"/>
    </font>
    <font>
      <b/>
      <sz val="11"/>
      <color rgb="FFFF0000"/>
      <name val="Calibri"/>
      <family val="2"/>
      <scheme val="minor"/>
    </font>
    <font>
      <sz val="11"/>
      <color rgb="FFFF0000"/>
      <name val="Calibri"/>
      <family val="2"/>
      <scheme val="minor"/>
    </font>
    <font>
      <sz val="9"/>
      <color rgb="FF000000"/>
      <name val="Tahoma"/>
      <family val="2"/>
    </font>
    <font>
      <b/>
      <sz val="16"/>
      <color theme="1"/>
      <name val="Calibri"/>
      <family val="2"/>
      <scheme val="minor"/>
    </font>
    <font>
      <b/>
      <sz val="16"/>
      <color theme="1"/>
      <name val="Segoe UI Symbol"/>
      <family val="2"/>
    </font>
  </fonts>
  <fills count="10">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00"/>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xf numFmtId="0" fontId="4" fillId="0" borderId="0"/>
  </cellStyleXfs>
  <cellXfs count="133">
    <xf numFmtId="0" fontId="0" fillId="0" borderId="0" xfId="0"/>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Fill="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0" borderId="0" xfId="0" applyFont="1" applyFill="1" applyAlignment="1">
      <alignment horizontal="center" vertical="top" wrapText="1"/>
    </xf>
    <xf numFmtId="0" fontId="2" fillId="4" borderId="0" xfId="0" applyFont="1" applyFill="1" applyAlignment="1">
      <alignment horizontal="center" vertical="top" wrapText="1"/>
    </xf>
    <xf numFmtId="0" fontId="2" fillId="6" borderId="0" xfId="0" applyFont="1" applyFill="1" applyAlignment="1">
      <alignment horizontal="center" vertical="center" wrapText="1"/>
    </xf>
    <xf numFmtId="0" fontId="2" fillId="0" borderId="0" xfId="0" applyFont="1" applyAlignment="1">
      <alignment horizontal="center"/>
    </xf>
    <xf numFmtId="0" fontId="2" fillId="4" borderId="0" xfId="0" applyFont="1" applyFill="1" applyAlignment="1">
      <alignment horizontal="left" vertical="top" wrapText="1"/>
    </xf>
    <xf numFmtId="0" fontId="2" fillId="0" borderId="0" xfId="0" applyFont="1" applyFill="1"/>
    <xf numFmtId="0" fontId="2" fillId="7" borderId="0" xfId="0" applyFont="1" applyFill="1"/>
    <xf numFmtId="0" fontId="2" fillId="7" borderId="0" xfId="0" applyFont="1" applyFill="1" applyAlignment="1">
      <alignment horizontal="center"/>
    </xf>
    <xf numFmtId="0" fontId="2" fillId="0" borderId="0" xfId="0" applyFont="1" applyFill="1" applyAlignment="1">
      <alignment horizontal="center"/>
    </xf>
    <xf numFmtId="0" fontId="4" fillId="7" borderId="0" xfId="4" applyFill="1" applyAlignment="1">
      <alignment horizontal="center"/>
    </xf>
    <xf numFmtId="164" fontId="2" fillId="0" borderId="0" xfId="1" applyFont="1" applyFill="1" applyAlignment="1">
      <alignment horizontal="right" vertical="top"/>
    </xf>
    <xf numFmtId="164" fontId="2" fillId="0" borderId="0" xfId="1" applyFont="1" applyFill="1" applyAlignment="1">
      <alignment horizontal="left" vertical="top"/>
    </xf>
    <xf numFmtId="165" fontId="2" fillId="0" borderId="0" xfId="0" applyNumberFormat="1" applyFont="1" applyFill="1" applyAlignment="1"/>
    <xf numFmtId="0" fontId="2" fillId="0" borderId="0" xfId="0" applyFont="1" applyAlignment="1">
      <alignment horizontal="center" vertical="center"/>
    </xf>
    <xf numFmtId="0" fontId="2" fillId="0" borderId="0" xfId="0" applyFont="1" applyFill="1" applyAlignment="1">
      <alignment horizontal="left" vertical="top" wrapText="1"/>
    </xf>
    <xf numFmtId="0" fontId="5" fillId="0" borderId="0" xfId="0" applyFont="1" applyFill="1" applyAlignment="1">
      <alignment horizontal="center"/>
    </xf>
    <xf numFmtId="0" fontId="2" fillId="8" borderId="0" xfId="0" applyFont="1" applyFill="1"/>
    <xf numFmtId="0" fontId="6" fillId="0" borderId="0" xfId="0" applyFont="1" applyFill="1" applyAlignment="1">
      <alignment horizontal="center"/>
    </xf>
    <xf numFmtId="10" fontId="2" fillId="8" borderId="0" xfId="2" applyNumberFormat="1" applyFont="1" applyFill="1" applyAlignment="1"/>
    <xf numFmtId="0" fontId="2" fillId="8" borderId="0" xfId="0" applyFont="1" applyFill="1" applyAlignment="1">
      <alignment wrapText="1"/>
    </xf>
    <xf numFmtId="0" fontId="2" fillId="8" borderId="0" xfId="0" quotePrefix="1" applyFont="1" applyFill="1"/>
    <xf numFmtId="0" fontId="2" fillId="0" borderId="0" xfId="0" quotePrefix="1" applyFont="1" applyFill="1"/>
    <xf numFmtId="0" fontId="2" fillId="0" borderId="0" xfId="0" quotePrefix="1" applyFont="1" applyFill="1" applyAlignment="1">
      <alignment horizontal="center" vertical="top"/>
    </xf>
    <xf numFmtId="0" fontId="2" fillId="0" borderId="0" xfId="0" applyFont="1"/>
    <xf numFmtId="0" fontId="4" fillId="0" borderId="0" xfId="4" applyAlignment="1">
      <alignment horizontal="center"/>
    </xf>
    <xf numFmtId="164" fontId="2" fillId="0" borderId="0" xfId="1" applyFont="1" applyAlignment="1">
      <alignment horizontal="left" vertical="top"/>
    </xf>
    <xf numFmtId="0" fontId="2" fillId="0" borderId="0" xfId="0" applyFont="1" applyFill="1" applyAlignment="1"/>
    <xf numFmtId="0" fontId="0" fillId="0" borderId="0" xfId="0" applyAlignment="1">
      <alignment horizontal="center" vertical="center"/>
    </xf>
    <xf numFmtId="0" fontId="2" fillId="0" borderId="0" xfId="0" applyFont="1" applyFill="1" applyAlignment="1">
      <alignment horizontal="left"/>
    </xf>
    <xf numFmtId="10" fontId="2" fillId="0" borderId="0" xfId="2" applyNumberFormat="1" applyFont="1" applyAlignment="1"/>
    <xf numFmtId="0" fontId="2" fillId="0" borderId="0" xfId="0" applyFont="1" applyFill="1" applyAlignment="1">
      <alignment wrapText="1"/>
    </xf>
    <xf numFmtId="0" fontId="2" fillId="0" borderId="0" xfId="0" quotePrefix="1" applyFont="1"/>
    <xf numFmtId="0" fontId="2" fillId="0" borderId="0" xfId="0" quotePrefix="1" applyFont="1" applyAlignment="1">
      <alignment horizontal="center" vertical="top"/>
    </xf>
    <xf numFmtId="0" fontId="7" fillId="0" borderId="0" xfId="0" applyFont="1" applyFill="1"/>
    <xf numFmtId="164" fontId="2" fillId="0" borderId="0" xfId="1" applyFont="1" applyAlignment="1">
      <alignment horizontal="left" vertical="top" wrapText="1"/>
    </xf>
    <xf numFmtId="164" fontId="2" fillId="0" borderId="0" xfId="1" applyFont="1" applyAlignment="1">
      <alignment horizontal="left" wrapText="1"/>
    </xf>
    <xf numFmtId="10" fontId="2" fillId="0" borderId="0" xfId="2" applyNumberFormat="1" applyFont="1"/>
    <xf numFmtId="0" fontId="2" fillId="0" borderId="0" xfId="0" quotePrefix="1" applyFont="1" applyAlignment="1">
      <alignment horizontal="left"/>
    </xf>
    <xf numFmtId="0" fontId="2" fillId="0" borderId="0" xfId="0" quotePrefix="1" applyFont="1" applyAlignment="1">
      <alignment horizontal="center"/>
    </xf>
    <xf numFmtId="0" fontId="4" fillId="0" borderId="0" xfId="4" applyFill="1" applyAlignment="1">
      <alignment horizontal="center"/>
    </xf>
    <xf numFmtId="0" fontId="2" fillId="0" borderId="0" xfId="0" applyFont="1" applyFill="1" applyAlignment="1">
      <alignment horizontal="center" wrapText="1"/>
    </xf>
    <xf numFmtId="164" fontId="2" fillId="0" borderId="0" xfId="1" applyFont="1" applyFill="1"/>
    <xf numFmtId="0" fontId="8" fillId="0" borderId="0" xfId="0" applyFont="1" applyFill="1" applyAlignment="1"/>
    <xf numFmtId="0" fontId="2" fillId="0" borderId="0" xfId="0" applyFont="1" applyFill="1" applyAlignment="1">
      <alignment horizontal="left" vertical="top"/>
    </xf>
    <xf numFmtId="0" fontId="6" fillId="0" borderId="0" xfId="0" applyFont="1" applyFill="1" applyAlignment="1">
      <alignment horizontal="center" vertical="top"/>
    </xf>
    <xf numFmtId="10" fontId="2" fillId="0" borderId="0" xfId="2" applyNumberFormat="1" applyFont="1" applyFill="1"/>
    <xf numFmtId="0" fontId="2" fillId="0" borderId="0" xfId="0" quotePrefix="1" applyFont="1" applyFill="1" applyAlignment="1">
      <alignment horizontal="left"/>
    </xf>
    <xf numFmtId="0" fontId="2" fillId="0" borderId="0" xfId="0" quotePrefix="1" applyFont="1" applyFill="1" applyAlignment="1">
      <alignment horizontal="center"/>
    </xf>
    <xf numFmtId="164" fontId="2" fillId="0" borderId="0" xfId="1" applyFont="1" applyAlignment="1">
      <alignment horizontal="right" vertical="top"/>
    </xf>
    <xf numFmtId="164" fontId="2" fillId="0" borderId="0" xfId="1" applyFont="1"/>
    <xf numFmtId="0" fontId="5" fillId="0" borderId="0" xfId="0" applyFont="1" applyAlignment="1">
      <alignment horizontal="center" vertical="top"/>
    </xf>
    <xf numFmtId="0" fontId="2" fillId="0" borderId="0" xfId="0" applyFont="1" applyAlignment="1">
      <alignment wrapText="1"/>
    </xf>
    <xf numFmtId="0" fontId="2" fillId="0" borderId="0" xfId="0" applyFont="1" applyFill="1" applyAlignment="1">
      <alignment horizontal="right"/>
    </xf>
    <xf numFmtId="0" fontId="2" fillId="0" borderId="0" xfId="0" applyFont="1" applyAlignment="1"/>
    <xf numFmtId="0" fontId="2" fillId="0" borderId="0" xfId="0" quotePrefix="1" applyFont="1" applyFill="1" applyAlignment="1">
      <alignment horizontal="right" vertical="top" wrapText="1"/>
    </xf>
    <xf numFmtId="0" fontId="2" fillId="0" borderId="0" xfId="0" quotePrefix="1" applyFont="1" applyAlignment="1">
      <alignment horizontal="right"/>
    </xf>
    <xf numFmtId="0" fontId="2" fillId="0" borderId="0" xfId="0" quotePrefix="1" applyFont="1" applyAlignment="1">
      <alignment horizontal="right" vertical="top" wrapText="1"/>
    </xf>
    <xf numFmtId="164" fontId="2" fillId="0" borderId="0" xfId="1" applyFont="1" applyAlignment="1"/>
    <xf numFmtId="10" fontId="2" fillId="0" borderId="0" xfId="2" applyNumberFormat="1" applyFont="1" applyAlignment="1">
      <alignment wrapText="1"/>
    </xf>
    <xf numFmtId="0" fontId="2" fillId="0" borderId="0" xfId="0" applyFont="1" applyAlignment="1">
      <alignment horizontal="left" vertical="top"/>
    </xf>
    <xf numFmtId="9" fontId="6" fillId="0" borderId="0" xfId="2" applyFont="1" applyFill="1" applyAlignment="1">
      <alignment horizontal="center"/>
    </xf>
    <xf numFmtId="0" fontId="2" fillId="0" borderId="0" xfId="0" applyFont="1" applyAlignment="1">
      <alignment horizontal="right"/>
    </xf>
    <xf numFmtId="164" fontId="2" fillId="0" borderId="0" xfId="1" applyFont="1" applyAlignment="1">
      <alignment horizontal="left"/>
    </xf>
    <xf numFmtId="0" fontId="2" fillId="0" borderId="0" xfId="0" applyFont="1" applyFill="1" applyAlignment="1">
      <alignment vertical="top" wrapText="1"/>
    </xf>
    <xf numFmtId="9" fontId="2" fillId="0" borderId="0" xfId="2" applyFont="1" applyFill="1" applyAlignment="1">
      <alignment horizontal="left" vertical="top" wrapText="1"/>
    </xf>
    <xf numFmtId="0" fontId="2" fillId="0" borderId="0" xfId="0" applyFont="1" applyAlignment="1">
      <alignment horizontal="left" vertical="top" wrapText="1"/>
    </xf>
    <xf numFmtId="0" fontId="2" fillId="0" borderId="0" xfId="0" applyFont="1" applyAlignment="1">
      <alignment vertical="top"/>
    </xf>
    <xf numFmtId="166" fontId="2" fillId="0" borderId="0" xfId="0" applyNumberFormat="1" applyFont="1" applyFill="1" applyAlignment="1"/>
    <xf numFmtId="0" fontId="2" fillId="0" borderId="0" xfId="0" quotePrefix="1" applyFont="1" applyFill="1" applyAlignment="1">
      <alignment horizontal="right" wrapText="1"/>
    </xf>
    <xf numFmtId="0" fontId="2" fillId="0" borderId="0" xfId="0" applyFont="1" applyFill="1" applyAlignment="1">
      <alignment horizontal="left" indent="2"/>
    </xf>
    <xf numFmtId="0" fontId="7" fillId="0" borderId="0" xfId="0" applyFont="1" applyFill="1" applyAlignment="1">
      <alignment horizontal="left" indent="2"/>
    </xf>
    <xf numFmtId="0" fontId="2" fillId="0" borderId="0" xfId="0" quotePrefix="1" applyFont="1" applyAlignment="1">
      <alignment horizontal="left" vertical="top"/>
    </xf>
    <xf numFmtId="0" fontId="11" fillId="0" borderId="0" xfId="3" applyFont="1" applyFill="1" applyAlignment="1"/>
    <xf numFmtId="10" fontId="2" fillId="0" borderId="0" xfId="2" applyNumberFormat="1" applyFont="1" applyFill="1" applyAlignment="1"/>
    <xf numFmtId="165" fontId="2" fillId="0" borderId="0" xfId="0" applyNumberFormat="1" applyFont="1" applyFill="1" applyAlignment="1">
      <alignment horizontal="left"/>
    </xf>
    <xf numFmtId="9" fontId="6" fillId="0" borderId="0" xfId="2" applyFont="1" applyFill="1" applyAlignment="1">
      <alignment horizontal="center" vertical="top"/>
    </xf>
    <xf numFmtId="0" fontId="11" fillId="0" borderId="0" xfId="3" applyFont="1" applyAlignment="1"/>
    <xf numFmtId="0" fontId="2" fillId="0" borderId="0" xfId="0" applyFont="1" applyAlignment="1">
      <alignment horizontal="center" vertical="top" wrapText="1"/>
    </xf>
    <xf numFmtId="164" fontId="2" fillId="0" borderId="0" xfId="1" applyFont="1" applyAlignment="1">
      <alignment horizontal="right" vertical="top" wrapText="1"/>
    </xf>
    <xf numFmtId="0" fontId="2" fillId="0" borderId="0" xfId="0" quotePrefix="1" applyFont="1" applyFill="1" applyAlignment="1">
      <alignment vertical="top" wrapText="1"/>
    </xf>
    <xf numFmtId="0" fontId="2" fillId="0" borderId="0" xfId="0" quotePrefix="1" applyFont="1" applyAlignment="1">
      <alignment horizontal="center" vertical="center"/>
    </xf>
    <xf numFmtId="0" fontId="2" fillId="0" borderId="0" xfId="0" applyFont="1" applyFill="1" applyAlignment="1">
      <alignment horizontal="center" vertical="center"/>
    </xf>
    <xf numFmtId="0" fontId="10" fillId="0" borderId="0" xfId="3"/>
    <xf numFmtId="0" fontId="4" fillId="0" borderId="0" xfId="4"/>
    <xf numFmtId="0" fontId="2" fillId="0" borderId="0" xfId="0" applyFont="1" applyAlignment="1">
      <alignment horizontal="left"/>
    </xf>
    <xf numFmtId="9" fontId="2" fillId="0" borderId="0" xfId="2" applyFont="1"/>
    <xf numFmtId="164" fontId="2" fillId="0" borderId="0" xfId="1" applyFont="1" applyFill="1" applyAlignment="1">
      <alignment horizontal="right" vertical="top" wrapText="1"/>
    </xf>
    <xf numFmtId="166" fontId="2" fillId="0" borderId="0" xfId="0" applyNumberFormat="1" applyFont="1" applyFill="1" applyAlignment="1">
      <alignment horizontal="left"/>
    </xf>
    <xf numFmtId="0" fontId="2" fillId="9" borderId="0" xfId="0" quotePrefix="1" applyFont="1" applyFill="1" applyAlignment="1">
      <alignment horizontal="left" vertical="top" wrapText="1"/>
    </xf>
    <xf numFmtId="0" fontId="2" fillId="0" borderId="0" xfId="0" quotePrefix="1" applyFont="1" applyFill="1" applyAlignment="1">
      <alignment horizontal="right"/>
    </xf>
    <xf numFmtId="0" fontId="4" fillId="0" borderId="0" xfId="0" quotePrefix="1" applyFont="1"/>
    <xf numFmtId="0" fontId="2" fillId="9" borderId="0" xfId="0" applyFont="1" applyFill="1" applyAlignment="1">
      <alignment horizontal="left" vertical="top"/>
    </xf>
    <xf numFmtId="0" fontId="2" fillId="9" borderId="0" xfId="0" applyFont="1" applyFill="1" applyAlignment="1">
      <alignment horizontal="center"/>
    </xf>
    <xf numFmtId="0" fontId="2" fillId="0" borderId="0" xfId="0" quotePrefix="1" applyFont="1" applyFill="1" applyAlignment="1">
      <alignment horizontal="left" vertical="top" wrapText="1"/>
    </xf>
    <xf numFmtId="0" fontId="9" fillId="0" borderId="0" xfId="0" applyFont="1" applyAlignment="1">
      <alignment horizontal="center" vertical="center"/>
    </xf>
    <xf numFmtId="0" fontId="14"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center" vertical="center"/>
    </xf>
    <xf numFmtId="0" fontId="14" fillId="0" borderId="0" xfId="0" applyFont="1" applyAlignment="1">
      <alignment horizontal="center" vertical="center" wrapText="1"/>
    </xf>
    <xf numFmtId="0" fontId="16" fillId="9" borderId="0" xfId="0" applyFont="1" applyFill="1" applyAlignment="1">
      <alignment horizontal="center" vertical="center"/>
    </xf>
    <xf numFmtId="167" fontId="0" fillId="0" borderId="0" xfId="0" applyNumberFormat="1" applyAlignment="1">
      <alignment horizontal="center"/>
    </xf>
    <xf numFmtId="0" fontId="0" fillId="0" borderId="0" xfId="0" applyAlignment="1">
      <alignment horizontal="center"/>
    </xf>
    <xf numFmtId="0" fontId="17" fillId="0" borderId="0" xfId="0" applyFont="1"/>
    <xf numFmtId="0" fontId="0" fillId="0" borderId="0" xfId="0" applyBorder="1"/>
    <xf numFmtId="0" fontId="0" fillId="0" borderId="0" xfId="0" applyNumberFormat="1"/>
    <xf numFmtId="0" fontId="0" fillId="0" borderId="0" xfId="0" applyFill="1"/>
    <xf numFmtId="0" fontId="19" fillId="0" borderId="0" xfId="0" applyFont="1"/>
    <xf numFmtId="1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17" fontId="0" fillId="0" borderId="0" xfId="0" quotePrefix="1" applyNumberFormat="1"/>
    <xf numFmtId="0" fontId="0" fillId="0" borderId="0" xfId="0" quotePrefix="1"/>
    <xf numFmtId="0" fontId="14" fillId="0" borderId="3" xfId="0" applyFont="1" applyBorder="1"/>
    <xf numFmtId="1" fontId="14" fillId="0" borderId="4" xfId="0" applyNumberFormat="1" applyFont="1" applyBorder="1"/>
    <xf numFmtId="167" fontId="14" fillId="0" borderId="4" xfId="0" applyNumberFormat="1" applyFont="1" applyBorder="1"/>
    <xf numFmtId="0" fontId="14" fillId="0" borderId="4" xfId="0" applyFont="1" applyBorder="1"/>
    <xf numFmtId="0" fontId="14" fillId="0" borderId="5" xfId="0" applyFont="1" applyBorder="1"/>
    <xf numFmtId="0" fontId="14" fillId="0" borderId="6" xfId="0" applyFont="1" applyBorder="1"/>
    <xf numFmtId="0" fontId="14" fillId="0" borderId="0" xfId="0" applyFont="1"/>
    <xf numFmtId="1" fontId="14" fillId="0" borderId="0" xfId="0" applyNumberFormat="1" applyFont="1"/>
    <xf numFmtId="2" fontId="0" fillId="0" borderId="0" xfId="0" applyNumberFormat="1"/>
    <xf numFmtId="0" fontId="20" fillId="0" borderId="0" xfId="0" applyFont="1" applyFill="1"/>
    <xf numFmtId="0" fontId="2" fillId="0" borderId="0" xfId="0" applyFont="1" applyAlignment="1">
      <alignment horizontal="center" vertical="center" wrapText="1"/>
    </xf>
  </cellXfs>
  <cellStyles count="5">
    <cellStyle name="Currency" xfId="1" builtinId="4"/>
    <cellStyle name="Hyperlink" xfId="3" builtinId="8"/>
    <cellStyle name="Normal" xfId="0" builtinId="0"/>
    <cellStyle name="Normal 2" xfId="4" xr:uid="{861D2DBA-B965-F24F-BDE9-34A9C6232587}"/>
    <cellStyle name="Percent" xfId="2" builtinId="5"/>
  </cellStyles>
  <dxfs count="10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CHUA/Dropbox/0.%20PhD%20documents/Performance%20Matrix/1.%20Performance%20matrix%20(versio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Rubric for Timing Rcmdtn"/>
      <sheetName val="Knees only"/>
      <sheetName val="Knees_190319"/>
      <sheetName val="Knees_190319 (3)"/>
      <sheetName val="Knees_190319 (2)"/>
      <sheetName val="Knees_181010"/>
      <sheetName val="Duration scores v1"/>
      <sheetName val="SR Duration extraction"/>
      <sheetName val="RACGP2018_knees_120918"/>
      <sheetName val="RACGP 2017"/>
      <sheetName val="ES Calculator-hips not done"/>
      <sheetName val="Pooled SD calculator"/>
      <sheetName val="Sheet1"/>
      <sheetName val="Intervention Groups"/>
      <sheetName val="Version 6"/>
      <sheetName val="Version 5"/>
      <sheetName val="Version 4"/>
      <sheetName val="Version 3"/>
      <sheetName val="Version1 2 Oct"/>
      <sheetName val="Version 2"/>
      <sheetName val="Sheet2"/>
    </sheetNames>
    <sheetDataSet>
      <sheetData sheetId="0"/>
      <sheetData sheetId="1"/>
      <sheetData sheetId="2"/>
      <sheetData sheetId="3"/>
      <sheetData sheetId="4"/>
      <sheetData sheetId="5"/>
      <sheetData sheetId="6"/>
      <sheetData sheetId="7">
        <row r="2">
          <cell r="AG2" t="str">
            <v>Acupuncture (electroacupuncture) - knee</v>
          </cell>
          <cell r="AH2" t="str">
            <v>3.5 ± 0 (3.5-4) [1]</v>
          </cell>
          <cell r="AI2" t="str">
            <v>⧗⧗⧗</v>
          </cell>
        </row>
        <row r="3">
          <cell r="AG3" t="str">
            <v>Acupuncture (laser) - knee</v>
          </cell>
          <cell r="AH3" t="str">
            <v>-</v>
          </cell>
          <cell r="AI3" t="str">
            <v>⧗⧗</v>
          </cell>
        </row>
        <row r="4">
          <cell r="AG4" t="str">
            <v>Acupuncture (traditional with manual stimulation) - knee</v>
          </cell>
          <cell r="AH4" t="str">
            <v>3.4 ± 1.8 (2-7) [4]</v>
          </cell>
          <cell r="AI4" t="str">
            <v>⧗⧗⧗</v>
          </cell>
        </row>
        <row r="5">
          <cell r="AG5" t="str">
            <v>ALL LAND-BASED EXERCISE - knee (all land based, muscle-strengthening, walking, Tai Chi)</v>
          </cell>
          <cell r="AH5" t="str">
            <v>3.8 ± 3.1 (2-12) [17]</v>
          </cell>
          <cell r="AI5" t="str">
            <v>⧗⧗⧗</v>
          </cell>
        </row>
        <row r="6">
          <cell r="AG6" t="str">
            <v>Anti-nerve growth factor (NGF) - knee</v>
          </cell>
          <cell r="AH6" t="str">
            <v>4.1 ± 2.8 (1.5-8) [6]</v>
          </cell>
          <cell r="AI6" t="str">
            <v>⧗⧗⧗</v>
          </cell>
        </row>
        <row r="7">
          <cell r="AG7" t="str">
            <v>Aquatic exercise/ hydrotherapy - knee (same as hip)</v>
          </cell>
          <cell r="AH7" t="str">
            <v>7 ± 4.4 (3-15) [5]</v>
          </cell>
          <cell r="AI7" t="str">
            <v>⧗⧗⧗</v>
          </cell>
        </row>
        <row r="8">
          <cell r="AG8" t="str">
            <v>Arthroscopic cartilage repair  – knee</v>
          </cell>
          <cell r="AH8" t="str">
            <v>-</v>
          </cell>
          <cell r="AI8" t="str">
            <v>⧗</v>
          </cell>
        </row>
        <row r="9">
          <cell r="AG9" t="str">
            <v>Arthroscopic lavage and debridement – knee</v>
          </cell>
          <cell r="AH9" t="str">
            <v>-</v>
          </cell>
          <cell r="AI9" t="str">
            <v>⧗</v>
          </cell>
        </row>
        <row r="10">
          <cell r="AG10" t="str">
            <v>Arthroscopic meniscectomy  – knee</v>
          </cell>
          <cell r="AH10" t="str">
            <v>-</v>
          </cell>
          <cell r="AI10" t="str">
            <v>⧗</v>
          </cell>
        </row>
        <row r="11">
          <cell r="AG11" t="str">
            <v xml:space="preserve">Assistive walking device - knee </v>
          </cell>
          <cell r="AH11" t="str">
            <v>2 ± 0 (2-2) [1]</v>
          </cell>
          <cell r="AI11" t="str">
            <v>⧗⧗</v>
          </cell>
        </row>
        <row r="12">
          <cell r="AG12" t="str">
            <v>Avocado-soybean unsaponifiables – same for knee and hip</v>
          </cell>
          <cell r="AH12" t="str">
            <v>2.4 ± 0.9 (1.5-3) [2]</v>
          </cell>
          <cell r="AI12" t="str">
            <v>⧗⧗</v>
          </cell>
        </row>
        <row r="13">
          <cell r="AG13" t="str">
            <v>Biphosphonates - knee</v>
          </cell>
          <cell r="AH13" t="str">
            <v>-</v>
          </cell>
          <cell r="AI13" t="str">
            <v>⧗⧗⧗</v>
          </cell>
        </row>
        <row r="14">
          <cell r="AG14" t="str">
            <v>Boswellia serrata extract - same for knee and hip</v>
          </cell>
          <cell r="AH14" t="str">
            <v>2.5 ± 1 (1-3) [3]</v>
          </cell>
          <cell r="AI14" t="str">
            <v>⧗⧗</v>
          </cell>
        </row>
        <row r="15">
          <cell r="AG15" t="str">
            <v>Calcitonin - same for knee and hip</v>
          </cell>
          <cell r="AH15" t="str">
            <v>-</v>
          </cell>
          <cell r="AI15" t="str">
            <v>⧗</v>
          </cell>
        </row>
        <row r="16">
          <cell r="AG16" t="str">
            <v>Chondroitin – same for knee and hip</v>
          </cell>
          <cell r="AH16" t="str">
            <v>-</v>
          </cell>
          <cell r="AI16" t="str">
            <v>⧗</v>
          </cell>
        </row>
        <row r="17">
          <cell r="AG17" t="str">
            <v xml:space="preserve">Cognitive behavioural therapy - knee </v>
          </cell>
          <cell r="AH17" t="str">
            <v>6.8 ± 3.9 (2.5-12) [3]</v>
          </cell>
          <cell r="AI17" t="str">
            <v>⧗⧗⧗</v>
          </cell>
        </row>
        <row r="18">
          <cell r="AG18" t="str">
            <v>Colchicine – same for knee and hip. Only indicated for goutin the NZ Formulary. Should be considered as an investigational medication only.</v>
          </cell>
          <cell r="AH18" t="str">
            <v>-</v>
          </cell>
          <cell r="AI18" t="str">
            <v>⧗⧗⧗</v>
          </cell>
        </row>
        <row r="19">
          <cell r="AG19" t="str">
            <v>Cold therapy - same for knee and hip</v>
          </cell>
          <cell r="AH19" t="str">
            <v>0.5 ± 0.2 (0.2-1) [2]</v>
          </cell>
          <cell r="AI19" t="str">
            <v>⧗⧗</v>
          </cell>
        </row>
        <row r="20">
          <cell r="AG20" t="str">
            <v xml:space="preserve">Collagen - knee </v>
          </cell>
          <cell r="AH20" t="str">
            <v>6 ± 0 (6-6) [1]</v>
          </cell>
          <cell r="AI20" t="str">
            <v>⧗⧗⧗</v>
          </cell>
        </row>
        <row r="21">
          <cell r="AG21" t="str">
            <v>Corticosteroid injection – knee</v>
          </cell>
          <cell r="AH21" t="str">
            <v>2.8 ± 1.9 (0.2-6) [11]</v>
          </cell>
          <cell r="AI21" t="str">
            <v>⧗⧗</v>
          </cell>
        </row>
        <row r="22">
          <cell r="AG22" t="str">
            <v>Curcuma/curcuminoid – same for knee and hip</v>
          </cell>
          <cell r="AH22" t="str">
            <v>1.7 ± 0.2 (1.5-2) [3]</v>
          </cell>
          <cell r="AI22" t="str">
            <v>⧗⧗</v>
          </cell>
        </row>
        <row r="23">
          <cell r="AG23" t="str">
            <v xml:space="preserve">Dextrose prolotherapy - knee </v>
          </cell>
          <cell r="AH23" t="str">
            <v>3 ± 0 (3-3) [1]</v>
          </cell>
          <cell r="AI23" t="str">
            <v>⧗⧗⧗</v>
          </cell>
        </row>
        <row r="24">
          <cell r="AG24" t="str">
            <v>Diacerein – knee (not available in NZ)</v>
          </cell>
          <cell r="AH24" t="str">
            <v>3.8 ± 1.1 (2-5) [4]</v>
          </cell>
          <cell r="AI24" t="str">
            <v>⧗⧗⧗</v>
          </cell>
        </row>
        <row r="25">
          <cell r="AG25" t="str">
            <v>Doxycycline - knee</v>
          </cell>
          <cell r="AH25" t="str">
            <v>-</v>
          </cell>
          <cell r="AI25" t="str">
            <v>⧗</v>
          </cell>
        </row>
        <row r="26">
          <cell r="AG26" t="str">
            <v>Duloxetine - knee (not available in NZ)</v>
          </cell>
          <cell r="AH26" t="str">
            <v>3.3 ± 0.5 (3-4) [3]</v>
          </cell>
          <cell r="AI26" t="str">
            <v>⧗⧗⧗</v>
          </cell>
        </row>
        <row r="27">
          <cell r="AG27" t="str">
            <v>Fibroblast growth factor (FGF) – same for knee and hip, e.g. Sprifemin: not avaliable in NZ</v>
          </cell>
          <cell r="AH27" t="str">
            <v>-</v>
          </cell>
          <cell r="AI27" t="str">
            <v>⧗</v>
          </cell>
        </row>
        <row r="28">
          <cell r="AG28" t="str">
            <v>Footwear (minimalist footwear) - same for hip and knee</v>
          </cell>
          <cell r="AH28" t="str">
            <v>-</v>
          </cell>
          <cell r="AI28" t="str">
            <v>⧗</v>
          </cell>
        </row>
        <row r="29">
          <cell r="AG29" t="str">
            <v>Footwear (rocker soled shoes) - same for hip and knee</v>
          </cell>
          <cell r="AH29" t="str">
            <v>-</v>
          </cell>
          <cell r="AI29" t="str">
            <v>⧗</v>
          </cell>
        </row>
        <row r="30">
          <cell r="AG30" t="str">
            <v>Footwear (unloading shoes) - same for hip and knee</v>
          </cell>
          <cell r="AH30" t="str">
            <v>-</v>
          </cell>
          <cell r="AI30" t="str">
            <v>⧗⧗⧗</v>
          </cell>
        </row>
        <row r="31">
          <cell r="AG31" t="str">
            <v>Glucosamine – knee</v>
          </cell>
          <cell r="AH31" t="str">
            <v>-</v>
          </cell>
          <cell r="AI31" t="str">
            <v>⧗</v>
          </cell>
        </row>
        <row r="32">
          <cell r="AG32" t="str">
            <v>Glucosamine and chondroitin in compound form – same for knee and hip</v>
          </cell>
          <cell r="AH32" t="str">
            <v>12 ± 0 (12-12) [1]</v>
          </cell>
          <cell r="AI32" t="str">
            <v>⧗⧗⧗</v>
          </cell>
        </row>
        <row r="33">
          <cell r="AG33" t="str">
            <v>Heat therapy - same for knee and hip</v>
          </cell>
          <cell r="AH33" t="str">
            <v>0.6 ± 0.4 (0.2-1) [2]</v>
          </cell>
          <cell r="AI33" t="str">
            <v>⧗⧗</v>
          </cell>
        </row>
        <row r="34">
          <cell r="AG34" t="str">
            <v>Interleukin-1 (IL-1) inhibitors - same for knee and hip. E.g. anakinra (unapproved in NZ), rilonacept (not listed in NZ Formulary), canakinumab (not listed in NZ Formulary).</v>
          </cell>
          <cell r="AH34" t="str">
            <v>-</v>
          </cell>
          <cell r="AI34" t="str">
            <v>⧗</v>
          </cell>
        </row>
        <row r="35">
          <cell r="AG35" t="str">
            <v>Knee braces (re-aligning patellofemoral braces)</v>
          </cell>
          <cell r="AH35" t="str">
            <v>1.5 ± 0 (1.5-2) [2]</v>
          </cell>
          <cell r="AI35" t="str">
            <v>⧗⧗</v>
          </cell>
        </row>
        <row r="36">
          <cell r="AG36" t="str">
            <v>Knee braces (valgus unloading/re-alignment braces)</v>
          </cell>
          <cell r="AH36" t="str">
            <v>6 ± 0 (6-6) [1]</v>
          </cell>
          <cell r="AI36" t="str">
            <v>⧗⧗⧗</v>
          </cell>
        </row>
        <row r="37">
          <cell r="AG37" t="str">
            <v>Knee braces (varus unloading/re-alignment braces)</v>
          </cell>
          <cell r="AH37" t="str">
            <v>-</v>
          </cell>
          <cell r="AI37" t="str">
            <v>⧗</v>
          </cell>
        </row>
        <row r="38">
          <cell r="AG38" t="str">
            <v>Knee exercise: Land-based exercise - knee (stationary cycling, hatha yoga)</v>
          </cell>
          <cell r="AH38" t="str">
            <v>2.3 ± 0.5 (2-3) [3]</v>
          </cell>
          <cell r="AI38" t="str">
            <v>⧗⧗</v>
          </cell>
        </row>
        <row r="39">
          <cell r="AG39" t="str">
            <v>Knee exercise: MUSCLE STRENGTHENING ONLY for lower limb strengthening</v>
          </cell>
          <cell r="AH39" t="str">
            <v>4.7 ± 5.5 (2-18) [7]</v>
          </cell>
          <cell r="AI39" t="str">
            <v>⧗⧗⧗</v>
          </cell>
        </row>
        <row r="40">
          <cell r="AG40" t="str">
            <v xml:space="preserve">Knee exercise: MUSCLE STRENGTHENING ONLY for quadriceps strengthening </v>
          </cell>
          <cell r="AH40" t="str">
            <v>3 ± 0.7 (2-4) [4]</v>
          </cell>
          <cell r="AI40" t="str">
            <v>⧗⧗⧗</v>
          </cell>
        </row>
        <row r="41">
          <cell r="AG41" t="str">
            <v>Knee exercise: Stationary cycling only (same as hip)</v>
          </cell>
          <cell r="AH41" t="str">
            <v>3 ± 0 (3-3) [1]</v>
          </cell>
          <cell r="AI41" t="str">
            <v>⧗⧗⧗</v>
          </cell>
        </row>
        <row r="42">
          <cell r="AG42" t="str">
            <v>Knee exercise: Tai Chi only (same as hip)</v>
          </cell>
          <cell r="AH42" t="str">
            <v>4.5 ± 2.9 (2-12) [10]</v>
          </cell>
          <cell r="AI42" t="str">
            <v>⧗⧗⧗</v>
          </cell>
        </row>
        <row r="43">
          <cell r="AG43" t="str">
            <v>Knee exercise: Walking only (same as hip)</v>
          </cell>
          <cell r="AH43" t="str">
            <v>10.5 ± 7.5 (3-18) [2]</v>
          </cell>
          <cell r="AI43" t="str">
            <v>⧗⧗⧗</v>
          </cell>
        </row>
        <row r="44">
          <cell r="AG44" t="str">
            <v>Knee exercise: Yoga only (same as hip)</v>
          </cell>
          <cell r="AH44" t="str">
            <v>2 ± 0 (2-2) [2]</v>
          </cell>
          <cell r="AI44" t="str">
            <v>⧗⧗</v>
          </cell>
        </row>
        <row r="45">
          <cell r="AG45" t="str">
            <v>Manual therapy (massage) - knee (same as hip)</v>
          </cell>
          <cell r="AH45" t="str">
            <v>3 ± 1.9 (1-6) [4]</v>
          </cell>
          <cell r="AI45" t="str">
            <v>⧗⧗⧗</v>
          </cell>
        </row>
        <row r="46">
          <cell r="AG46" t="str">
            <v xml:space="preserve">Manual therapy (mobilisation and manipulation) - knee </v>
          </cell>
          <cell r="AH46" t="str">
            <v>-</v>
          </cell>
          <cell r="AI46" t="str">
            <v>⧗⧗</v>
          </cell>
        </row>
        <row r="47">
          <cell r="AG47" t="str">
            <v>Methotrexate - knee. Should be considered as an investigational medication only</v>
          </cell>
          <cell r="AH47" t="str">
            <v>-</v>
          </cell>
          <cell r="AI47" t="str">
            <v>⧗</v>
          </cell>
        </row>
        <row r="48">
          <cell r="AG48" t="str">
            <v>Methylsulfonylmethane – same for knee and hip</v>
          </cell>
          <cell r="AH48" t="str">
            <v>3 ± 0 (3-3) [3]</v>
          </cell>
          <cell r="AI48" t="str">
            <v>⧗⧗⧗</v>
          </cell>
        </row>
        <row r="49">
          <cell r="AG49" t="str">
            <v>Omega-3 fatty acids - same for knee and hip</v>
          </cell>
          <cell r="AH49" t="str">
            <v>-</v>
          </cell>
          <cell r="AI49" t="str">
            <v>⧗⧗⧗</v>
          </cell>
        </row>
        <row r="50">
          <cell r="AG50" t="str">
            <v>Oral non-steroidal anti-inflammatory drugs (NSAIDs) including COX-2 inhibitors - knee</v>
          </cell>
          <cell r="AH50" t="str">
            <v>3.4 ± 0.9 (3-6) [11]</v>
          </cell>
          <cell r="AI50" t="str">
            <v>⧗⧗⧗</v>
          </cell>
        </row>
        <row r="51">
          <cell r="AG51" t="str">
            <v>Oral opioids - knee</v>
          </cell>
          <cell r="AH51" t="str">
            <v>3 ± 0 (3-3) [2]</v>
          </cell>
          <cell r="AI51" t="str">
            <v>⧗⧗⧗</v>
          </cell>
        </row>
        <row r="52">
          <cell r="AG52" t="str">
            <v>Other electrotherapy - knee (interferential)</v>
          </cell>
          <cell r="AH52" t="str">
            <v>0.9 ± 0.1 (0.8-1) [2]</v>
          </cell>
          <cell r="AI52" t="str">
            <v>⧗⧗</v>
          </cell>
        </row>
        <row r="53">
          <cell r="AG53" t="str">
            <v>Other electrotherapy - knee (laser) (same as hip)</v>
          </cell>
          <cell r="AH53" t="str">
            <v>1 ± 0.7 (0.3-2) [3]</v>
          </cell>
          <cell r="AI53" t="str">
            <v>⧗⧗</v>
          </cell>
        </row>
        <row r="54">
          <cell r="AG54" t="str">
            <v>Other electrotherapy - knee (shockwave)</v>
          </cell>
          <cell r="AH54" t="str">
            <v>3 ± 0 (3-3) [1]</v>
          </cell>
          <cell r="AI54" t="str">
            <v>⧗⧗⧗</v>
          </cell>
        </row>
        <row r="55">
          <cell r="AG55" t="str">
            <v>Paracetamol - knee and/or hip (same for both)</v>
          </cell>
          <cell r="AH55" t="str">
            <v>2.4 ± 0.6 (1.5-3) [4]</v>
          </cell>
          <cell r="AI55" t="str">
            <v>⧗⧗</v>
          </cell>
        </row>
        <row r="56">
          <cell r="AG56" t="str">
            <v>Platelet-rich plasma (PRP) injection – same for knee and hip</v>
          </cell>
          <cell r="AH56" t="str">
            <v>8 ± 2.8 (6-12) [3]</v>
          </cell>
          <cell r="AI56" t="str">
            <v>⧗⧗⧗</v>
          </cell>
        </row>
        <row r="57">
          <cell r="AG57" t="str">
            <v>Pulsed electromagnetic/ shortwave therapy - knee</v>
          </cell>
          <cell r="AH57" t="str">
            <v>1.4 ± 1.1 (0.2-3) [7]</v>
          </cell>
          <cell r="AI57" t="str">
            <v>⧗⧗</v>
          </cell>
        </row>
        <row r="58">
          <cell r="AG58" t="str">
            <v>Pycnogenol – knee</v>
          </cell>
          <cell r="AH58" t="str">
            <v>3 ± 0 (3-3) [1]</v>
          </cell>
          <cell r="AI58" t="str">
            <v>⧗⧗⧗</v>
          </cell>
        </row>
        <row r="59">
          <cell r="AG59" t="str">
            <v>self-management education programs - knee</v>
          </cell>
          <cell r="AH59" t="str">
            <v>-</v>
          </cell>
          <cell r="AI59" t="str">
            <v>⧗⧗⧗</v>
          </cell>
        </row>
        <row r="60">
          <cell r="AG60" t="str">
            <v>Shoe orthotics (lateral wedge insoles for medial tibiofemoral knee OA) - knee</v>
          </cell>
          <cell r="AH60" t="str">
            <v>10.3 ± 8.8 (2-24) [4]</v>
          </cell>
          <cell r="AI60" t="str">
            <v>⧗⧗⧗</v>
          </cell>
        </row>
        <row r="61">
          <cell r="AG61" t="str">
            <v>Shoe orthotics (medial wedged insoles for lateral tibiofemoral OA and valgus deformity) - knee</v>
          </cell>
          <cell r="AH61" t="str">
            <v>2 ± 0 (2-2) [1]</v>
          </cell>
          <cell r="AI61" t="str">
            <v>⧗⧗</v>
          </cell>
        </row>
        <row r="62">
          <cell r="AG62" t="str">
            <v>Shoe orthotics (shock absorbing insoles or arch supports) - same for hip and knee</v>
          </cell>
          <cell r="AH62" t="str">
            <v>-</v>
          </cell>
          <cell r="AI62" t="str">
            <v>⧗</v>
          </cell>
        </row>
        <row r="63">
          <cell r="AG63" t="str">
            <v>Stem cell therapy – same for knee and hip</v>
          </cell>
          <cell r="AH63" t="str">
            <v>6 ± 0 (6-6) [1]</v>
          </cell>
          <cell r="AI63" t="str">
            <v>⧗⧗⧗</v>
          </cell>
        </row>
        <row r="64">
          <cell r="AG64" t="str">
            <v>Strontium ranelate - same for knee and hip; only indicated for osteoporosis in the NZ formulary)</v>
          </cell>
          <cell r="AH64" t="str">
            <v>-</v>
          </cell>
          <cell r="AI64" t="str">
            <v>⧗</v>
          </cell>
        </row>
        <row r="65">
          <cell r="AG65" t="str">
            <v>Taping (kinesio taping) - same for knee and hip</v>
          </cell>
          <cell r="AH65" t="str">
            <v>0 ± 0 (0-0) [2]</v>
          </cell>
          <cell r="AI65" t="str">
            <v>⧗</v>
          </cell>
        </row>
        <row r="66">
          <cell r="AG66" t="str">
            <v>Taping (patellar taping) - same for knee and hip</v>
          </cell>
          <cell r="AH66" t="str">
            <v>-</v>
          </cell>
          <cell r="AI66" t="str">
            <v>⧗⧗</v>
          </cell>
        </row>
        <row r="67">
          <cell r="AG67" t="str">
            <v>Therapeutic ultrasound - knee (same as hip)</v>
          </cell>
          <cell r="AH67" t="str">
            <v>0.9 ± 0.7 (0.3-2) [4]</v>
          </cell>
          <cell r="AI67" t="str">
            <v>⧗⧗</v>
          </cell>
        </row>
        <row r="68">
          <cell r="AG68" t="str">
            <v xml:space="preserve">Topical capsaicin - knee </v>
          </cell>
          <cell r="AH68" t="str">
            <v>-</v>
          </cell>
          <cell r="AI68" t="str">
            <v>⧗</v>
          </cell>
        </row>
        <row r="69">
          <cell r="AG69" t="str">
            <v>Topical NSAIDs - knee (same for hip)</v>
          </cell>
          <cell r="AH69" t="str">
            <v>3 ± 0 (3-3) [6]</v>
          </cell>
          <cell r="AI69" t="str">
            <v>⧗⧗⧗</v>
          </cell>
        </row>
        <row r="70">
          <cell r="AG70" t="str">
            <v>Total Joint Replacement - knee</v>
          </cell>
          <cell r="AH70" t="e">
            <v>#DIV/0!</v>
          </cell>
          <cell r="AI70" t="e">
            <v>#DIV/0!</v>
          </cell>
        </row>
        <row r="71">
          <cell r="AG71" t="str">
            <v xml:space="preserve">Transcutaneous electrical nerve stimulation (TENS) - knee </v>
          </cell>
          <cell r="AH71" t="str">
            <v>0.5 ± 0 (0.5-1) [3]</v>
          </cell>
          <cell r="AI71" t="str">
            <v>⧗⧗</v>
          </cell>
        </row>
        <row r="72">
          <cell r="AG72" t="str">
            <v>Transdermal buprenorphine - same for knee and hip</v>
          </cell>
          <cell r="AH72" t="str">
            <v>1 ± 0 (1-1) [1]</v>
          </cell>
          <cell r="AI72" t="str">
            <v>⧗⧗</v>
          </cell>
        </row>
        <row r="73">
          <cell r="AG73" t="str">
            <v>Transdermal Fentanyl - same for knee and hip</v>
          </cell>
          <cell r="AH73" t="str">
            <v>2 ± 0 (2-2) [1]</v>
          </cell>
          <cell r="AI73" t="str">
            <v>⧗⧗</v>
          </cell>
        </row>
        <row r="74">
          <cell r="AG74" t="str">
            <v>Transdermal opioids - same for knee and hip</v>
          </cell>
          <cell r="AH74" t="str">
            <v>-</v>
          </cell>
          <cell r="AI74" t="str">
            <v>⧗</v>
          </cell>
        </row>
        <row r="75">
          <cell r="AG75" t="str">
            <v>Viscosupplementation injection – knee</v>
          </cell>
          <cell r="AH75" t="str">
            <v>3 ± 0 (3-3) [1]</v>
          </cell>
          <cell r="AI75" t="str">
            <v>⧗⧗⧗</v>
          </cell>
        </row>
        <row r="76">
          <cell r="AG76" t="str">
            <v xml:space="preserve">Vitamin D – knee </v>
          </cell>
          <cell r="AH76" t="str">
            <v>12 ± 0 (12-12) [1]</v>
          </cell>
          <cell r="AI76" t="str">
            <v>⧗⧗⧗</v>
          </cell>
        </row>
        <row r="77">
          <cell r="AG77" t="str">
            <v>Weight management - knee (same as hip)</v>
          </cell>
          <cell r="AH77" t="str">
            <v>12 ± 4.9 (6-18) [3]</v>
          </cell>
          <cell r="AI77" t="str">
            <v>⧗⧗⧗</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persons/person.xml><?xml version="1.0" encoding="utf-8"?>
<personList xmlns="http://schemas.microsoft.com/office/spreadsheetml/2018/threadedcomments" xmlns:x="http://schemas.openxmlformats.org/spreadsheetml/2006/main">
  <person displayName="Jason Chua" id="{3026A364-F1AF-134C-BB6A-8E50BEC13253}" userId="Jason Chua" providerId="None"/>
  <person displayName="Jason Chua" id="{883594AD-D9F9-CB4E-81CA-539A9C49D138}" userId="S::chuja676@student.otago.ac.nz::435a3860-1e7a-47c1-a5d7-5b9872acf19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18-10-19T01:46:57.06" personId="{3026A364-F1AF-134C-BB6A-8E50BEC13253}" id="{202CFF73-F9FC-884E-ADBF-A17EA20CB018}">
    <text>The individual studies referred to in the RACG CPG were reviewed to identify which ones reported positive outcomes. The average ± SD (range) [number of studies] follow up duration was then calculated for these studies. These summarised in the next tab, 'duration scores'.</text>
  </threadedComment>
  <threadedComment ref="Z6" dT="2018-10-19T01:02:49.65" personId="{3026A364-F1AF-134C-BB6A-8E50BEC13253}" id="{A50C3040-E9B8-B643-9355-E916177426F7}">
    <text>1.5-24 months follow up in Fransen's systematic review of 44 trials. Fransen did not detect any significant difference on pain &gt;6 months across all exercise modalities.</text>
  </threadedComment>
  <threadedComment ref="Z17" dT="2018-10-19T01:09:14.39" personId="{3026A364-F1AF-134C-BB6A-8E50BEC13253}" id="{A596CFCA-3C9F-F442-888B-1AB137A16151}">
    <text>3 months duration if all RACGP trials are considered (have not looked up individual studies)</text>
  </threadedComment>
  <threadedComment ref="AL19" dT="2019-03-20T22:16:44.67" personId="{883594AD-D9F9-CB4E-81CA-539A9C49D138}" id="{2EE711B0-895D-5C46-BB87-0845227568B5}">
    <text>ES downgraded one level due to floor effect in GRADE summary (total points subtracted = 5 out of  maximum 4)</text>
  </threadedComment>
  <threadedComment ref="Z21" dT="2018-10-19T01:37:52.31" personId="{3026A364-F1AF-134C-BB6A-8E50BEC13253}" id="{A44898C3-3392-1844-B3A4-819F97B59B12}">
    <text>Could not locate 5 of the 6 articles. Perhaps removed because they were industry sponsored?</text>
  </threadedComment>
  <threadedComment ref="Z22" dT="2018-10-19T01:07:20.83" personId="{3026A364-F1AF-134C-BB6A-8E50BEC13253}" id="{72753F8F-0C37-1647-8425-15A6FB5339F9}">
    <text>From the cochrane review: “when stratifying results according to length of follow up benefits were moderate at 1 to 2 weeks after end of treatment, small to moderate at 4-6 weeks, small at 13 weeks…no evidence of effect at 26 weeks…”</text>
  </threadedComment>
  <threadedComment ref="Z32" dT="2018-10-19T01:08:43.60" personId="{3026A364-F1AF-134C-BB6A-8E50BEC13253}" id="{D55B092F-8C73-7346-A1A1-D028D1C3F811}">
    <text>3 months duration if all RACGP trials are considered (have not looked up individual studies)</text>
  </threadedComment>
  <threadedComment ref="Z36" dT="2019-03-20T01:47:28.45" personId="{883594AD-D9F9-CB4E-81CA-539A9C49D138}" id="{7E8C6B23-4233-E949-AA4F-C36ECEC8B244}">
    <text>&lt;6 weeks [2]</text>
  </threadedComment>
  <threadedComment ref="Z37" dT="2019-03-20T01:46:40.88" personId="{883594AD-D9F9-CB4E-81CA-539A9C49D138}" id="{3C0FAEBF-C3C7-D344-B813-5B7A80EA5BDF}">
    <text>6 months [1]</text>
  </threadedComment>
  <threadedComment ref="AK38" dT="2018-10-19T03:39:45.31" personId="{3026A364-F1AF-134C-BB6A-8E50BEC13253}" id="{464EBB4A-651D-AE46-9612-EB5E3A07B859}">
    <text>This SR also concludes that there is insufficient information available to determine its effectiveness: Duivenvoorden, T., et al. (2015). "Braces and orthoses for treating osteoarthritis of the knee."</text>
  </threadedComment>
  <threadedComment ref="Z39" dT="2018-10-19T01:03:03.45" personId="{3026A364-F1AF-134C-BB6A-8E50BEC13253}" id="{D3AB13F4-A4A4-AB47-B104-EBCF4056AFD4}">
    <text>Chosen the more conservative of two options (short-medium (yoga) vs medium (cycling)) [3]</text>
  </threadedComment>
  <threadedComment ref="Z54" dT="2018-10-19T01:40:05.54" personId="{3026A364-F1AF-134C-BB6A-8E50BEC13253}" id="{008D1D76-606D-114E-BEE5-7D5182C819CE}">
    <text>Could not locate 2 articles.</text>
  </threadedComment>
  <threadedComment ref="Z57" dT="2018-10-19T01:41:24.99" personId="{3026A364-F1AF-134C-BB6A-8E50BEC13253}" id="{2F269B8C-831F-C446-AABA-D0F76007D065}">
    <text>Couldn't locate 1 article.</text>
  </threadedComment>
  <threadedComment ref="Z58" dT="2018-10-19T01:39:45.05" personId="{3026A364-F1AF-134C-BB6A-8E50BEC13253}" id="{B7A6F8BA-2CDB-4843-BD7D-5A067B1259C0}">
    <text>Could not locate 3 articles.</text>
  </threadedComment>
  <threadedComment ref="AK59" dT="2018-10-19T03:36:55.93" personId="{3026A364-F1AF-134C-BB6A-8E50BEC13253}" id="{85849285-9E6D-0147-86C4-21ADC2942628}">
    <text>Used Farid et al., 2007</text>
  </threadedComment>
  <threadedComment ref="Z61" dT="2019-03-20T02:32:03.66" personId="{883594AD-D9F9-CB4E-81CA-539A9C49D138}" id="{2771CB93-1EF5-D140-9736-53573E818FBE}">
    <text>10.3 (2-24) [4]. Based on studies which reported an effect - Barrios ([follow up] 12), Hatef (2), Pham (24) and Wallace (3). Bennell and Toda reported no effect (FU 12 and 3 months, respectively)</text>
  </threadedComment>
  <threadedComment ref="Z64" dT="2018-10-19T01:07:45.56" personId="{3026A364-F1AF-134C-BB6A-8E50BEC13253}" id="{FCD946DF-573D-6E4A-B3D8-CC6B4C4A23E1}">
    <text>no change using Jevotovsky's SR: 11, 12 (median) (6-24) [12] (Using level I and II trials only in Jevotovsky et al 2018)</text>
  </threadedComment>
  <threadedComment ref="Z66" dT="2018-10-19T01:05:34.95" personId="{3026A364-F1AF-134C-BB6A-8E50BEC13253}" id="{2E8D115D-99AD-0D46-B3CF-89F8D2569EAA}">
    <text>2 of 3 trials were immediately post-intervention [2]</text>
  </threadedComment>
  <threadedComment ref="Z72" dT="2018-10-19T01:40:24.96" personId="{3026A364-F1AF-134C-BB6A-8E50BEC13253}" id="{C14013E3-4CCE-2D45-B2FD-F67998B2F507}">
    <text>Couldn't locate 2 articles.</text>
  </threadedComment>
  <threadedComment ref="Z75" dT="2018-10-19T01:07:34.93" personId="{3026A364-F1AF-134C-BB6A-8E50BEC13253}" id="{5E4090CA-9813-B741-B5E5-D5C26EA51EA3}">
    <text>52 studies in SR paper; "the outcome of measure of interest were change from baseline in pain…at 3 month follow-up. If 3-month data were not available, we used data from 2-6 onths (the data point closest to 3 months was given preference"</text>
  </threadedComment>
  <threadedComment ref="Z77" dT="2018-10-19T01:04:15.29" personId="{3026A364-F1AF-134C-BB6A-8E50BEC13253}" id="{4D1CFE69-D43E-AA40-8B7E-52B25E6CB7E8}">
    <text>12 [6-18) [3]
All studies reported meaningful effects.</text>
  </threadedComment>
</ThreadedComments>
</file>

<file path=xl/threadedComments/threadedComment2.xml><?xml version="1.0" encoding="utf-8"?>
<ThreadedComments xmlns="http://schemas.microsoft.com/office/spreadsheetml/2018/threadedcomments" xmlns:x="http://schemas.openxmlformats.org/spreadsheetml/2006/main">
  <threadedComment ref="A32" dT="2019-03-20T03:32:00.55" personId="{883594AD-D9F9-CB4E-81CA-539A9C49D138}" id="{687F6329-FFDC-8B42-9230-82F8728219A2}">
    <text>The RACGP guideline states follow up durations ranging fom 4-12 months in their review, which puts this in the medium duration rating. I did not look up all individual trials for this intervention.</text>
  </threadedComment>
  <threadedComment ref="A35" dT="2019-03-20T03:32:55.80" personId="{883594AD-D9F9-CB4E-81CA-539A9C49D138}" id="{007ACB9F-9719-104B-9DF6-0DF9E2FDEC43}">
    <text>The RACGP CPG reports 2 trials with follow up duration of 6 week, putting it in the short-medium duration. I did not look up both individual trials for this intervention.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acc.co.nz/assets/research/hyaluronic-injections-review.pdf" TargetMode="External"/><Relationship Id="rId7" Type="http://schemas.microsoft.com/office/2017/10/relationships/threadedComment" Target="../threadedComments/threadedComment1.xml"/><Relationship Id="rId2" Type="http://schemas.openxmlformats.org/officeDocument/2006/relationships/hyperlink" Target="http://www.pharmac.govt.nz/Schedule?osq=capsaicin" TargetMode="External"/><Relationship Id="rId1" Type="http://schemas.openxmlformats.org/officeDocument/2006/relationships/hyperlink" Target="http://www.pharmacydirect.co.nz/Anti-Inflammatory-Topical-Rubs-Creams/1.%20Voltaren%20$25.90%20100g2."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0D6D7-A50B-604C-A6EA-55D78CF0903F}">
  <dimension ref="A1:AO94"/>
  <sheetViews>
    <sheetView zoomScale="125" zoomScaleNormal="100" workbookViewId="0">
      <pane xSplit="7340" ySplit="1920" topLeftCell="K1" activePane="bottomRight"/>
      <selection pane="topRight" activeCell="AO1" sqref="AO1:AO1048576"/>
      <selection pane="bottomLeft" activeCell="A12" sqref="A12:XFD12"/>
      <selection pane="bottomRight" activeCell="AO1" sqref="AO1"/>
    </sheetView>
  </sheetViews>
  <sheetFormatPr baseColWidth="10" defaultColWidth="8.5" defaultRowHeight="16" x14ac:dyDescent="0.25"/>
  <cols>
    <col min="1" max="2" width="3.6640625" style="31" customWidth="1"/>
    <col min="3" max="3" width="48.1640625" style="31" customWidth="1"/>
    <col min="4" max="4" width="19.1640625" style="31" hidden="1" customWidth="1"/>
    <col min="5" max="5" width="10.5" style="31" hidden="1" customWidth="1"/>
    <col min="6" max="8" width="9.5" style="11" hidden="1" customWidth="1"/>
    <col min="9" max="11" width="8.5" style="31" customWidth="1"/>
    <col min="12" max="16" width="4" style="91" hidden="1" customWidth="1"/>
    <col min="17" max="17" width="10" style="31" customWidth="1"/>
    <col min="18" max="18" width="5.5" style="31" customWidth="1"/>
    <col min="19" max="19" width="11.5" style="31" hidden="1" customWidth="1"/>
    <col min="20" max="20" width="11.33203125" style="67" hidden="1" customWidth="1"/>
    <col min="21" max="24" width="12" style="31" hidden="1" customWidth="1"/>
    <col min="25" max="25" width="7.1640625" style="31" customWidth="1"/>
    <col min="26" max="26" width="19.6640625" style="21" customWidth="1"/>
    <col min="27" max="27" width="26.5" style="74" hidden="1" customWidth="1"/>
    <col min="28" max="28" width="11.83203125" style="74" hidden="1" customWidth="1"/>
    <col min="29" max="29" width="5.83203125" style="74" customWidth="1"/>
    <col min="30" max="30" width="21.5" style="31" hidden="1" customWidth="1"/>
    <col min="31" max="32" width="5.33203125" style="31" customWidth="1"/>
    <col min="33" max="33" width="15.5" style="31" hidden="1" customWidth="1"/>
    <col min="34" max="34" width="34.6640625" style="31" hidden="1" customWidth="1"/>
    <col min="35" max="36" width="18.5" style="31" hidden="1" customWidth="1"/>
    <col min="37" max="37" width="28.33203125" style="92" customWidth="1"/>
    <col min="38" max="16384" width="8.5" style="31"/>
  </cols>
  <sheetData>
    <row r="1" spans="1:41" s="1" customFormat="1" ht="60" customHeight="1" x14ac:dyDescent="0.2">
      <c r="A1" s="1" t="s">
        <v>0</v>
      </c>
      <c r="B1" s="1" t="s">
        <v>1</v>
      </c>
      <c r="C1" s="2" t="s">
        <v>2</v>
      </c>
      <c r="D1" s="3" t="s">
        <v>3</v>
      </c>
      <c r="E1" s="3" t="s">
        <v>4</v>
      </c>
      <c r="F1" s="3" t="s">
        <v>5</v>
      </c>
      <c r="G1" s="3" t="s">
        <v>6</v>
      </c>
      <c r="H1" s="3" t="s">
        <v>7</v>
      </c>
      <c r="I1" s="4" t="s">
        <v>8</v>
      </c>
      <c r="J1" s="4" t="s">
        <v>9</v>
      </c>
      <c r="K1" s="4" t="s">
        <v>10</v>
      </c>
      <c r="L1" s="132" t="s">
        <v>11</v>
      </c>
      <c r="M1" s="132"/>
      <c r="N1" s="132"/>
      <c r="O1" s="132"/>
      <c r="P1" s="132"/>
      <c r="Q1" s="5" t="s">
        <v>12</v>
      </c>
      <c r="R1" s="6" t="s">
        <v>13</v>
      </c>
      <c r="S1" s="6" t="s">
        <v>14</v>
      </c>
      <c r="T1" s="6" t="s">
        <v>15</v>
      </c>
      <c r="U1" s="6" t="s">
        <v>16</v>
      </c>
      <c r="V1" s="6" t="s">
        <v>17</v>
      </c>
      <c r="W1" s="6" t="s">
        <v>18</v>
      </c>
      <c r="X1" s="6" t="s">
        <v>19</v>
      </c>
      <c r="Y1" s="7" t="s">
        <v>20</v>
      </c>
      <c r="Z1" s="7" t="s">
        <v>21</v>
      </c>
      <c r="AA1" s="8" t="s">
        <v>22</v>
      </c>
      <c r="AB1" s="8" t="s">
        <v>23</v>
      </c>
      <c r="AC1" s="9" t="s">
        <v>24</v>
      </c>
      <c r="AD1" s="1" t="s">
        <v>25</v>
      </c>
      <c r="AE1" s="10" t="s">
        <v>26</v>
      </c>
      <c r="AF1" s="10" t="s">
        <v>27</v>
      </c>
      <c r="AG1" s="1" t="s">
        <v>28</v>
      </c>
      <c r="AH1" s="1" t="s">
        <v>29</v>
      </c>
      <c r="AI1" s="1" t="s">
        <v>30</v>
      </c>
      <c r="AJ1" s="1" t="s">
        <v>31</v>
      </c>
      <c r="AK1" s="1" t="s">
        <v>32</v>
      </c>
      <c r="AL1" s="1" t="s">
        <v>941</v>
      </c>
      <c r="AM1" s="1" t="s">
        <v>942</v>
      </c>
      <c r="AN1" s="1" t="s">
        <v>33</v>
      </c>
      <c r="AO1" s="1" t="s">
        <v>34</v>
      </c>
    </row>
    <row r="2" spans="1:41" s="1" customFormat="1" ht="52.5" hidden="1" customHeight="1" x14ac:dyDescent="0.25">
      <c r="A2" s="1" t="s">
        <v>35</v>
      </c>
      <c r="C2" s="2" t="s">
        <v>36</v>
      </c>
      <c r="D2" s="3"/>
      <c r="E2" s="3" t="s">
        <v>37</v>
      </c>
      <c r="F2" s="3" t="s">
        <v>38</v>
      </c>
      <c r="G2" s="3" t="s">
        <v>39</v>
      </c>
      <c r="H2" s="3" t="s">
        <v>40</v>
      </c>
      <c r="I2" s="4" t="s">
        <v>38</v>
      </c>
      <c r="J2" s="4" t="s">
        <v>39</v>
      </c>
      <c r="K2" s="4" t="s">
        <v>40</v>
      </c>
      <c r="L2" s="11" t="s">
        <v>41</v>
      </c>
      <c r="M2" s="11" t="s">
        <v>42</v>
      </c>
      <c r="N2" s="11" t="s">
        <v>43</v>
      </c>
      <c r="O2" s="11" t="s">
        <v>44</v>
      </c>
      <c r="P2" s="11" t="s">
        <v>45</v>
      </c>
      <c r="Q2" s="5" t="s">
        <v>46</v>
      </c>
      <c r="R2" s="6" t="s">
        <v>47</v>
      </c>
      <c r="S2" s="6"/>
      <c r="T2" s="12"/>
      <c r="U2" s="6"/>
      <c r="V2" s="6"/>
      <c r="W2" s="6"/>
      <c r="X2" s="6"/>
      <c r="Y2" s="7"/>
      <c r="Z2" s="7"/>
      <c r="AA2" s="8"/>
      <c r="AB2" s="8"/>
      <c r="AC2" s="9" t="s">
        <v>48</v>
      </c>
      <c r="AE2" s="10" t="s">
        <v>49</v>
      </c>
      <c r="AF2" s="10" t="s">
        <v>50</v>
      </c>
    </row>
    <row r="3" spans="1:41" ht="15" customHeight="1" x14ac:dyDescent="0.25">
      <c r="A3" s="13">
        <v>1</v>
      </c>
      <c r="B3" s="13">
        <v>2</v>
      </c>
      <c r="C3" s="13" t="s">
        <v>51</v>
      </c>
      <c r="D3" s="14" t="s">
        <v>52</v>
      </c>
      <c r="E3" s="13" t="s">
        <v>44</v>
      </c>
      <c r="F3" s="15">
        <v>1</v>
      </c>
      <c r="G3" s="15">
        <v>1</v>
      </c>
      <c r="H3" s="15">
        <v>1</v>
      </c>
      <c r="I3" s="16" t="str">
        <f t="shared" ref="I3:K34" si="0">IF(F3=1,$P$2,IF(F3=2,$O$2,IF(F3=3,$N$2,IF(F3=4,$M$2,IF(F3=5,$L$2,"ERROR")))))</f>
        <v>↓↓</v>
      </c>
      <c r="J3" s="16" t="str">
        <f t="shared" si="0"/>
        <v>↓↓</v>
      </c>
      <c r="K3" s="16" t="str">
        <f t="shared" si="0"/>
        <v>↓↓</v>
      </c>
      <c r="L3" s="17"/>
      <c r="M3" s="17"/>
      <c r="N3" s="17"/>
      <c r="O3" s="17"/>
      <c r="P3" s="17"/>
      <c r="Q3" s="16" t="s">
        <v>53</v>
      </c>
      <c r="R3" s="16" t="s">
        <v>54</v>
      </c>
      <c r="S3" s="18">
        <v>1202.877</v>
      </c>
      <c r="T3" s="19" t="s">
        <v>55</v>
      </c>
      <c r="U3" s="19" t="s">
        <v>56</v>
      </c>
      <c r="V3" s="20" t="s">
        <v>57</v>
      </c>
      <c r="W3" s="20" t="s">
        <v>58</v>
      </c>
      <c r="X3" s="13" t="s">
        <v>59</v>
      </c>
      <c r="Y3" s="11" t="s">
        <v>60</v>
      </c>
      <c r="Z3" s="21" t="s">
        <v>61</v>
      </c>
      <c r="AA3" s="22" t="s">
        <v>62</v>
      </c>
      <c r="AB3" s="22" t="s">
        <v>63</v>
      </c>
      <c r="AC3" s="23" t="s">
        <v>64</v>
      </c>
      <c r="AD3" s="24" t="s">
        <v>65</v>
      </c>
      <c r="AE3" s="25" t="s">
        <v>66</v>
      </c>
      <c r="AF3" s="25" t="s">
        <v>66</v>
      </c>
      <c r="AG3" s="26" t="s">
        <v>67</v>
      </c>
      <c r="AH3" s="27" t="s">
        <v>68</v>
      </c>
      <c r="AI3" s="28" t="s">
        <v>69</v>
      </c>
      <c r="AJ3" s="24" t="s">
        <v>70</v>
      </c>
      <c r="AK3" s="29" t="s">
        <v>71</v>
      </c>
      <c r="AL3" s="30" t="s">
        <v>72</v>
      </c>
    </row>
    <row r="4" spans="1:41" ht="15" customHeight="1" x14ac:dyDescent="0.25">
      <c r="A4" s="13">
        <v>1</v>
      </c>
      <c r="B4" s="13">
        <v>2</v>
      </c>
      <c r="C4" s="13" t="s">
        <v>73</v>
      </c>
      <c r="D4" s="31" t="s">
        <v>52</v>
      </c>
      <c r="E4" s="31" t="s">
        <v>44</v>
      </c>
      <c r="F4" s="11">
        <v>1</v>
      </c>
      <c r="G4" s="11">
        <v>1</v>
      </c>
      <c r="H4" s="11">
        <v>1</v>
      </c>
      <c r="I4" s="11" t="str">
        <f t="shared" si="0"/>
        <v>↓↓</v>
      </c>
      <c r="J4" s="11" t="str">
        <f t="shared" si="0"/>
        <v>↓↓</v>
      </c>
      <c r="K4" s="11" t="str">
        <f t="shared" si="0"/>
        <v>↓↓</v>
      </c>
      <c r="L4" s="32"/>
      <c r="M4" s="32"/>
      <c r="N4" s="32"/>
      <c r="O4" s="32"/>
      <c r="P4" s="32"/>
      <c r="Q4" s="11" t="s">
        <v>74</v>
      </c>
      <c r="R4" s="11" t="s">
        <v>54</v>
      </c>
      <c r="S4" s="31" t="s">
        <v>75</v>
      </c>
      <c r="T4" s="33" t="s">
        <v>56</v>
      </c>
      <c r="U4" s="33" t="s">
        <v>56</v>
      </c>
      <c r="V4" s="31" t="s">
        <v>76</v>
      </c>
      <c r="W4" s="34" t="s">
        <v>56</v>
      </c>
      <c r="X4" s="34" t="s">
        <v>56</v>
      </c>
      <c r="Y4" s="11" t="s">
        <v>77</v>
      </c>
      <c r="Z4" s="35" t="s">
        <v>78</v>
      </c>
      <c r="AA4" s="36" t="s">
        <v>79</v>
      </c>
      <c r="AB4" s="36"/>
      <c r="AC4" s="23" t="s">
        <v>64</v>
      </c>
      <c r="AD4" s="31" t="s">
        <v>65</v>
      </c>
      <c r="AE4" s="25" t="s">
        <v>66</v>
      </c>
      <c r="AF4" s="25" t="s">
        <v>66</v>
      </c>
      <c r="AG4" s="37" t="s">
        <v>80</v>
      </c>
      <c r="AH4" s="38" t="s">
        <v>81</v>
      </c>
      <c r="AI4" s="31" t="s">
        <v>82</v>
      </c>
      <c r="AJ4" s="31" t="s">
        <v>83</v>
      </c>
      <c r="AK4" s="39" t="s">
        <v>84</v>
      </c>
      <c r="AL4" s="40" t="s">
        <v>85</v>
      </c>
    </row>
    <row r="5" spans="1:41" ht="15" customHeight="1" x14ac:dyDescent="0.25">
      <c r="A5" s="13">
        <v>1</v>
      </c>
      <c r="B5" s="13">
        <v>2</v>
      </c>
      <c r="C5" s="13" t="s">
        <v>86</v>
      </c>
      <c r="D5" s="14" t="s">
        <v>52</v>
      </c>
      <c r="E5" s="13" t="s">
        <v>44</v>
      </c>
      <c r="F5" s="15">
        <v>1</v>
      </c>
      <c r="G5" s="15">
        <v>1</v>
      </c>
      <c r="H5" s="15">
        <v>1</v>
      </c>
      <c r="I5" s="16" t="str">
        <f t="shared" si="0"/>
        <v>↓↓</v>
      </c>
      <c r="J5" s="16" t="str">
        <f t="shared" si="0"/>
        <v>↓↓</v>
      </c>
      <c r="K5" s="16" t="str">
        <f t="shared" si="0"/>
        <v>↓↓</v>
      </c>
      <c r="L5" s="17"/>
      <c r="M5" s="17"/>
      <c r="N5" s="17"/>
      <c r="O5" s="17"/>
      <c r="P5" s="17"/>
      <c r="Q5" s="16" t="s">
        <v>53</v>
      </c>
      <c r="R5" s="16" t="s">
        <v>54</v>
      </c>
      <c r="S5" s="18">
        <v>1202.877</v>
      </c>
      <c r="T5" s="19" t="s">
        <v>55</v>
      </c>
      <c r="U5" s="19" t="s">
        <v>56</v>
      </c>
      <c r="V5" s="20" t="s">
        <v>57</v>
      </c>
      <c r="W5" s="20" t="s">
        <v>58</v>
      </c>
      <c r="X5" s="13" t="s">
        <v>59</v>
      </c>
      <c r="Y5" s="11" t="s">
        <v>60</v>
      </c>
      <c r="Z5" s="21" t="s">
        <v>87</v>
      </c>
      <c r="AA5" s="22" t="s">
        <v>62</v>
      </c>
      <c r="AB5" s="22" t="s">
        <v>63</v>
      </c>
      <c r="AC5" s="23" t="s">
        <v>64</v>
      </c>
      <c r="AD5" s="24" t="s">
        <v>65</v>
      </c>
      <c r="AE5" s="25" t="s">
        <v>66</v>
      </c>
      <c r="AF5" s="25" t="s">
        <v>66</v>
      </c>
      <c r="AG5" s="26" t="s">
        <v>67</v>
      </c>
      <c r="AH5" s="27" t="s">
        <v>68</v>
      </c>
      <c r="AI5" s="28" t="s">
        <v>69</v>
      </c>
      <c r="AJ5" s="24" t="s">
        <v>70</v>
      </c>
      <c r="AK5" s="29" t="s">
        <v>88</v>
      </c>
      <c r="AL5" s="30" t="s">
        <v>72</v>
      </c>
    </row>
    <row r="6" spans="1:41" ht="15" customHeight="1" x14ac:dyDescent="0.25">
      <c r="A6" s="31">
        <v>1</v>
      </c>
      <c r="B6" s="31">
        <v>1</v>
      </c>
      <c r="C6" s="41" t="s">
        <v>89</v>
      </c>
      <c r="D6" s="13" t="s">
        <v>90</v>
      </c>
      <c r="E6" s="31" t="s">
        <v>41</v>
      </c>
      <c r="F6" s="11">
        <v>5</v>
      </c>
      <c r="G6" s="11">
        <v>5</v>
      </c>
      <c r="H6" s="11">
        <v>5</v>
      </c>
      <c r="I6" s="11" t="str">
        <f t="shared" si="0"/>
        <v>↑↑</v>
      </c>
      <c r="J6" s="11" t="str">
        <f t="shared" si="0"/>
        <v>↑↑</v>
      </c>
      <c r="K6" s="11" t="str">
        <f t="shared" si="0"/>
        <v>↑↑</v>
      </c>
      <c r="L6" s="32"/>
      <c r="M6" s="32"/>
      <c r="N6" s="32"/>
      <c r="O6" s="32"/>
      <c r="P6" s="32"/>
      <c r="Q6" s="16" t="s">
        <v>74</v>
      </c>
      <c r="R6" s="11" t="s">
        <v>54</v>
      </c>
      <c r="S6" s="33" t="s">
        <v>91</v>
      </c>
      <c r="T6" s="42" t="s">
        <v>55</v>
      </c>
      <c r="U6" s="43" t="s">
        <v>56</v>
      </c>
      <c r="V6" s="34" t="s">
        <v>92</v>
      </c>
      <c r="W6" s="34" t="s">
        <v>93</v>
      </c>
      <c r="X6" s="34" t="s">
        <v>94</v>
      </c>
      <c r="Y6" s="11" t="s">
        <v>60</v>
      </c>
      <c r="Z6" s="21" t="s">
        <v>95</v>
      </c>
      <c r="AA6" s="22" t="s">
        <v>96</v>
      </c>
      <c r="AB6" s="22" t="s">
        <v>97</v>
      </c>
      <c r="AC6" s="23" t="s">
        <v>64</v>
      </c>
      <c r="AD6" s="31" t="s">
        <v>56</v>
      </c>
      <c r="AE6" s="25" t="s">
        <v>66</v>
      </c>
      <c r="AF6" s="25" t="s">
        <v>66</v>
      </c>
      <c r="AG6" s="44" t="s">
        <v>80</v>
      </c>
      <c r="AH6" s="31" t="s">
        <v>98</v>
      </c>
      <c r="AI6" s="31" t="s">
        <v>99</v>
      </c>
      <c r="AK6" s="45" t="s">
        <v>100</v>
      </c>
      <c r="AL6" s="46" t="s">
        <v>72</v>
      </c>
    </row>
    <row r="7" spans="1:41" ht="15" customHeight="1" x14ac:dyDescent="0.25">
      <c r="A7" s="13">
        <v>1</v>
      </c>
      <c r="B7" s="13">
        <v>3</v>
      </c>
      <c r="C7" s="13" t="s">
        <v>101</v>
      </c>
      <c r="D7" s="13" t="s">
        <v>102</v>
      </c>
      <c r="E7" s="13" t="s">
        <v>44</v>
      </c>
      <c r="F7" s="16">
        <v>1</v>
      </c>
      <c r="G7" s="16">
        <v>1</v>
      </c>
      <c r="H7" s="16">
        <v>1</v>
      </c>
      <c r="I7" s="16" t="str">
        <f t="shared" si="0"/>
        <v>↓↓</v>
      </c>
      <c r="J7" s="16" t="str">
        <f t="shared" si="0"/>
        <v>↓↓</v>
      </c>
      <c r="K7" s="16" t="str">
        <f t="shared" si="0"/>
        <v>↓↓</v>
      </c>
      <c r="L7" s="47"/>
      <c r="M7" s="47"/>
      <c r="N7" s="47"/>
      <c r="O7" s="47"/>
      <c r="P7" s="47"/>
      <c r="Q7" s="16" t="s">
        <v>103</v>
      </c>
      <c r="R7" s="48" t="s">
        <v>104</v>
      </c>
      <c r="S7" s="18" t="s">
        <v>105</v>
      </c>
      <c r="T7" s="19" t="s">
        <v>106</v>
      </c>
      <c r="U7" s="49" t="s">
        <v>107</v>
      </c>
      <c r="V7" s="38" t="s">
        <v>108</v>
      </c>
      <c r="W7" s="50" t="s">
        <v>56</v>
      </c>
      <c r="X7" s="13" t="s">
        <v>56</v>
      </c>
      <c r="Y7" s="11" t="s">
        <v>60</v>
      </c>
      <c r="Z7" s="21" t="s">
        <v>109</v>
      </c>
      <c r="AA7" s="51" t="s">
        <v>110</v>
      </c>
      <c r="AB7" s="51" t="s">
        <v>111</v>
      </c>
      <c r="AC7" s="23" t="s">
        <v>112</v>
      </c>
      <c r="AD7" s="13" t="s">
        <v>113</v>
      </c>
      <c r="AE7" s="52" t="s">
        <v>114</v>
      </c>
      <c r="AF7" s="52" t="s">
        <v>115</v>
      </c>
      <c r="AG7" s="53" t="s">
        <v>80</v>
      </c>
      <c r="AH7" s="38" t="s">
        <v>116</v>
      </c>
      <c r="AI7" s="13" t="s">
        <v>117</v>
      </c>
      <c r="AJ7" s="13" t="s">
        <v>118</v>
      </c>
      <c r="AK7" s="54" t="s">
        <v>119</v>
      </c>
      <c r="AL7" s="55" t="s">
        <v>120</v>
      </c>
    </row>
    <row r="8" spans="1:41" ht="15" customHeight="1" x14ac:dyDescent="0.25">
      <c r="A8" s="31">
        <v>1</v>
      </c>
      <c r="B8" s="31">
        <v>1</v>
      </c>
      <c r="C8" s="13" t="s">
        <v>121</v>
      </c>
      <c r="D8" s="13" t="s">
        <v>122</v>
      </c>
      <c r="E8" s="31" t="s">
        <v>42</v>
      </c>
      <c r="F8" s="11">
        <v>4</v>
      </c>
      <c r="G8" s="11">
        <v>4</v>
      </c>
      <c r="H8" s="11">
        <v>4</v>
      </c>
      <c r="I8" s="11" t="str">
        <f t="shared" si="0"/>
        <v>↑</v>
      </c>
      <c r="J8" s="11" t="str">
        <f t="shared" si="0"/>
        <v>↑</v>
      </c>
      <c r="K8" s="11" t="str">
        <f t="shared" si="0"/>
        <v>↑</v>
      </c>
      <c r="L8" s="32"/>
      <c r="M8" s="32"/>
      <c r="N8" s="32"/>
      <c r="O8" s="32"/>
      <c r="P8" s="32"/>
      <c r="Q8" s="16" t="s">
        <v>74</v>
      </c>
      <c r="R8" s="11" t="s">
        <v>54</v>
      </c>
      <c r="S8" s="56">
        <v>1363.95</v>
      </c>
      <c r="T8" s="42" t="s">
        <v>55</v>
      </c>
      <c r="U8" s="33" t="s">
        <v>56</v>
      </c>
      <c r="V8" s="34" t="s">
        <v>123</v>
      </c>
      <c r="W8" s="34" t="s">
        <v>124</v>
      </c>
      <c r="X8" s="34" t="s">
        <v>125</v>
      </c>
      <c r="Y8" s="11" t="s">
        <v>60</v>
      </c>
      <c r="Z8" s="21" t="s">
        <v>126</v>
      </c>
      <c r="AA8" s="22" t="s">
        <v>127</v>
      </c>
      <c r="AB8" s="22">
        <v>0</v>
      </c>
      <c r="AC8" s="23" t="s">
        <v>64</v>
      </c>
      <c r="AD8" s="31" t="s">
        <v>56</v>
      </c>
      <c r="AE8" s="25" t="s">
        <v>66</v>
      </c>
      <c r="AF8" s="25" t="s">
        <v>66</v>
      </c>
      <c r="AG8" s="44" t="s">
        <v>80</v>
      </c>
      <c r="AH8" s="31" t="s">
        <v>98</v>
      </c>
      <c r="AI8" s="31" t="s">
        <v>128</v>
      </c>
      <c r="AJ8" s="39" t="s">
        <v>129</v>
      </c>
      <c r="AK8" s="45" t="s">
        <v>130</v>
      </c>
      <c r="AL8" s="46" t="s">
        <v>72</v>
      </c>
    </row>
    <row r="9" spans="1:41" ht="15" customHeight="1" x14ac:dyDescent="0.25">
      <c r="A9" s="13">
        <v>1</v>
      </c>
      <c r="B9" s="13">
        <v>6</v>
      </c>
      <c r="C9" s="13" t="s">
        <v>131</v>
      </c>
      <c r="D9" s="31" t="s">
        <v>132</v>
      </c>
      <c r="E9" s="31" t="s">
        <v>45</v>
      </c>
      <c r="F9" s="11">
        <v>1</v>
      </c>
      <c r="G9" s="11">
        <v>1</v>
      </c>
      <c r="H9" s="11">
        <v>1</v>
      </c>
      <c r="I9" s="11" t="str">
        <f t="shared" si="0"/>
        <v>↓↓</v>
      </c>
      <c r="J9" s="11" t="str">
        <f t="shared" si="0"/>
        <v>↓↓</v>
      </c>
      <c r="K9" s="11" t="str">
        <f t="shared" si="0"/>
        <v>↓↓</v>
      </c>
      <c r="L9" s="32"/>
      <c r="M9" s="32"/>
      <c r="N9" s="32"/>
      <c r="O9" s="32"/>
      <c r="P9" s="32"/>
      <c r="Q9" s="11" t="s">
        <v>53</v>
      </c>
      <c r="R9" s="11" t="s">
        <v>104</v>
      </c>
      <c r="S9" s="31" t="s">
        <v>133</v>
      </c>
      <c r="T9" s="33" t="s">
        <v>56</v>
      </c>
      <c r="U9" s="57" t="s">
        <v>56</v>
      </c>
      <c r="V9" s="34" t="s">
        <v>134</v>
      </c>
      <c r="W9" s="34" t="s">
        <v>56</v>
      </c>
      <c r="X9" s="34" t="s">
        <v>56</v>
      </c>
      <c r="Y9" s="11" t="s">
        <v>135</v>
      </c>
      <c r="Z9" s="21" t="s">
        <v>56</v>
      </c>
      <c r="AA9" s="51" t="s">
        <v>136</v>
      </c>
      <c r="AB9" s="51" t="s">
        <v>137</v>
      </c>
      <c r="AC9" s="58" t="s">
        <v>112</v>
      </c>
      <c r="AD9" s="31" t="s">
        <v>56</v>
      </c>
      <c r="AE9" s="25" t="s">
        <v>66</v>
      </c>
      <c r="AF9" s="25" t="s">
        <v>115</v>
      </c>
      <c r="AG9" s="37" t="s">
        <v>138</v>
      </c>
      <c r="AH9" s="59" t="s">
        <v>139</v>
      </c>
      <c r="AI9" s="31" t="s">
        <v>140</v>
      </c>
      <c r="AJ9" s="31" t="s">
        <v>141</v>
      </c>
      <c r="AK9" s="60" t="s">
        <v>142</v>
      </c>
      <c r="AL9" s="46" t="s">
        <v>85</v>
      </c>
      <c r="AM9" s="45"/>
    </row>
    <row r="10" spans="1:41" ht="15" customHeight="1" x14ac:dyDescent="0.25">
      <c r="A10" s="13">
        <v>1</v>
      </c>
      <c r="B10" s="13">
        <v>6</v>
      </c>
      <c r="C10" s="13" t="s">
        <v>143</v>
      </c>
      <c r="D10" s="31" t="s">
        <v>132</v>
      </c>
      <c r="E10" s="31" t="s">
        <v>45</v>
      </c>
      <c r="F10" s="11">
        <v>1</v>
      </c>
      <c r="G10" s="11">
        <v>1</v>
      </c>
      <c r="H10" s="11">
        <v>1</v>
      </c>
      <c r="I10" s="11" t="str">
        <f t="shared" si="0"/>
        <v>↓↓</v>
      </c>
      <c r="J10" s="11" t="str">
        <f t="shared" si="0"/>
        <v>↓↓</v>
      </c>
      <c r="K10" s="11" t="str">
        <f t="shared" si="0"/>
        <v>↓↓</v>
      </c>
      <c r="L10" s="32"/>
      <c r="M10" s="32"/>
      <c r="N10" s="32"/>
      <c r="O10" s="32"/>
      <c r="P10" s="32"/>
      <c r="Q10" s="11" t="s">
        <v>53</v>
      </c>
      <c r="R10" s="11" t="s">
        <v>104</v>
      </c>
      <c r="S10" s="33" t="s">
        <v>144</v>
      </c>
      <c r="T10" s="33" t="s">
        <v>145</v>
      </c>
      <c r="U10" s="57" t="s">
        <v>56</v>
      </c>
      <c r="V10" s="34" t="s">
        <v>146</v>
      </c>
      <c r="W10" s="34" t="s">
        <v>147</v>
      </c>
      <c r="X10" s="34" t="s">
        <v>148</v>
      </c>
      <c r="Y10" s="11" t="s">
        <v>135</v>
      </c>
      <c r="Z10" s="21" t="s">
        <v>56</v>
      </c>
      <c r="AA10" s="51" t="s">
        <v>149</v>
      </c>
      <c r="AB10" s="51">
        <v>0</v>
      </c>
      <c r="AC10" s="58" t="s">
        <v>112</v>
      </c>
      <c r="AD10" s="31" t="s">
        <v>56</v>
      </c>
      <c r="AE10" s="25" t="s">
        <v>66</v>
      </c>
      <c r="AF10" s="25" t="s">
        <v>115</v>
      </c>
      <c r="AG10" s="37" t="s">
        <v>80</v>
      </c>
      <c r="AH10" s="59" t="s">
        <v>150</v>
      </c>
      <c r="AI10" s="61" t="s">
        <v>140</v>
      </c>
      <c r="AJ10" s="31" t="s">
        <v>151</v>
      </c>
      <c r="AK10" s="62" t="s">
        <v>152</v>
      </c>
      <c r="AL10" s="46" t="s">
        <v>85</v>
      </c>
    </row>
    <row r="11" spans="1:41" ht="15" customHeight="1" x14ac:dyDescent="0.25">
      <c r="A11" s="13">
        <v>1</v>
      </c>
      <c r="B11" s="13">
        <v>6</v>
      </c>
      <c r="C11" s="13" t="s">
        <v>153</v>
      </c>
      <c r="D11" s="31" t="s">
        <v>132</v>
      </c>
      <c r="E11" s="31" t="s">
        <v>45</v>
      </c>
      <c r="F11" s="11">
        <v>1</v>
      </c>
      <c r="G11" s="11">
        <v>1</v>
      </c>
      <c r="H11" s="11">
        <v>1</v>
      </c>
      <c r="I11" s="11" t="str">
        <f t="shared" si="0"/>
        <v>↓↓</v>
      </c>
      <c r="J11" s="11" t="str">
        <f t="shared" si="0"/>
        <v>↓↓</v>
      </c>
      <c r="K11" s="11" t="str">
        <f t="shared" si="0"/>
        <v>↓↓</v>
      </c>
      <c r="L11" s="32"/>
      <c r="M11" s="32"/>
      <c r="N11" s="32"/>
      <c r="O11" s="32"/>
      <c r="P11" s="32"/>
      <c r="Q11" s="11" t="s">
        <v>74</v>
      </c>
      <c r="R11" s="11" t="s">
        <v>104</v>
      </c>
      <c r="S11" s="33" t="s">
        <v>144</v>
      </c>
      <c r="T11" s="33" t="s">
        <v>145</v>
      </c>
      <c r="U11" s="57" t="s">
        <v>56</v>
      </c>
      <c r="V11" s="34" t="s">
        <v>146</v>
      </c>
      <c r="W11" s="34" t="s">
        <v>154</v>
      </c>
      <c r="X11" s="34" t="s">
        <v>155</v>
      </c>
      <c r="Y11" s="11" t="s">
        <v>135</v>
      </c>
      <c r="Z11" s="21" t="s">
        <v>56</v>
      </c>
      <c r="AA11" s="22" t="s">
        <v>156</v>
      </c>
      <c r="AB11" s="22" t="s">
        <v>157</v>
      </c>
      <c r="AC11" s="58" t="s">
        <v>112</v>
      </c>
      <c r="AD11" s="31" t="s">
        <v>56</v>
      </c>
      <c r="AE11" s="25" t="s">
        <v>66</v>
      </c>
      <c r="AF11" s="25" t="s">
        <v>115</v>
      </c>
      <c r="AG11" s="37" t="s">
        <v>80</v>
      </c>
      <c r="AH11" s="59" t="s">
        <v>158</v>
      </c>
      <c r="AI11" s="61" t="s">
        <v>159</v>
      </c>
      <c r="AK11" s="63" t="s">
        <v>160</v>
      </c>
      <c r="AL11" s="46" t="s">
        <v>85</v>
      </c>
    </row>
    <row r="12" spans="1:41" ht="15" customHeight="1" x14ac:dyDescent="0.25">
      <c r="A12" s="13">
        <v>1</v>
      </c>
      <c r="B12" s="31">
        <v>1</v>
      </c>
      <c r="C12" s="13" t="s">
        <v>161</v>
      </c>
      <c r="D12" s="31" t="s">
        <v>122</v>
      </c>
      <c r="E12" s="31" t="s">
        <v>42</v>
      </c>
      <c r="F12" s="11">
        <v>3</v>
      </c>
      <c r="G12" s="11">
        <v>4</v>
      </c>
      <c r="H12" s="11">
        <v>3</v>
      </c>
      <c r="I12" s="11" t="str">
        <f t="shared" si="0"/>
        <v>↔</v>
      </c>
      <c r="J12" s="11" t="str">
        <f t="shared" si="0"/>
        <v>↑</v>
      </c>
      <c r="K12" s="11" t="str">
        <f t="shared" si="0"/>
        <v>↔</v>
      </c>
      <c r="L12" s="32"/>
      <c r="M12" s="32"/>
      <c r="N12" s="32"/>
      <c r="O12" s="32"/>
      <c r="P12" s="32"/>
      <c r="Q12" s="11" t="s">
        <v>74</v>
      </c>
      <c r="R12" s="11" t="s">
        <v>54</v>
      </c>
      <c r="S12" s="33" t="s">
        <v>162</v>
      </c>
      <c r="T12" s="33" t="s">
        <v>55</v>
      </c>
      <c r="U12" s="33" t="s">
        <v>56</v>
      </c>
      <c r="V12" s="34" t="s">
        <v>163</v>
      </c>
      <c r="W12" s="34" t="s">
        <v>56</v>
      </c>
      <c r="X12" s="34" t="s">
        <v>164</v>
      </c>
      <c r="Y12" s="11" t="s">
        <v>77</v>
      </c>
      <c r="Z12" s="21" t="s">
        <v>165</v>
      </c>
      <c r="AA12" s="51" t="s">
        <v>166</v>
      </c>
      <c r="AB12" s="51">
        <v>0</v>
      </c>
      <c r="AC12" s="23" t="s">
        <v>112</v>
      </c>
      <c r="AD12" s="31" t="s">
        <v>56</v>
      </c>
      <c r="AE12" s="25" t="s">
        <v>66</v>
      </c>
      <c r="AF12" s="25" t="s">
        <v>66</v>
      </c>
      <c r="AG12" s="44" t="s">
        <v>80</v>
      </c>
      <c r="AH12" s="22" t="s">
        <v>167</v>
      </c>
      <c r="AI12" s="31" t="s">
        <v>168</v>
      </c>
      <c r="AJ12" s="39" t="s">
        <v>169</v>
      </c>
      <c r="AK12" s="64" t="s">
        <v>170</v>
      </c>
      <c r="AL12" s="40" t="s">
        <v>120</v>
      </c>
    </row>
    <row r="13" spans="1:41" ht="15" customHeight="1" x14ac:dyDescent="0.25">
      <c r="A13" s="13">
        <v>10</v>
      </c>
      <c r="B13" s="13">
        <v>4</v>
      </c>
      <c r="C13" s="13" t="s">
        <v>171</v>
      </c>
      <c r="D13" s="31" t="s">
        <v>172</v>
      </c>
      <c r="E13" s="31" t="s">
        <v>43</v>
      </c>
      <c r="F13" s="11">
        <v>2</v>
      </c>
      <c r="G13" s="11">
        <v>2</v>
      </c>
      <c r="H13" s="11">
        <v>2</v>
      </c>
      <c r="I13" s="11" t="str">
        <f t="shared" si="0"/>
        <v>↓</v>
      </c>
      <c r="J13" s="11" t="str">
        <f t="shared" si="0"/>
        <v>↓</v>
      </c>
      <c r="K13" s="11" t="str">
        <f t="shared" si="0"/>
        <v>↓</v>
      </c>
      <c r="L13" s="32"/>
      <c r="M13" s="32"/>
      <c r="N13" s="32"/>
      <c r="O13" s="32"/>
      <c r="P13" s="32"/>
      <c r="Q13" s="11" t="s">
        <v>53</v>
      </c>
      <c r="R13" s="11" t="s">
        <v>54</v>
      </c>
      <c r="S13" s="56">
        <v>27.05</v>
      </c>
      <c r="T13" s="33" t="s">
        <v>106</v>
      </c>
      <c r="U13" s="57" t="s">
        <v>56</v>
      </c>
      <c r="V13" s="34" t="s">
        <v>173</v>
      </c>
      <c r="W13" s="34" t="s">
        <v>174</v>
      </c>
      <c r="X13" s="31" t="s">
        <v>175</v>
      </c>
      <c r="Y13" s="11" t="s">
        <v>77</v>
      </c>
      <c r="Z13" s="21" t="s">
        <v>176</v>
      </c>
      <c r="AA13" s="51" t="s">
        <v>177</v>
      </c>
      <c r="AB13" s="51">
        <v>0</v>
      </c>
      <c r="AC13" s="23" t="s">
        <v>178</v>
      </c>
      <c r="AD13" s="31" t="s">
        <v>56</v>
      </c>
      <c r="AE13" s="25" t="s">
        <v>66</v>
      </c>
      <c r="AF13" s="25" t="s">
        <v>66</v>
      </c>
      <c r="AG13" s="44" t="s">
        <v>80</v>
      </c>
      <c r="AH13" s="31" t="s">
        <v>179</v>
      </c>
      <c r="AI13" s="31" t="s">
        <v>180</v>
      </c>
      <c r="AJ13" s="39" t="s">
        <v>181</v>
      </c>
      <c r="AK13" s="45" t="s">
        <v>182</v>
      </c>
      <c r="AL13" s="40" t="s">
        <v>120</v>
      </c>
    </row>
    <row r="14" spans="1:41" ht="15" customHeight="1" x14ac:dyDescent="0.25">
      <c r="A14" s="13">
        <v>1</v>
      </c>
      <c r="B14" s="13">
        <v>3</v>
      </c>
      <c r="C14" s="13" t="s">
        <v>183</v>
      </c>
      <c r="D14" s="31" t="s">
        <v>102</v>
      </c>
      <c r="E14" s="31" t="s">
        <v>44</v>
      </c>
      <c r="F14" s="11">
        <v>1</v>
      </c>
      <c r="G14" s="11">
        <v>1</v>
      </c>
      <c r="H14" s="11">
        <v>1</v>
      </c>
      <c r="I14" s="11" t="str">
        <f t="shared" si="0"/>
        <v>↓↓</v>
      </c>
      <c r="J14" s="11" t="str">
        <f t="shared" si="0"/>
        <v>↓↓</v>
      </c>
      <c r="K14" s="11" t="str">
        <f t="shared" si="0"/>
        <v>↓↓</v>
      </c>
      <c r="L14" s="32"/>
      <c r="M14" s="32"/>
      <c r="N14" s="32"/>
      <c r="O14" s="32"/>
      <c r="P14" s="32"/>
      <c r="Q14" s="11" t="s">
        <v>53</v>
      </c>
      <c r="R14" s="11" t="s">
        <v>54</v>
      </c>
      <c r="S14" s="56">
        <v>45.6</v>
      </c>
      <c r="T14" s="33" t="s">
        <v>106</v>
      </c>
      <c r="U14" s="65" t="s">
        <v>80</v>
      </c>
      <c r="V14" s="34" t="s">
        <v>184</v>
      </c>
      <c r="W14" s="38" t="s">
        <v>185</v>
      </c>
      <c r="X14" s="51" t="s">
        <v>186</v>
      </c>
      <c r="Y14" s="11" t="s">
        <v>60</v>
      </c>
      <c r="Z14" s="21" t="s">
        <v>187</v>
      </c>
      <c r="AA14" s="51" t="s">
        <v>188</v>
      </c>
      <c r="AB14" s="51" t="s">
        <v>189</v>
      </c>
      <c r="AC14" s="23" t="s">
        <v>178</v>
      </c>
      <c r="AD14" s="31" t="s">
        <v>56</v>
      </c>
      <c r="AE14" s="25" t="s">
        <v>66</v>
      </c>
      <c r="AF14" s="25" t="s">
        <v>66</v>
      </c>
      <c r="AG14" s="66" t="s">
        <v>190</v>
      </c>
      <c r="AH14" s="22" t="s">
        <v>191</v>
      </c>
      <c r="AI14" s="31" t="s">
        <v>192</v>
      </c>
      <c r="AJ14" s="39" t="s">
        <v>193</v>
      </c>
      <c r="AK14" s="45" t="s">
        <v>194</v>
      </c>
      <c r="AL14" s="46" t="s">
        <v>85</v>
      </c>
    </row>
    <row r="15" spans="1:41" ht="15" customHeight="1" x14ac:dyDescent="0.25">
      <c r="A15" s="13">
        <v>10</v>
      </c>
      <c r="B15" s="13">
        <v>4</v>
      </c>
      <c r="C15" s="13" t="s">
        <v>195</v>
      </c>
      <c r="D15" s="31" t="s">
        <v>172</v>
      </c>
      <c r="E15" s="31" t="s">
        <v>43</v>
      </c>
      <c r="F15" s="11">
        <v>2</v>
      </c>
      <c r="G15" s="11">
        <v>2</v>
      </c>
      <c r="H15" s="11">
        <v>2</v>
      </c>
      <c r="I15" s="11" t="str">
        <f t="shared" si="0"/>
        <v>↓</v>
      </c>
      <c r="J15" s="11" t="str">
        <f t="shared" si="0"/>
        <v>↓</v>
      </c>
      <c r="K15" s="11" t="str">
        <f t="shared" si="0"/>
        <v>↓</v>
      </c>
      <c r="L15" s="32"/>
      <c r="M15" s="32"/>
      <c r="N15" s="32"/>
      <c r="O15" s="32"/>
      <c r="P15" s="32"/>
      <c r="Q15" s="11" t="s">
        <v>53</v>
      </c>
      <c r="R15" s="11" t="s">
        <v>54</v>
      </c>
      <c r="S15" s="56">
        <v>11.4</v>
      </c>
      <c r="T15" s="33" t="s">
        <v>106</v>
      </c>
      <c r="U15" s="57" t="s">
        <v>56</v>
      </c>
      <c r="V15" s="34" t="s">
        <v>196</v>
      </c>
      <c r="W15" s="34" t="s">
        <v>174</v>
      </c>
      <c r="X15" s="34" t="s">
        <v>197</v>
      </c>
      <c r="Y15" s="11" t="s">
        <v>77</v>
      </c>
      <c r="Z15" s="21" t="s">
        <v>198</v>
      </c>
      <c r="AA15" s="51" t="s">
        <v>199</v>
      </c>
      <c r="AB15" s="51">
        <v>0</v>
      </c>
      <c r="AC15" s="23" t="s">
        <v>178</v>
      </c>
      <c r="AD15" s="31" t="s">
        <v>56</v>
      </c>
      <c r="AE15" s="25" t="s">
        <v>66</v>
      </c>
      <c r="AF15" s="25" t="s">
        <v>66</v>
      </c>
      <c r="AG15" s="44" t="s">
        <v>80</v>
      </c>
      <c r="AH15" s="31" t="s">
        <v>200</v>
      </c>
      <c r="AI15" s="31" t="s">
        <v>201</v>
      </c>
      <c r="AJ15" s="39" t="s">
        <v>202</v>
      </c>
      <c r="AK15" s="45" t="s">
        <v>203</v>
      </c>
      <c r="AL15" s="40" t="s">
        <v>120</v>
      </c>
    </row>
    <row r="16" spans="1:41" ht="15" customHeight="1" x14ac:dyDescent="0.25">
      <c r="A16" s="13">
        <v>10</v>
      </c>
      <c r="B16" s="13">
        <v>3</v>
      </c>
      <c r="C16" s="13" t="s">
        <v>204</v>
      </c>
      <c r="D16" s="31" t="s">
        <v>52</v>
      </c>
      <c r="E16" s="31" t="s">
        <v>44</v>
      </c>
      <c r="F16" s="11">
        <v>1</v>
      </c>
      <c r="G16" s="11">
        <v>1</v>
      </c>
      <c r="H16" s="11">
        <v>1</v>
      </c>
      <c r="I16" s="11" t="str">
        <f t="shared" si="0"/>
        <v>↓↓</v>
      </c>
      <c r="J16" s="11" t="str">
        <f t="shared" si="0"/>
        <v>↓↓</v>
      </c>
      <c r="K16" s="11" t="str">
        <f t="shared" si="0"/>
        <v>↓↓</v>
      </c>
      <c r="L16" s="32"/>
      <c r="M16" s="32"/>
      <c r="N16" s="32"/>
      <c r="O16" s="32"/>
      <c r="P16" s="32"/>
      <c r="Q16" s="11" t="s">
        <v>53</v>
      </c>
      <c r="R16" s="11" t="s">
        <v>104</v>
      </c>
      <c r="S16" s="57">
        <v>363</v>
      </c>
      <c r="T16" s="67" t="s">
        <v>106</v>
      </c>
      <c r="U16" s="57" t="s">
        <v>80</v>
      </c>
      <c r="V16" s="34" t="s">
        <v>205</v>
      </c>
      <c r="W16" s="38" t="s">
        <v>206</v>
      </c>
      <c r="X16" s="31" t="s">
        <v>207</v>
      </c>
      <c r="Y16" s="11" t="s">
        <v>135</v>
      </c>
      <c r="Z16" s="21" t="s">
        <v>56</v>
      </c>
      <c r="AA16" s="51" t="s">
        <v>208</v>
      </c>
      <c r="AB16" s="51" t="s">
        <v>209</v>
      </c>
      <c r="AC16" s="23" t="s">
        <v>178</v>
      </c>
      <c r="AD16" s="31" t="s">
        <v>56</v>
      </c>
      <c r="AE16" s="68" t="s">
        <v>66</v>
      </c>
      <c r="AF16" s="25" t="s">
        <v>66</v>
      </c>
      <c r="AG16" s="44" t="s">
        <v>210</v>
      </c>
      <c r="AH16" s="31" t="s">
        <v>211</v>
      </c>
      <c r="AI16" s="31" t="s">
        <v>212</v>
      </c>
      <c r="AJ16" s="31" t="s">
        <v>213</v>
      </c>
      <c r="AK16" s="69" t="s">
        <v>214</v>
      </c>
      <c r="AL16" s="46" t="s">
        <v>85</v>
      </c>
      <c r="AM16" s="45" t="s">
        <v>215</v>
      </c>
      <c r="AN16" s="31" t="s">
        <v>216</v>
      </c>
      <c r="AO16" s="31" t="s">
        <v>217</v>
      </c>
    </row>
    <row r="17" spans="1:41" ht="15" customHeight="1" x14ac:dyDescent="0.25">
      <c r="A17" s="13">
        <v>10</v>
      </c>
      <c r="B17" s="13">
        <v>5</v>
      </c>
      <c r="C17" s="13" t="s">
        <v>218</v>
      </c>
      <c r="D17" s="31" t="s">
        <v>102</v>
      </c>
      <c r="E17" s="31" t="s">
        <v>44</v>
      </c>
      <c r="F17" s="11">
        <v>1</v>
      </c>
      <c r="G17" s="11">
        <v>1</v>
      </c>
      <c r="H17" s="11">
        <v>1</v>
      </c>
      <c r="I17" s="11" t="str">
        <f t="shared" si="0"/>
        <v>↓↓</v>
      </c>
      <c r="J17" s="11" t="str">
        <f t="shared" si="0"/>
        <v>↓↓</v>
      </c>
      <c r="K17" s="11" t="str">
        <f t="shared" si="0"/>
        <v>↓↓</v>
      </c>
      <c r="L17" s="32"/>
      <c r="M17" s="32"/>
      <c r="N17" s="32"/>
      <c r="O17" s="32"/>
      <c r="P17" s="32"/>
      <c r="Q17" s="11" t="s">
        <v>53</v>
      </c>
      <c r="R17" s="11" t="s">
        <v>54</v>
      </c>
      <c r="S17" s="31" t="s">
        <v>219</v>
      </c>
      <c r="T17" s="33" t="s">
        <v>56</v>
      </c>
      <c r="U17" s="57" t="s">
        <v>56</v>
      </c>
      <c r="V17" s="34" t="s">
        <v>220</v>
      </c>
      <c r="W17" s="34" t="s">
        <v>56</v>
      </c>
      <c r="X17" s="34" t="s">
        <v>56</v>
      </c>
      <c r="Y17" s="11" t="s">
        <v>60</v>
      </c>
      <c r="Z17" s="21" t="s">
        <v>56</v>
      </c>
      <c r="AA17" s="51" t="s">
        <v>177</v>
      </c>
      <c r="AB17" s="51">
        <v>0</v>
      </c>
      <c r="AC17" s="23" t="s">
        <v>178</v>
      </c>
      <c r="AD17" s="31" t="s">
        <v>56</v>
      </c>
      <c r="AE17" s="25" t="s">
        <v>66</v>
      </c>
      <c r="AF17" s="25" t="s">
        <v>66</v>
      </c>
      <c r="AG17" s="44" t="s">
        <v>80</v>
      </c>
      <c r="AH17" s="31" t="s">
        <v>221</v>
      </c>
      <c r="AI17" s="31" t="s">
        <v>222</v>
      </c>
      <c r="AJ17" s="31" t="s">
        <v>223</v>
      </c>
      <c r="AK17" s="45" t="s">
        <v>224</v>
      </c>
      <c r="AL17" s="40" t="s">
        <v>120</v>
      </c>
    </row>
    <row r="18" spans="1:41" ht="15" customHeight="1" x14ac:dyDescent="0.25">
      <c r="A18" s="31">
        <v>1</v>
      </c>
      <c r="B18" s="31">
        <v>1</v>
      </c>
      <c r="C18" s="13" t="s">
        <v>225</v>
      </c>
      <c r="D18" s="13" t="s">
        <v>226</v>
      </c>
      <c r="E18" s="31" t="s">
        <v>42</v>
      </c>
      <c r="F18" s="11">
        <v>3</v>
      </c>
      <c r="G18" s="11">
        <v>3</v>
      </c>
      <c r="H18" s="11">
        <v>3</v>
      </c>
      <c r="I18" s="11" t="str">
        <f t="shared" si="0"/>
        <v>↔</v>
      </c>
      <c r="J18" s="11" t="str">
        <f t="shared" si="0"/>
        <v>↔</v>
      </c>
      <c r="K18" s="11" t="str">
        <f t="shared" si="0"/>
        <v>↔</v>
      </c>
      <c r="L18" s="32"/>
      <c r="M18" s="32"/>
      <c r="N18" s="32"/>
      <c r="O18" s="32"/>
      <c r="P18" s="32"/>
      <c r="Q18" s="16" t="s">
        <v>74</v>
      </c>
      <c r="R18" s="11" t="s">
        <v>54</v>
      </c>
      <c r="S18" s="34" t="s">
        <v>227</v>
      </c>
      <c r="T18" s="33" t="s">
        <v>56</v>
      </c>
      <c r="U18" s="70" t="s">
        <v>56</v>
      </c>
      <c r="V18" s="34" t="s">
        <v>227</v>
      </c>
      <c r="W18" s="34" t="s">
        <v>56</v>
      </c>
      <c r="X18" s="34" t="s">
        <v>56</v>
      </c>
      <c r="Y18" s="11" t="s">
        <v>60</v>
      </c>
      <c r="Z18" s="21" t="s">
        <v>228</v>
      </c>
      <c r="AA18" s="36" t="s">
        <v>229</v>
      </c>
      <c r="AB18" s="22" t="s">
        <v>230</v>
      </c>
      <c r="AC18" s="23" t="s">
        <v>112</v>
      </c>
      <c r="AD18" s="31" t="s">
        <v>231</v>
      </c>
      <c r="AE18" s="25" t="s">
        <v>66</v>
      </c>
      <c r="AF18" s="25" t="s">
        <v>66</v>
      </c>
      <c r="AG18" s="44" t="s">
        <v>232</v>
      </c>
      <c r="AH18" s="31" t="s">
        <v>233</v>
      </c>
      <c r="AI18" s="31" t="s">
        <v>234</v>
      </c>
      <c r="AJ18" s="31" t="s">
        <v>235</v>
      </c>
      <c r="AK18" s="45" t="s">
        <v>236</v>
      </c>
      <c r="AL18" s="46" t="s">
        <v>72</v>
      </c>
    </row>
    <row r="19" spans="1:41" ht="15" customHeight="1" x14ac:dyDescent="0.25">
      <c r="A19" s="13">
        <v>10</v>
      </c>
      <c r="B19" s="13">
        <v>3</v>
      </c>
      <c r="C19" s="13" t="s">
        <v>237</v>
      </c>
      <c r="D19" s="31" t="s">
        <v>52</v>
      </c>
      <c r="E19" s="31" t="s">
        <v>44</v>
      </c>
      <c r="F19" s="11">
        <v>1</v>
      </c>
      <c r="G19" s="11">
        <v>1</v>
      </c>
      <c r="H19" s="11">
        <v>1</v>
      </c>
      <c r="I19" s="11" t="str">
        <f t="shared" si="0"/>
        <v>↓↓</v>
      </c>
      <c r="J19" s="11" t="str">
        <f t="shared" si="0"/>
        <v>↓↓</v>
      </c>
      <c r="K19" s="11" t="str">
        <f t="shared" si="0"/>
        <v>↓↓</v>
      </c>
      <c r="L19" s="32"/>
      <c r="M19" s="32"/>
      <c r="N19" s="32"/>
      <c r="O19" s="32"/>
      <c r="P19" s="32"/>
      <c r="Q19" s="11" t="s">
        <v>53</v>
      </c>
      <c r="R19" s="11" t="s">
        <v>54</v>
      </c>
      <c r="S19" s="56">
        <v>4.84</v>
      </c>
      <c r="T19" s="33" t="s">
        <v>106</v>
      </c>
      <c r="U19" s="57" t="s">
        <v>80</v>
      </c>
      <c r="V19" s="71" t="s">
        <v>238</v>
      </c>
      <c r="W19" s="34" t="s">
        <v>239</v>
      </c>
      <c r="X19" s="31" t="s">
        <v>240</v>
      </c>
      <c r="Y19" s="11" t="s">
        <v>60</v>
      </c>
      <c r="Z19" s="21" t="s">
        <v>241</v>
      </c>
      <c r="AA19" s="22" t="s">
        <v>242</v>
      </c>
      <c r="AB19" s="22" t="s">
        <v>243</v>
      </c>
      <c r="AC19" s="23" t="s">
        <v>112</v>
      </c>
      <c r="AD19" s="31" t="s">
        <v>56</v>
      </c>
      <c r="AE19" s="25" t="s">
        <v>66</v>
      </c>
      <c r="AF19" s="25" t="s">
        <v>66</v>
      </c>
      <c r="AG19" s="44" t="s">
        <v>80</v>
      </c>
      <c r="AH19" s="59" t="s">
        <v>244</v>
      </c>
      <c r="AI19" s="31" t="s">
        <v>245</v>
      </c>
      <c r="AJ19" s="31" t="s">
        <v>246</v>
      </c>
      <c r="AK19" s="69" t="s">
        <v>247</v>
      </c>
      <c r="AL19" s="55" t="s">
        <v>85</v>
      </c>
      <c r="AM19" s="31" t="s">
        <v>215</v>
      </c>
      <c r="AN19" s="31" t="s">
        <v>248</v>
      </c>
    </row>
    <row r="20" spans="1:41" s="13" customFormat="1" ht="15" customHeight="1" x14ac:dyDescent="0.25">
      <c r="A20" s="31">
        <v>10</v>
      </c>
      <c r="B20" s="31">
        <v>1</v>
      </c>
      <c r="C20" s="13" t="s">
        <v>249</v>
      </c>
      <c r="D20" s="13" t="s">
        <v>102</v>
      </c>
      <c r="E20" s="31" t="s">
        <v>44</v>
      </c>
      <c r="F20" s="11">
        <v>1</v>
      </c>
      <c r="G20" s="11">
        <v>2</v>
      </c>
      <c r="H20" s="11">
        <v>1</v>
      </c>
      <c r="I20" s="11" t="str">
        <f t="shared" si="0"/>
        <v>↓↓</v>
      </c>
      <c r="J20" s="11" t="str">
        <f t="shared" si="0"/>
        <v>↓</v>
      </c>
      <c r="K20" s="11" t="str">
        <f t="shared" si="0"/>
        <v>↓↓</v>
      </c>
      <c r="L20" s="32"/>
      <c r="M20" s="32"/>
      <c r="N20" s="32"/>
      <c r="O20" s="32"/>
      <c r="P20" s="32"/>
      <c r="Q20" s="16" t="s">
        <v>53</v>
      </c>
      <c r="R20" s="11" t="s">
        <v>54</v>
      </c>
      <c r="S20" s="56">
        <v>11.02</v>
      </c>
      <c r="T20" s="33" t="s">
        <v>55</v>
      </c>
      <c r="U20" s="33" t="s">
        <v>56</v>
      </c>
      <c r="V20" s="34" t="s">
        <v>250</v>
      </c>
      <c r="W20" s="34" t="s">
        <v>56</v>
      </c>
      <c r="X20" s="34" t="s">
        <v>56</v>
      </c>
      <c r="Y20" s="11" t="s">
        <v>77</v>
      </c>
      <c r="Z20" s="21" t="s">
        <v>251</v>
      </c>
      <c r="AA20" s="51" t="s">
        <v>252</v>
      </c>
      <c r="AB20" s="51">
        <v>0</v>
      </c>
      <c r="AC20" s="23" t="s">
        <v>64</v>
      </c>
      <c r="AD20" s="31" t="s">
        <v>56</v>
      </c>
      <c r="AE20" s="25" t="s">
        <v>66</v>
      </c>
      <c r="AF20" s="25" t="s">
        <v>66</v>
      </c>
      <c r="AG20" s="44" t="s">
        <v>80</v>
      </c>
      <c r="AH20" s="31" t="s">
        <v>253</v>
      </c>
      <c r="AI20" s="31" t="s">
        <v>254</v>
      </c>
      <c r="AJ20" s="31" t="s">
        <v>255</v>
      </c>
      <c r="AK20" s="45" t="s">
        <v>256</v>
      </c>
      <c r="AL20" s="46" t="s">
        <v>85</v>
      </c>
      <c r="AM20" s="13" t="s">
        <v>215</v>
      </c>
      <c r="AN20" s="13" t="s">
        <v>248</v>
      </c>
    </row>
    <row r="21" spans="1:41" s="13" customFormat="1" ht="15" customHeight="1" x14ac:dyDescent="0.25">
      <c r="A21" s="13">
        <v>1</v>
      </c>
      <c r="B21" s="13">
        <v>5</v>
      </c>
      <c r="C21" s="13" t="s">
        <v>257</v>
      </c>
      <c r="D21" s="31" t="s">
        <v>172</v>
      </c>
      <c r="E21" s="31" t="s">
        <v>43</v>
      </c>
      <c r="F21" s="11">
        <v>2</v>
      </c>
      <c r="G21" s="11">
        <v>2</v>
      </c>
      <c r="H21" s="11">
        <v>2</v>
      </c>
      <c r="I21" s="11" t="str">
        <f t="shared" si="0"/>
        <v>↓</v>
      </c>
      <c r="J21" s="11" t="str">
        <f t="shared" si="0"/>
        <v>↓</v>
      </c>
      <c r="K21" s="11" t="str">
        <f t="shared" si="0"/>
        <v>↓</v>
      </c>
      <c r="L21" s="32"/>
      <c r="M21" s="32"/>
      <c r="N21" s="32"/>
      <c r="O21" s="32"/>
      <c r="P21" s="32"/>
      <c r="Q21" s="11" t="s">
        <v>74</v>
      </c>
      <c r="R21" s="11" t="s">
        <v>54</v>
      </c>
      <c r="S21" s="56">
        <v>9.6</v>
      </c>
      <c r="T21" s="33" t="s">
        <v>106</v>
      </c>
      <c r="U21" s="57" t="s">
        <v>56</v>
      </c>
      <c r="V21" s="34" t="s">
        <v>258</v>
      </c>
      <c r="W21" s="34" t="s">
        <v>259</v>
      </c>
      <c r="X21" s="34" t="s">
        <v>260</v>
      </c>
      <c r="Y21" s="11" t="s">
        <v>60</v>
      </c>
      <c r="Z21" s="21" t="s">
        <v>261</v>
      </c>
      <c r="AA21" s="51" t="s">
        <v>177</v>
      </c>
      <c r="AB21" s="51">
        <v>0</v>
      </c>
      <c r="AC21" s="23" t="s">
        <v>178</v>
      </c>
      <c r="AD21" s="31" t="s">
        <v>56</v>
      </c>
      <c r="AE21" s="25" t="s">
        <v>66</v>
      </c>
      <c r="AF21" s="25" t="s">
        <v>66</v>
      </c>
      <c r="AG21" s="44" t="s">
        <v>80</v>
      </c>
      <c r="AH21" s="31" t="s">
        <v>262</v>
      </c>
      <c r="AI21" s="31" t="s">
        <v>263</v>
      </c>
      <c r="AJ21" s="31" t="s">
        <v>264</v>
      </c>
      <c r="AK21" s="45" t="s">
        <v>265</v>
      </c>
      <c r="AL21" s="40" t="s">
        <v>120</v>
      </c>
    </row>
    <row r="22" spans="1:41" ht="15" customHeight="1" x14ac:dyDescent="0.25">
      <c r="A22" s="13">
        <v>1</v>
      </c>
      <c r="B22" s="13">
        <v>3</v>
      </c>
      <c r="C22" s="13" t="s">
        <v>266</v>
      </c>
      <c r="D22" s="31" t="s">
        <v>122</v>
      </c>
      <c r="E22" s="31" t="s">
        <v>42</v>
      </c>
      <c r="F22" s="11">
        <v>3</v>
      </c>
      <c r="G22" s="11">
        <v>4</v>
      </c>
      <c r="H22" s="11">
        <v>3</v>
      </c>
      <c r="I22" s="11" t="str">
        <f t="shared" si="0"/>
        <v>↔</v>
      </c>
      <c r="J22" s="11" t="str">
        <f t="shared" si="0"/>
        <v>↑</v>
      </c>
      <c r="K22" s="11" t="str">
        <f t="shared" si="0"/>
        <v>↔</v>
      </c>
      <c r="L22" s="32"/>
      <c r="M22" s="32"/>
      <c r="N22" s="32"/>
      <c r="O22" s="32"/>
      <c r="P22" s="32"/>
      <c r="Q22" s="11" t="s">
        <v>53</v>
      </c>
      <c r="R22" s="11" t="s">
        <v>54</v>
      </c>
      <c r="S22" s="56">
        <v>5.64</v>
      </c>
      <c r="T22" s="33" t="s">
        <v>267</v>
      </c>
      <c r="U22" s="57" t="s">
        <v>80</v>
      </c>
      <c r="V22" s="34" t="s">
        <v>268</v>
      </c>
      <c r="W22" s="34" t="s">
        <v>269</v>
      </c>
      <c r="X22" s="34" t="s">
        <v>270</v>
      </c>
      <c r="Y22" s="11" t="s">
        <v>77</v>
      </c>
      <c r="Z22" s="21" t="s">
        <v>271</v>
      </c>
      <c r="AA22" s="51" t="s">
        <v>272</v>
      </c>
      <c r="AB22" s="51" t="s">
        <v>157</v>
      </c>
      <c r="AC22" s="23" t="s">
        <v>178</v>
      </c>
      <c r="AD22" s="31" t="s">
        <v>56</v>
      </c>
      <c r="AE22" s="25" t="s">
        <v>66</v>
      </c>
      <c r="AF22" s="25" t="s">
        <v>66</v>
      </c>
      <c r="AG22" s="44" t="s">
        <v>80</v>
      </c>
      <c r="AH22" s="31" t="s">
        <v>273</v>
      </c>
      <c r="AI22" s="31" t="s">
        <v>274</v>
      </c>
      <c r="AJ22" s="31" t="s">
        <v>275</v>
      </c>
      <c r="AK22" s="45" t="s">
        <v>276</v>
      </c>
      <c r="AL22" s="46" t="s">
        <v>72</v>
      </c>
    </row>
    <row r="23" spans="1:41" ht="15" customHeight="1" x14ac:dyDescent="0.25">
      <c r="A23" s="13">
        <v>10</v>
      </c>
      <c r="B23" s="13">
        <v>4</v>
      </c>
      <c r="C23" s="13" t="s">
        <v>277</v>
      </c>
      <c r="D23" s="31" t="s">
        <v>172</v>
      </c>
      <c r="E23" s="31" t="s">
        <v>43</v>
      </c>
      <c r="F23" s="11">
        <v>2</v>
      </c>
      <c r="G23" s="11">
        <v>2</v>
      </c>
      <c r="H23" s="11">
        <v>2</v>
      </c>
      <c r="I23" s="11" t="str">
        <f t="shared" si="0"/>
        <v>↓</v>
      </c>
      <c r="J23" s="11" t="str">
        <f t="shared" si="0"/>
        <v>↓</v>
      </c>
      <c r="K23" s="11" t="str">
        <f t="shared" si="0"/>
        <v>↓</v>
      </c>
      <c r="L23" s="32"/>
      <c r="M23" s="32"/>
      <c r="N23" s="32"/>
      <c r="O23" s="32"/>
      <c r="P23" s="32"/>
      <c r="Q23" s="11" t="s">
        <v>74</v>
      </c>
      <c r="R23" s="11" t="s">
        <v>54</v>
      </c>
      <c r="S23" s="56">
        <v>24.3</v>
      </c>
      <c r="T23" s="33" t="s">
        <v>106</v>
      </c>
      <c r="U23" s="57" t="s">
        <v>56</v>
      </c>
      <c r="V23" s="34" t="s">
        <v>278</v>
      </c>
      <c r="W23" s="34" t="s">
        <v>259</v>
      </c>
      <c r="X23" s="34" t="s">
        <v>279</v>
      </c>
      <c r="Y23" s="11" t="s">
        <v>77</v>
      </c>
      <c r="Z23" s="21" t="s">
        <v>280</v>
      </c>
      <c r="AA23" s="51" t="s">
        <v>199</v>
      </c>
      <c r="AB23" s="51">
        <v>0</v>
      </c>
      <c r="AC23" s="23" t="s">
        <v>178</v>
      </c>
      <c r="AD23" s="31" t="s">
        <v>56</v>
      </c>
      <c r="AE23" s="25" t="s">
        <v>66</v>
      </c>
      <c r="AF23" s="25" t="s">
        <v>66</v>
      </c>
      <c r="AG23" s="44" t="s">
        <v>80</v>
      </c>
      <c r="AH23" s="31" t="s">
        <v>281</v>
      </c>
      <c r="AI23" s="31" t="s">
        <v>282</v>
      </c>
      <c r="AJ23" s="31" t="s">
        <v>283</v>
      </c>
      <c r="AK23" s="45" t="s">
        <v>284</v>
      </c>
      <c r="AL23" s="40" t="s">
        <v>120</v>
      </c>
    </row>
    <row r="24" spans="1:41" ht="15" customHeight="1" x14ac:dyDescent="0.25">
      <c r="A24" s="13">
        <v>1</v>
      </c>
      <c r="B24" s="13">
        <v>3</v>
      </c>
      <c r="C24" s="13" t="s">
        <v>285</v>
      </c>
      <c r="D24" s="31" t="s">
        <v>102</v>
      </c>
      <c r="E24" s="31" t="s">
        <v>44</v>
      </c>
      <c r="F24" s="11">
        <v>1</v>
      </c>
      <c r="G24" s="11">
        <v>1</v>
      </c>
      <c r="H24" s="11">
        <v>1</v>
      </c>
      <c r="I24" s="11" t="str">
        <f t="shared" si="0"/>
        <v>↓↓</v>
      </c>
      <c r="J24" s="11" t="str">
        <f t="shared" si="0"/>
        <v>↓↓</v>
      </c>
      <c r="K24" s="11" t="str">
        <f t="shared" si="0"/>
        <v>↓↓</v>
      </c>
      <c r="L24" s="32"/>
      <c r="M24" s="32"/>
      <c r="N24" s="32"/>
      <c r="O24" s="32"/>
      <c r="P24" s="32"/>
      <c r="Q24" s="11" t="s">
        <v>74</v>
      </c>
      <c r="R24" s="11" t="s">
        <v>54</v>
      </c>
      <c r="S24" s="56">
        <v>496</v>
      </c>
      <c r="T24" s="33" t="s">
        <v>145</v>
      </c>
      <c r="U24" s="57" t="s">
        <v>107</v>
      </c>
      <c r="V24" s="34" t="s">
        <v>286</v>
      </c>
      <c r="W24" s="34" t="s">
        <v>287</v>
      </c>
      <c r="X24" s="34" t="s">
        <v>288</v>
      </c>
      <c r="Y24" s="11" t="s">
        <v>60</v>
      </c>
      <c r="Z24" s="21" t="s">
        <v>289</v>
      </c>
      <c r="AA24" s="51" t="s">
        <v>290</v>
      </c>
      <c r="AB24" s="51" t="s">
        <v>291</v>
      </c>
      <c r="AC24" s="23" t="s">
        <v>112</v>
      </c>
      <c r="AD24" s="31" t="s">
        <v>292</v>
      </c>
      <c r="AE24" s="25" t="s">
        <v>66</v>
      </c>
      <c r="AF24" s="25" t="s">
        <v>66</v>
      </c>
      <c r="AG24" s="44" t="s">
        <v>80</v>
      </c>
      <c r="AH24" s="31" t="s">
        <v>293</v>
      </c>
      <c r="AI24" s="31" t="s">
        <v>294</v>
      </c>
      <c r="AJ24" s="31" t="s">
        <v>295</v>
      </c>
      <c r="AK24" s="69" t="s">
        <v>296</v>
      </c>
      <c r="AL24" s="40" t="s">
        <v>120</v>
      </c>
    </row>
    <row r="25" spans="1:41" ht="15" customHeight="1" x14ac:dyDescent="0.25">
      <c r="A25" s="13">
        <v>1</v>
      </c>
      <c r="B25" s="13">
        <v>5</v>
      </c>
      <c r="C25" s="13" t="s">
        <v>297</v>
      </c>
      <c r="D25" s="31" t="s">
        <v>102</v>
      </c>
      <c r="E25" s="31" t="s">
        <v>44</v>
      </c>
      <c r="F25" s="11">
        <v>1</v>
      </c>
      <c r="G25" s="11">
        <v>1</v>
      </c>
      <c r="H25" s="11">
        <v>1</v>
      </c>
      <c r="I25" s="11" t="str">
        <f t="shared" si="0"/>
        <v>↓↓</v>
      </c>
      <c r="J25" s="11" t="str">
        <f t="shared" si="0"/>
        <v>↓↓</v>
      </c>
      <c r="K25" s="11" t="str">
        <f t="shared" si="0"/>
        <v>↓↓</v>
      </c>
      <c r="L25" s="32"/>
      <c r="M25" s="32"/>
      <c r="N25" s="32"/>
      <c r="O25" s="32"/>
      <c r="P25" s="32"/>
      <c r="Q25" s="11" t="s">
        <v>53</v>
      </c>
      <c r="R25" s="11" t="s">
        <v>54</v>
      </c>
      <c r="S25" s="56">
        <v>81.7</v>
      </c>
      <c r="T25" s="33" t="s">
        <v>106</v>
      </c>
      <c r="U25" s="57" t="s">
        <v>56</v>
      </c>
      <c r="V25" s="34" t="s">
        <v>298</v>
      </c>
      <c r="W25" s="34" t="s">
        <v>299</v>
      </c>
      <c r="X25" s="38" t="s">
        <v>300</v>
      </c>
      <c r="Y25" s="11" t="s">
        <v>60</v>
      </c>
      <c r="Z25" s="21" t="s">
        <v>301</v>
      </c>
      <c r="AA25" s="51" t="s">
        <v>177</v>
      </c>
      <c r="AB25" s="51">
        <v>0</v>
      </c>
      <c r="AC25" s="58" t="s">
        <v>112</v>
      </c>
      <c r="AD25" s="31" t="s">
        <v>56</v>
      </c>
      <c r="AE25" s="25" t="s">
        <v>66</v>
      </c>
      <c r="AF25" s="25" t="s">
        <v>115</v>
      </c>
      <c r="AG25" s="72" t="s">
        <v>302</v>
      </c>
      <c r="AH25" s="73" t="s">
        <v>303</v>
      </c>
      <c r="AI25" s="61" t="s">
        <v>304</v>
      </c>
      <c r="AJ25" s="61" t="s">
        <v>305</v>
      </c>
      <c r="AK25" s="45" t="s">
        <v>306</v>
      </c>
      <c r="AL25" s="46" t="s">
        <v>72</v>
      </c>
    </row>
    <row r="26" spans="1:41" s="13" customFormat="1" ht="15" customHeight="1" x14ac:dyDescent="0.25">
      <c r="A26" s="13">
        <v>1</v>
      </c>
      <c r="B26" s="13">
        <v>3</v>
      </c>
      <c r="C26" s="13" t="s">
        <v>307</v>
      </c>
      <c r="D26" s="31" t="s">
        <v>132</v>
      </c>
      <c r="E26" s="31" t="s">
        <v>45</v>
      </c>
      <c r="F26" s="11">
        <v>1</v>
      </c>
      <c r="G26" s="11">
        <v>1</v>
      </c>
      <c r="H26" s="11">
        <v>1</v>
      </c>
      <c r="I26" s="11" t="str">
        <f t="shared" si="0"/>
        <v>↓↓</v>
      </c>
      <c r="J26" s="11" t="str">
        <f t="shared" si="0"/>
        <v>↓↓</v>
      </c>
      <c r="K26" s="11" t="str">
        <f t="shared" si="0"/>
        <v>↓↓</v>
      </c>
      <c r="L26" s="32"/>
      <c r="M26" s="32"/>
      <c r="N26" s="32"/>
      <c r="O26" s="32"/>
      <c r="P26" s="32"/>
      <c r="Q26" s="11" t="s">
        <v>74</v>
      </c>
      <c r="R26" s="11" t="s">
        <v>54</v>
      </c>
      <c r="S26" s="56">
        <v>2.02</v>
      </c>
      <c r="T26" s="33" t="s">
        <v>106</v>
      </c>
      <c r="U26" s="57" t="s">
        <v>80</v>
      </c>
      <c r="V26" s="34" t="s">
        <v>308</v>
      </c>
      <c r="W26" s="34" t="s">
        <v>309</v>
      </c>
      <c r="X26" s="61" t="s">
        <v>310</v>
      </c>
      <c r="Y26" s="11" t="s">
        <v>135</v>
      </c>
      <c r="Z26" s="21" t="s">
        <v>56</v>
      </c>
      <c r="AA26" s="51" t="s">
        <v>311</v>
      </c>
      <c r="AB26" s="51" t="s">
        <v>312</v>
      </c>
      <c r="AC26" s="23" t="s">
        <v>178</v>
      </c>
      <c r="AD26" s="31" t="s">
        <v>56</v>
      </c>
      <c r="AE26" s="25" t="s">
        <v>66</v>
      </c>
      <c r="AF26" s="25" t="s">
        <v>66</v>
      </c>
      <c r="AG26" s="44" t="s">
        <v>313</v>
      </c>
      <c r="AH26" s="59" t="s">
        <v>314</v>
      </c>
      <c r="AI26" s="31" t="s">
        <v>315</v>
      </c>
      <c r="AJ26" s="31" t="s">
        <v>316</v>
      </c>
      <c r="AK26" s="45" t="s">
        <v>317</v>
      </c>
      <c r="AL26" s="46" t="s">
        <v>85</v>
      </c>
      <c r="AO26" s="31" t="s">
        <v>318</v>
      </c>
    </row>
    <row r="27" spans="1:41" ht="15" customHeight="1" x14ac:dyDescent="0.25">
      <c r="A27" s="13">
        <v>1</v>
      </c>
      <c r="B27" s="13">
        <v>3</v>
      </c>
      <c r="C27" s="13" t="s">
        <v>319</v>
      </c>
      <c r="D27" s="31" t="s">
        <v>122</v>
      </c>
      <c r="E27" s="31" t="s">
        <v>42</v>
      </c>
      <c r="F27" s="11">
        <v>3</v>
      </c>
      <c r="G27" s="11">
        <v>4</v>
      </c>
      <c r="H27" s="11">
        <v>3</v>
      </c>
      <c r="I27" s="11" t="str">
        <f t="shared" si="0"/>
        <v>↔</v>
      </c>
      <c r="J27" s="11" t="str">
        <f t="shared" si="0"/>
        <v>↑</v>
      </c>
      <c r="K27" s="11" t="str">
        <f t="shared" si="0"/>
        <v>↔</v>
      </c>
      <c r="L27" s="32"/>
      <c r="M27" s="32"/>
      <c r="N27" s="32"/>
      <c r="O27" s="32"/>
      <c r="P27" s="32"/>
      <c r="Q27" s="11" t="s">
        <v>103</v>
      </c>
      <c r="R27" s="16" t="s">
        <v>104</v>
      </c>
      <c r="S27" s="56">
        <v>165.69</v>
      </c>
      <c r="T27" s="33" t="s">
        <v>106</v>
      </c>
      <c r="U27" s="57" t="s">
        <v>107</v>
      </c>
      <c r="V27" s="34" t="s">
        <v>320</v>
      </c>
      <c r="W27" s="34" t="s">
        <v>321</v>
      </c>
      <c r="X27" s="38" t="s">
        <v>322</v>
      </c>
      <c r="Y27" s="11" t="s">
        <v>60</v>
      </c>
      <c r="Z27" s="21" t="s">
        <v>323</v>
      </c>
      <c r="AA27" s="22" t="s">
        <v>324</v>
      </c>
      <c r="AB27" s="22" t="s">
        <v>209</v>
      </c>
      <c r="AC27" s="23" t="s">
        <v>112</v>
      </c>
      <c r="AD27" s="31" t="s">
        <v>56</v>
      </c>
      <c r="AE27" s="25" t="s">
        <v>66</v>
      </c>
      <c r="AF27" s="25" t="s">
        <v>66</v>
      </c>
      <c r="AG27" s="37" t="s">
        <v>80</v>
      </c>
      <c r="AH27" s="31" t="s">
        <v>325</v>
      </c>
      <c r="AI27" s="61" t="s">
        <v>326</v>
      </c>
      <c r="AJ27" s="61" t="s">
        <v>327</v>
      </c>
      <c r="AK27" s="45" t="s">
        <v>328</v>
      </c>
      <c r="AL27" s="46" t="s">
        <v>72</v>
      </c>
    </row>
    <row r="28" spans="1:41" ht="15" customHeight="1" x14ac:dyDescent="0.25">
      <c r="A28" s="13">
        <v>10</v>
      </c>
      <c r="B28" s="13">
        <v>3</v>
      </c>
      <c r="C28" s="13" t="s">
        <v>329</v>
      </c>
      <c r="D28" s="31" t="s">
        <v>132</v>
      </c>
      <c r="E28" s="31" t="s">
        <v>45</v>
      </c>
      <c r="F28" s="11">
        <v>1</v>
      </c>
      <c r="G28" s="11">
        <v>1</v>
      </c>
      <c r="H28" s="11">
        <v>1</v>
      </c>
      <c r="I28" s="11" t="str">
        <f t="shared" si="0"/>
        <v>↓↓</v>
      </c>
      <c r="J28" s="11" t="str">
        <f t="shared" si="0"/>
        <v>↓↓</v>
      </c>
      <c r="K28" s="11" t="str">
        <f t="shared" si="0"/>
        <v>↓↓</v>
      </c>
      <c r="L28" s="32"/>
      <c r="M28" s="32"/>
      <c r="N28" s="32"/>
      <c r="O28" s="32"/>
      <c r="P28" s="32"/>
      <c r="Q28" s="11" t="s">
        <v>53</v>
      </c>
      <c r="R28" s="16" t="s">
        <v>104</v>
      </c>
      <c r="S28" s="56" t="s">
        <v>56</v>
      </c>
      <c r="T28" s="33" t="s">
        <v>56</v>
      </c>
      <c r="U28" s="57" t="s">
        <v>107</v>
      </c>
      <c r="V28" s="38" t="s">
        <v>330</v>
      </c>
      <c r="W28" s="34" t="s">
        <v>56</v>
      </c>
      <c r="X28" s="31" t="s">
        <v>56</v>
      </c>
      <c r="Y28" s="11" t="s">
        <v>135</v>
      </c>
      <c r="Z28" s="21" t="s">
        <v>56</v>
      </c>
      <c r="AA28" s="51" t="s">
        <v>331</v>
      </c>
      <c r="AB28" s="51" t="s">
        <v>332</v>
      </c>
      <c r="AC28" s="23" t="s">
        <v>112</v>
      </c>
      <c r="AD28" s="31" t="s">
        <v>333</v>
      </c>
      <c r="AE28" s="25" t="s">
        <v>66</v>
      </c>
      <c r="AF28" s="25" t="s">
        <v>66</v>
      </c>
      <c r="AG28" s="44" t="s">
        <v>80</v>
      </c>
      <c r="AH28" s="73" t="s">
        <v>334</v>
      </c>
      <c r="AI28" s="31" t="s">
        <v>335</v>
      </c>
      <c r="AJ28" s="31" t="s">
        <v>336</v>
      </c>
      <c r="AK28" s="69" t="s">
        <v>337</v>
      </c>
      <c r="AL28" s="46" t="s">
        <v>85</v>
      </c>
    </row>
    <row r="29" spans="1:41" ht="15" customHeight="1" x14ac:dyDescent="0.25">
      <c r="A29" s="13">
        <v>10</v>
      </c>
      <c r="B29" s="31">
        <v>1</v>
      </c>
      <c r="C29" s="13" t="s">
        <v>338</v>
      </c>
      <c r="D29" s="31" t="s">
        <v>102</v>
      </c>
      <c r="E29" s="31" t="s">
        <v>44</v>
      </c>
      <c r="F29" s="11">
        <v>1</v>
      </c>
      <c r="G29" s="11">
        <v>1</v>
      </c>
      <c r="H29" s="11">
        <v>1</v>
      </c>
      <c r="I29" s="11" t="str">
        <f t="shared" si="0"/>
        <v>↓↓</v>
      </c>
      <c r="J29" s="11" t="str">
        <f t="shared" si="0"/>
        <v>↓↓</v>
      </c>
      <c r="K29" s="11" t="str">
        <f t="shared" si="0"/>
        <v>↓↓</v>
      </c>
      <c r="L29" s="32"/>
      <c r="M29" s="32"/>
      <c r="N29" s="32"/>
      <c r="O29" s="32"/>
      <c r="P29" s="32"/>
      <c r="Q29" s="11" t="s">
        <v>53</v>
      </c>
      <c r="R29" s="11" t="s">
        <v>54</v>
      </c>
      <c r="S29" s="74" t="s">
        <v>339</v>
      </c>
      <c r="T29" s="33" t="s">
        <v>56</v>
      </c>
      <c r="U29" s="33" t="s">
        <v>56</v>
      </c>
      <c r="V29" s="31" t="s">
        <v>339</v>
      </c>
      <c r="W29" s="31" t="s">
        <v>56</v>
      </c>
      <c r="X29" s="31" t="s">
        <v>56</v>
      </c>
      <c r="Y29" s="11" t="s">
        <v>135</v>
      </c>
      <c r="Z29" s="21" t="s">
        <v>56</v>
      </c>
      <c r="AA29" s="51" t="s">
        <v>340</v>
      </c>
      <c r="AB29" s="51">
        <v>0</v>
      </c>
      <c r="AC29" s="23" t="s">
        <v>112</v>
      </c>
      <c r="AD29" s="31" t="s">
        <v>56</v>
      </c>
      <c r="AE29" s="25" t="s">
        <v>66</v>
      </c>
      <c r="AF29" s="25" t="s">
        <v>66</v>
      </c>
      <c r="AG29" s="44" t="s">
        <v>80</v>
      </c>
      <c r="AH29" s="31" t="s">
        <v>341</v>
      </c>
      <c r="AI29" s="31" t="s">
        <v>342</v>
      </c>
      <c r="AJ29" s="39" t="s">
        <v>181</v>
      </c>
      <c r="AK29" s="64" t="s">
        <v>343</v>
      </c>
      <c r="AL29" s="46" t="s">
        <v>85</v>
      </c>
    </row>
    <row r="30" spans="1:41" ht="15" customHeight="1" x14ac:dyDescent="0.25">
      <c r="A30" s="13">
        <v>10</v>
      </c>
      <c r="B30" s="31">
        <v>1</v>
      </c>
      <c r="C30" s="13" t="s">
        <v>344</v>
      </c>
      <c r="D30" s="31" t="s">
        <v>102</v>
      </c>
      <c r="E30" s="31" t="s">
        <v>44</v>
      </c>
      <c r="F30" s="11">
        <v>1</v>
      </c>
      <c r="G30" s="11">
        <v>1</v>
      </c>
      <c r="H30" s="11">
        <v>1</v>
      </c>
      <c r="I30" s="11" t="str">
        <f t="shared" si="0"/>
        <v>↓↓</v>
      </c>
      <c r="J30" s="11" t="str">
        <f t="shared" si="0"/>
        <v>↓↓</v>
      </c>
      <c r="K30" s="11" t="str">
        <f t="shared" si="0"/>
        <v>↓↓</v>
      </c>
      <c r="L30" s="32"/>
      <c r="M30" s="32"/>
      <c r="N30" s="32"/>
      <c r="O30" s="32"/>
      <c r="P30" s="32"/>
      <c r="Q30" s="11" t="s">
        <v>74</v>
      </c>
      <c r="R30" s="11" t="s">
        <v>54</v>
      </c>
      <c r="S30" s="31" t="s">
        <v>339</v>
      </c>
      <c r="T30" s="33" t="s">
        <v>56</v>
      </c>
      <c r="U30" s="33" t="s">
        <v>56</v>
      </c>
      <c r="V30" s="31" t="s">
        <v>339</v>
      </c>
      <c r="W30" s="31" t="s">
        <v>56</v>
      </c>
      <c r="X30" s="31" t="s">
        <v>56</v>
      </c>
      <c r="Y30" s="11" t="s">
        <v>135</v>
      </c>
      <c r="Z30" s="21" t="s">
        <v>56</v>
      </c>
      <c r="AA30" s="51" t="s">
        <v>345</v>
      </c>
      <c r="AB30" s="51">
        <v>0</v>
      </c>
      <c r="AC30" s="23" t="s">
        <v>112</v>
      </c>
      <c r="AD30" s="31" t="s">
        <v>56</v>
      </c>
      <c r="AE30" s="25" t="s">
        <v>66</v>
      </c>
      <c r="AF30" s="25" t="s">
        <v>66</v>
      </c>
      <c r="AG30" s="44" t="s">
        <v>80</v>
      </c>
      <c r="AH30" s="31" t="s">
        <v>341</v>
      </c>
      <c r="AI30" s="31" t="s">
        <v>346</v>
      </c>
      <c r="AJ30" s="39" t="s">
        <v>347</v>
      </c>
      <c r="AK30" s="64" t="s">
        <v>348</v>
      </c>
      <c r="AL30" s="46" t="s">
        <v>85</v>
      </c>
      <c r="AO30" s="31" t="s">
        <v>349</v>
      </c>
    </row>
    <row r="31" spans="1:41" ht="15" customHeight="1" x14ac:dyDescent="0.25">
      <c r="A31" s="13">
        <v>10</v>
      </c>
      <c r="B31" s="31">
        <v>1</v>
      </c>
      <c r="C31" s="13" t="s">
        <v>350</v>
      </c>
      <c r="D31" s="13" t="s">
        <v>102</v>
      </c>
      <c r="E31" s="13" t="s">
        <v>44</v>
      </c>
      <c r="F31" s="16">
        <v>1</v>
      </c>
      <c r="G31" s="16">
        <v>1</v>
      </c>
      <c r="H31" s="16">
        <v>1</v>
      </c>
      <c r="I31" s="16" t="str">
        <f t="shared" si="0"/>
        <v>↓↓</v>
      </c>
      <c r="J31" s="16" t="str">
        <f t="shared" si="0"/>
        <v>↓↓</v>
      </c>
      <c r="K31" s="16" t="str">
        <f t="shared" si="0"/>
        <v>↓↓</v>
      </c>
      <c r="L31" s="47"/>
      <c r="M31" s="47"/>
      <c r="N31" s="47"/>
      <c r="O31" s="47"/>
      <c r="P31" s="47"/>
      <c r="Q31" s="16" t="s">
        <v>53</v>
      </c>
      <c r="R31" s="16" t="s">
        <v>54</v>
      </c>
      <c r="S31" s="19" t="s">
        <v>351</v>
      </c>
      <c r="T31" s="19" t="s">
        <v>56</v>
      </c>
      <c r="U31" s="19" t="s">
        <v>56</v>
      </c>
      <c r="V31" s="34" t="s">
        <v>352</v>
      </c>
      <c r="W31" s="34" t="s">
        <v>56</v>
      </c>
      <c r="X31" s="34" t="s">
        <v>353</v>
      </c>
      <c r="Y31" s="11" t="s">
        <v>60</v>
      </c>
      <c r="Z31" s="21" t="s">
        <v>261</v>
      </c>
      <c r="AA31" s="51" t="s">
        <v>354</v>
      </c>
      <c r="AB31" s="51">
        <v>0</v>
      </c>
      <c r="AC31" s="23" t="s">
        <v>112</v>
      </c>
      <c r="AD31" s="13" t="s">
        <v>56</v>
      </c>
      <c r="AE31" s="25" t="s">
        <v>66</v>
      </c>
      <c r="AF31" s="25" t="s">
        <v>66</v>
      </c>
      <c r="AG31" s="53" t="s">
        <v>80</v>
      </c>
      <c r="AH31" s="13" t="s">
        <v>341</v>
      </c>
      <c r="AI31" s="13" t="s">
        <v>355</v>
      </c>
      <c r="AJ31" s="13" t="s">
        <v>356</v>
      </c>
      <c r="AK31" s="54" t="s">
        <v>357</v>
      </c>
      <c r="AL31" s="55" t="s">
        <v>85</v>
      </c>
      <c r="AO31" s="31" t="s">
        <v>358</v>
      </c>
    </row>
    <row r="32" spans="1:41" ht="15" customHeight="1" x14ac:dyDescent="0.25">
      <c r="A32" s="13">
        <v>1</v>
      </c>
      <c r="B32" s="13">
        <v>5</v>
      </c>
      <c r="C32" s="13" t="s">
        <v>359</v>
      </c>
      <c r="D32" s="31" t="s">
        <v>102</v>
      </c>
      <c r="E32" s="31" t="s">
        <v>44</v>
      </c>
      <c r="F32" s="11">
        <v>1</v>
      </c>
      <c r="G32" s="11">
        <v>1</v>
      </c>
      <c r="H32" s="11">
        <v>1</v>
      </c>
      <c r="I32" s="11" t="str">
        <f t="shared" si="0"/>
        <v>↓↓</v>
      </c>
      <c r="J32" s="11" t="str">
        <f t="shared" si="0"/>
        <v>↓↓</v>
      </c>
      <c r="K32" s="11" t="str">
        <f t="shared" si="0"/>
        <v>↓↓</v>
      </c>
      <c r="L32" s="32"/>
      <c r="M32" s="32"/>
      <c r="N32" s="32"/>
      <c r="O32" s="32"/>
      <c r="P32" s="32"/>
      <c r="Q32" s="11" t="s">
        <v>53</v>
      </c>
      <c r="R32" s="11" t="s">
        <v>54</v>
      </c>
      <c r="S32" s="31" t="s">
        <v>219</v>
      </c>
      <c r="T32" s="33" t="s">
        <v>56</v>
      </c>
      <c r="U32" s="57" t="s">
        <v>56</v>
      </c>
      <c r="V32" s="34" t="s">
        <v>220</v>
      </c>
      <c r="W32" s="34" t="s">
        <v>56</v>
      </c>
      <c r="X32" s="34" t="s">
        <v>56</v>
      </c>
      <c r="Y32" s="11" t="s">
        <v>60</v>
      </c>
      <c r="Z32" s="21" t="s">
        <v>56</v>
      </c>
      <c r="AA32" s="51" t="s">
        <v>177</v>
      </c>
      <c r="AB32" s="51">
        <v>0</v>
      </c>
      <c r="AC32" s="23" t="s">
        <v>178</v>
      </c>
      <c r="AD32" s="31" t="s">
        <v>56</v>
      </c>
      <c r="AE32" s="25" t="s">
        <v>66</v>
      </c>
      <c r="AF32" s="25" t="s">
        <v>66</v>
      </c>
      <c r="AG32" s="44" t="s">
        <v>80</v>
      </c>
      <c r="AH32" s="59" t="s">
        <v>360</v>
      </c>
      <c r="AI32" s="31" t="s">
        <v>361</v>
      </c>
      <c r="AJ32" s="31" t="s">
        <v>362</v>
      </c>
      <c r="AK32" s="45" t="s">
        <v>363</v>
      </c>
      <c r="AL32" s="40" t="s">
        <v>120</v>
      </c>
    </row>
    <row r="33" spans="1:41" ht="15" customHeight="1" x14ac:dyDescent="0.25">
      <c r="A33" s="13">
        <v>10</v>
      </c>
      <c r="B33" s="13">
        <v>5</v>
      </c>
      <c r="C33" s="13" t="s">
        <v>364</v>
      </c>
      <c r="D33" s="31" t="s">
        <v>102</v>
      </c>
      <c r="E33" s="31" t="s">
        <v>44</v>
      </c>
      <c r="F33" s="11">
        <v>1</v>
      </c>
      <c r="G33" s="11">
        <v>1</v>
      </c>
      <c r="H33" s="11">
        <v>1</v>
      </c>
      <c r="I33" s="11" t="str">
        <f t="shared" si="0"/>
        <v>↓↓</v>
      </c>
      <c r="J33" s="11" t="str">
        <f t="shared" si="0"/>
        <v>↓↓</v>
      </c>
      <c r="K33" s="11" t="str">
        <f t="shared" si="0"/>
        <v>↓↓</v>
      </c>
      <c r="L33" s="32"/>
      <c r="M33" s="32"/>
      <c r="N33" s="32"/>
      <c r="O33" s="32"/>
      <c r="P33" s="32"/>
      <c r="Q33" s="11" t="s">
        <v>53</v>
      </c>
      <c r="R33" s="11" t="s">
        <v>54</v>
      </c>
      <c r="S33" s="56">
        <v>10.8</v>
      </c>
      <c r="T33" s="33" t="s">
        <v>106</v>
      </c>
      <c r="U33" s="57" t="s">
        <v>56</v>
      </c>
      <c r="V33" s="34" t="s">
        <v>365</v>
      </c>
      <c r="W33" s="34" t="s">
        <v>259</v>
      </c>
      <c r="X33" s="34" t="s">
        <v>366</v>
      </c>
      <c r="Y33" s="11" t="s">
        <v>60</v>
      </c>
      <c r="Z33" s="21" t="s">
        <v>367</v>
      </c>
      <c r="AA33" s="51" t="s">
        <v>177</v>
      </c>
      <c r="AB33" s="51">
        <v>0</v>
      </c>
      <c r="AC33" s="23" t="s">
        <v>178</v>
      </c>
      <c r="AD33" s="31" t="s">
        <v>56</v>
      </c>
      <c r="AE33" s="25" t="s">
        <v>66</v>
      </c>
      <c r="AF33" s="25" t="s">
        <v>66</v>
      </c>
      <c r="AG33" s="44" t="s">
        <v>80</v>
      </c>
      <c r="AH33" s="59" t="s">
        <v>368</v>
      </c>
      <c r="AI33" s="31" t="s">
        <v>369</v>
      </c>
      <c r="AJ33" s="31" t="s">
        <v>370</v>
      </c>
      <c r="AK33" s="45" t="s">
        <v>371</v>
      </c>
      <c r="AL33" s="46" t="s">
        <v>72</v>
      </c>
    </row>
    <row r="34" spans="1:41" ht="15" customHeight="1" x14ac:dyDescent="0.25">
      <c r="A34" s="31">
        <v>10</v>
      </c>
      <c r="B34" s="31">
        <v>1</v>
      </c>
      <c r="C34" s="13" t="s">
        <v>372</v>
      </c>
      <c r="D34" s="13" t="s">
        <v>122</v>
      </c>
      <c r="E34" s="31" t="s">
        <v>42</v>
      </c>
      <c r="F34" s="11">
        <v>3</v>
      </c>
      <c r="G34" s="11">
        <v>4</v>
      </c>
      <c r="H34" s="11">
        <v>3</v>
      </c>
      <c r="I34" s="11" t="str">
        <f t="shared" si="0"/>
        <v>↔</v>
      </c>
      <c r="J34" s="11" t="str">
        <f t="shared" si="0"/>
        <v>↑</v>
      </c>
      <c r="K34" s="11" t="str">
        <f t="shared" si="0"/>
        <v>↔</v>
      </c>
      <c r="L34" s="32"/>
      <c r="M34" s="32"/>
      <c r="N34" s="32"/>
      <c r="O34" s="32"/>
      <c r="P34" s="32"/>
      <c r="Q34" s="16" t="s">
        <v>53</v>
      </c>
      <c r="R34" s="11" t="s">
        <v>54</v>
      </c>
      <c r="S34" s="56">
        <v>11.02</v>
      </c>
      <c r="T34" s="33" t="s">
        <v>55</v>
      </c>
      <c r="U34" s="33" t="s">
        <v>56</v>
      </c>
      <c r="V34" s="75" t="s">
        <v>373</v>
      </c>
      <c r="W34" s="75" t="s">
        <v>56</v>
      </c>
      <c r="X34" s="34" t="s">
        <v>374</v>
      </c>
      <c r="Y34" s="11" t="s">
        <v>77</v>
      </c>
      <c r="Z34" s="21" t="s">
        <v>375</v>
      </c>
      <c r="AA34" s="22" t="s">
        <v>376</v>
      </c>
      <c r="AB34" s="22">
        <v>0</v>
      </c>
      <c r="AC34" s="23" t="s">
        <v>64</v>
      </c>
      <c r="AD34" s="31" t="s">
        <v>56</v>
      </c>
      <c r="AE34" s="25" t="s">
        <v>66</v>
      </c>
      <c r="AF34" s="25" t="s">
        <v>66</v>
      </c>
      <c r="AG34" s="44" t="s">
        <v>80</v>
      </c>
      <c r="AH34" s="31" t="s">
        <v>377</v>
      </c>
      <c r="AI34" s="31" t="s">
        <v>378</v>
      </c>
      <c r="AJ34" s="31" t="s">
        <v>255</v>
      </c>
      <c r="AK34" s="45" t="s">
        <v>379</v>
      </c>
      <c r="AL34" s="46" t="s">
        <v>72</v>
      </c>
    </row>
    <row r="35" spans="1:41" ht="15" customHeight="1" x14ac:dyDescent="0.25">
      <c r="A35" s="13">
        <v>10</v>
      </c>
      <c r="B35" s="13">
        <v>3</v>
      </c>
      <c r="C35" s="13" t="s">
        <v>380</v>
      </c>
      <c r="D35" s="31" t="s">
        <v>132</v>
      </c>
      <c r="E35" s="31" t="s">
        <v>45</v>
      </c>
      <c r="F35" s="11">
        <v>1</v>
      </c>
      <c r="G35" s="11">
        <v>1</v>
      </c>
      <c r="H35" s="11">
        <v>1</v>
      </c>
      <c r="I35" s="11" t="str">
        <f t="shared" ref="I35:K66" si="1">IF(F35=1,$P$2,IF(F35=2,$O$2,IF(F35=3,$N$2,IF(F35=4,$M$2,IF(F35=5,$L$2,"ERROR")))))</f>
        <v>↓↓</v>
      </c>
      <c r="J35" s="11" t="str">
        <f t="shared" si="1"/>
        <v>↓↓</v>
      </c>
      <c r="K35" s="11" t="str">
        <f t="shared" si="1"/>
        <v>↓↓</v>
      </c>
      <c r="L35" s="32"/>
      <c r="M35" s="32"/>
      <c r="N35" s="32"/>
      <c r="O35" s="32"/>
      <c r="P35" s="32"/>
      <c r="Q35" s="11" t="s">
        <v>74</v>
      </c>
      <c r="R35" s="11" t="s">
        <v>381</v>
      </c>
      <c r="S35" s="56">
        <f>15660/12</f>
        <v>1305</v>
      </c>
      <c r="T35" s="33" t="s">
        <v>106</v>
      </c>
      <c r="U35" s="65" t="s">
        <v>107</v>
      </c>
      <c r="V35" s="22" t="s">
        <v>382</v>
      </c>
      <c r="W35" s="34" t="s">
        <v>383</v>
      </c>
      <c r="X35" s="31" t="s">
        <v>384</v>
      </c>
      <c r="Y35" s="11" t="s">
        <v>135</v>
      </c>
      <c r="Z35" s="21" t="s">
        <v>56</v>
      </c>
      <c r="AA35" s="51" t="s">
        <v>385</v>
      </c>
      <c r="AB35" s="51">
        <v>0</v>
      </c>
      <c r="AC35" s="23" t="s">
        <v>112</v>
      </c>
      <c r="AD35" s="31" t="s">
        <v>386</v>
      </c>
      <c r="AE35" s="25" t="s">
        <v>66</v>
      </c>
      <c r="AF35" s="25" t="s">
        <v>66</v>
      </c>
      <c r="AG35" s="44" t="s">
        <v>80</v>
      </c>
      <c r="AH35" s="59" t="s">
        <v>387</v>
      </c>
      <c r="AI35" s="31" t="s">
        <v>388</v>
      </c>
      <c r="AJ35" s="31" t="s">
        <v>389</v>
      </c>
      <c r="AK35" s="69" t="s">
        <v>390</v>
      </c>
      <c r="AL35" s="46" t="s">
        <v>85</v>
      </c>
      <c r="AO35" s="31" t="s">
        <v>391</v>
      </c>
    </row>
    <row r="36" spans="1:41" ht="15" customHeight="1" x14ac:dyDescent="0.25">
      <c r="A36" s="13">
        <v>1</v>
      </c>
      <c r="B36" s="31">
        <v>1</v>
      </c>
      <c r="C36" s="13" t="s">
        <v>392</v>
      </c>
      <c r="D36" s="31" t="s">
        <v>102</v>
      </c>
      <c r="E36" s="31" t="s">
        <v>44</v>
      </c>
      <c r="F36" s="11">
        <v>1</v>
      </c>
      <c r="G36" s="11">
        <v>1</v>
      </c>
      <c r="H36" s="11">
        <v>1</v>
      </c>
      <c r="I36" s="11" t="str">
        <f t="shared" si="1"/>
        <v>↓↓</v>
      </c>
      <c r="J36" s="11" t="str">
        <f t="shared" si="1"/>
        <v>↓↓</v>
      </c>
      <c r="K36" s="11" t="str">
        <f t="shared" si="1"/>
        <v>↓↓</v>
      </c>
      <c r="L36" s="32"/>
      <c r="M36" s="32"/>
      <c r="N36" s="32"/>
      <c r="O36" s="32"/>
      <c r="P36" s="32"/>
      <c r="Q36" s="11" t="s">
        <v>53</v>
      </c>
      <c r="R36" s="11" t="s">
        <v>54</v>
      </c>
      <c r="S36" s="31" t="s">
        <v>393</v>
      </c>
      <c r="T36" s="33" t="s">
        <v>56</v>
      </c>
      <c r="U36" s="33" t="s">
        <v>56</v>
      </c>
      <c r="V36" s="31" t="s">
        <v>394</v>
      </c>
      <c r="W36" s="31" t="s">
        <v>56</v>
      </c>
      <c r="X36" s="34" t="s">
        <v>56</v>
      </c>
      <c r="Y36" s="11" t="s">
        <v>77</v>
      </c>
      <c r="Z36" s="21" t="s">
        <v>395</v>
      </c>
      <c r="AA36" s="51" t="s">
        <v>396</v>
      </c>
      <c r="AB36" s="51">
        <v>0</v>
      </c>
      <c r="AC36" s="23" t="s">
        <v>112</v>
      </c>
      <c r="AD36" s="31" t="s">
        <v>56</v>
      </c>
      <c r="AE36" s="25" t="s">
        <v>66</v>
      </c>
      <c r="AF36" s="25" t="s">
        <v>66</v>
      </c>
      <c r="AG36" s="44" t="s">
        <v>397</v>
      </c>
      <c r="AH36" s="73" t="s">
        <v>398</v>
      </c>
      <c r="AI36" s="31" t="s">
        <v>399</v>
      </c>
      <c r="AJ36" s="31" t="s">
        <v>400</v>
      </c>
      <c r="AK36" s="45" t="s">
        <v>401</v>
      </c>
      <c r="AL36" s="46" t="s">
        <v>72</v>
      </c>
    </row>
    <row r="37" spans="1:41" ht="15" customHeight="1" x14ac:dyDescent="0.25">
      <c r="A37" s="13">
        <v>1</v>
      </c>
      <c r="B37" s="31">
        <v>1</v>
      </c>
      <c r="C37" s="13" t="s">
        <v>402</v>
      </c>
      <c r="D37" s="13" t="s">
        <v>102</v>
      </c>
      <c r="E37" s="13" t="s">
        <v>44</v>
      </c>
      <c r="F37" s="16">
        <v>1</v>
      </c>
      <c r="G37" s="16">
        <v>1</v>
      </c>
      <c r="H37" s="16">
        <v>1</v>
      </c>
      <c r="I37" s="16" t="str">
        <f t="shared" si="1"/>
        <v>↓↓</v>
      </c>
      <c r="J37" s="16" t="str">
        <f t="shared" si="1"/>
        <v>↓↓</v>
      </c>
      <c r="K37" s="16" t="str">
        <f t="shared" si="1"/>
        <v>↓↓</v>
      </c>
      <c r="L37" s="47"/>
      <c r="M37" s="47"/>
      <c r="N37" s="47"/>
      <c r="O37" s="47"/>
      <c r="P37" s="47"/>
      <c r="Q37" s="16" t="s">
        <v>74</v>
      </c>
      <c r="R37" s="16" t="s">
        <v>54</v>
      </c>
      <c r="S37" s="13" t="s">
        <v>393</v>
      </c>
      <c r="T37" s="19" t="s">
        <v>56</v>
      </c>
      <c r="U37" s="19" t="s">
        <v>56</v>
      </c>
      <c r="V37" s="13" t="s">
        <v>394</v>
      </c>
      <c r="W37" s="13" t="s">
        <v>56</v>
      </c>
      <c r="X37" s="34" t="s">
        <v>56</v>
      </c>
      <c r="Y37" s="11" t="s">
        <v>60</v>
      </c>
      <c r="Z37" s="21" t="s">
        <v>261</v>
      </c>
      <c r="AA37" s="51" t="s">
        <v>403</v>
      </c>
      <c r="AB37" s="51">
        <v>0</v>
      </c>
      <c r="AC37" s="23" t="s">
        <v>112</v>
      </c>
      <c r="AD37" s="31" t="s">
        <v>56</v>
      </c>
      <c r="AE37" s="25" t="s">
        <v>66</v>
      </c>
      <c r="AF37" s="25" t="s">
        <v>66</v>
      </c>
      <c r="AG37" s="44" t="s">
        <v>397</v>
      </c>
      <c r="AH37" s="73" t="s">
        <v>404</v>
      </c>
      <c r="AI37" s="31" t="s">
        <v>405</v>
      </c>
      <c r="AJ37" s="31" t="s">
        <v>70</v>
      </c>
      <c r="AK37" s="76" t="s">
        <v>406</v>
      </c>
      <c r="AL37" s="46" t="s">
        <v>72</v>
      </c>
    </row>
    <row r="38" spans="1:41" ht="15" customHeight="1" x14ac:dyDescent="0.25">
      <c r="A38" s="13">
        <v>1</v>
      </c>
      <c r="B38" s="31">
        <v>1</v>
      </c>
      <c r="C38" s="13" t="s">
        <v>407</v>
      </c>
      <c r="D38" s="13" t="s">
        <v>172</v>
      </c>
      <c r="E38" s="13" t="s">
        <v>43</v>
      </c>
      <c r="F38" s="16">
        <v>2</v>
      </c>
      <c r="G38" s="16">
        <v>2</v>
      </c>
      <c r="H38" s="16">
        <v>2</v>
      </c>
      <c r="I38" s="16" t="str">
        <f t="shared" si="1"/>
        <v>↓</v>
      </c>
      <c r="J38" s="16" t="str">
        <f t="shared" si="1"/>
        <v>↓</v>
      </c>
      <c r="K38" s="16" t="str">
        <f t="shared" si="1"/>
        <v>↓</v>
      </c>
      <c r="L38" s="47"/>
      <c r="M38" s="47"/>
      <c r="N38" s="47"/>
      <c r="O38" s="47"/>
      <c r="P38" s="47"/>
      <c r="Q38" s="16" t="s">
        <v>53</v>
      </c>
      <c r="R38" s="16" t="s">
        <v>54</v>
      </c>
      <c r="S38" s="18">
        <v>1408.33</v>
      </c>
      <c r="T38" s="19" t="s">
        <v>55</v>
      </c>
      <c r="U38" s="19" t="s">
        <v>56</v>
      </c>
      <c r="V38" s="34" t="s">
        <v>408</v>
      </c>
      <c r="W38" s="34" t="s">
        <v>56</v>
      </c>
      <c r="X38" s="34" t="s">
        <v>409</v>
      </c>
      <c r="Y38" s="11" t="s">
        <v>135</v>
      </c>
      <c r="Z38" s="21" t="s">
        <v>56</v>
      </c>
      <c r="AA38" s="51" t="s">
        <v>410</v>
      </c>
      <c r="AB38" s="51">
        <v>0</v>
      </c>
      <c r="AC38" s="23" t="s">
        <v>112</v>
      </c>
      <c r="AD38" s="31" t="s">
        <v>56</v>
      </c>
      <c r="AE38" s="25" t="s">
        <v>66</v>
      </c>
      <c r="AF38" s="25" t="s">
        <v>66</v>
      </c>
      <c r="AG38" s="44" t="s">
        <v>397</v>
      </c>
      <c r="AH38" s="73" t="s">
        <v>411</v>
      </c>
      <c r="AI38" s="13" t="s">
        <v>412</v>
      </c>
      <c r="AJ38" s="31" t="s">
        <v>400</v>
      </c>
      <c r="AK38" s="76" t="s">
        <v>343</v>
      </c>
      <c r="AL38" s="55" t="s">
        <v>85</v>
      </c>
    </row>
    <row r="39" spans="1:41" s="13" customFormat="1" ht="15" customHeight="1" x14ac:dyDescent="0.25">
      <c r="A39" s="31">
        <v>1</v>
      </c>
      <c r="B39" s="31">
        <v>1</v>
      </c>
      <c r="C39" s="77" t="s">
        <v>413</v>
      </c>
      <c r="D39" s="13" t="s">
        <v>122</v>
      </c>
      <c r="E39" s="31" t="s">
        <v>42</v>
      </c>
      <c r="F39" s="11">
        <v>4</v>
      </c>
      <c r="G39" s="11">
        <v>4</v>
      </c>
      <c r="H39" s="11">
        <v>4</v>
      </c>
      <c r="I39" s="11" t="str">
        <f t="shared" si="1"/>
        <v>↑</v>
      </c>
      <c r="J39" s="11" t="str">
        <f t="shared" si="1"/>
        <v>↑</v>
      </c>
      <c r="K39" s="11" t="str">
        <f t="shared" si="1"/>
        <v>↑</v>
      </c>
      <c r="L39" s="32"/>
      <c r="M39" s="32"/>
      <c r="N39" s="32"/>
      <c r="O39" s="32"/>
      <c r="P39" s="32"/>
      <c r="Q39" s="16" t="s">
        <v>53</v>
      </c>
      <c r="R39" s="11" t="s">
        <v>54</v>
      </c>
      <c r="S39" s="31" t="s">
        <v>414</v>
      </c>
      <c r="T39" s="33" t="s">
        <v>56</v>
      </c>
      <c r="U39" s="33" t="s">
        <v>56</v>
      </c>
      <c r="V39" s="56" t="s">
        <v>56</v>
      </c>
      <c r="W39" s="56" t="s">
        <v>56</v>
      </c>
      <c r="X39" s="56" t="s">
        <v>56</v>
      </c>
      <c r="Y39" s="11" t="s">
        <v>77</v>
      </c>
      <c r="Z39" s="21" t="s">
        <v>415</v>
      </c>
      <c r="AA39" s="36" t="s">
        <v>416</v>
      </c>
      <c r="AB39" s="36">
        <v>0</v>
      </c>
      <c r="AC39" s="23" t="s">
        <v>64</v>
      </c>
      <c r="AD39" s="31" t="s">
        <v>56</v>
      </c>
      <c r="AE39" s="25" t="s">
        <v>66</v>
      </c>
      <c r="AF39" s="25" t="s">
        <v>66</v>
      </c>
      <c r="AG39" s="44" t="s">
        <v>80</v>
      </c>
      <c r="AH39" s="31" t="s">
        <v>98</v>
      </c>
      <c r="AI39" s="31" t="s">
        <v>417</v>
      </c>
      <c r="AJ39" s="31" t="s">
        <v>417</v>
      </c>
      <c r="AK39" s="69" t="s">
        <v>418</v>
      </c>
      <c r="AL39" s="46" t="s">
        <v>72</v>
      </c>
    </row>
    <row r="40" spans="1:41" s="13" customFormat="1" ht="15" customHeight="1" x14ac:dyDescent="0.25">
      <c r="A40" s="31">
        <v>1</v>
      </c>
      <c r="B40" s="31">
        <v>1</v>
      </c>
      <c r="C40" s="78" t="s">
        <v>419</v>
      </c>
      <c r="D40" s="13" t="s">
        <v>90</v>
      </c>
      <c r="E40" s="31" t="s">
        <v>41</v>
      </c>
      <c r="F40" s="11">
        <v>5</v>
      </c>
      <c r="G40" s="11">
        <v>5</v>
      </c>
      <c r="H40" s="11">
        <v>5</v>
      </c>
      <c r="I40" s="11" t="str">
        <f t="shared" si="1"/>
        <v>↑↑</v>
      </c>
      <c r="J40" s="11" t="str">
        <f t="shared" si="1"/>
        <v>↑↑</v>
      </c>
      <c r="K40" s="11" t="str">
        <f t="shared" si="1"/>
        <v>↑↑</v>
      </c>
      <c r="L40" s="32"/>
      <c r="M40" s="32"/>
      <c r="N40" s="32"/>
      <c r="O40" s="32"/>
      <c r="P40" s="32"/>
      <c r="Q40" s="16" t="s">
        <v>53</v>
      </c>
      <c r="R40" s="11" t="s">
        <v>54</v>
      </c>
      <c r="S40" s="31" t="s">
        <v>414</v>
      </c>
      <c r="T40" s="33" t="s">
        <v>56</v>
      </c>
      <c r="U40" s="33" t="s">
        <v>56</v>
      </c>
      <c r="V40" s="56" t="s">
        <v>56</v>
      </c>
      <c r="W40" s="56" t="s">
        <v>56</v>
      </c>
      <c r="X40" s="56" t="s">
        <v>56</v>
      </c>
      <c r="Y40" s="11" t="s">
        <v>60</v>
      </c>
      <c r="Z40" s="21" t="s">
        <v>420</v>
      </c>
      <c r="AA40" s="36" t="s">
        <v>416</v>
      </c>
      <c r="AB40" s="22" t="s">
        <v>421</v>
      </c>
      <c r="AC40" s="23" t="s">
        <v>64</v>
      </c>
      <c r="AD40" s="31"/>
      <c r="AE40" s="25" t="s">
        <v>66</v>
      </c>
      <c r="AF40" s="25" t="s">
        <v>66</v>
      </c>
      <c r="AG40" s="44" t="s">
        <v>80</v>
      </c>
      <c r="AH40" s="31" t="s">
        <v>98</v>
      </c>
      <c r="AI40" s="31" t="s">
        <v>422</v>
      </c>
      <c r="AJ40" s="31"/>
      <c r="AK40" s="79" t="s">
        <v>423</v>
      </c>
      <c r="AL40" s="40" t="s">
        <v>120</v>
      </c>
    </row>
    <row r="41" spans="1:41" ht="15" customHeight="1" x14ac:dyDescent="0.25">
      <c r="A41" s="31">
        <v>1</v>
      </c>
      <c r="B41" s="31">
        <v>1</v>
      </c>
      <c r="C41" s="78" t="s">
        <v>424</v>
      </c>
      <c r="D41" s="13" t="s">
        <v>90</v>
      </c>
      <c r="E41" s="31" t="s">
        <v>41</v>
      </c>
      <c r="F41" s="11">
        <v>5</v>
      </c>
      <c r="G41" s="11">
        <v>5</v>
      </c>
      <c r="H41" s="11">
        <v>5</v>
      </c>
      <c r="I41" s="11" t="str">
        <f t="shared" si="1"/>
        <v>↑↑</v>
      </c>
      <c r="J41" s="11" t="str">
        <f t="shared" si="1"/>
        <v>↑↑</v>
      </c>
      <c r="K41" s="11" t="str">
        <f t="shared" si="1"/>
        <v>↑↑</v>
      </c>
      <c r="L41" s="32"/>
      <c r="M41" s="32"/>
      <c r="N41" s="32"/>
      <c r="O41" s="32"/>
      <c r="P41" s="32"/>
      <c r="Q41" s="16" t="s">
        <v>53</v>
      </c>
      <c r="R41" s="11" t="s">
        <v>54</v>
      </c>
      <c r="S41" s="31" t="s">
        <v>414</v>
      </c>
      <c r="T41" s="33" t="s">
        <v>56</v>
      </c>
      <c r="U41" s="33" t="s">
        <v>56</v>
      </c>
      <c r="V41" s="56" t="s">
        <v>56</v>
      </c>
      <c r="W41" s="56" t="s">
        <v>56</v>
      </c>
      <c r="X41" s="56" t="s">
        <v>56</v>
      </c>
      <c r="Y41" s="11" t="s">
        <v>60</v>
      </c>
      <c r="Z41" s="21" t="s">
        <v>425</v>
      </c>
      <c r="AA41" s="36" t="s">
        <v>416</v>
      </c>
      <c r="AB41" s="22" t="s">
        <v>421</v>
      </c>
      <c r="AC41" s="23" t="s">
        <v>64</v>
      </c>
      <c r="AE41" s="25" t="s">
        <v>66</v>
      </c>
      <c r="AF41" s="25" t="s">
        <v>66</v>
      </c>
      <c r="AG41" s="44" t="s">
        <v>80</v>
      </c>
      <c r="AH41" s="31" t="s">
        <v>98</v>
      </c>
      <c r="AI41" s="31" t="s">
        <v>426</v>
      </c>
      <c r="AK41" s="79" t="s">
        <v>427</v>
      </c>
      <c r="AL41" s="40" t="s">
        <v>120</v>
      </c>
    </row>
    <row r="42" spans="1:41" ht="15" customHeight="1" x14ac:dyDescent="0.25">
      <c r="A42" s="31">
        <v>1</v>
      </c>
      <c r="B42" s="31">
        <v>1</v>
      </c>
      <c r="C42" s="78" t="s">
        <v>428</v>
      </c>
      <c r="D42" s="13" t="s">
        <v>122</v>
      </c>
      <c r="E42" s="31" t="s">
        <v>42</v>
      </c>
      <c r="F42" s="11">
        <v>4</v>
      </c>
      <c r="G42" s="11">
        <v>4</v>
      </c>
      <c r="H42" s="11">
        <v>4</v>
      </c>
      <c r="I42" s="11" t="str">
        <f t="shared" si="1"/>
        <v>↑</v>
      </c>
      <c r="J42" s="11" t="str">
        <f t="shared" si="1"/>
        <v>↑</v>
      </c>
      <c r="K42" s="11" t="str">
        <f t="shared" si="1"/>
        <v>↑</v>
      </c>
      <c r="L42" s="32"/>
      <c r="M42" s="32"/>
      <c r="N42" s="32"/>
      <c r="O42" s="32"/>
      <c r="P42" s="32"/>
      <c r="Q42" s="16" t="s">
        <v>53</v>
      </c>
      <c r="R42" s="11" t="s">
        <v>54</v>
      </c>
      <c r="S42" s="31" t="s">
        <v>414</v>
      </c>
      <c r="T42" s="33" t="s">
        <v>56</v>
      </c>
      <c r="U42" s="33" t="s">
        <v>56</v>
      </c>
      <c r="V42" s="56" t="s">
        <v>56</v>
      </c>
      <c r="W42" s="56" t="s">
        <v>56</v>
      </c>
      <c r="X42" s="56" t="s">
        <v>56</v>
      </c>
      <c r="Y42" s="11" t="s">
        <v>60</v>
      </c>
      <c r="Z42" s="21" t="s">
        <v>289</v>
      </c>
      <c r="AA42" s="36" t="s">
        <v>429</v>
      </c>
      <c r="AB42" s="36">
        <v>0</v>
      </c>
      <c r="AC42" s="23" t="s">
        <v>64</v>
      </c>
      <c r="AE42" s="25" t="s">
        <v>66</v>
      </c>
      <c r="AF42" s="25" t="s">
        <v>66</v>
      </c>
      <c r="AG42" s="44" t="s">
        <v>80</v>
      </c>
      <c r="AH42" s="31" t="s">
        <v>98</v>
      </c>
      <c r="AI42" s="31" t="s">
        <v>430</v>
      </c>
      <c r="AJ42" s="31" t="s">
        <v>431</v>
      </c>
      <c r="AK42" s="64" t="s">
        <v>432</v>
      </c>
      <c r="AL42" s="46" t="s">
        <v>72</v>
      </c>
      <c r="AM42" s="31" t="s">
        <v>215</v>
      </c>
      <c r="AN42" s="31" t="s">
        <v>433</v>
      </c>
    </row>
    <row r="43" spans="1:41" ht="15" customHeight="1" x14ac:dyDescent="0.25">
      <c r="A43" s="31">
        <v>1</v>
      </c>
      <c r="B43" s="31">
        <v>1</v>
      </c>
      <c r="C43" s="78" t="s">
        <v>434</v>
      </c>
      <c r="D43" s="13" t="s">
        <v>90</v>
      </c>
      <c r="E43" s="31" t="s">
        <v>41</v>
      </c>
      <c r="F43" s="11">
        <v>5</v>
      </c>
      <c r="G43" s="11">
        <v>5</v>
      </c>
      <c r="H43" s="11">
        <v>5</v>
      </c>
      <c r="I43" s="11" t="str">
        <f t="shared" si="1"/>
        <v>↑↑</v>
      </c>
      <c r="J43" s="11" t="str">
        <f t="shared" si="1"/>
        <v>↑↑</v>
      </c>
      <c r="K43" s="11" t="str">
        <f t="shared" si="1"/>
        <v>↑↑</v>
      </c>
      <c r="L43" s="32"/>
      <c r="M43" s="32"/>
      <c r="N43" s="32"/>
      <c r="O43" s="32"/>
      <c r="P43" s="32"/>
      <c r="Q43" s="16" t="s">
        <v>74</v>
      </c>
      <c r="R43" s="11" t="s">
        <v>54</v>
      </c>
      <c r="S43" s="31" t="s">
        <v>414</v>
      </c>
      <c r="T43" s="33" t="s">
        <v>56</v>
      </c>
      <c r="U43" s="33" t="s">
        <v>56</v>
      </c>
      <c r="V43" s="56" t="s">
        <v>56</v>
      </c>
      <c r="W43" s="56" t="s">
        <v>56</v>
      </c>
      <c r="X43" s="56" t="s">
        <v>56</v>
      </c>
      <c r="Y43" s="11" t="s">
        <v>60</v>
      </c>
      <c r="Z43" s="21" t="s">
        <v>435</v>
      </c>
      <c r="AA43" s="51" t="s">
        <v>436</v>
      </c>
      <c r="AB43" s="51" t="s">
        <v>157</v>
      </c>
      <c r="AC43" s="23" t="s">
        <v>64</v>
      </c>
      <c r="AE43" s="25" t="s">
        <v>66</v>
      </c>
      <c r="AF43" s="25" t="s">
        <v>66</v>
      </c>
      <c r="AG43" s="44" t="s">
        <v>80</v>
      </c>
      <c r="AH43" s="31" t="s">
        <v>98</v>
      </c>
      <c r="AI43" s="31" t="s">
        <v>437</v>
      </c>
      <c r="AJ43" s="31" t="s">
        <v>438</v>
      </c>
      <c r="AK43" s="79" t="s">
        <v>439</v>
      </c>
      <c r="AL43" s="40" t="s">
        <v>120</v>
      </c>
    </row>
    <row r="44" spans="1:41" s="13" customFormat="1" ht="15" customHeight="1" x14ac:dyDescent="0.25">
      <c r="A44" s="31">
        <v>1</v>
      </c>
      <c r="B44" s="31">
        <v>1</v>
      </c>
      <c r="C44" s="78" t="s">
        <v>440</v>
      </c>
      <c r="D44" s="13" t="s">
        <v>90</v>
      </c>
      <c r="E44" s="31" t="s">
        <v>41</v>
      </c>
      <c r="F44" s="11">
        <v>5</v>
      </c>
      <c r="G44" s="11">
        <v>5</v>
      </c>
      <c r="H44" s="11">
        <v>5</v>
      </c>
      <c r="I44" s="11" t="str">
        <f t="shared" si="1"/>
        <v>↑↑</v>
      </c>
      <c r="J44" s="11" t="str">
        <f t="shared" si="1"/>
        <v>↑↑</v>
      </c>
      <c r="K44" s="11" t="str">
        <f t="shared" si="1"/>
        <v>↑↑</v>
      </c>
      <c r="L44" s="32"/>
      <c r="M44" s="32"/>
      <c r="N44" s="32"/>
      <c r="O44" s="32"/>
      <c r="P44" s="32"/>
      <c r="Q44" s="16" t="s">
        <v>53</v>
      </c>
      <c r="R44" s="11" t="s">
        <v>54</v>
      </c>
      <c r="S44" s="31" t="s">
        <v>414</v>
      </c>
      <c r="T44" s="33" t="s">
        <v>56</v>
      </c>
      <c r="U44" s="33" t="s">
        <v>56</v>
      </c>
      <c r="V44" s="56" t="s">
        <v>56</v>
      </c>
      <c r="W44" s="56" t="s">
        <v>56</v>
      </c>
      <c r="X44" s="56" t="s">
        <v>56</v>
      </c>
      <c r="Y44" s="11" t="s">
        <v>60</v>
      </c>
      <c r="Z44" s="21" t="s">
        <v>441</v>
      </c>
      <c r="AA44" s="36" t="s">
        <v>416</v>
      </c>
      <c r="AB44" s="36" t="s">
        <v>421</v>
      </c>
      <c r="AC44" s="23" t="s">
        <v>64</v>
      </c>
      <c r="AD44" s="31"/>
      <c r="AE44" s="25" t="s">
        <v>66</v>
      </c>
      <c r="AF44" s="25" t="s">
        <v>66</v>
      </c>
      <c r="AG44" s="44" t="s">
        <v>80</v>
      </c>
      <c r="AH44" s="31" t="s">
        <v>98</v>
      </c>
      <c r="AI44" s="31" t="s">
        <v>442</v>
      </c>
      <c r="AJ44" s="31" t="s">
        <v>443</v>
      </c>
      <c r="AK44" s="79" t="s">
        <v>444</v>
      </c>
      <c r="AL44" s="46" t="s">
        <v>72</v>
      </c>
    </row>
    <row r="45" spans="1:41" ht="15" customHeight="1" x14ac:dyDescent="0.25">
      <c r="A45" s="31">
        <v>1</v>
      </c>
      <c r="B45" s="31">
        <v>1</v>
      </c>
      <c r="C45" s="78" t="s">
        <v>445</v>
      </c>
      <c r="D45" s="13" t="s">
        <v>122</v>
      </c>
      <c r="E45" s="31" t="s">
        <v>42</v>
      </c>
      <c r="F45" s="11">
        <v>4</v>
      </c>
      <c r="G45" s="11">
        <v>4</v>
      </c>
      <c r="H45" s="11">
        <v>4</v>
      </c>
      <c r="I45" s="11" t="str">
        <f t="shared" si="1"/>
        <v>↑</v>
      </c>
      <c r="J45" s="11" t="str">
        <f t="shared" si="1"/>
        <v>↑</v>
      </c>
      <c r="K45" s="11" t="str">
        <f t="shared" si="1"/>
        <v>↑</v>
      </c>
      <c r="L45" s="32"/>
      <c r="M45" s="32"/>
      <c r="N45" s="32"/>
      <c r="O45" s="32"/>
      <c r="P45" s="32"/>
      <c r="Q45" s="16" t="s">
        <v>53</v>
      </c>
      <c r="R45" s="11" t="s">
        <v>54</v>
      </c>
      <c r="S45" s="31" t="s">
        <v>414</v>
      </c>
      <c r="T45" s="33" t="s">
        <v>56</v>
      </c>
      <c r="U45" s="33" t="s">
        <v>56</v>
      </c>
      <c r="V45" s="56" t="s">
        <v>56</v>
      </c>
      <c r="W45" s="56" t="s">
        <v>56</v>
      </c>
      <c r="X45" s="56" t="s">
        <v>56</v>
      </c>
      <c r="Y45" s="11" t="s">
        <v>77</v>
      </c>
      <c r="Z45" s="21" t="s">
        <v>446</v>
      </c>
      <c r="AA45" s="36" t="s">
        <v>416</v>
      </c>
      <c r="AB45" s="36">
        <v>0</v>
      </c>
      <c r="AC45" s="23" t="s">
        <v>64</v>
      </c>
      <c r="AE45" s="25" t="s">
        <v>66</v>
      </c>
      <c r="AF45" s="25" t="s">
        <v>66</v>
      </c>
      <c r="AG45" s="44" t="s">
        <v>80</v>
      </c>
      <c r="AH45" s="31" t="s">
        <v>98</v>
      </c>
      <c r="AI45" s="31" t="s">
        <v>447</v>
      </c>
      <c r="AJ45" s="31" t="s">
        <v>448</v>
      </c>
      <c r="AK45" s="64" t="s">
        <v>449</v>
      </c>
      <c r="AL45" s="40" t="s">
        <v>120</v>
      </c>
    </row>
    <row r="46" spans="1:41" ht="15" customHeight="1" x14ac:dyDescent="0.25">
      <c r="A46" s="31">
        <v>1</v>
      </c>
      <c r="B46" s="31">
        <v>1</v>
      </c>
      <c r="C46" s="13" t="s">
        <v>450</v>
      </c>
      <c r="D46" s="13" t="s">
        <v>122</v>
      </c>
      <c r="E46" s="31" t="s">
        <v>42</v>
      </c>
      <c r="F46" s="11">
        <v>3</v>
      </c>
      <c r="G46" s="11">
        <v>4</v>
      </c>
      <c r="H46" s="11">
        <v>3</v>
      </c>
      <c r="I46" s="11" t="str">
        <f t="shared" si="1"/>
        <v>↔</v>
      </c>
      <c r="J46" s="11" t="str">
        <f t="shared" si="1"/>
        <v>↑</v>
      </c>
      <c r="K46" s="11" t="str">
        <f t="shared" si="1"/>
        <v>↔</v>
      </c>
      <c r="L46" s="32"/>
      <c r="M46" s="32"/>
      <c r="N46" s="32"/>
      <c r="O46" s="32"/>
      <c r="P46" s="32"/>
      <c r="Q46" s="16" t="s">
        <v>74</v>
      </c>
      <c r="R46" s="11" t="s">
        <v>104</v>
      </c>
      <c r="S46" s="56">
        <v>470.08</v>
      </c>
      <c r="T46" s="33" t="s">
        <v>106</v>
      </c>
      <c r="U46" s="33" t="s">
        <v>56</v>
      </c>
      <c r="V46" s="31" t="s">
        <v>451</v>
      </c>
      <c r="W46" s="31" t="s">
        <v>452</v>
      </c>
      <c r="X46" s="31" t="s">
        <v>453</v>
      </c>
      <c r="Y46" s="11" t="s">
        <v>60</v>
      </c>
      <c r="Z46" s="21" t="s">
        <v>454</v>
      </c>
      <c r="AA46" s="22" t="s">
        <v>455</v>
      </c>
      <c r="AB46" s="22" t="s">
        <v>421</v>
      </c>
      <c r="AC46" s="23" t="s">
        <v>64</v>
      </c>
      <c r="AD46" s="31" t="s">
        <v>456</v>
      </c>
      <c r="AE46" s="25" t="s">
        <v>66</v>
      </c>
      <c r="AF46" s="25" t="s">
        <v>66</v>
      </c>
      <c r="AG46" s="44" t="s">
        <v>80</v>
      </c>
      <c r="AH46" s="31" t="s">
        <v>457</v>
      </c>
      <c r="AI46" s="31" t="s">
        <v>458</v>
      </c>
      <c r="AJ46" s="31" t="s">
        <v>459</v>
      </c>
      <c r="AK46" s="45" t="s">
        <v>460</v>
      </c>
      <c r="AL46" s="40" t="s">
        <v>120</v>
      </c>
    </row>
    <row r="47" spans="1:41" ht="15" customHeight="1" x14ac:dyDescent="0.25">
      <c r="A47" s="31">
        <v>1</v>
      </c>
      <c r="B47" s="31">
        <v>1</v>
      </c>
      <c r="C47" s="13" t="s">
        <v>461</v>
      </c>
      <c r="D47" s="13" t="s">
        <v>122</v>
      </c>
      <c r="E47" s="31" t="s">
        <v>42</v>
      </c>
      <c r="F47" s="11">
        <v>3</v>
      </c>
      <c r="G47" s="11">
        <v>4</v>
      </c>
      <c r="H47" s="11">
        <v>3</v>
      </c>
      <c r="I47" s="11" t="str">
        <f t="shared" si="1"/>
        <v>↔</v>
      </c>
      <c r="J47" s="11" t="str">
        <f t="shared" si="1"/>
        <v>↑</v>
      </c>
      <c r="K47" s="11" t="str">
        <f t="shared" si="1"/>
        <v>↔</v>
      </c>
      <c r="L47" s="32"/>
      <c r="M47" s="32"/>
      <c r="N47" s="32"/>
      <c r="O47" s="32"/>
      <c r="P47" s="32"/>
      <c r="Q47" s="16" t="s">
        <v>53</v>
      </c>
      <c r="R47" s="11" t="s">
        <v>54</v>
      </c>
      <c r="S47" s="33" t="s">
        <v>462</v>
      </c>
      <c r="T47" s="33" t="s">
        <v>55</v>
      </c>
      <c r="U47" s="33" t="s">
        <v>56</v>
      </c>
      <c r="V47" s="34" t="s">
        <v>463</v>
      </c>
      <c r="W47" s="34" t="s">
        <v>464</v>
      </c>
      <c r="X47" s="34" t="s">
        <v>465</v>
      </c>
      <c r="Y47" s="11" t="s">
        <v>77</v>
      </c>
      <c r="Z47" s="21" t="s">
        <v>466</v>
      </c>
      <c r="AA47" s="22" t="s">
        <v>467</v>
      </c>
      <c r="AB47" s="22" t="s">
        <v>421</v>
      </c>
      <c r="AC47" s="23" t="s">
        <v>64</v>
      </c>
      <c r="AD47" s="31" t="s">
        <v>456</v>
      </c>
      <c r="AE47" s="25" t="s">
        <v>66</v>
      </c>
      <c r="AF47" s="25" t="s">
        <v>66</v>
      </c>
      <c r="AG47" s="44" t="s">
        <v>80</v>
      </c>
      <c r="AH47" s="31" t="s">
        <v>457</v>
      </c>
      <c r="AI47" s="31" t="s">
        <v>468</v>
      </c>
      <c r="AK47" s="45" t="s">
        <v>469</v>
      </c>
      <c r="AL47" s="46" t="s">
        <v>85</v>
      </c>
      <c r="AO47" s="31" t="s">
        <v>470</v>
      </c>
    </row>
    <row r="48" spans="1:41" ht="15" customHeight="1" x14ac:dyDescent="0.25">
      <c r="A48" s="13">
        <v>1</v>
      </c>
      <c r="B48" s="13">
        <v>3</v>
      </c>
      <c r="C48" s="13" t="s">
        <v>471</v>
      </c>
      <c r="D48" s="13" t="s">
        <v>102</v>
      </c>
      <c r="E48" s="13" t="s">
        <v>44</v>
      </c>
      <c r="F48" s="16">
        <v>1</v>
      </c>
      <c r="G48" s="16">
        <v>1</v>
      </c>
      <c r="H48" s="16">
        <v>1</v>
      </c>
      <c r="I48" s="16" t="str">
        <f t="shared" si="1"/>
        <v>↓↓</v>
      </c>
      <c r="J48" s="16" t="str">
        <f t="shared" si="1"/>
        <v>↓↓</v>
      </c>
      <c r="K48" s="16" t="str">
        <f t="shared" si="1"/>
        <v>↓↓</v>
      </c>
      <c r="L48" s="47"/>
      <c r="M48" s="47"/>
      <c r="N48" s="47"/>
      <c r="O48" s="47"/>
      <c r="P48" s="47"/>
      <c r="Q48" s="16" t="s">
        <v>74</v>
      </c>
      <c r="R48" s="16" t="s">
        <v>54</v>
      </c>
      <c r="S48" s="18">
        <v>58.44</v>
      </c>
      <c r="T48" s="19" t="s">
        <v>106</v>
      </c>
      <c r="U48" s="49" t="s">
        <v>80</v>
      </c>
      <c r="V48" s="34" t="s">
        <v>472</v>
      </c>
      <c r="W48" s="38" t="s">
        <v>473</v>
      </c>
      <c r="X48" s="34" t="s">
        <v>474</v>
      </c>
      <c r="Y48" s="11" t="s">
        <v>135</v>
      </c>
      <c r="Z48" s="21" t="s">
        <v>56</v>
      </c>
      <c r="AA48" s="51" t="s">
        <v>475</v>
      </c>
      <c r="AB48" s="51">
        <v>0</v>
      </c>
      <c r="AC48" s="23" t="s">
        <v>178</v>
      </c>
      <c r="AD48" s="13" t="s">
        <v>476</v>
      </c>
      <c r="AE48" s="68" t="s">
        <v>114</v>
      </c>
      <c r="AF48" s="52" t="s">
        <v>477</v>
      </c>
      <c r="AG48" s="53" t="s">
        <v>478</v>
      </c>
      <c r="AH48" s="22" t="s">
        <v>479</v>
      </c>
      <c r="AI48" s="13" t="s">
        <v>480</v>
      </c>
      <c r="AJ48" s="13" t="s">
        <v>481</v>
      </c>
      <c r="AK48" s="60" t="s">
        <v>482</v>
      </c>
      <c r="AL48" s="46" t="s">
        <v>85</v>
      </c>
    </row>
    <row r="49" spans="1:41" ht="15" customHeight="1" x14ac:dyDescent="0.25">
      <c r="A49" s="13">
        <v>10</v>
      </c>
      <c r="B49" s="13">
        <v>5</v>
      </c>
      <c r="C49" s="13" t="s">
        <v>483</v>
      </c>
      <c r="D49" s="31" t="s">
        <v>172</v>
      </c>
      <c r="E49" s="31" t="s">
        <v>43</v>
      </c>
      <c r="F49" s="11">
        <v>2</v>
      </c>
      <c r="G49" s="11">
        <v>2</v>
      </c>
      <c r="H49" s="11">
        <v>2</v>
      </c>
      <c r="I49" s="11" t="str">
        <f t="shared" si="1"/>
        <v>↓</v>
      </c>
      <c r="J49" s="11" t="str">
        <f t="shared" si="1"/>
        <v>↓</v>
      </c>
      <c r="K49" s="11" t="str">
        <f t="shared" si="1"/>
        <v>↓</v>
      </c>
      <c r="L49" s="32"/>
      <c r="M49" s="32"/>
      <c r="N49" s="32"/>
      <c r="O49" s="32"/>
      <c r="P49" s="32"/>
      <c r="Q49" s="11" t="s">
        <v>53</v>
      </c>
      <c r="R49" s="11" t="s">
        <v>54</v>
      </c>
      <c r="S49" s="56">
        <v>12.13</v>
      </c>
      <c r="T49" s="33" t="s">
        <v>106</v>
      </c>
      <c r="U49" s="57" t="s">
        <v>56</v>
      </c>
      <c r="V49" s="34" t="s">
        <v>484</v>
      </c>
      <c r="W49" s="34" t="s">
        <v>485</v>
      </c>
      <c r="X49" s="34" t="s">
        <v>486</v>
      </c>
      <c r="Y49" s="11" t="s">
        <v>60</v>
      </c>
      <c r="Z49" s="21" t="s">
        <v>487</v>
      </c>
      <c r="AA49" s="51" t="s">
        <v>177</v>
      </c>
      <c r="AB49" s="51">
        <v>0</v>
      </c>
      <c r="AC49" s="23" t="s">
        <v>178</v>
      </c>
      <c r="AD49" s="31" t="s">
        <v>56</v>
      </c>
      <c r="AE49" s="25" t="s">
        <v>66</v>
      </c>
      <c r="AF49" s="25" t="s">
        <v>66</v>
      </c>
      <c r="AG49" s="44" t="s">
        <v>80</v>
      </c>
      <c r="AH49" s="31" t="s">
        <v>488</v>
      </c>
      <c r="AI49" s="31" t="s">
        <v>489</v>
      </c>
      <c r="AJ49" s="31" t="s">
        <v>490</v>
      </c>
      <c r="AK49" s="45" t="s">
        <v>491</v>
      </c>
      <c r="AL49" s="46" t="s">
        <v>72</v>
      </c>
    </row>
    <row r="50" spans="1:41" ht="15" customHeight="1" x14ac:dyDescent="0.25">
      <c r="A50" s="13">
        <v>10</v>
      </c>
      <c r="B50" s="13">
        <v>5</v>
      </c>
      <c r="C50" s="13" t="s">
        <v>492</v>
      </c>
      <c r="D50" s="31" t="s">
        <v>102</v>
      </c>
      <c r="E50" s="31" t="s">
        <v>44</v>
      </c>
      <c r="F50" s="11">
        <v>1</v>
      </c>
      <c r="G50" s="11">
        <v>1</v>
      </c>
      <c r="H50" s="11">
        <v>1</v>
      </c>
      <c r="I50" s="11" t="str">
        <f t="shared" si="1"/>
        <v>↓↓</v>
      </c>
      <c r="J50" s="11" t="str">
        <f t="shared" si="1"/>
        <v>↓↓</v>
      </c>
      <c r="K50" s="11" t="str">
        <f t="shared" si="1"/>
        <v>↓↓</v>
      </c>
      <c r="L50" s="32"/>
      <c r="M50" s="32"/>
      <c r="N50" s="32"/>
      <c r="O50" s="32"/>
      <c r="P50" s="32"/>
      <c r="Q50" s="11" t="s">
        <v>53</v>
      </c>
      <c r="R50" s="11" t="s">
        <v>54</v>
      </c>
      <c r="S50" s="56">
        <v>8.6999999999999993</v>
      </c>
      <c r="T50" s="33" t="s">
        <v>106</v>
      </c>
      <c r="U50" s="57" t="s">
        <v>56</v>
      </c>
      <c r="V50" s="34" t="s">
        <v>493</v>
      </c>
      <c r="W50" s="34" t="s">
        <v>259</v>
      </c>
      <c r="X50" s="34" t="s">
        <v>494</v>
      </c>
      <c r="Y50" s="11" t="s">
        <v>60</v>
      </c>
      <c r="Z50" s="21" t="s">
        <v>495</v>
      </c>
      <c r="AA50" s="51" t="s">
        <v>177</v>
      </c>
      <c r="AB50" s="51">
        <v>0</v>
      </c>
      <c r="AC50" s="23" t="s">
        <v>178</v>
      </c>
      <c r="AD50" s="31" t="s">
        <v>56</v>
      </c>
      <c r="AE50" s="25" t="s">
        <v>66</v>
      </c>
      <c r="AF50" s="25" t="s">
        <v>66</v>
      </c>
      <c r="AG50" s="44" t="s">
        <v>80</v>
      </c>
      <c r="AH50" s="31" t="s">
        <v>496</v>
      </c>
      <c r="AI50" s="31" t="s">
        <v>497</v>
      </c>
      <c r="AJ50" s="31" t="s">
        <v>498</v>
      </c>
      <c r="AK50" s="45" t="s">
        <v>499</v>
      </c>
      <c r="AL50" s="46" t="s">
        <v>85</v>
      </c>
      <c r="AM50" s="31" t="s">
        <v>215</v>
      </c>
      <c r="AN50" s="31" t="s">
        <v>216</v>
      </c>
      <c r="AO50" s="31" t="s">
        <v>500</v>
      </c>
    </row>
    <row r="51" spans="1:41" ht="15" customHeight="1" x14ac:dyDescent="0.25">
      <c r="A51" s="13">
        <v>1</v>
      </c>
      <c r="B51" s="13">
        <v>3</v>
      </c>
      <c r="C51" s="13" t="s">
        <v>501</v>
      </c>
      <c r="D51" s="13" t="s">
        <v>122</v>
      </c>
      <c r="E51" s="13" t="s">
        <v>42</v>
      </c>
      <c r="F51" s="16">
        <v>3</v>
      </c>
      <c r="G51" s="16">
        <v>4</v>
      </c>
      <c r="H51" s="16">
        <v>3</v>
      </c>
      <c r="I51" s="16" t="str">
        <f t="shared" si="1"/>
        <v>↔</v>
      </c>
      <c r="J51" s="16" t="str">
        <f t="shared" si="1"/>
        <v>↑</v>
      </c>
      <c r="K51" s="16" t="str">
        <f t="shared" si="1"/>
        <v>↔</v>
      </c>
      <c r="L51" s="47"/>
      <c r="M51" s="47"/>
      <c r="N51" s="47"/>
      <c r="O51" s="47"/>
      <c r="P51" s="47"/>
      <c r="Q51" s="16" t="s">
        <v>103</v>
      </c>
      <c r="R51" s="16" t="s">
        <v>54</v>
      </c>
      <c r="S51" s="18" t="s">
        <v>502</v>
      </c>
      <c r="T51" s="19" t="s">
        <v>106</v>
      </c>
      <c r="U51" s="49" t="s">
        <v>80</v>
      </c>
      <c r="V51" s="34" t="s">
        <v>503</v>
      </c>
      <c r="W51" s="34" t="s">
        <v>504</v>
      </c>
      <c r="X51" s="80" t="s">
        <v>505</v>
      </c>
      <c r="Y51" s="11" t="s">
        <v>60</v>
      </c>
      <c r="Z51" s="21" t="s">
        <v>506</v>
      </c>
      <c r="AA51" s="22" t="s">
        <v>507</v>
      </c>
      <c r="AB51" s="22" t="s">
        <v>508</v>
      </c>
      <c r="AC51" s="23" t="s">
        <v>178</v>
      </c>
      <c r="AD51" s="13" t="s">
        <v>56</v>
      </c>
      <c r="AE51" s="52" t="s">
        <v>114</v>
      </c>
      <c r="AF51" s="52" t="s">
        <v>115</v>
      </c>
      <c r="AG51" s="81" t="s">
        <v>80</v>
      </c>
      <c r="AH51" s="38" t="s">
        <v>509</v>
      </c>
      <c r="AI51" s="34" t="s">
        <v>510</v>
      </c>
      <c r="AJ51" s="34" t="s">
        <v>511</v>
      </c>
      <c r="AK51" s="54" t="s">
        <v>512</v>
      </c>
      <c r="AL51" s="30" t="s">
        <v>72</v>
      </c>
    </row>
    <row r="52" spans="1:41" ht="15" customHeight="1" x14ac:dyDescent="0.25">
      <c r="A52" s="13">
        <v>1</v>
      </c>
      <c r="B52" s="13">
        <v>3</v>
      </c>
      <c r="C52" s="13" t="s">
        <v>513</v>
      </c>
      <c r="D52" s="31" t="s">
        <v>132</v>
      </c>
      <c r="E52" s="31" t="s">
        <v>45</v>
      </c>
      <c r="F52" s="11">
        <v>1</v>
      </c>
      <c r="G52" s="11">
        <v>1</v>
      </c>
      <c r="H52" s="11">
        <v>1</v>
      </c>
      <c r="I52" s="11" t="str">
        <f t="shared" si="1"/>
        <v>↓↓</v>
      </c>
      <c r="J52" s="11" t="str">
        <f t="shared" si="1"/>
        <v>↓↓</v>
      </c>
      <c r="K52" s="11" t="str">
        <f t="shared" si="1"/>
        <v>↓↓</v>
      </c>
      <c r="L52" s="32"/>
      <c r="M52" s="32"/>
      <c r="N52" s="32"/>
      <c r="O52" s="32"/>
      <c r="P52" s="32"/>
      <c r="Q52" s="11" t="s">
        <v>74</v>
      </c>
      <c r="R52" s="11" t="s">
        <v>54</v>
      </c>
      <c r="S52" s="56">
        <v>8.5500000000000007</v>
      </c>
      <c r="T52" s="33" t="s">
        <v>106</v>
      </c>
      <c r="U52" s="57" t="s">
        <v>80</v>
      </c>
      <c r="V52" s="34" t="s">
        <v>514</v>
      </c>
      <c r="W52" s="34" t="s">
        <v>515</v>
      </c>
      <c r="X52" s="34" t="s">
        <v>516</v>
      </c>
      <c r="Y52" s="11" t="s">
        <v>60</v>
      </c>
      <c r="Z52" s="21" t="s">
        <v>517</v>
      </c>
      <c r="AA52" s="51" t="s">
        <v>518</v>
      </c>
      <c r="AB52" s="51" t="s">
        <v>519</v>
      </c>
      <c r="AC52" s="23" t="s">
        <v>178</v>
      </c>
      <c r="AE52" s="52" t="s">
        <v>114</v>
      </c>
      <c r="AF52" s="25" t="s">
        <v>115</v>
      </c>
      <c r="AG52" s="37" t="s">
        <v>80</v>
      </c>
      <c r="AH52" s="31" t="s">
        <v>520</v>
      </c>
      <c r="AI52" s="61" t="s">
        <v>521</v>
      </c>
      <c r="AJ52" s="61" t="s">
        <v>522</v>
      </c>
      <c r="AK52" s="45" t="s">
        <v>523</v>
      </c>
      <c r="AL52" s="30" t="s">
        <v>72</v>
      </c>
    </row>
    <row r="53" spans="1:41" ht="15" customHeight="1" x14ac:dyDescent="0.25">
      <c r="A53" s="13">
        <v>1</v>
      </c>
      <c r="B53" s="13">
        <v>2</v>
      </c>
      <c r="C53" s="13" t="s">
        <v>524</v>
      </c>
      <c r="D53" s="31" t="s">
        <v>52</v>
      </c>
      <c r="E53" s="31" t="s">
        <v>44</v>
      </c>
      <c r="F53" s="11">
        <v>1</v>
      </c>
      <c r="G53" s="11">
        <v>1</v>
      </c>
      <c r="H53" s="11">
        <v>1</v>
      </c>
      <c r="I53" s="11" t="str">
        <f t="shared" si="1"/>
        <v>↓↓</v>
      </c>
      <c r="J53" s="11" t="str">
        <f t="shared" si="1"/>
        <v>↓↓</v>
      </c>
      <c r="K53" s="11" t="str">
        <f t="shared" si="1"/>
        <v>↓↓</v>
      </c>
      <c r="L53" s="32"/>
      <c r="M53" s="32"/>
      <c r="N53" s="32"/>
      <c r="O53" s="32"/>
      <c r="P53" s="32"/>
      <c r="Q53" s="11" t="s">
        <v>53</v>
      </c>
      <c r="R53" s="11" t="s">
        <v>104</v>
      </c>
      <c r="S53" s="31" t="s">
        <v>525</v>
      </c>
      <c r="T53" s="33" t="s">
        <v>56</v>
      </c>
      <c r="U53" s="33" t="s">
        <v>56</v>
      </c>
      <c r="V53" s="31" t="s">
        <v>525</v>
      </c>
      <c r="W53" s="34" t="s">
        <v>56</v>
      </c>
      <c r="X53" s="31" t="s">
        <v>56</v>
      </c>
      <c r="Y53" s="11" t="s">
        <v>77</v>
      </c>
      <c r="Z53" s="21" t="s">
        <v>526</v>
      </c>
      <c r="AA53" s="51" t="s">
        <v>527</v>
      </c>
      <c r="AB53" s="51">
        <v>0</v>
      </c>
      <c r="AC53" s="23" t="s">
        <v>64</v>
      </c>
      <c r="AD53" s="31" t="s">
        <v>528</v>
      </c>
      <c r="AE53" s="25" t="s">
        <v>66</v>
      </c>
      <c r="AF53" s="25" t="s">
        <v>66</v>
      </c>
      <c r="AG53" s="44" t="s">
        <v>80</v>
      </c>
      <c r="AH53" s="31" t="s">
        <v>529</v>
      </c>
      <c r="AI53" s="31" t="s">
        <v>530</v>
      </c>
      <c r="AK53" s="45" t="s">
        <v>531</v>
      </c>
      <c r="AL53" s="40" t="s">
        <v>120</v>
      </c>
    </row>
    <row r="54" spans="1:41" ht="15" customHeight="1" x14ac:dyDescent="0.25">
      <c r="A54" s="13">
        <v>1</v>
      </c>
      <c r="B54" s="13">
        <v>2</v>
      </c>
      <c r="C54" s="13" t="s">
        <v>532</v>
      </c>
      <c r="D54" s="31" t="s">
        <v>52</v>
      </c>
      <c r="E54" s="31" t="s">
        <v>44</v>
      </c>
      <c r="F54" s="11">
        <v>1</v>
      </c>
      <c r="G54" s="11">
        <v>1</v>
      </c>
      <c r="H54" s="11">
        <v>1</v>
      </c>
      <c r="I54" s="11" t="str">
        <f t="shared" si="1"/>
        <v>↓↓</v>
      </c>
      <c r="J54" s="11" t="str">
        <f t="shared" si="1"/>
        <v>↓↓</v>
      </c>
      <c r="K54" s="11" t="str">
        <f t="shared" si="1"/>
        <v>↓↓</v>
      </c>
      <c r="L54" s="32"/>
      <c r="M54" s="32"/>
      <c r="N54" s="32"/>
      <c r="O54" s="32"/>
      <c r="P54" s="32"/>
      <c r="Q54" s="16" t="s">
        <v>74</v>
      </c>
      <c r="R54" s="11" t="s">
        <v>104</v>
      </c>
      <c r="S54" s="31" t="s">
        <v>525</v>
      </c>
      <c r="T54" s="33" t="s">
        <v>56</v>
      </c>
      <c r="U54" s="33" t="s">
        <v>56</v>
      </c>
      <c r="V54" s="31" t="s">
        <v>525</v>
      </c>
      <c r="W54" s="34" t="s">
        <v>56</v>
      </c>
      <c r="X54" s="31" t="s">
        <v>56</v>
      </c>
      <c r="Y54" s="11" t="s">
        <v>77</v>
      </c>
      <c r="Z54" s="21" t="s">
        <v>533</v>
      </c>
      <c r="AA54" s="22" t="s">
        <v>534</v>
      </c>
      <c r="AB54" s="22">
        <v>0</v>
      </c>
      <c r="AC54" s="23" t="s">
        <v>64</v>
      </c>
      <c r="AD54" s="31" t="s">
        <v>528</v>
      </c>
      <c r="AE54" s="25" t="s">
        <v>66</v>
      </c>
      <c r="AF54" s="25" t="s">
        <v>66</v>
      </c>
      <c r="AG54" s="44" t="s">
        <v>80</v>
      </c>
      <c r="AH54" s="31" t="s">
        <v>529</v>
      </c>
      <c r="AI54" s="31" t="s">
        <v>535</v>
      </c>
      <c r="AJ54" s="39" t="s">
        <v>536</v>
      </c>
      <c r="AK54" s="45" t="s">
        <v>537</v>
      </c>
      <c r="AL54" s="46" t="s">
        <v>72</v>
      </c>
    </row>
    <row r="55" spans="1:41" ht="15" customHeight="1" x14ac:dyDescent="0.25">
      <c r="A55" s="13">
        <v>1</v>
      </c>
      <c r="B55" s="13">
        <v>2</v>
      </c>
      <c r="C55" s="13" t="s">
        <v>538</v>
      </c>
      <c r="D55" s="31" t="s">
        <v>52</v>
      </c>
      <c r="E55" s="31" t="s">
        <v>44</v>
      </c>
      <c r="F55" s="11">
        <v>1</v>
      </c>
      <c r="G55" s="11">
        <v>1</v>
      </c>
      <c r="H55" s="11">
        <v>1</v>
      </c>
      <c r="I55" s="11" t="str">
        <f t="shared" si="1"/>
        <v>↓↓</v>
      </c>
      <c r="J55" s="11" t="str">
        <f t="shared" si="1"/>
        <v>↓↓</v>
      </c>
      <c r="K55" s="11" t="str">
        <f t="shared" si="1"/>
        <v>↓↓</v>
      </c>
      <c r="L55" s="32"/>
      <c r="M55" s="32"/>
      <c r="N55" s="32"/>
      <c r="O55" s="32"/>
      <c r="P55" s="32"/>
      <c r="Q55" s="11" t="s">
        <v>53</v>
      </c>
      <c r="R55" s="11" t="s">
        <v>104</v>
      </c>
      <c r="S55" s="31" t="s">
        <v>525</v>
      </c>
      <c r="T55" s="33" t="s">
        <v>56</v>
      </c>
      <c r="U55" s="33" t="s">
        <v>56</v>
      </c>
      <c r="V55" s="31" t="s">
        <v>525</v>
      </c>
      <c r="W55" s="34" t="s">
        <v>56</v>
      </c>
      <c r="X55" s="31" t="s">
        <v>56</v>
      </c>
      <c r="Y55" s="11" t="s">
        <v>60</v>
      </c>
      <c r="Z55" s="21" t="s">
        <v>289</v>
      </c>
      <c r="AA55" s="51" t="s">
        <v>539</v>
      </c>
      <c r="AB55" s="51">
        <v>0</v>
      </c>
      <c r="AC55" s="23" t="s">
        <v>64</v>
      </c>
      <c r="AD55" s="31" t="s">
        <v>528</v>
      </c>
      <c r="AE55" s="25" t="s">
        <v>66</v>
      </c>
      <c r="AF55" s="25" t="s">
        <v>66</v>
      </c>
      <c r="AG55" s="44" t="s">
        <v>80</v>
      </c>
      <c r="AH55" s="31" t="s">
        <v>529</v>
      </c>
      <c r="AI55" s="31" t="s">
        <v>540</v>
      </c>
      <c r="AK55" s="69" t="s">
        <v>541</v>
      </c>
      <c r="AL55" s="40" t="s">
        <v>120</v>
      </c>
    </row>
    <row r="56" spans="1:41" ht="15" customHeight="1" x14ac:dyDescent="0.25">
      <c r="A56" s="13">
        <v>10</v>
      </c>
      <c r="B56" s="13">
        <v>3</v>
      </c>
      <c r="C56" s="13" t="s">
        <v>542</v>
      </c>
      <c r="D56" s="31" t="s">
        <v>172</v>
      </c>
      <c r="E56" s="31" t="s">
        <v>43</v>
      </c>
      <c r="F56" s="11">
        <v>2</v>
      </c>
      <c r="G56" s="11">
        <v>3</v>
      </c>
      <c r="H56" s="11">
        <v>2</v>
      </c>
      <c r="I56" s="11" t="str">
        <f t="shared" si="1"/>
        <v>↓</v>
      </c>
      <c r="J56" s="11" t="str">
        <f t="shared" si="1"/>
        <v>↔</v>
      </c>
      <c r="K56" s="11" t="str">
        <f t="shared" si="1"/>
        <v>↓</v>
      </c>
      <c r="L56" s="32"/>
      <c r="M56" s="32"/>
      <c r="N56" s="32"/>
      <c r="O56" s="32"/>
      <c r="P56" s="32"/>
      <c r="Q56" s="11" t="s">
        <v>53</v>
      </c>
      <c r="R56" s="11" t="s">
        <v>54</v>
      </c>
      <c r="S56" s="56">
        <v>1.71</v>
      </c>
      <c r="T56" s="33" t="s">
        <v>106</v>
      </c>
      <c r="U56" s="57" t="s">
        <v>80</v>
      </c>
      <c r="V56" s="34" t="s">
        <v>543</v>
      </c>
      <c r="W56" s="34" t="s">
        <v>544</v>
      </c>
      <c r="X56" s="13" t="s">
        <v>545</v>
      </c>
      <c r="Y56" s="11" t="s">
        <v>77</v>
      </c>
      <c r="Z56" s="21" t="s">
        <v>546</v>
      </c>
      <c r="AA56" s="51" t="s">
        <v>547</v>
      </c>
      <c r="AB56" s="51" t="s">
        <v>548</v>
      </c>
      <c r="AC56" s="23" t="s">
        <v>178</v>
      </c>
      <c r="AD56" s="31" t="s">
        <v>56</v>
      </c>
      <c r="AE56" s="25" t="s">
        <v>66</v>
      </c>
      <c r="AF56" s="52" t="s">
        <v>66</v>
      </c>
      <c r="AG56" s="81" t="s">
        <v>80</v>
      </c>
      <c r="AH56" s="59" t="s">
        <v>549</v>
      </c>
      <c r="AI56" s="31" t="s">
        <v>550</v>
      </c>
      <c r="AJ56" s="31" t="s">
        <v>551</v>
      </c>
      <c r="AK56" s="62" t="s">
        <v>552</v>
      </c>
      <c r="AL56" s="30" t="s">
        <v>72</v>
      </c>
    </row>
    <row r="57" spans="1:41" ht="15" customHeight="1" x14ac:dyDescent="0.25">
      <c r="A57" s="13">
        <v>10</v>
      </c>
      <c r="B57" s="13">
        <v>3</v>
      </c>
      <c r="C57" s="13" t="s">
        <v>553</v>
      </c>
      <c r="D57" s="13" t="s">
        <v>172</v>
      </c>
      <c r="E57" s="13" t="s">
        <v>43</v>
      </c>
      <c r="F57" s="16">
        <v>2</v>
      </c>
      <c r="G57" s="16">
        <v>2</v>
      </c>
      <c r="H57" s="16">
        <v>2</v>
      </c>
      <c r="I57" s="16" t="str">
        <f t="shared" si="1"/>
        <v>↓</v>
      </c>
      <c r="J57" s="16" t="str">
        <f t="shared" si="1"/>
        <v>↓</v>
      </c>
      <c r="K57" s="16" t="str">
        <f t="shared" si="1"/>
        <v>↓</v>
      </c>
      <c r="L57" s="47"/>
      <c r="M57" s="47"/>
      <c r="N57" s="47"/>
      <c r="O57" s="47"/>
      <c r="P57" s="47"/>
      <c r="Q57" s="16" t="s">
        <v>53</v>
      </c>
      <c r="R57" s="16" t="s">
        <v>104</v>
      </c>
      <c r="S57" s="18">
        <v>483.33</v>
      </c>
      <c r="T57" s="19" t="s">
        <v>554</v>
      </c>
      <c r="U57" s="49" t="s">
        <v>107</v>
      </c>
      <c r="V57" s="34" t="s">
        <v>555</v>
      </c>
      <c r="W57" s="34" t="s">
        <v>556</v>
      </c>
      <c r="X57" s="34" t="s">
        <v>557</v>
      </c>
      <c r="Y57" s="11" t="s">
        <v>60</v>
      </c>
      <c r="Z57" s="21" t="s">
        <v>558</v>
      </c>
      <c r="AA57" s="22" t="s">
        <v>559</v>
      </c>
      <c r="AB57" s="22" t="s">
        <v>560</v>
      </c>
      <c r="AC57" s="23" t="s">
        <v>112</v>
      </c>
      <c r="AD57" s="13" t="s">
        <v>561</v>
      </c>
      <c r="AE57" s="25" t="s">
        <v>115</v>
      </c>
      <c r="AF57" s="52" t="s">
        <v>477</v>
      </c>
      <c r="AG57" s="53" t="s">
        <v>562</v>
      </c>
      <c r="AH57" s="38" t="s">
        <v>563</v>
      </c>
      <c r="AI57" s="13" t="s">
        <v>564</v>
      </c>
      <c r="AJ57" s="29" t="s">
        <v>565</v>
      </c>
      <c r="AK57" s="54" t="s">
        <v>566</v>
      </c>
      <c r="AL57" s="40" t="s">
        <v>120</v>
      </c>
    </row>
    <row r="58" spans="1:41" s="13" customFormat="1" ht="15" customHeight="1" x14ac:dyDescent="0.25">
      <c r="A58" s="13">
        <v>1</v>
      </c>
      <c r="B58" s="13">
        <v>2</v>
      </c>
      <c r="C58" s="13" t="s">
        <v>567</v>
      </c>
      <c r="D58" s="31" t="s">
        <v>172</v>
      </c>
      <c r="E58" s="31" t="s">
        <v>43</v>
      </c>
      <c r="F58" s="11">
        <v>2</v>
      </c>
      <c r="G58" s="11">
        <v>2</v>
      </c>
      <c r="H58" s="11">
        <v>2</v>
      </c>
      <c r="I58" s="11" t="str">
        <f t="shared" si="1"/>
        <v>↓</v>
      </c>
      <c r="J58" s="11" t="str">
        <f t="shared" si="1"/>
        <v>↓</v>
      </c>
      <c r="K58" s="11" t="str">
        <f t="shared" si="1"/>
        <v>↓</v>
      </c>
      <c r="L58" s="32"/>
      <c r="M58" s="32"/>
      <c r="N58" s="32"/>
      <c r="O58" s="32"/>
      <c r="P58" s="32"/>
      <c r="Q58" s="11" t="s">
        <v>74</v>
      </c>
      <c r="R58" s="11" t="s">
        <v>104</v>
      </c>
      <c r="S58" s="56">
        <v>867.84</v>
      </c>
      <c r="T58" s="33" t="s">
        <v>106</v>
      </c>
      <c r="U58" s="33" t="s">
        <v>56</v>
      </c>
      <c r="V58" s="20" t="s">
        <v>568</v>
      </c>
      <c r="W58" s="34" t="s">
        <v>569</v>
      </c>
      <c r="X58" s="34" t="s">
        <v>570</v>
      </c>
      <c r="Y58" s="11" t="s">
        <v>77</v>
      </c>
      <c r="Z58" s="21" t="s">
        <v>571</v>
      </c>
      <c r="AA58" s="51" t="s">
        <v>572</v>
      </c>
      <c r="AB58" s="51">
        <v>0</v>
      </c>
      <c r="AC58" s="23" t="s">
        <v>64</v>
      </c>
      <c r="AD58" s="31" t="s">
        <v>573</v>
      </c>
      <c r="AE58" s="25" t="s">
        <v>66</v>
      </c>
      <c r="AF58" s="25" t="s">
        <v>66</v>
      </c>
      <c r="AG58" s="44" t="s">
        <v>80</v>
      </c>
      <c r="AH58" s="31" t="s">
        <v>574</v>
      </c>
      <c r="AI58" s="31" t="s">
        <v>575</v>
      </c>
      <c r="AJ58" s="31" t="s">
        <v>576</v>
      </c>
      <c r="AK58" s="45" t="s">
        <v>577</v>
      </c>
      <c r="AL58" s="40" t="s">
        <v>120</v>
      </c>
    </row>
    <row r="59" spans="1:41" ht="15" customHeight="1" x14ac:dyDescent="0.25">
      <c r="A59" s="13">
        <v>1</v>
      </c>
      <c r="B59" s="13">
        <v>4</v>
      </c>
      <c r="C59" s="13" t="s">
        <v>578</v>
      </c>
      <c r="D59" s="31" t="s">
        <v>172</v>
      </c>
      <c r="E59" s="31" t="s">
        <v>43</v>
      </c>
      <c r="F59" s="11">
        <v>2</v>
      </c>
      <c r="G59" s="11">
        <v>2</v>
      </c>
      <c r="H59" s="11">
        <v>2</v>
      </c>
      <c r="I59" s="11" t="str">
        <f t="shared" si="1"/>
        <v>↓</v>
      </c>
      <c r="J59" s="11" t="str">
        <f t="shared" si="1"/>
        <v>↓</v>
      </c>
      <c r="K59" s="11" t="str">
        <f t="shared" si="1"/>
        <v>↓</v>
      </c>
      <c r="L59" s="32"/>
      <c r="M59" s="32"/>
      <c r="N59" s="32"/>
      <c r="O59" s="32"/>
      <c r="P59" s="32"/>
      <c r="Q59" s="11" t="s">
        <v>74</v>
      </c>
      <c r="R59" s="11" t="s">
        <v>54</v>
      </c>
      <c r="S59" s="56">
        <v>31.5</v>
      </c>
      <c r="T59" s="33" t="s">
        <v>106</v>
      </c>
      <c r="U59" s="57" t="s">
        <v>56</v>
      </c>
      <c r="V59" s="34" t="s">
        <v>579</v>
      </c>
      <c r="W59" s="34" t="s">
        <v>259</v>
      </c>
      <c r="X59" s="34" t="s">
        <v>580</v>
      </c>
      <c r="Y59" s="11" t="s">
        <v>60</v>
      </c>
      <c r="Z59" s="21" t="s">
        <v>289</v>
      </c>
      <c r="AA59" s="51" t="s">
        <v>199</v>
      </c>
      <c r="AB59" s="51">
        <v>0</v>
      </c>
      <c r="AC59" s="23" t="s">
        <v>178</v>
      </c>
      <c r="AD59" s="31" t="s">
        <v>56</v>
      </c>
      <c r="AE59" s="25" t="s">
        <v>66</v>
      </c>
      <c r="AF59" s="25" t="s">
        <v>66</v>
      </c>
      <c r="AG59" s="44" t="s">
        <v>80</v>
      </c>
      <c r="AH59" s="31" t="s">
        <v>581</v>
      </c>
      <c r="AI59" s="31" t="s">
        <v>582</v>
      </c>
      <c r="AJ59" s="31" t="s">
        <v>583</v>
      </c>
      <c r="AK59" s="69" t="s">
        <v>584</v>
      </c>
      <c r="AL59" s="40" t="s">
        <v>120</v>
      </c>
    </row>
    <row r="60" spans="1:41" s="13" customFormat="1" ht="15" customHeight="1" x14ac:dyDescent="0.25">
      <c r="A60" s="31">
        <v>1</v>
      </c>
      <c r="B60" s="31">
        <v>1</v>
      </c>
      <c r="C60" s="13" t="s">
        <v>585</v>
      </c>
      <c r="D60" s="13" t="s">
        <v>172</v>
      </c>
      <c r="E60" s="31" t="s">
        <v>43</v>
      </c>
      <c r="F60" s="11">
        <v>3</v>
      </c>
      <c r="G60" s="11">
        <v>3</v>
      </c>
      <c r="H60" s="11">
        <v>3</v>
      </c>
      <c r="I60" s="11" t="str">
        <f t="shared" si="1"/>
        <v>↔</v>
      </c>
      <c r="J60" s="11" t="str">
        <f t="shared" si="1"/>
        <v>↔</v>
      </c>
      <c r="K60" s="11" t="str">
        <f t="shared" si="1"/>
        <v>↔</v>
      </c>
      <c r="L60" s="32"/>
      <c r="M60" s="32"/>
      <c r="N60" s="32"/>
      <c r="O60" s="32"/>
      <c r="P60" s="32"/>
      <c r="Q60" s="16" t="s">
        <v>53</v>
      </c>
      <c r="R60" s="11" t="s">
        <v>54</v>
      </c>
      <c r="S60" s="42" t="s">
        <v>586</v>
      </c>
      <c r="T60" s="42" t="s">
        <v>55</v>
      </c>
      <c r="U60" s="43" t="s">
        <v>56</v>
      </c>
      <c r="V60" s="59" t="s">
        <v>587</v>
      </c>
      <c r="W60" s="61" t="s">
        <v>588</v>
      </c>
      <c r="X60" s="34" t="s">
        <v>589</v>
      </c>
      <c r="Y60" s="11" t="s">
        <v>60</v>
      </c>
      <c r="Z60" s="21" t="s">
        <v>228</v>
      </c>
      <c r="AA60" s="22" t="s">
        <v>590</v>
      </c>
      <c r="AB60" s="22" t="s">
        <v>230</v>
      </c>
      <c r="AC60" s="23" t="s">
        <v>64</v>
      </c>
      <c r="AD60" s="31" t="s">
        <v>591</v>
      </c>
      <c r="AE60" s="25" t="s">
        <v>66</v>
      </c>
      <c r="AF60" s="25" t="s">
        <v>66</v>
      </c>
      <c r="AG60" s="44" t="s">
        <v>80</v>
      </c>
      <c r="AH60" s="31" t="s">
        <v>592</v>
      </c>
      <c r="AI60" s="31" t="s">
        <v>593</v>
      </c>
      <c r="AJ60" s="39" t="s">
        <v>594</v>
      </c>
      <c r="AK60" s="45" t="s">
        <v>595</v>
      </c>
      <c r="AL60" s="46" t="s">
        <v>85</v>
      </c>
      <c r="AM60" s="13" t="s">
        <v>215</v>
      </c>
      <c r="AN60" s="13" t="s">
        <v>216</v>
      </c>
      <c r="AO60" s="13" t="s">
        <v>596</v>
      </c>
    </row>
    <row r="61" spans="1:41" ht="15" customHeight="1" x14ac:dyDescent="0.25">
      <c r="A61" s="13">
        <v>1</v>
      </c>
      <c r="B61" s="31">
        <v>1</v>
      </c>
      <c r="C61" s="13" t="s">
        <v>597</v>
      </c>
      <c r="D61" s="31" t="s">
        <v>102</v>
      </c>
      <c r="E61" s="31" t="s">
        <v>44</v>
      </c>
      <c r="F61" s="11">
        <v>1</v>
      </c>
      <c r="G61" s="11">
        <v>1</v>
      </c>
      <c r="H61" s="11">
        <v>1</v>
      </c>
      <c r="I61" s="11" t="str">
        <f t="shared" si="1"/>
        <v>↓↓</v>
      </c>
      <c r="J61" s="11" t="str">
        <f t="shared" si="1"/>
        <v>↓↓</v>
      </c>
      <c r="K61" s="11" t="str">
        <f t="shared" si="1"/>
        <v>↓↓</v>
      </c>
      <c r="L61" s="32"/>
      <c r="M61" s="32"/>
      <c r="N61" s="32"/>
      <c r="O61" s="32"/>
      <c r="P61" s="32"/>
      <c r="Q61" s="11" t="s">
        <v>53</v>
      </c>
      <c r="R61" s="11" t="s">
        <v>54</v>
      </c>
      <c r="S61" s="31" t="s">
        <v>598</v>
      </c>
      <c r="T61" s="33" t="s">
        <v>56</v>
      </c>
      <c r="U61" s="33" t="s">
        <v>56</v>
      </c>
      <c r="V61" s="31" t="s">
        <v>599</v>
      </c>
      <c r="W61" s="34" t="s">
        <v>56</v>
      </c>
      <c r="X61" s="34" t="s">
        <v>56</v>
      </c>
      <c r="Y61" s="11" t="s">
        <v>60</v>
      </c>
      <c r="Z61" s="21" t="s">
        <v>600</v>
      </c>
      <c r="AA61" s="51" t="s">
        <v>601</v>
      </c>
      <c r="AB61" s="51">
        <v>0</v>
      </c>
      <c r="AC61" s="23" t="s">
        <v>112</v>
      </c>
      <c r="AD61" s="31" t="s">
        <v>56</v>
      </c>
      <c r="AE61" s="25" t="s">
        <v>66</v>
      </c>
      <c r="AF61" s="25" t="s">
        <v>66</v>
      </c>
      <c r="AG61" s="44" t="s">
        <v>80</v>
      </c>
      <c r="AH61" s="31" t="s">
        <v>341</v>
      </c>
      <c r="AI61" s="31" t="s">
        <v>602</v>
      </c>
      <c r="AJ61" s="31" t="s">
        <v>70</v>
      </c>
      <c r="AK61" s="45" t="s">
        <v>603</v>
      </c>
      <c r="AL61" s="46" t="s">
        <v>85</v>
      </c>
      <c r="AM61" s="31" t="s">
        <v>215</v>
      </c>
      <c r="AN61" s="31" t="s">
        <v>248</v>
      </c>
    </row>
    <row r="62" spans="1:41" ht="15" customHeight="1" x14ac:dyDescent="0.25">
      <c r="A62" s="13">
        <v>1</v>
      </c>
      <c r="B62" s="31">
        <v>1</v>
      </c>
      <c r="C62" s="13" t="s">
        <v>604</v>
      </c>
      <c r="D62" s="31" t="s">
        <v>172</v>
      </c>
      <c r="E62" s="31" t="s">
        <v>43</v>
      </c>
      <c r="F62" s="11">
        <v>2</v>
      </c>
      <c r="G62" s="11">
        <v>2</v>
      </c>
      <c r="H62" s="11">
        <v>2</v>
      </c>
      <c r="I62" s="11" t="str">
        <f t="shared" si="1"/>
        <v>↓</v>
      </c>
      <c r="J62" s="11" t="str">
        <f t="shared" si="1"/>
        <v>↓</v>
      </c>
      <c r="K62" s="11" t="str">
        <f t="shared" si="1"/>
        <v>↓</v>
      </c>
      <c r="L62" s="32"/>
      <c r="M62" s="32"/>
      <c r="N62" s="32"/>
      <c r="O62" s="32"/>
      <c r="P62" s="32"/>
      <c r="Q62" s="11" t="s">
        <v>53</v>
      </c>
      <c r="R62" s="11" t="s">
        <v>54</v>
      </c>
      <c r="S62" s="56">
        <v>207.28</v>
      </c>
      <c r="T62" s="33" t="s">
        <v>55</v>
      </c>
      <c r="U62" s="33" t="s">
        <v>56</v>
      </c>
      <c r="V62" s="34" t="s">
        <v>605</v>
      </c>
      <c r="W62" s="34" t="s">
        <v>56</v>
      </c>
      <c r="X62" s="34" t="s">
        <v>606</v>
      </c>
      <c r="Y62" s="11" t="s">
        <v>77</v>
      </c>
      <c r="Z62" s="21" t="s">
        <v>165</v>
      </c>
      <c r="AA62" s="22" t="s">
        <v>607</v>
      </c>
      <c r="AB62" s="22">
        <v>0</v>
      </c>
      <c r="AC62" s="23" t="s">
        <v>112</v>
      </c>
      <c r="AD62" s="31" t="s">
        <v>56</v>
      </c>
      <c r="AE62" s="25" t="s">
        <v>66</v>
      </c>
      <c r="AF62" s="25" t="s">
        <v>66</v>
      </c>
      <c r="AG62" s="44" t="s">
        <v>80</v>
      </c>
      <c r="AH62" s="31" t="s">
        <v>341</v>
      </c>
      <c r="AI62" s="39" t="s">
        <v>608</v>
      </c>
      <c r="AJ62" s="31" t="s">
        <v>70</v>
      </c>
      <c r="AK62" s="64" t="s">
        <v>609</v>
      </c>
      <c r="AL62" s="40" t="s">
        <v>120</v>
      </c>
    </row>
    <row r="63" spans="1:41" s="13" customFormat="1" ht="15" customHeight="1" x14ac:dyDescent="0.25">
      <c r="A63" s="13">
        <v>1</v>
      </c>
      <c r="B63" s="31">
        <v>1</v>
      </c>
      <c r="C63" s="13" t="s">
        <v>610</v>
      </c>
      <c r="D63" s="31" t="s">
        <v>172</v>
      </c>
      <c r="E63" s="31" t="s">
        <v>43</v>
      </c>
      <c r="F63" s="11">
        <v>2</v>
      </c>
      <c r="G63" s="11">
        <v>2</v>
      </c>
      <c r="H63" s="11">
        <v>2</v>
      </c>
      <c r="I63" s="11" t="str">
        <f t="shared" si="1"/>
        <v>↓</v>
      </c>
      <c r="J63" s="11" t="str">
        <f t="shared" si="1"/>
        <v>↓</v>
      </c>
      <c r="K63" s="11" t="str">
        <f t="shared" si="1"/>
        <v>↓</v>
      </c>
      <c r="L63" s="32"/>
      <c r="M63" s="32"/>
      <c r="N63" s="32"/>
      <c r="O63" s="32"/>
      <c r="P63" s="32"/>
      <c r="Q63" s="11" t="s">
        <v>53</v>
      </c>
      <c r="R63" s="11" t="s">
        <v>54</v>
      </c>
      <c r="S63" s="31" t="s">
        <v>598</v>
      </c>
      <c r="T63" s="33" t="s">
        <v>56</v>
      </c>
      <c r="U63" s="33" t="s">
        <v>56</v>
      </c>
      <c r="V63" s="31" t="s">
        <v>599</v>
      </c>
      <c r="W63" s="34" t="s">
        <v>56</v>
      </c>
      <c r="X63" s="34" t="s">
        <v>56</v>
      </c>
      <c r="Y63" s="11" t="s">
        <v>135</v>
      </c>
      <c r="Z63" s="21" t="s">
        <v>56</v>
      </c>
      <c r="AA63" s="51" t="s">
        <v>611</v>
      </c>
      <c r="AB63" s="51">
        <v>0</v>
      </c>
      <c r="AC63" s="23" t="s">
        <v>112</v>
      </c>
      <c r="AD63" s="31" t="s">
        <v>56</v>
      </c>
      <c r="AE63" s="25" t="s">
        <v>66</v>
      </c>
      <c r="AF63" s="25" t="s">
        <v>66</v>
      </c>
      <c r="AG63" s="44" t="s">
        <v>612</v>
      </c>
      <c r="AH63" s="31" t="s">
        <v>341</v>
      </c>
      <c r="AI63" s="31" t="s">
        <v>613</v>
      </c>
      <c r="AJ63" s="31" t="s">
        <v>70</v>
      </c>
      <c r="AK63" s="64" t="s">
        <v>343</v>
      </c>
      <c r="AL63" s="46" t="s">
        <v>85</v>
      </c>
    </row>
    <row r="64" spans="1:41" ht="15" customHeight="1" x14ac:dyDescent="0.25">
      <c r="A64" s="13">
        <v>10</v>
      </c>
      <c r="B64" s="13">
        <v>3</v>
      </c>
      <c r="C64" s="13" t="s">
        <v>614</v>
      </c>
      <c r="D64" s="31" t="s">
        <v>615</v>
      </c>
      <c r="E64" s="31" t="s">
        <v>45</v>
      </c>
      <c r="F64" s="11">
        <v>1</v>
      </c>
      <c r="G64" s="11">
        <v>1</v>
      </c>
      <c r="H64" s="11">
        <v>1</v>
      </c>
      <c r="I64" s="11" t="str">
        <f t="shared" si="1"/>
        <v>↓↓</v>
      </c>
      <c r="J64" s="11" t="str">
        <f t="shared" si="1"/>
        <v>↓↓</v>
      </c>
      <c r="K64" s="11" t="str">
        <f t="shared" si="1"/>
        <v>↓↓</v>
      </c>
      <c r="L64" s="32"/>
      <c r="M64" s="32"/>
      <c r="N64" s="32"/>
      <c r="O64" s="32"/>
      <c r="P64" s="32"/>
      <c r="Q64" s="11" t="s">
        <v>53</v>
      </c>
      <c r="R64" s="11" t="s">
        <v>104</v>
      </c>
      <c r="S64" s="56">
        <v>10000</v>
      </c>
      <c r="T64" s="33" t="s">
        <v>145</v>
      </c>
      <c r="U64" s="57" t="s">
        <v>107</v>
      </c>
      <c r="V64" s="82" t="s">
        <v>616</v>
      </c>
      <c r="W64" s="82" t="s">
        <v>56</v>
      </c>
      <c r="X64" s="38" t="s">
        <v>617</v>
      </c>
      <c r="Y64" s="11" t="s">
        <v>60</v>
      </c>
      <c r="Z64" s="21" t="s">
        <v>261</v>
      </c>
      <c r="AA64" s="51" t="s">
        <v>618</v>
      </c>
      <c r="AB64" s="51" t="s">
        <v>619</v>
      </c>
      <c r="AC64" s="23" t="s">
        <v>112</v>
      </c>
      <c r="AD64" s="31" t="s">
        <v>56</v>
      </c>
      <c r="AE64" s="25" t="s">
        <v>115</v>
      </c>
      <c r="AF64" s="25" t="s">
        <v>66</v>
      </c>
      <c r="AG64" s="44" t="s">
        <v>562</v>
      </c>
      <c r="AH64" s="59" t="s">
        <v>620</v>
      </c>
      <c r="AI64" s="31" t="s">
        <v>140</v>
      </c>
      <c r="AJ64" s="31" t="s">
        <v>140</v>
      </c>
      <c r="AK64" s="69" t="s">
        <v>621</v>
      </c>
      <c r="AL64" s="40" t="s">
        <v>120</v>
      </c>
    </row>
    <row r="65" spans="1:40" ht="15" customHeight="1" x14ac:dyDescent="0.25">
      <c r="A65" s="13">
        <v>10</v>
      </c>
      <c r="B65" s="13">
        <v>3</v>
      </c>
      <c r="C65" s="13" t="s">
        <v>622</v>
      </c>
      <c r="D65" s="31" t="s">
        <v>132</v>
      </c>
      <c r="E65" s="31" t="s">
        <v>45</v>
      </c>
      <c r="F65" s="11">
        <v>1</v>
      </c>
      <c r="G65" s="11">
        <v>1</v>
      </c>
      <c r="H65" s="11">
        <v>1</v>
      </c>
      <c r="I65" s="11" t="str">
        <f t="shared" si="1"/>
        <v>↓↓</v>
      </c>
      <c r="J65" s="11" t="str">
        <f t="shared" si="1"/>
        <v>↓↓</v>
      </c>
      <c r="K65" s="11" t="str">
        <f t="shared" si="1"/>
        <v>↓↓</v>
      </c>
      <c r="L65" s="32"/>
      <c r="M65" s="32"/>
      <c r="N65" s="32"/>
      <c r="O65" s="32"/>
      <c r="P65" s="32"/>
      <c r="Q65" s="11" t="s">
        <v>103</v>
      </c>
      <c r="R65" s="16" t="s">
        <v>623</v>
      </c>
      <c r="S65" s="18" t="s">
        <v>56</v>
      </c>
      <c r="T65" s="19" t="s">
        <v>56</v>
      </c>
      <c r="U65" s="57" t="s">
        <v>107</v>
      </c>
      <c r="V65" s="34" t="s">
        <v>624</v>
      </c>
      <c r="W65" s="34" t="s">
        <v>625</v>
      </c>
      <c r="X65" s="31" t="s">
        <v>56</v>
      </c>
      <c r="Y65" s="11" t="s">
        <v>626</v>
      </c>
      <c r="Z65" s="21" t="s">
        <v>627</v>
      </c>
      <c r="AA65" s="22" t="s">
        <v>628</v>
      </c>
      <c r="AB65" s="22" t="s">
        <v>209</v>
      </c>
      <c r="AC65" s="23" t="s">
        <v>112</v>
      </c>
      <c r="AD65" s="31" t="s">
        <v>629</v>
      </c>
      <c r="AE65" s="25" t="s">
        <v>66</v>
      </c>
      <c r="AF65" s="25" t="s">
        <v>114</v>
      </c>
      <c r="AG65" s="44" t="s">
        <v>80</v>
      </c>
      <c r="AH65" s="59" t="s">
        <v>630</v>
      </c>
      <c r="AI65" s="31" t="s">
        <v>631</v>
      </c>
      <c r="AJ65" s="31" t="s">
        <v>632</v>
      </c>
      <c r="AK65" s="69" t="s">
        <v>633</v>
      </c>
      <c r="AL65" s="46" t="s">
        <v>85</v>
      </c>
    </row>
    <row r="66" spans="1:40" ht="15" customHeight="1" x14ac:dyDescent="0.25">
      <c r="A66" s="13">
        <v>10</v>
      </c>
      <c r="B66" s="31">
        <v>1</v>
      </c>
      <c r="C66" s="13" t="s">
        <v>634</v>
      </c>
      <c r="D66" s="31" t="s">
        <v>102</v>
      </c>
      <c r="E66" s="31" t="s">
        <v>44</v>
      </c>
      <c r="F66" s="11">
        <v>1</v>
      </c>
      <c r="G66" s="11">
        <v>1</v>
      </c>
      <c r="H66" s="11">
        <v>1</v>
      </c>
      <c r="I66" s="11" t="str">
        <f t="shared" si="1"/>
        <v>↓↓</v>
      </c>
      <c r="J66" s="11" t="str">
        <f t="shared" si="1"/>
        <v>↓↓</v>
      </c>
      <c r="K66" s="11" t="str">
        <f t="shared" si="1"/>
        <v>↓↓</v>
      </c>
      <c r="L66" s="32"/>
      <c r="M66" s="32"/>
      <c r="N66" s="32"/>
      <c r="O66" s="32"/>
      <c r="P66" s="32"/>
      <c r="Q66" s="11" t="s">
        <v>53</v>
      </c>
      <c r="R66" s="11" t="s">
        <v>54</v>
      </c>
      <c r="S66" s="31" t="s">
        <v>635</v>
      </c>
      <c r="T66" s="33" t="s">
        <v>56</v>
      </c>
      <c r="U66" s="33" t="s">
        <v>56</v>
      </c>
      <c r="V66" s="34" t="s">
        <v>635</v>
      </c>
      <c r="W66" s="34" t="s">
        <v>56</v>
      </c>
      <c r="X66" s="34" t="s">
        <v>56</v>
      </c>
      <c r="Y66" s="11" t="s">
        <v>135</v>
      </c>
      <c r="Z66" s="21" t="s">
        <v>636</v>
      </c>
      <c r="AA66" s="51" t="s">
        <v>637</v>
      </c>
      <c r="AB66" s="51">
        <v>0</v>
      </c>
      <c r="AC66" s="23" t="s">
        <v>112</v>
      </c>
      <c r="AD66" s="31" t="s">
        <v>638</v>
      </c>
      <c r="AE66" s="25" t="s">
        <v>66</v>
      </c>
      <c r="AF66" s="25" t="s">
        <v>66</v>
      </c>
      <c r="AG66" s="44" t="s">
        <v>80</v>
      </c>
      <c r="AH66" s="31" t="s">
        <v>639</v>
      </c>
      <c r="AI66" s="31" t="s">
        <v>640</v>
      </c>
      <c r="AJ66" s="31" t="s">
        <v>641</v>
      </c>
      <c r="AK66" s="64" t="s">
        <v>642</v>
      </c>
      <c r="AL66" s="46" t="s">
        <v>72</v>
      </c>
      <c r="AM66" s="31" t="s">
        <v>215</v>
      </c>
      <c r="AN66" s="31" t="s">
        <v>433</v>
      </c>
    </row>
    <row r="67" spans="1:40" ht="15" customHeight="1" x14ac:dyDescent="0.25">
      <c r="A67" s="13">
        <v>10</v>
      </c>
      <c r="B67" s="31">
        <v>1</v>
      </c>
      <c r="C67" s="13" t="s">
        <v>643</v>
      </c>
      <c r="D67" s="31" t="s">
        <v>644</v>
      </c>
      <c r="E67" s="31" t="s">
        <v>44</v>
      </c>
      <c r="F67" s="11">
        <v>2</v>
      </c>
      <c r="G67" s="11">
        <v>2</v>
      </c>
      <c r="H67" s="11">
        <v>2</v>
      </c>
      <c r="I67" s="11" t="str">
        <f t="shared" ref="I67:K77" si="2">IF(F67=1,$P$2,IF(F67=2,$O$2,IF(F67=3,$N$2,IF(F67=4,$M$2,IF(F67=5,$L$2,"ERROR")))))</f>
        <v>↓</v>
      </c>
      <c r="J67" s="11" t="str">
        <f t="shared" si="2"/>
        <v>↓</v>
      </c>
      <c r="K67" s="11" t="str">
        <f t="shared" si="2"/>
        <v>↓</v>
      </c>
      <c r="L67" s="32"/>
      <c r="M67" s="32"/>
      <c r="N67" s="32"/>
      <c r="O67" s="32"/>
      <c r="P67" s="32"/>
      <c r="Q67" s="11" t="s">
        <v>53</v>
      </c>
      <c r="R67" s="11" t="s">
        <v>54</v>
      </c>
      <c r="S67" s="56">
        <v>21.68</v>
      </c>
      <c r="T67" s="33" t="s">
        <v>645</v>
      </c>
      <c r="U67" s="33" t="s">
        <v>56</v>
      </c>
      <c r="V67" s="34" t="s">
        <v>646</v>
      </c>
      <c r="W67" s="34" t="s">
        <v>647</v>
      </c>
      <c r="X67" s="34" t="s">
        <v>648</v>
      </c>
      <c r="Y67" s="11" t="s">
        <v>77</v>
      </c>
      <c r="Z67" s="21" t="s">
        <v>649</v>
      </c>
      <c r="AA67" s="51" t="s">
        <v>650</v>
      </c>
      <c r="AB67" s="51" t="s">
        <v>651</v>
      </c>
      <c r="AC67" s="23" t="s">
        <v>112</v>
      </c>
      <c r="AD67" s="31" t="s">
        <v>638</v>
      </c>
      <c r="AE67" s="25" t="s">
        <v>66</v>
      </c>
      <c r="AF67" s="25" t="s">
        <v>66</v>
      </c>
      <c r="AG67" s="44" t="s">
        <v>80</v>
      </c>
      <c r="AH67" s="59" t="s">
        <v>652</v>
      </c>
      <c r="AI67" s="31" t="s">
        <v>653</v>
      </c>
      <c r="AJ67" s="31" t="s">
        <v>654</v>
      </c>
      <c r="AK67" s="64" t="s">
        <v>655</v>
      </c>
      <c r="AL67" s="46" t="s">
        <v>72</v>
      </c>
    </row>
    <row r="68" spans="1:40" ht="15" customHeight="1" x14ac:dyDescent="0.25">
      <c r="A68" s="13">
        <v>1</v>
      </c>
      <c r="B68" s="13">
        <v>2</v>
      </c>
      <c r="C68" s="13" t="s">
        <v>656</v>
      </c>
      <c r="D68" s="31" t="s">
        <v>52</v>
      </c>
      <c r="E68" s="31" t="s">
        <v>44</v>
      </c>
      <c r="F68" s="11">
        <v>1</v>
      </c>
      <c r="G68" s="11">
        <v>1</v>
      </c>
      <c r="H68" s="11">
        <v>1</v>
      </c>
      <c r="I68" s="11" t="str">
        <f t="shared" si="2"/>
        <v>↓↓</v>
      </c>
      <c r="J68" s="11" t="str">
        <f t="shared" si="2"/>
        <v>↓↓</v>
      </c>
      <c r="K68" s="11" t="str">
        <f t="shared" si="2"/>
        <v>↓↓</v>
      </c>
      <c r="L68" s="32"/>
      <c r="M68" s="32"/>
      <c r="N68" s="32"/>
      <c r="O68" s="32"/>
      <c r="P68" s="32"/>
      <c r="Q68" s="11" t="s">
        <v>103</v>
      </c>
      <c r="R68" s="11" t="s">
        <v>104</v>
      </c>
      <c r="S68" s="31" t="s">
        <v>525</v>
      </c>
      <c r="T68" s="33" t="s">
        <v>56</v>
      </c>
      <c r="U68" s="33" t="s">
        <v>56</v>
      </c>
      <c r="V68" s="31" t="s">
        <v>525</v>
      </c>
      <c r="W68" s="34" t="s">
        <v>56</v>
      </c>
      <c r="X68" s="31" t="s">
        <v>56</v>
      </c>
      <c r="Y68" s="11" t="s">
        <v>77</v>
      </c>
      <c r="Z68" s="21" t="s">
        <v>657</v>
      </c>
      <c r="AA68" s="51" t="s">
        <v>658</v>
      </c>
      <c r="AB68" s="51" t="s">
        <v>659</v>
      </c>
      <c r="AC68" s="23" t="s">
        <v>64</v>
      </c>
      <c r="AD68" s="31" t="s">
        <v>660</v>
      </c>
      <c r="AE68" s="25" t="s">
        <v>66</v>
      </c>
      <c r="AF68" s="25" t="s">
        <v>66</v>
      </c>
      <c r="AG68" s="44" t="s">
        <v>80</v>
      </c>
      <c r="AH68" s="31" t="s">
        <v>661</v>
      </c>
      <c r="AI68" s="31" t="s">
        <v>662</v>
      </c>
      <c r="AJ68" s="31" t="s">
        <v>255</v>
      </c>
      <c r="AK68" s="45" t="s">
        <v>663</v>
      </c>
      <c r="AL68" s="40" t="s">
        <v>120</v>
      </c>
    </row>
    <row r="69" spans="1:40" ht="15" customHeight="1" x14ac:dyDescent="0.25">
      <c r="A69" s="13">
        <v>1</v>
      </c>
      <c r="B69" s="13">
        <v>3</v>
      </c>
      <c r="C69" s="13" t="s">
        <v>664</v>
      </c>
      <c r="D69" s="31" t="s">
        <v>102</v>
      </c>
      <c r="E69" s="31" t="s">
        <v>44</v>
      </c>
      <c r="F69" s="11">
        <v>1</v>
      </c>
      <c r="G69" s="11">
        <v>1</v>
      </c>
      <c r="H69" s="11">
        <v>1</v>
      </c>
      <c r="I69" s="11" t="str">
        <f t="shared" si="2"/>
        <v>↓↓</v>
      </c>
      <c r="J69" s="11" t="str">
        <f t="shared" si="2"/>
        <v>↓↓</v>
      </c>
      <c r="K69" s="11" t="str">
        <f t="shared" si="2"/>
        <v>↓↓</v>
      </c>
      <c r="L69" s="32"/>
      <c r="M69" s="32"/>
      <c r="N69" s="32"/>
      <c r="O69" s="32"/>
      <c r="P69" s="32"/>
      <c r="Q69" s="11" t="s">
        <v>74</v>
      </c>
      <c r="R69" s="11" t="s">
        <v>54</v>
      </c>
      <c r="S69" s="56">
        <v>9.9499999999999993</v>
      </c>
      <c r="T69" s="33" t="s">
        <v>106</v>
      </c>
      <c r="U69" s="57" t="s">
        <v>80</v>
      </c>
      <c r="V69" s="34" t="s">
        <v>665</v>
      </c>
      <c r="W69" s="34" t="s">
        <v>666</v>
      </c>
      <c r="X69" s="34" t="s">
        <v>667</v>
      </c>
      <c r="Y69" s="11" t="s">
        <v>77</v>
      </c>
      <c r="Z69" s="21" t="s">
        <v>668</v>
      </c>
      <c r="AA69" s="51" t="s">
        <v>669</v>
      </c>
      <c r="AB69" s="51" t="s">
        <v>670</v>
      </c>
      <c r="AC69" s="23" t="s">
        <v>178</v>
      </c>
      <c r="AD69" s="31" t="s">
        <v>56</v>
      </c>
      <c r="AE69" s="83" t="s">
        <v>115</v>
      </c>
      <c r="AF69" s="25" t="s">
        <v>66</v>
      </c>
      <c r="AG69" s="37" t="s">
        <v>80</v>
      </c>
      <c r="AH69" s="31" t="s">
        <v>671</v>
      </c>
      <c r="AI69" s="61" t="s">
        <v>672</v>
      </c>
      <c r="AJ69" s="61" t="s">
        <v>673</v>
      </c>
      <c r="AK69" s="69" t="s">
        <v>674</v>
      </c>
      <c r="AL69" s="46" t="s">
        <v>85</v>
      </c>
    </row>
    <row r="70" spans="1:40" ht="15" customHeight="1" x14ac:dyDescent="0.25">
      <c r="A70" s="13">
        <v>1</v>
      </c>
      <c r="B70" s="13">
        <v>3</v>
      </c>
      <c r="C70" s="13" t="s">
        <v>675</v>
      </c>
      <c r="D70" s="31" t="s">
        <v>644</v>
      </c>
      <c r="E70" s="31" t="s">
        <v>43</v>
      </c>
      <c r="F70" s="11">
        <v>2</v>
      </c>
      <c r="G70" s="11">
        <v>3</v>
      </c>
      <c r="H70" s="11">
        <v>2</v>
      </c>
      <c r="I70" s="11" t="str">
        <f t="shared" si="2"/>
        <v>↓</v>
      </c>
      <c r="J70" s="11" t="str">
        <f t="shared" si="2"/>
        <v>↔</v>
      </c>
      <c r="K70" s="11" t="str">
        <f t="shared" si="2"/>
        <v>↓</v>
      </c>
      <c r="L70" s="32"/>
      <c r="M70" s="32"/>
      <c r="N70" s="32"/>
      <c r="O70" s="32"/>
      <c r="P70" s="32"/>
      <c r="Q70" s="11" t="s">
        <v>103</v>
      </c>
      <c r="R70" s="11" t="s">
        <v>54</v>
      </c>
      <c r="S70" s="56">
        <v>27.93</v>
      </c>
      <c r="T70" s="33" t="s">
        <v>106</v>
      </c>
      <c r="U70" s="57" t="s">
        <v>107</v>
      </c>
      <c r="V70" s="34" t="s">
        <v>676</v>
      </c>
      <c r="W70" s="34" t="s">
        <v>677</v>
      </c>
      <c r="X70" s="84" t="s">
        <v>678</v>
      </c>
      <c r="Y70" s="11" t="s">
        <v>60</v>
      </c>
      <c r="Z70" s="21" t="s">
        <v>679</v>
      </c>
      <c r="AA70" s="51" t="s">
        <v>680</v>
      </c>
      <c r="AB70" s="51" t="s">
        <v>548</v>
      </c>
      <c r="AC70" s="23" t="s">
        <v>178</v>
      </c>
      <c r="AD70" s="31" t="s">
        <v>56</v>
      </c>
      <c r="AE70" s="25" t="s">
        <v>66</v>
      </c>
      <c r="AF70" s="25" t="s">
        <v>66</v>
      </c>
      <c r="AG70" s="37" t="s">
        <v>80</v>
      </c>
      <c r="AH70" s="31" t="s">
        <v>681</v>
      </c>
      <c r="AI70" s="61" t="s">
        <v>682</v>
      </c>
      <c r="AJ70" s="61" t="s">
        <v>683</v>
      </c>
      <c r="AK70" s="45" t="s">
        <v>684</v>
      </c>
      <c r="AL70" s="30" t="s">
        <v>72</v>
      </c>
    </row>
    <row r="71" spans="1:40" ht="15" customHeight="1" x14ac:dyDescent="0.25">
      <c r="A71" s="13">
        <v>1</v>
      </c>
      <c r="B71" s="13">
        <v>6</v>
      </c>
      <c r="C71" s="13" t="s">
        <v>685</v>
      </c>
      <c r="D71" s="22" t="s">
        <v>686</v>
      </c>
      <c r="E71" s="31" t="s">
        <v>44</v>
      </c>
      <c r="F71" s="16">
        <v>2</v>
      </c>
      <c r="G71" s="16">
        <v>3</v>
      </c>
      <c r="H71" s="16">
        <v>5</v>
      </c>
      <c r="I71" s="11" t="str">
        <f t="shared" si="2"/>
        <v>↓</v>
      </c>
      <c r="J71" s="11" t="str">
        <f t="shared" si="2"/>
        <v>↔</v>
      </c>
      <c r="K71" s="11" t="str">
        <f t="shared" si="2"/>
        <v>↑↑</v>
      </c>
      <c r="L71" s="32"/>
      <c r="M71" s="32"/>
      <c r="N71" s="32"/>
      <c r="O71" s="32"/>
      <c r="P71" s="32"/>
      <c r="Q71" s="85" t="s">
        <v>687</v>
      </c>
      <c r="R71" s="11" t="s">
        <v>381</v>
      </c>
      <c r="S71" s="86" t="s">
        <v>688</v>
      </c>
      <c r="T71" s="33" t="s">
        <v>145</v>
      </c>
      <c r="U71" s="57" t="s">
        <v>56</v>
      </c>
      <c r="V71" s="38" t="s">
        <v>689</v>
      </c>
      <c r="W71" s="38" t="s">
        <v>690</v>
      </c>
      <c r="X71" s="38" t="s">
        <v>691</v>
      </c>
      <c r="Y71" s="11" t="s">
        <v>626</v>
      </c>
      <c r="Z71" s="21" t="s">
        <v>692</v>
      </c>
      <c r="AA71" s="22" t="s">
        <v>693</v>
      </c>
      <c r="AB71" s="22" t="s">
        <v>694</v>
      </c>
      <c r="AC71" s="58" t="s">
        <v>112</v>
      </c>
      <c r="AD71" s="31" t="s">
        <v>56</v>
      </c>
      <c r="AE71" s="25" t="s">
        <v>66</v>
      </c>
      <c r="AF71" s="25" t="s">
        <v>115</v>
      </c>
      <c r="AG71" s="37" t="s">
        <v>695</v>
      </c>
      <c r="AH71" s="22" t="s">
        <v>696</v>
      </c>
      <c r="AI71" s="31" t="s">
        <v>140</v>
      </c>
      <c r="AJ71" s="31" t="s">
        <v>140</v>
      </c>
      <c r="AK71" s="87" t="s">
        <v>697</v>
      </c>
      <c r="AL71" s="88" t="s">
        <v>120</v>
      </c>
    </row>
    <row r="72" spans="1:40" ht="15" customHeight="1" x14ac:dyDescent="0.25">
      <c r="A72" s="13">
        <v>1</v>
      </c>
      <c r="B72" s="13">
        <v>2</v>
      </c>
      <c r="C72" s="13" t="s">
        <v>698</v>
      </c>
      <c r="D72" s="31" t="s">
        <v>122</v>
      </c>
      <c r="E72" s="31" t="s">
        <v>42</v>
      </c>
      <c r="F72" s="11">
        <v>3</v>
      </c>
      <c r="G72" s="11">
        <v>4</v>
      </c>
      <c r="H72" s="11">
        <v>3</v>
      </c>
      <c r="I72" s="11" t="str">
        <f t="shared" si="2"/>
        <v>↔</v>
      </c>
      <c r="J72" s="11" t="str">
        <f t="shared" si="2"/>
        <v>↑</v>
      </c>
      <c r="K72" s="11" t="str">
        <f t="shared" si="2"/>
        <v>↔</v>
      </c>
      <c r="L72" s="32"/>
      <c r="M72" s="32"/>
      <c r="N72" s="32"/>
      <c r="O72" s="32"/>
      <c r="P72" s="32"/>
      <c r="Q72" s="11" t="s">
        <v>53</v>
      </c>
      <c r="R72" s="11" t="s">
        <v>104</v>
      </c>
      <c r="S72" s="31" t="s">
        <v>525</v>
      </c>
      <c r="T72" s="33" t="s">
        <v>56</v>
      </c>
      <c r="U72" s="33" t="s">
        <v>56</v>
      </c>
      <c r="V72" s="31" t="s">
        <v>525</v>
      </c>
      <c r="W72" s="34" t="s">
        <v>56</v>
      </c>
      <c r="X72" s="31" t="s">
        <v>56</v>
      </c>
      <c r="Y72" s="11" t="s">
        <v>77</v>
      </c>
      <c r="Z72" s="21" t="s">
        <v>699</v>
      </c>
      <c r="AA72" s="51" t="s">
        <v>700</v>
      </c>
      <c r="AB72" s="51" t="s">
        <v>701</v>
      </c>
      <c r="AC72" s="23" t="s">
        <v>64</v>
      </c>
      <c r="AD72" s="31" t="s">
        <v>702</v>
      </c>
      <c r="AE72" s="25" t="s">
        <v>66</v>
      </c>
      <c r="AF72" s="25" t="s">
        <v>66</v>
      </c>
      <c r="AG72" s="44" t="s">
        <v>80</v>
      </c>
      <c r="AH72" s="31" t="s">
        <v>703</v>
      </c>
      <c r="AI72" s="31" t="s">
        <v>704</v>
      </c>
      <c r="AJ72" s="31" t="s">
        <v>705</v>
      </c>
      <c r="AK72" s="45" t="s">
        <v>706</v>
      </c>
      <c r="AL72" s="40" t="s">
        <v>120</v>
      </c>
    </row>
    <row r="73" spans="1:40" ht="15" customHeight="1" x14ac:dyDescent="0.25">
      <c r="A73" s="13">
        <v>10</v>
      </c>
      <c r="B73" s="13">
        <v>3</v>
      </c>
      <c r="C73" s="77" t="s">
        <v>707</v>
      </c>
      <c r="D73" s="31" t="s">
        <v>132</v>
      </c>
      <c r="E73" s="31" t="s">
        <v>45</v>
      </c>
      <c r="F73" s="11">
        <v>1</v>
      </c>
      <c r="G73" s="11">
        <v>1</v>
      </c>
      <c r="H73" s="11">
        <v>1</v>
      </c>
      <c r="I73" s="11" t="str">
        <f t="shared" si="2"/>
        <v>↓↓</v>
      </c>
      <c r="J73" s="11" t="str">
        <f t="shared" si="2"/>
        <v>↓↓</v>
      </c>
      <c r="K73" s="11" t="str">
        <f t="shared" si="2"/>
        <v>↓↓</v>
      </c>
      <c r="L73" s="32"/>
      <c r="M73" s="32"/>
      <c r="N73" s="32"/>
      <c r="O73" s="32"/>
      <c r="P73" s="32"/>
      <c r="Q73" s="11" t="s">
        <v>74</v>
      </c>
      <c r="R73" s="11" t="s">
        <v>54</v>
      </c>
      <c r="S73" s="56">
        <v>42.98</v>
      </c>
      <c r="T73" s="33" t="s">
        <v>106</v>
      </c>
      <c r="U73" s="57" t="s">
        <v>80</v>
      </c>
      <c r="V73" s="34" t="s">
        <v>708</v>
      </c>
      <c r="W73" s="61" t="s">
        <v>709</v>
      </c>
      <c r="X73" s="61" t="s">
        <v>710</v>
      </c>
      <c r="Y73" s="11" t="s">
        <v>77</v>
      </c>
      <c r="Z73" s="89" t="s">
        <v>668</v>
      </c>
      <c r="AA73" s="51" t="s">
        <v>711</v>
      </c>
      <c r="AB73" s="51" t="s">
        <v>712</v>
      </c>
      <c r="AC73" s="23" t="s">
        <v>178</v>
      </c>
      <c r="AD73" s="31" t="s">
        <v>56</v>
      </c>
      <c r="AE73" s="25" t="s">
        <v>114</v>
      </c>
      <c r="AF73" s="25" t="s">
        <v>115</v>
      </c>
      <c r="AG73" s="37" t="s">
        <v>80</v>
      </c>
      <c r="AH73" s="31" t="s">
        <v>713</v>
      </c>
      <c r="AI73" s="61" t="s">
        <v>714</v>
      </c>
      <c r="AJ73" s="61" t="s">
        <v>715</v>
      </c>
      <c r="AK73" s="45" t="s">
        <v>716</v>
      </c>
      <c r="AL73" s="46" t="s">
        <v>85</v>
      </c>
    </row>
    <row r="74" spans="1:40" ht="15" customHeight="1" x14ac:dyDescent="0.25">
      <c r="A74" s="13">
        <v>10</v>
      </c>
      <c r="B74" s="13">
        <v>3</v>
      </c>
      <c r="C74" s="77" t="s">
        <v>717</v>
      </c>
      <c r="D74" s="31" t="s">
        <v>132</v>
      </c>
      <c r="E74" s="31" t="s">
        <v>45</v>
      </c>
      <c r="F74" s="11">
        <v>1</v>
      </c>
      <c r="G74" s="11">
        <v>1</v>
      </c>
      <c r="H74" s="11">
        <v>1</v>
      </c>
      <c r="I74" s="11" t="str">
        <f t="shared" si="2"/>
        <v>↓↓</v>
      </c>
      <c r="J74" s="11" t="str">
        <f t="shared" si="2"/>
        <v>↓↓</v>
      </c>
      <c r="K74" s="11" t="str">
        <f t="shared" si="2"/>
        <v>↓↓</v>
      </c>
      <c r="L74" s="32"/>
      <c r="M74" s="32"/>
      <c r="N74" s="32"/>
      <c r="O74" s="32"/>
      <c r="P74" s="32"/>
      <c r="Q74" s="11" t="s">
        <v>74</v>
      </c>
      <c r="R74" s="11" t="s">
        <v>54</v>
      </c>
      <c r="S74" s="56">
        <v>22.8</v>
      </c>
      <c r="T74" s="33" t="s">
        <v>106</v>
      </c>
      <c r="U74" s="57" t="s">
        <v>80</v>
      </c>
      <c r="V74" s="34" t="s">
        <v>718</v>
      </c>
      <c r="W74" s="34" t="s">
        <v>719</v>
      </c>
      <c r="X74" s="31" t="s">
        <v>720</v>
      </c>
      <c r="Y74" s="11" t="s">
        <v>77</v>
      </c>
      <c r="Z74" s="21" t="s">
        <v>165</v>
      </c>
      <c r="AA74" s="51" t="s">
        <v>711</v>
      </c>
      <c r="AB74" s="51" t="s">
        <v>712</v>
      </c>
      <c r="AC74" s="23" t="s">
        <v>178</v>
      </c>
      <c r="AD74" s="31" t="s">
        <v>56</v>
      </c>
      <c r="AE74" s="25" t="s">
        <v>114</v>
      </c>
      <c r="AF74" s="25" t="s">
        <v>115</v>
      </c>
      <c r="AG74" s="37" t="s">
        <v>80</v>
      </c>
      <c r="AH74" s="31" t="s">
        <v>713</v>
      </c>
      <c r="AI74" s="61" t="s">
        <v>721</v>
      </c>
      <c r="AJ74" s="61" t="s">
        <v>722</v>
      </c>
      <c r="AK74" s="45" t="s">
        <v>723</v>
      </c>
      <c r="AL74" s="46" t="s">
        <v>72</v>
      </c>
    </row>
    <row r="75" spans="1:40" ht="15" customHeight="1" x14ac:dyDescent="0.25">
      <c r="A75" s="13">
        <v>1</v>
      </c>
      <c r="B75" s="13">
        <v>3</v>
      </c>
      <c r="C75" s="13" t="s">
        <v>724</v>
      </c>
      <c r="D75" s="31" t="s">
        <v>52</v>
      </c>
      <c r="E75" s="31" t="s">
        <v>44</v>
      </c>
      <c r="F75" s="11">
        <v>1</v>
      </c>
      <c r="G75" s="11">
        <v>1</v>
      </c>
      <c r="H75" s="11">
        <v>1</v>
      </c>
      <c r="I75" s="11" t="str">
        <f t="shared" si="2"/>
        <v>↓↓</v>
      </c>
      <c r="J75" s="11" t="str">
        <f t="shared" si="2"/>
        <v>↓↓</v>
      </c>
      <c r="K75" s="11" t="str">
        <f t="shared" si="2"/>
        <v>↓↓</v>
      </c>
      <c r="L75" s="32"/>
      <c r="M75" s="32"/>
      <c r="N75" s="32"/>
      <c r="O75" s="32"/>
      <c r="P75" s="32"/>
      <c r="Q75" s="11" t="s">
        <v>74</v>
      </c>
      <c r="R75" s="11" t="s">
        <v>104</v>
      </c>
      <c r="S75" s="56">
        <v>650</v>
      </c>
      <c r="T75" s="33" t="s">
        <v>725</v>
      </c>
      <c r="U75" s="57" t="s">
        <v>107</v>
      </c>
      <c r="V75" s="34" t="s">
        <v>726</v>
      </c>
      <c r="W75" s="34" t="s">
        <v>727</v>
      </c>
      <c r="X75" s="90" t="s">
        <v>728</v>
      </c>
      <c r="Y75" s="11" t="s">
        <v>60</v>
      </c>
      <c r="Z75" s="21" t="s">
        <v>289</v>
      </c>
      <c r="AA75" s="22" t="s">
        <v>729</v>
      </c>
      <c r="AB75" s="22" t="s">
        <v>730</v>
      </c>
      <c r="AC75" s="23" t="s">
        <v>112</v>
      </c>
      <c r="AD75" s="31" t="s">
        <v>56</v>
      </c>
      <c r="AE75" s="52" t="s">
        <v>731</v>
      </c>
      <c r="AF75" s="52" t="s">
        <v>477</v>
      </c>
      <c r="AG75" s="44" t="s">
        <v>80</v>
      </c>
      <c r="AH75" s="31" t="s">
        <v>732</v>
      </c>
      <c r="AI75" s="31" t="s">
        <v>733</v>
      </c>
      <c r="AJ75" s="31" t="s">
        <v>734</v>
      </c>
      <c r="AK75" s="45" t="s">
        <v>735</v>
      </c>
      <c r="AL75" s="46" t="s">
        <v>72</v>
      </c>
    </row>
    <row r="76" spans="1:40" ht="15" customHeight="1" x14ac:dyDescent="0.25">
      <c r="A76" s="13">
        <v>1</v>
      </c>
      <c r="B76" s="13">
        <v>5</v>
      </c>
      <c r="C76" s="13" t="s">
        <v>736</v>
      </c>
      <c r="D76" s="31" t="s">
        <v>102</v>
      </c>
      <c r="E76" s="31" t="s">
        <v>44</v>
      </c>
      <c r="F76" s="11">
        <v>1</v>
      </c>
      <c r="G76" s="11">
        <v>1</v>
      </c>
      <c r="H76" s="11">
        <v>1</v>
      </c>
      <c r="I76" s="11" t="str">
        <f t="shared" si="2"/>
        <v>↓↓</v>
      </c>
      <c r="J76" s="11" t="str">
        <f t="shared" si="2"/>
        <v>↓↓</v>
      </c>
      <c r="K76" s="11" t="str">
        <f t="shared" si="2"/>
        <v>↓↓</v>
      </c>
      <c r="L76" s="32"/>
      <c r="M76" s="32"/>
      <c r="N76" s="32"/>
      <c r="O76" s="32"/>
      <c r="P76" s="32"/>
      <c r="Q76" s="11" t="s">
        <v>74</v>
      </c>
      <c r="R76" s="11" t="s">
        <v>54</v>
      </c>
      <c r="S76" s="56">
        <v>9.3000000000000007</v>
      </c>
      <c r="T76" s="33" t="s">
        <v>106</v>
      </c>
      <c r="U76" s="57" t="s">
        <v>56</v>
      </c>
      <c r="V76" s="34" t="s">
        <v>737</v>
      </c>
      <c r="W76" s="34" t="s">
        <v>259</v>
      </c>
      <c r="X76" s="34" t="s">
        <v>738</v>
      </c>
      <c r="Y76" s="11" t="s">
        <v>60</v>
      </c>
      <c r="Z76" s="21" t="s">
        <v>367</v>
      </c>
      <c r="AA76" s="51" t="s">
        <v>177</v>
      </c>
      <c r="AB76" s="51">
        <v>0</v>
      </c>
      <c r="AC76" s="23" t="s">
        <v>178</v>
      </c>
      <c r="AD76" s="31" t="s">
        <v>56</v>
      </c>
      <c r="AE76" s="25" t="s">
        <v>66</v>
      </c>
      <c r="AF76" s="25" t="s">
        <v>66</v>
      </c>
      <c r="AG76" s="44" t="s">
        <v>80</v>
      </c>
      <c r="AH76" s="31" t="s">
        <v>739</v>
      </c>
      <c r="AI76" s="31" t="s">
        <v>740</v>
      </c>
      <c r="AJ76" s="31" t="s">
        <v>741</v>
      </c>
      <c r="AK76" s="45" t="s">
        <v>742</v>
      </c>
      <c r="AL76" s="46" t="s">
        <v>72</v>
      </c>
    </row>
    <row r="77" spans="1:40" ht="15" customHeight="1" x14ac:dyDescent="0.25">
      <c r="A77" s="31">
        <v>1</v>
      </c>
      <c r="B77" s="31">
        <v>1</v>
      </c>
      <c r="C77" s="13" t="s">
        <v>743</v>
      </c>
      <c r="D77" s="13" t="s">
        <v>90</v>
      </c>
      <c r="E77" s="31" t="s">
        <v>41</v>
      </c>
      <c r="F77" s="11">
        <v>5</v>
      </c>
      <c r="G77" s="11">
        <v>5</v>
      </c>
      <c r="H77" s="11">
        <v>5</v>
      </c>
      <c r="I77" s="11" t="str">
        <f t="shared" si="2"/>
        <v>↑↑</v>
      </c>
      <c r="J77" s="11" t="str">
        <f t="shared" si="2"/>
        <v>↑↑</v>
      </c>
      <c r="K77" s="11" t="str">
        <f t="shared" si="2"/>
        <v>↑↑</v>
      </c>
      <c r="L77" s="32"/>
      <c r="M77" s="32"/>
      <c r="N77" s="32"/>
      <c r="O77" s="32"/>
      <c r="P77" s="32"/>
      <c r="Q77" s="16" t="s">
        <v>53</v>
      </c>
      <c r="R77" s="11" t="s">
        <v>104</v>
      </c>
      <c r="S77" s="56">
        <v>6036.66</v>
      </c>
      <c r="T77" s="33" t="s">
        <v>55</v>
      </c>
      <c r="U77" s="33" t="s">
        <v>56</v>
      </c>
      <c r="V77" s="34" t="s">
        <v>744</v>
      </c>
      <c r="W77" s="34" t="s">
        <v>745</v>
      </c>
      <c r="X77" s="34" t="s">
        <v>746</v>
      </c>
      <c r="Y77" s="11" t="s">
        <v>60</v>
      </c>
      <c r="Z77" s="21" t="s">
        <v>747</v>
      </c>
      <c r="AA77" s="22" t="s">
        <v>748</v>
      </c>
      <c r="AB77" s="22">
        <v>0</v>
      </c>
      <c r="AC77" s="23" t="s">
        <v>64</v>
      </c>
      <c r="AD77" s="31" t="s">
        <v>56</v>
      </c>
      <c r="AE77" s="25" t="s">
        <v>66</v>
      </c>
      <c r="AF77" s="25" t="s">
        <v>66</v>
      </c>
      <c r="AG77" s="44" t="s">
        <v>749</v>
      </c>
      <c r="AH77" s="31" t="s">
        <v>750</v>
      </c>
      <c r="AI77" s="31" t="s">
        <v>751</v>
      </c>
      <c r="AJ77" s="31" t="s">
        <v>752</v>
      </c>
      <c r="AK77" s="45" t="s">
        <v>753</v>
      </c>
      <c r="AL77" s="46" t="s">
        <v>85</v>
      </c>
      <c r="AM77" s="31" t="s">
        <v>215</v>
      </c>
      <c r="AN77" s="31" t="s">
        <v>248</v>
      </c>
    </row>
    <row r="78" spans="1:40" x14ac:dyDescent="0.25">
      <c r="AG78" s="44"/>
    </row>
    <row r="79" spans="1:40" x14ac:dyDescent="0.25">
      <c r="AG79" s="93"/>
      <c r="AK79" s="31"/>
    </row>
    <row r="80" spans="1:40" x14ac:dyDescent="0.25">
      <c r="AG80" s="93"/>
    </row>
    <row r="81" spans="3:37" x14ac:dyDescent="0.25">
      <c r="AG81" s="93"/>
    </row>
    <row r="82" spans="3:37" x14ac:dyDescent="0.25">
      <c r="AG82" s="93"/>
    </row>
    <row r="83" spans="3:37" x14ac:dyDescent="0.25">
      <c r="AG83" s="93"/>
    </row>
    <row r="84" spans="3:37" x14ac:dyDescent="0.25">
      <c r="AG84" s="93"/>
    </row>
    <row r="87" spans="3:37" hidden="1" x14ac:dyDescent="0.25">
      <c r="T87" s="31"/>
      <c r="Z87" s="31"/>
    </row>
    <row r="88" spans="3:37" ht="15" hidden="1" customHeight="1" x14ac:dyDescent="0.25">
      <c r="C88" s="31" t="s">
        <v>754</v>
      </c>
      <c r="D88" s="13" t="s">
        <v>755</v>
      </c>
      <c r="E88" s="13" t="s">
        <v>756</v>
      </c>
      <c r="F88" s="11" t="s">
        <v>107</v>
      </c>
      <c r="G88" s="11" t="s">
        <v>107</v>
      </c>
      <c r="H88" s="11" t="s">
        <v>80</v>
      </c>
      <c r="Q88" s="13" t="s">
        <v>53</v>
      </c>
      <c r="R88" s="31" t="s">
        <v>381</v>
      </c>
      <c r="S88" s="94" t="s">
        <v>757</v>
      </c>
      <c r="T88" s="57" t="s">
        <v>145</v>
      </c>
      <c r="U88" s="57" t="s">
        <v>56</v>
      </c>
      <c r="V88" s="95" t="s">
        <v>758</v>
      </c>
      <c r="W88" s="95" t="s">
        <v>759</v>
      </c>
      <c r="X88" s="22" t="s">
        <v>760</v>
      </c>
      <c r="Y88" s="16"/>
      <c r="Z88" s="16"/>
      <c r="AA88" s="22" t="s">
        <v>761</v>
      </c>
      <c r="AB88" s="22"/>
      <c r="AC88" s="58" t="s">
        <v>112</v>
      </c>
      <c r="AD88" s="31" t="s">
        <v>56</v>
      </c>
      <c r="AE88" s="25" t="s">
        <v>115</v>
      </c>
      <c r="AF88" s="25" t="s">
        <v>115</v>
      </c>
      <c r="AG88" s="44"/>
      <c r="AH88" s="22" t="s">
        <v>762</v>
      </c>
      <c r="AJ88" s="31" t="s">
        <v>763</v>
      </c>
      <c r="AK88" s="96"/>
    </row>
    <row r="89" spans="3:37" ht="15" hidden="1" customHeight="1" x14ac:dyDescent="0.25">
      <c r="C89" s="31" t="s">
        <v>764</v>
      </c>
      <c r="D89" s="31" t="s">
        <v>122</v>
      </c>
      <c r="E89" s="31" t="s">
        <v>765</v>
      </c>
      <c r="F89" s="11" t="s">
        <v>80</v>
      </c>
      <c r="G89" s="11" t="s">
        <v>107</v>
      </c>
      <c r="H89" s="11" t="s">
        <v>107</v>
      </c>
      <c r="Q89" s="31" t="s">
        <v>53</v>
      </c>
      <c r="R89" s="31" t="s">
        <v>104</v>
      </c>
      <c r="S89" s="56">
        <v>11487.304</v>
      </c>
      <c r="T89" s="57" t="s">
        <v>55</v>
      </c>
      <c r="U89" s="56" t="s">
        <v>56</v>
      </c>
      <c r="V89" s="34" t="s">
        <v>766</v>
      </c>
      <c r="W89" s="34" t="s">
        <v>767</v>
      </c>
      <c r="X89" s="34" t="s">
        <v>746</v>
      </c>
      <c r="Y89" s="11"/>
      <c r="Z89" s="11"/>
      <c r="AA89" s="67" t="s">
        <v>768</v>
      </c>
      <c r="AB89" s="67"/>
      <c r="AC89" s="23" t="s">
        <v>64</v>
      </c>
      <c r="AD89" s="31" t="s">
        <v>56</v>
      </c>
      <c r="AE89" s="25" t="s">
        <v>66</v>
      </c>
      <c r="AF89" s="25" t="s">
        <v>66</v>
      </c>
      <c r="AG89" s="44" t="s">
        <v>769</v>
      </c>
      <c r="AH89" s="31" t="s">
        <v>750</v>
      </c>
      <c r="AI89" s="44" t="s">
        <v>770</v>
      </c>
      <c r="AK89" s="63" t="s">
        <v>771</v>
      </c>
    </row>
    <row r="90" spans="3:37" ht="15" hidden="1" customHeight="1" x14ac:dyDescent="0.25">
      <c r="C90" s="31" t="s">
        <v>772</v>
      </c>
      <c r="D90" s="31" t="s">
        <v>122</v>
      </c>
      <c r="E90" s="31" t="s">
        <v>765</v>
      </c>
      <c r="F90" s="11" t="s">
        <v>80</v>
      </c>
      <c r="G90" s="11" t="s">
        <v>107</v>
      </c>
      <c r="H90" s="11" t="s">
        <v>107</v>
      </c>
      <c r="Q90" s="31" t="s">
        <v>53</v>
      </c>
      <c r="R90" s="31" t="s">
        <v>104</v>
      </c>
      <c r="S90" s="31" t="s">
        <v>773</v>
      </c>
      <c r="T90" s="57" t="s">
        <v>56</v>
      </c>
      <c r="U90" s="56" t="s">
        <v>56</v>
      </c>
      <c r="V90" s="34" t="s">
        <v>56</v>
      </c>
      <c r="W90" s="34" t="s">
        <v>56</v>
      </c>
      <c r="X90" s="34" t="s">
        <v>56</v>
      </c>
      <c r="Y90" s="11"/>
      <c r="Z90" s="11"/>
      <c r="AA90" s="67" t="s">
        <v>768</v>
      </c>
      <c r="AB90" s="67"/>
      <c r="AC90" s="23" t="s">
        <v>64</v>
      </c>
      <c r="AD90" s="31" t="s">
        <v>56</v>
      </c>
      <c r="AE90" s="25" t="s">
        <v>66</v>
      </c>
      <c r="AF90" s="25" t="s">
        <v>66</v>
      </c>
      <c r="AG90" s="44" t="s">
        <v>769</v>
      </c>
      <c r="AH90" s="31" t="s">
        <v>750</v>
      </c>
      <c r="AI90" s="44" t="s">
        <v>774</v>
      </c>
      <c r="AK90" s="97" t="s">
        <v>775</v>
      </c>
    </row>
    <row r="91" spans="3:37" hidden="1" x14ac:dyDescent="0.25">
      <c r="C91" s="31" t="s">
        <v>776</v>
      </c>
      <c r="T91" s="31"/>
      <c r="Z91" s="31"/>
      <c r="AK91" s="98" t="s">
        <v>777</v>
      </c>
    </row>
    <row r="92" spans="3:37" hidden="1" x14ac:dyDescent="0.25">
      <c r="C92" s="31" t="s">
        <v>778</v>
      </c>
      <c r="T92" s="31"/>
      <c r="Z92" s="31"/>
      <c r="AK92" s="98" t="s">
        <v>779</v>
      </c>
    </row>
    <row r="93" spans="3:37" hidden="1" x14ac:dyDescent="0.25">
      <c r="C93" s="31" t="s">
        <v>780</v>
      </c>
      <c r="T93" s="31"/>
      <c r="Z93" s="31"/>
    </row>
    <row r="94" spans="3:37" ht="15" hidden="1" customHeight="1" x14ac:dyDescent="0.25">
      <c r="C94" s="31" t="s">
        <v>781</v>
      </c>
      <c r="D94" s="99" t="s">
        <v>782</v>
      </c>
      <c r="E94" s="31" t="s">
        <v>43</v>
      </c>
      <c r="F94" s="100">
        <v>2</v>
      </c>
      <c r="G94" s="100">
        <v>2</v>
      </c>
      <c r="H94" s="100">
        <v>3</v>
      </c>
      <c r="Q94" s="13" t="s">
        <v>783</v>
      </c>
      <c r="R94" s="31" t="s">
        <v>381</v>
      </c>
      <c r="S94" s="94" t="s">
        <v>757</v>
      </c>
      <c r="T94" s="57" t="s">
        <v>145</v>
      </c>
      <c r="U94" s="57" t="s">
        <v>56</v>
      </c>
      <c r="V94" s="95" t="s">
        <v>758</v>
      </c>
      <c r="W94" s="95" t="s">
        <v>759</v>
      </c>
      <c r="X94" s="22" t="s">
        <v>760</v>
      </c>
      <c r="Y94" s="16"/>
      <c r="Z94" s="16"/>
      <c r="AA94" s="22" t="s">
        <v>784</v>
      </c>
      <c r="AB94" s="22"/>
      <c r="AC94" s="58" t="s">
        <v>112</v>
      </c>
      <c r="AD94" s="31" t="s">
        <v>56</v>
      </c>
      <c r="AE94" s="25" t="s">
        <v>114</v>
      </c>
      <c r="AF94" s="25" t="s">
        <v>115</v>
      </c>
      <c r="AG94" s="44"/>
      <c r="AH94" s="22" t="s">
        <v>785</v>
      </c>
      <c r="AJ94" s="31" t="s">
        <v>763</v>
      </c>
      <c r="AK94" s="101" t="s">
        <v>786</v>
      </c>
    </row>
  </sheetData>
  <mergeCells count="1">
    <mergeCell ref="L1:P1"/>
  </mergeCells>
  <conditionalFormatting sqref="E1:P2 E89:K89 E67:K70 E4:K31 E33:K39 E43:K65 E72:K77 E94:K94 E41:K41">
    <cfRule type="cellIs" dxfId="100" priority="100" operator="equal">
      <formula>$C$78</formula>
    </cfRule>
  </conditionalFormatting>
  <conditionalFormatting sqref="AI67:AJ70 AG67:AG70 AG89:AG90 AI89:AJ89 AI94:AJ94 AG94 AG4:AG31 AI4:AJ31 AI33:AJ39 AG33:AG39 AG41 AI41:AJ41 AI43:AJ65 AG43:AG65 AI72:AJ77 AG72:AG77">
    <cfRule type="cellIs" dxfId="99" priority="101" operator="equal">
      <formula>#REF!</formula>
    </cfRule>
  </conditionalFormatting>
  <conditionalFormatting sqref="AE67:AF70 AE72:AF77 AE4:AF31 AE89:AF89 AE94:AF94 AE43:AF65 AE41:AF41 AE33:AF39">
    <cfRule type="cellIs" dxfId="98" priority="99" operator="equal">
      <formula>$AE$80</formula>
    </cfRule>
  </conditionalFormatting>
  <conditionalFormatting sqref="E90:K90">
    <cfRule type="cellIs" dxfId="97" priority="97" operator="equal">
      <formula>$C$78</formula>
    </cfRule>
  </conditionalFormatting>
  <conditionalFormatting sqref="AI90:AJ90">
    <cfRule type="cellIs" dxfId="96" priority="98" operator="equal">
      <formula>#REF!</formula>
    </cfRule>
  </conditionalFormatting>
  <conditionalFormatting sqref="AE90:AF90">
    <cfRule type="cellIs" dxfId="95" priority="96" operator="equal">
      <formula>$AE$80</formula>
    </cfRule>
  </conditionalFormatting>
  <conditionalFormatting sqref="AI67:AI70 AG67:AG70 AI72:AI77 AI33:AI39 AI43:AI65 AG72:AG77 AG43:AG65 AG4:AG31 AI4:AI31 AG88:AG90 AJ13 AI88:AI90 AI94 AG94 AI41 AG33:AG41">
    <cfRule type="cellIs" dxfId="94" priority="94" operator="equal">
      <formula>$AI$88</formula>
    </cfRule>
  </conditionalFormatting>
  <conditionalFormatting sqref="D67:D70 D33:D39 D72:D77 D43:D65 U28:U39 S28:T28 S27:U27 D4:D31 D88:D90 Q27:R28 Q29:T31 Q14:U26 D94 Q33:T39 D41 AA7:AB10 AA12:AB13 Q1:Y2 Q88:Y90 Q94:Y94 Q72:Y77 V33:Y39 Q40:Y41 Q67:Y70 Q43:Y65 Q4:Y13 V14:Y31">
    <cfRule type="cellIs" dxfId="93" priority="93" operator="equal">
      <formula>$C$88</formula>
    </cfRule>
  </conditionalFormatting>
  <conditionalFormatting sqref="E88:K88">
    <cfRule type="cellIs" dxfId="92" priority="92" operator="equal">
      <formula>$C$78</formula>
    </cfRule>
  </conditionalFormatting>
  <conditionalFormatting sqref="AI88:AJ88 AG88">
    <cfRule type="cellIs" dxfId="91" priority="95" operator="equal">
      <formula>#REF!</formula>
    </cfRule>
  </conditionalFormatting>
  <conditionalFormatting sqref="S28:T28 R27:R28 R29:T31 AA30:AB31 AA67:AC70 AC89:AC90 A1:B1 AC4:AC31 AA4:AB28 AA33:AB34 AA37:AB39 AC33:AC39 R33:T39 U28:U39 Z4:Z39 AA43:AB52 AA54:AB65 AC43:AC65 AA72:AC77 Z67:Z77 R67:X70 S27:X27 V28:X31 R88:AB90 R94:AB94 R1:AC2 Y40:Z40 Y42:Z42 Y66:Z66 V33:Y39 R41:AC41 R72:Y77 Y67:Y71 Y27:Y32 R43:Z65 R4:Y26">
    <cfRule type="cellIs" dxfId="90" priority="91" operator="equal">
      <formula>#REF!</formula>
    </cfRule>
  </conditionalFormatting>
  <conditionalFormatting sqref="AE88:AF88">
    <cfRule type="cellIs" dxfId="89" priority="90" operator="equal">
      <formula>$AE$80</formula>
    </cfRule>
  </conditionalFormatting>
  <conditionalFormatting sqref="AI90 Y41">
    <cfRule type="cellIs" dxfId="88" priority="89" operator="equal">
      <formula>#REF!</formula>
    </cfRule>
  </conditionalFormatting>
  <conditionalFormatting sqref="AI90 Y20">
    <cfRule type="cellIs" dxfId="87" priority="88" operator="equal">
      <formula>#REF!</formula>
    </cfRule>
  </conditionalFormatting>
  <conditionalFormatting sqref="Y39 Y24 Y26:Y29 Y48 Y50:Y57 Y59:Y60">
    <cfRule type="cellIs" dxfId="86" priority="87" operator="equal">
      <formula>#REF!</formula>
    </cfRule>
  </conditionalFormatting>
  <conditionalFormatting sqref="L2:P2">
    <cfRule type="cellIs" dxfId="85" priority="86" operator="equal">
      <formula>$A$50</formula>
    </cfRule>
  </conditionalFormatting>
  <conditionalFormatting sqref="E40:K40">
    <cfRule type="cellIs" dxfId="84" priority="84" operator="equal">
      <formula>$C$78</formula>
    </cfRule>
  </conditionalFormatting>
  <conditionalFormatting sqref="AI40:AJ40 AG40">
    <cfRule type="cellIs" dxfId="83" priority="85" operator="equal">
      <formula>#REF!</formula>
    </cfRule>
  </conditionalFormatting>
  <conditionalFormatting sqref="AF40">
    <cfRule type="cellIs" dxfId="82" priority="83" operator="equal">
      <formula>$AE$80</formula>
    </cfRule>
  </conditionalFormatting>
  <conditionalFormatting sqref="AI40">
    <cfRule type="cellIs" dxfId="81" priority="82" operator="equal">
      <formula>$AI$88</formula>
    </cfRule>
  </conditionalFormatting>
  <conditionalFormatting sqref="D40">
    <cfRule type="cellIs" dxfId="80" priority="81" operator="equal">
      <formula>$C$88</formula>
    </cfRule>
  </conditionalFormatting>
  <conditionalFormatting sqref="AA40:AC40 R40:Y40 Y75">
    <cfRule type="cellIs" dxfId="79" priority="80" operator="equal">
      <formula>#REF!</formula>
    </cfRule>
  </conditionalFormatting>
  <conditionalFormatting sqref="Y40 Y74">
    <cfRule type="cellIs" dxfId="78" priority="79" operator="equal">
      <formula>#REF!</formula>
    </cfRule>
  </conditionalFormatting>
  <conditionalFormatting sqref="AE40">
    <cfRule type="cellIs" dxfId="77" priority="78" operator="equal">
      <formula>$AE$80</formula>
    </cfRule>
  </conditionalFormatting>
  <conditionalFormatting sqref="AL4 AG67:AK70 AH33:AK37 AI38 AH38:AH39 AJ38:AK41 AG33:AG39 AG40:AH41 AG72:AK77 AG4:AK31 AG43:AK65 AG89:AJ90">
    <cfRule type="cellIs" dxfId="76" priority="77" operator="equal">
      <formula>#REF!</formula>
    </cfRule>
  </conditionalFormatting>
  <conditionalFormatting sqref="AL5">
    <cfRule type="cellIs" dxfId="75" priority="76" operator="equal">
      <formula>#REF!</formula>
    </cfRule>
  </conditionalFormatting>
  <conditionalFormatting sqref="AL6">
    <cfRule type="cellIs" dxfId="74" priority="75" operator="equal">
      <formula>#REF!</formula>
    </cfRule>
  </conditionalFormatting>
  <conditionalFormatting sqref="AL7">
    <cfRule type="cellIs" dxfId="73" priority="74" operator="equal">
      <formula>#REF!</formula>
    </cfRule>
  </conditionalFormatting>
  <conditionalFormatting sqref="AL8">
    <cfRule type="cellIs" dxfId="72" priority="73" operator="equal">
      <formula>#REF!</formula>
    </cfRule>
  </conditionalFormatting>
  <conditionalFormatting sqref="AL9">
    <cfRule type="cellIs" dxfId="71" priority="72" operator="equal">
      <formula>#REF!</formula>
    </cfRule>
  </conditionalFormatting>
  <conditionalFormatting sqref="AL10">
    <cfRule type="cellIs" dxfId="70" priority="71" operator="equal">
      <formula>#REF!</formula>
    </cfRule>
  </conditionalFormatting>
  <conditionalFormatting sqref="AL11">
    <cfRule type="cellIs" dxfId="69" priority="70" operator="equal">
      <formula>#REF!</formula>
    </cfRule>
  </conditionalFormatting>
  <conditionalFormatting sqref="AL12">
    <cfRule type="cellIs" dxfId="68" priority="69" operator="equal">
      <formula>#REF!</formula>
    </cfRule>
  </conditionalFormatting>
  <conditionalFormatting sqref="AL13">
    <cfRule type="cellIs" dxfId="67" priority="68" operator="equal">
      <formula>#REF!</formula>
    </cfRule>
  </conditionalFormatting>
  <conditionalFormatting sqref="AL14">
    <cfRule type="cellIs" dxfId="66" priority="67" operator="equal">
      <formula>#REF!</formula>
    </cfRule>
  </conditionalFormatting>
  <conditionalFormatting sqref="AL15">
    <cfRule type="cellIs" dxfId="65" priority="66" operator="equal">
      <formula>#REF!</formula>
    </cfRule>
  </conditionalFormatting>
  <conditionalFormatting sqref="AL16">
    <cfRule type="cellIs" dxfId="64" priority="65" operator="equal">
      <formula>#REF!</formula>
    </cfRule>
  </conditionalFormatting>
  <conditionalFormatting sqref="AL17">
    <cfRule type="cellIs" dxfId="63" priority="64" operator="equal">
      <formula>#REF!</formula>
    </cfRule>
  </conditionalFormatting>
  <conditionalFormatting sqref="AL18">
    <cfRule type="cellIs" dxfId="62" priority="63" operator="equal">
      <formula>#REF!</formula>
    </cfRule>
  </conditionalFormatting>
  <conditionalFormatting sqref="AL22">
    <cfRule type="cellIs" dxfId="61" priority="58" operator="equal">
      <formula>#REF!</formula>
    </cfRule>
  </conditionalFormatting>
  <conditionalFormatting sqref="AL21">
    <cfRule type="cellIs" dxfId="60" priority="62" operator="equal">
      <formula>#REF!</formula>
    </cfRule>
  </conditionalFormatting>
  <conditionalFormatting sqref="AL23">
    <cfRule type="cellIs" dxfId="59" priority="61" operator="equal">
      <formula>#REF!</formula>
    </cfRule>
  </conditionalFormatting>
  <conditionalFormatting sqref="AL24">
    <cfRule type="cellIs" dxfId="58" priority="60" operator="equal">
      <formula>#REF!</formula>
    </cfRule>
  </conditionalFormatting>
  <conditionalFormatting sqref="AL19">
    <cfRule type="cellIs" dxfId="57" priority="59" operator="equal">
      <formula>#REF!</formula>
    </cfRule>
  </conditionalFormatting>
  <conditionalFormatting sqref="AL26">
    <cfRule type="cellIs" dxfId="56" priority="57" operator="equal">
      <formula>#REF!</formula>
    </cfRule>
  </conditionalFormatting>
  <conditionalFormatting sqref="AL27">
    <cfRule type="cellIs" dxfId="55" priority="56" operator="equal">
      <formula>#REF!</formula>
    </cfRule>
  </conditionalFormatting>
  <conditionalFormatting sqref="AL28">
    <cfRule type="cellIs" dxfId="54" priority="55" operator="equal">
      <formula>#REF!</formula>
    </cfRule>
  </conditionalFormatting>
  <conditionalFormatting sqref="AL29">
    <cfRule type="cellIs" dxfId="53" priority="54" operator="equal">
      <formula>#REF!</formula>
    </cfRule>
  </conditionalFormatting>
  <conditionalFormatting sqref="AL25">
    <cfRule type="cellIs" dxfId="52" priority="53" operator="equal">
      <formula>#REF!</formula>
    </cfRule>
  </conditionalFormatting>
  <conditionalFormatting sqref="AL30">
    <cfRule type="cellIs" dxfId="51" priority="52" operator="equal">
      <formula>#REF!</formula>
    </cfRule>
  </conditionalFormatting>
  <conditionalFormatting sqref="AL33">
    <cfRule type="cellIs" dxfId="50" priority="51" operator="equal">
      <formula>#REF!</formula>
    </cfRule>
  </conditionalFormatting>
  <conditionalFormatting sqref="AL31">
    <cfRule type="cellIs" dxfId="49" priority="50" operator="equal">
      <formula>#REF!</formula>
    </cfRule>
  </conditionalFormatting>
  <conditionalFormatting sqref="AL34">
    <cfRule type="cellIs" dxfId="48" priority="49" operator="equal">
      <formula>#REF!</formula>
    </cfRule>
  </conditionalFormatting>
  <conditionalFormatting sqref="AL35">
    <cfRule type="cellIs" dxfId="47" priority="48" operator="equal">
      <formula>#REF!</formula>
    </cfRule>
  </conditionalFormatting>
  <conditionalFormatting sqref="AL36">
    <cfRule type="cellIs" dxfId="46" priority="47" operator="equal">
      <formula>#REF!</formula>
    </cfRule>
  </conditionalFormatting>
  <conditionalFormatting sqref="AL37">
    <cfRule type="cellIs" dxfId="45" priority="46" operator="equal">
      <formula>#REF!</formula>
    </cfRule>
  </conditionalFormatting>
  <conditionalFormatting sqref="AL38">
    <cfRule type="cellIs" dxfId="44" priority="45" operator="equal">
      <formula>#REF!</formula>
    </cfRule>
  </conditionalFormatting>
  <conditionalFormatting sqref="AL39">
    <cfRule type="cellIs" dxfId="43" priority="44" operator="equal">
      <formula>#REF!</formula>
    </cfRule>
  </conditionalFormatting>
  <conditionalFormatting sqref="AL40">
    <cfRule type="cellIs" dxfId="42" priority="43" operator="equal">
      <formula>#REF!</formula>
    </cfRule>
  </conditionalFormatting>
  <conditionalFormatting sqref="AL41">
    <cfRule type="cellIs" dxfId="41" priority="42" operator="equal">
      <formula>#REF!</formula>
    </cfRule>
  </conditionalFormatting>
  <conditionalFormatting sqref="AL43">
    <cfRule type="cellIs" dxfId="40" priority="41" operator="equal">
      <formula>#REF!</formula>
    </cfRule>
  </conditionalFormatting>
  <conditionalFormatting sqref="AL44">
    <cfRule type="cellIs" dxfId="39" priority="40" operator="equal">
      <formula>#REF!</formula>
    </cfRule>
  </conditionalFormatting>
  <conditionalFormatting sqref="AL45">
    <cfRule type="cellIs" dxfId="38" priority="39" operator="equal">
      <formula>#REF!</formula>
    </cfRule>
  </conditionalFormatting>
  <conditionalFormatting sqref="AL46">
    <cfRule type="cellIs" dxfId="37" priority="38" operator="equal">
      <formula>#REF!</formula>
    </cfRule>
  </conditionalFormatting>
  <conditionalFormatting sqref="AL48">
    <cfRule type="cellIs" dxfId="36" priority="37" operator="equal">
      <formula>#REF!</formula>
    </cfRule>
  </conditionalFormatting>
  <conditionalFormatting sqref="AL49">
    <cfRule type="cellIs" dxfId="35" priority="36" operator="equal">
      <formula>#REF!</formula>
    </cfRule>
  </conditionalFormatting>
  <conditionalFormatting sqref="AL50">
    <cfRule type="cellIs" dxfId="34" priority="35" operator="equal">
      <formula>#REF!</formula>
    </cfRule>
  </conditionalFormatting>
  <conditionalFormatting sqref="AL51">
    <cfRule type="cellIs" dxfId="33" priority="34" operator="equal">
      <formula>#REF!</formula>
    </cfRule>
  </conditionalFormatting>
  <conditionalFormatting sqref="AL52">
    <cfRule type="cellIs" dxfId="32" priority="33" operator="equal">
      <formula>#REF!</formula>
    </cfRule>
  </conditionalFormatting>
  <conditionalFormatting sqref="AL53">
    <cfRule type="cellIs" dxfId="31" priority="32" operator="equal">
      <formula>#REF!</formula>
    </cfRule>
  </conditionalFormatting>
  <conditionalFormatting sqref="AL54">
    <cfRule type="cellIs" dxfId="30" priority="31" operator="equal">
      <formula>#REF!</formula>
    </cfRule>
  </conditionalFormatting>
  <conditionalFormatting sqref="AL55">
    <cfRule type="cellIs" dxfId="29" priority="30" operator="equal">
      <formula>#REF!</formula>
    </cfRule>
  </conditionalFormatting>
  <conditionalFormatting sqref="AL56">
    <cfRule type="cellIs" dxfId="28" priority="29" operator="equal">
      <formula>#REF!</formula>
    </cfRule>
  </conditionalFormatting>
  <conditionalFormatting sqref="AL57">
    <cfRule type="cellIs" dxfId="27" priority="28" operator="equal">
      <formula>#REF!</formula>
    </cfRule>
  </conditionalFormatting>
  <conditionalFormatting sqref="AL58">
    <cfRule type="cellIs" dxfId="26" priority="27" operator="equal">
      <formula>#REF!</formula>
    </cfRule>
  </conditionalFormatting>
  <conditionalFormatting sqref="AL59">
    <cfRule type="cellIs" dxfId="25" priority="26" operator="equal">
      <formula>#REF!</formula>
    </cfRule>
  </conditionalFormatting>
  <conditionalFormatting sqref="AL64">
    <cfRule type="cellIs" dxfId="24" priority="23" operator="equal">
      <formula>#REF!</formula>
    </cfRule>
  </conditionalFormatting>
  <conditionalFormatting sqref="AL62">
    <cfRule type="cellIs" dxfId="23" priority="25" operator="equal">
      <formula>#REF!</formula>
    </cfRule>
  </conditionalFormatting>
  <conditionalFormatting sqref="AL63">
    <cfRule type="cellIs" dxfId="22" priority="24" operator="equal">
      <formula>#REF!</formula>
    </cfRule>
  </conditionalFormatting>
  <conditionalFormatting sqref="AL65">
    <cfRule type="cellIs" dxfId="21" priority="22" operator="equal">
      <formula>#REF!</formula>
    </cfRule>
  </conditionalFormatting>
  <conditionalFormatting sqref="AL67">
    <cfRule type="cellIs" dxfId="20" priority="21" operator="equal">
      <formula>#REF!</formula>
    </cfRule>
  </conditionalFormatting>
  <conditionalFormatting sqref="AL75">
    <cfRule type="cellIs" dxfId="19" priority="20" operator="equal">
      <formula>#REF!</formula>
    </cfRule>
  </conditionalFormatting>
  <conditionalFormatting sqref="AL70">
    <cfRule type="cellIs" dxfId="18" priority="19" operator="equal">
      <formula>#REF!</formula>
    </cfRule>
  </conditionalFormatting>
  <conditionalFormatting sqref="AL68">
    <cfRule type="cellIs" dxfId="17" priority="18" operator="equal">
      <formula>#REF!</formula>
    </cfRule>
  </conditionalFormatting>
  <conditionalFormatting sqref="AL69">
    <cfRule type="cellIs" dxfId="16" priority="17" operator="equal">
      <formula>#REF!</formula>
    </cfRule>
  </conditionalFormatting>
  <conditionalFormatting sqref="AL72">
    <cfRule type="cellIs" dxfId="15" priority="16" operator="equal">
      <formula>#REF!</formula>
    </cfRule>
  </conditionalFormatting>
  <conditionalFormatting sqref="AL73">
    <cfRule type="cellIs" dxfId="14" priority="15" operator="equal">
      <formula>#REF!</formula>
    </cfRule>
  </conditionalFormatting>
  <conditionalFormatting sqref="AL74">
    <cfRule type="cellIs" dxfId="13" priority="14" operator="equal">
      <formula>#REF!</formula>
    </cfRule>
  </conditionalFormatting>
  <conditionalFormatting sqref="AL76">
    <cfRule type="cellIs" dxfId="12" priority="13" operator="equal">
      <formula>#REF!</formula>
    </cfRule>
  </conditionalFormatting>
  <conditionalFormatting sqref="AL60">
    <cfRule type="cellIs" dxfId="11" priority="12" operator="equal">
      <formula>#REF!</formula>
    </cfRule>
  </conditionalFormatting>
  <conditionalFormatting sqref="Y32">
    <cfRule type="cellIs" dxfId="10" priority="11" operator="equal">
      <formula>$C$88</formula>
    </cfRule>
  </conditionalFormatting>
  <conditionalFormatting sqref="AM9">
    <cfRule type="cellIs" dxfId="9" priority="10" operator="equal">
      <formula>#REF!</formula>
    </cfRule>
  </conditionalFormatting>
  <conditionalFormatting sqref="AM16">
    <cfRule type="cellIs" dxfId="8" priority="9" operator="equal">
      <formula>#REF!</formula>
    </cfRule>
  </conditionalFormatting>
  <conditionalFormatting sqref="Y25">
    <cfRule type="cellIs" dxfId="7" priority="8" operator="equal">
      <formula>#REF!</formula>
    </cfRule>
  </conditionalFormatting>
  <conditionalFormatting sqref="AL77">
    <cfRule type="cellIs" dxfId="6" priority="3" operator="equal">
      <formula>#REF!</formula>
    </cfRule>
  </conditionalFormatting>
  <conditionalFormatting sqref="AL20">
    <cfRule type="cellIs" dxfId="5" priority="7" operator="equal">
      <formula>#REF!</formula>
    </cfRule>
  </conditionalFormatting>
  <conditionalFormatting sqref="AL42">
    <cfRule type="cellIs" dxfId="4" priority="6" operator="equal">
      <formula>#REF!</formula>
    </cfRule>
  </conditionalFormatting>
  <conditionalFormatting sqref="AL61">
    <cfRule type="cellIs" dxfId="3" priority="5" operator="equal">
      <formula>#REF!</formula>
    </cfRule>
  </conditionalFormatting>
  <conditionalFormatting sqref="AL66">
    <cfRule type="cellIs" dxfId="2" priority="4" operator="equal">
      <formula>#REF!</formula>
    </cfRule>
  </conditionalFormatting>
  <conditionalFormatting sqref="Y47">
    <cfRule type="cellIs" dxfId="1" priority="2" operator="equal">
      <formula>#REF!</formula>
    </cfRule>
  </conditionalFormatting>
  <conditionalFormatting sqref="Y31">
    <cfRule type="cellIs" dxfId="0" priority="1" operator="equal">
      <formula>$C$88</formula>
    </cfRule>
  </conditionalFormatting>
  <hyperlinks>
    <hyperlink ref="X51" display="http://www.pharmac.govt.nz/2018/01/01/Schedule.pdf#page=121_x000a__x000a_Wielage, R. C., et al. (2013). &quot;The Cost-Effectiveness of Duloxetine in Chronic Low Back Pain: A US Private Payer Perspective.&quot; Value in Health 16(2): 334-344._x000a__x000a_Annual cost of Celecoxib is $3,70" xr:uid="{D83F4EB7-FF3B-9F40-91D8-AF79C6D0D81A}"/>
    <hyperlink ref="X70" r:id="rId1" display="http://www.pharmacydirect.co.nz/Anti-Inflammatory-Topical-Rubs-Creams/_x000a__x000a_1. Voltaren $25.90 100g_x000a_2. " xr:uid="{07373324-B273-F948-8242-A5559C81E040}"/>
    <hyperlink ref="X69" r:id="rId2" display="http://www.pharmac.govt.nz/Schedule?osq=capsaicin_x000a_" xr:uid="{8294C5A8-02F4-8748-B981-BC8130749FF6}"/>
    <hyperlink ref="X75" r:id="rId3" xr:uid="{DC4F295E-6EBA-064F-8A67-8751E32B5800}"/>
  </hyperlinks>
  <pageMargins left="0.7" right="0.7" top="0.75" bottom="0.75" header="0.3" footer="0.3"/>
  <pageSetup paperSize="9" orientation="portrait"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8873E-6121-1D47-9531-56FD27B4CB31}">
  <dimension ref="A1:AJ79"/>
  <sheetViews>
    <sheetView tabSelected="1" zoomScaleNormal="100" workbookViewId="0"/>
  </sheetViews>
  <sheetFormatPr baseColWidth="10" defaultColWidth="8.83203125" defaultRowHeight="15" x14ac:dyDescent="0.2"/>
  <cols>
    <col min="1" max="1" width="40.5" customWidth="1"/>
    <col min="2" max="22" width="3" customWidth="1"/>
    <col min="23" max="27" width="4.33203125" style="109" customWidth="1"/>
    <col min="28" max="28" width="18.33203125" style="35" bestFit="1" customWidth="1"/>
    <col min="29" max="29" width="10.6640625" style="35" customWidth="1"/>
    <col min="30" max="30" width="10.6640625" style="35" hidden="1" customWidth="1"/>
    <col min="31" max="31" width="23.33203125" hidden="1" customWidth="1"/>
    <col min="34" max="35" width="13.83203125" customWidth="1"/>
  </cols>
  <sheetData>
    <row r="1" spans="1:36" s="104" customFormat="1" ht="28.5" customHeight="1" x14ac:dyDescent="0.2">
      <c r="A1" s="102" t="s">
        <v>787</v>
      </c>
      <c r="B1" s="103" t="s">
        <v>940</v>
      </c>
      <c r="W1" s="104" t="s">
        <v>788</v>
      </c>
      <c r="X1" s="104" t="s">
        <v>789</v>
      </c>
      <c r="Y1" s="104" t="s">
        <v>790</v>
      </c>
      <c r="Z1" s="104" t="s">
        <v>791</v>
      </c>
      <c r="AA1" s="104" t="s">
        <v>792</v>
      </c>
      <c r="AB1" s="105" t="s">
        <v>793</v>
      </c>
      <c r="AC1" s="106" t="s">
        <v>794</v>
      </c>
      <c r="AD1" s="104" t="s">
        <v>795</v>
      </c>
      <c r="AE1" s="106" t="s">
        <v>796</v>
      </c>
      <c r="AG1" s="107" t="s">
        <v>797</v>
      </c>
      <c r="AH1" s="107" t="s">
        <v>797</v>
      </c>
      <c r="AI1" s="107" t="s">
        <v>797</v>
      </c>
    </row>
    <row r="2" spans="1:36" ht="16" x14ac:dyDescent="0.25">
      <c r="A2" s="13" t="s">
        <v>51</v>
      </c>
      <c r="B2">
        <v>3.5</v>
      </c>
      <c r="W2" s="108">
        <f t="shared" ref="W2:W65" si="0">ROUND(AVERAGE(B2:V2),1)</f>
        <v>3.5</v>
      </c>
      <c r="X2" s="108">
        <f t="shared" ref="X2:X65" si="1">ROUND(_xlfn.STDEV.P(B2:V2),1)</f>
        <v>0</v>
      </c>
      <c r="Y2" s="109">
        <f t="shared" ref="Y2:Y65" si="2">ROUND(MIN(B2:V2),1)</f>
        <v>3.5</v>
      </c>
      <c r="Z2" s="109">
        <f t="shared" ref="Z2:Z65" si="3">ROUND(MAX(B2:V2),0)</f>
        <v>4</v>
      </c>
      <c r="AA2" s="109">
        <f t="shared" ref="AA2:AA65" si="4">COUNTA(B2:V2)</f>
        <v>1</v>
      </c>
      <c r="AB2" s="35" t="str">
        <f t="shared" ref="AB2:AB65" si="5">IF(B2=0,"-",W2&amp;" "&amp;$AB$1&amp;" "&amp;X2&amp;" ("&amp;Y2&amp;"-"&amp;Z2&amp;") ["&amp;AA2&amp;"]")</f>
        <v>3.5 ± 0 (3.5-4) [1]</v>
      </c>
      <c r="AC2" s="35" t="str">
        <f>IF(B2=0,"⧗",IF(W2&lt;1,"⧗",IF(W2&lt;3,"⧗⧗",IF(W2&lt;12,"⧗⧗⧗",IF(W2=12,"⧗⧗⧗","⧗⧗⧗⧗")))))</f>
        <v>⧗⧗⧗</v>
      </c>
      <c r="AE2" s="35" t="str">
        <f t="shared" ref="AE2:AE65" si="6">IF(AD2="",AC2,"⧗")</f>
        <v>⧗⧗⧗</v>
      </c>
      <c r="AG2" t="s">
        <v>51</v>
      </c>
      <c r="AH2" t="s">
        <v>61</v>
      </c>
      <c r="AI2" t="s">
        <v>60</v>
      </c>
      <c r="AJ2" s="110" t="s">
        <v>798</v>
      </c>
    </row>
    <row r="3" spans="1:36" ht="16" x14ac:dyDescent="0.25">
      <c r="A3" s="13" t="s">
        <v>73</v>
      </c>
      <c r="B3">
        <f>21/30</f>
        <v>0.7</v>
      </c>
      <c r="C3">
        <v>0.5</v>
      </c>
      <c r="D3">
        <v>1</v>
      </c>
      <c r="E3">
        <f>10/30</f>
        <v>0.33333333333333331</v>
      </c>
      <c r="W3" s="108">
        <f t="shared" si="0"/>
        <v>0.6</v>
      </c>
      <c r="X3" s="108">
        <f t="shared" si="1"/>
        <v>0.2</v>
      </c>
      <c r="Y3" s="109">
        <f t="shared" si="2"/>
        <v>0.3</v>
      </c>
      <c r="Z3" s="109">
        <f t="shared" si="3"/>
        <v>1</v>
      </c>
      <c r="AA3" s="109">
        <f t="shared" si="4"/>
        <v>4</v>
      </c>
      <c r="AB3" s="35" t="str">
        <f t="shared" si="5"/>
        <v>0.6 ± 0.2 (0.3-1) [4]</v>
      </c>
      <c r="AC3" s="35" t="str">
        <f t="shared" ref="AC3:AC66" si="7">IF(B3=0,"⧗",IF(W3&lt;1,"⧗",IF(W3&lt;3,"⧗⧗",IF(W3&lt;12,"⧗⧗⧗",IF(W3=12,"⧗⧗⧗","⧗⧗⧗⧗")))))</f>
        <v>⧗</v>
      </c>
      <c r="AD3" s="35" t="s">
        <v>799</v>
      </c>
      <c r="AE3" s="35" t="str">
        <f t="shared" si="6"/>
        <v>⧗</v>
      </c>
      <c r="AG3" t="s">
        <v>73</v>
      </c>
      <c r="AH3" t="s">
        <v>56</v>
      </c>
      <c r="AI3" s="110" t="s">
        <v>77</v>
      </c>
    </row>
    <row r="4" spans="1:36" ht="16" x14ac:dyDescent="0.25">
      <c r="A4" s="13" t="s">
        <v>86</v>
      </c>
      <c r="B4">
        <v>2</v>
      </c>
      <c r="C4">
        <v>3</v>
      </c>
      <c r="D4">
        <v>6.5</v>
      </c>
      <c r="E4">
        <v>2</v>
      </c>
      <c r="W4" s="108">
        <f t="shared" si="0"/>
        <v>3.4</v>
      </c>
      <c r="X4" s="108">
        <f t="shared" si="1"/>
        <v>1.8</v>
      </c>
      <c r="Y4" s="109">
        <f t="shared" si="2"/>
        <v>2</v>
      </c>
      <c r="Z4" s="109">
        <f t="shared" si="3"/>
        <v>7</v>
      </c>
      <c r="AA4" s="109">
        <f t="shared" si="4"/>
        <v>4</v>
      </c>
      <c r="AB4" s="35" t="str">
        <f t="shared" si="5"/>
        <v>3.4 ± 1.8 (2-7) [4]</v>
      </c>
      <c r="AC4" s="35" t="str">
        <f t="shared" si="7"/>
        <v>⧗⧗⧗</v>
      </c>
      <c r="AE4" s="35" t="str">
        <f t="shared" si="6"/>
        <v>⧗⧗⧗</v>
      </c>
      <c r="AG4" t="s">
        <v>86</v>
      </c>
      <c r="AH4" t="s">
        <v>87</v>
      </c>
      <c r="AI4" t="s">
        <v>60</v>
      </c>
    </row>
    <row r="5" spans="1:36" ht="16" x14ac:dyDescent="0.25">
      <c r="A5" s="41" t="s">
        <v>89</v>
      </c>
      <c r="B5" s="111">
        <v>12</v>
      </c>
      <c r="C5" s="111">
        <v>4</v>
      </c>
      <c r="D5" s="111">
        <v>3</v>
      </c>
      <c r="E5" s="111">
        <v>3</v>
      </c>
      <c r="F5" s="111">
        <v>2</v>
      </c>
      <c r="G5" s="111">
        <v>2</v>
      </c>
      <c r="H5" s="111">
        <v>2</v>
      </c>
      <c r="I5" s="111">
        <v>2</v>
      </c>
      <c r="J5" s="111">
        <v>3</v>
      </c>
      <c r="K5" s="111">
        <v>12</v>
      </c>
      <c r="L5" s="111">
        <v>2</v>
      </c>
      <c r="M5" s="111">
        <v>3</v>
      </c>
      <c r="N5" s="111">
        <v>3</v>
      </c>
      <c r="O5" s="111">
        <v>2</v>
      </c>
      <c r="P5" s="111">
        <v>3</v>
      </c>
      <c r="Q5" s="111">
        <v>4</v>
      </c>
      <c r="R5" s="111">
        <v>3</v>
      </c>
      <c r="W5" s="108">
        <f t="shared" si="0"/>
        <v>3.8</v>
      </c>
      <c r="X5" s="108">
        <f t="shared" si="1"/>
        <v>3.1</v>
      </c>
      <c r="Y5" s="109">
        <f t="shared" si="2"/>
        <v>2</v>
      </c>
      <c r="Z5" s="109">
        <f t="shared" si="3"/>
        <v>12</v>
      </c>
      <c r="AA5" s="109">
        <f t="shared" si="4"/>
        <v>17</v>
      </c>
      <c r="AB5" s="35" t="str">
        <f t="shared" si="5"/>
        <v>3.8 ± 3.1 (2-12) [17]</v>
      </c>
      <c r="AC5" s="35" t="str">
        <f t="shared" si="7"/>
        <v>⧗⧗⧗</v>
      </c>
      <c r="AE5" s="35" t="str">
        <f t="shared" si="6"/>
        <v>⧗⧗⧗</v>
      </c>
      <c r="AG5" t="s">
        <v>89</v>
      </c>
      <c r="AH5" t="s">
        <v>95</v>
      </c>
      <c r="AI5" t="s">
        <v>60</v>
      </c>
    </row>
    <row r="6" spans="1:36" ht="16" x14ac:dyDescent="0.25">
      <c r="A6" s="13" t="s">
        <v>101</v>
      </c>
      <c r="B6">
        <v>8</v>
      </c>
      <c r="C6">
        <v>8</v>
      </c>
      <c r="D6">
        <v>1.5</v>
      </c>
      <c r="E6">
        <v>3</v>
      </c>
      <c r="F6">
        <v>2</v>
      </c>
      <c r="G6">
        <v>2</v>
      </c>
      <c r="W6" s="108">
        <f t="shared" si="0"/>
        <v>4.0999999999999996</v>
      </c>
      <c r="X6" s="108">
        <f t="shared" si="1"/>
        <v>2.8</v>
      </c>
      <c r="Y6" s="109">
        <f t="shared" si="2"/>
        <v>1.5</v>
      </c>
      <c r="Z6" s="109">
        <f t="shared" si="3"/>
        <v>8</v>
      </c>
      <c r="AA6" s="109">
        <f t="shared" si="4"/>
        <v>6</v>
      </c>
      <c r="AB6" s="35" t="str">
        <f t="shared" si="5"/>
        <v>4.1 ± 2.8 (1.5-8) [6]</v>
      </c>
      <c r="AC6" s="35" t="str">
        <f t="shared" si="7"/>
        <v>⧗⧗⧗</v>
      </c>
      <c r="AE6" s="35" t="str">
        <f t="shared" si="6"/>
        <v>⧗⧗⧗</v>
      </c>
      <c r="AG6" t="s">
        <v>101</v>
      </c>
      <c r="AH6" t="s">
        <v>109</v>
      </c>
      <c r="AI6" t="s">
        <v>60</v>
      </c>
    </row>
    <row r="7" spans="1:36" ht="16" x14ac:dyDescent="0.25">
      <c r="A7" s="13" t="s">
        <v>121</v>
      </c>
      <c r="B7">
        <v>15</v>
      </c>
      <c r="C7">
        <v>3</v>
      </c>
      <c r="D7">
        <v>6</v>
      </c>
      <c r="E7">
        <v>3</v>
      </c>
      <c r="F7">
        <v>8</v>
      </c>
      <c r="W7" s="108">
        <f t="shared" si="0"/>
        <v>7</v>
      </c>
      <c r="X7" s="108">
        <f t="shared" si="1"/>
        <v>4.4000000000000004</v>
      </c>
      <c r="Y7" s="109">
        <f t="shared" si="2"/>
        <v>3</v>
      </c>
      <c r="Z7" s="109">
        <f t="shared" si="3"/>
        <v>15</v>
      </c>
      <c r="AA7" s="109">
        <f t="shared" si="4"/>
        <v>5</v>
      </c>
      <c r="AB7" s="35" t="str">
        <f t="shared" si="5"/>
        <v>7 ± 4.4 (3-15) [5]</v>
      </c>
      <c r="AC7" s="35" t="str">
        <f t="shared" si="7"/>
        <v>⧗⧗⧗</v>
      </c>
      <c r="AE7" s="35" t="str">
        <f t="shared" si="6"/>
        <v>⧗⧗⧗</v>
      </c>
      <c r="AG7" t="s">
        <v>121</v>
      </c>
      <c r="AH7" t="s">
        <v>126</v>
      </c>
      <c r="AI7" t="s">
        <v>60</v>
      </c>
    </row>
    <row r="8" spans="1:36" ht="16" x14ac:dyDescent="0.25">
      <c r="A8" s="13" t="s">
        <v>131</v>
      </c>
      <c r="B8">
        <v>0</v>
      </c>
      <c r="W8" s="108">
        <f t="shared" si="0"/>
        <v>0</v>
      </c>
      <c r="X8" s="108">
        <f t="shared" si="1"/>
        <v>0</v>
      </c>
      <c r="Y8" s="109">
        <f t="shared" si="2"/>
        <v>0</v>
      </c>
      <c r="Z8" s="109">
        <f t="shared" si="3"/>
        <v>0</v>
      </c>
      <c r="AA8" s="109">
        <f t="shared" si="4"/>
        <v>1</v>
      </c>
      <c r="AB8" s="35" t="str">
        <f t="shared" si="5"/>
        <v>-</v>
      </c>
      <c r="AC8" s="35" t="str">
        <f t="shared" si="7"/>
        <v>⧗</v>
      </c>
      <c r="AD8" s="35" t="s">
        <v>799</v>
      </c>
      <c r="AE8" s="35" t="str">
        <f t="shared" si="6"/>
        <v>⧗</v>
      </c>
      <c r="AG8" t="s">
        <v>131</v>
      </c>
      <c r="AH8" t="s">
        <v>56</v>
      </c>
      <c r="AI8" t="s">
        <v>135</v>
      </c>
    </row>
    <row r="9" spans="1:36" ht="16" x14ac:dyDescent="0.25">
      <c r="A9" s="13" t="s">
        <v>143</v>
      </c>
      <c r="B9">
        <v>0</v>
      </c>
      <c r="W9" s="108">
        <f t="shared" si="0"/>
        <v>0</v>
      </c>
      <c r="X9" s="108">
        <f t="shared" si="1"/>
        <v>0</v>
      </c>
      <c r="Y9" s="109">
        <f t="shared" si="2"/>
        <v>0</v>
      </c>
      <c r="Z9" s="109">
        <f t="shared" si="3"/>
        <v>0</v>
      </c>
      <c r="AA9" s="109">
        <f t="shared" si="4"/>
        <v>1</v>
      </c>
      <c r="AB9" s="35" t="str">
        <f t="shared" si="5"/>
        <v>-</v>
      </c>
      <c r="AC9" s="35" t="str">
        <f t="shared" si="7"/>
        <v>⧗</v>
      </c>
      <c r="AD9" s="35" t="s">
        <v>799</v>
      </c>
      <c r="AE9" s="35" t="str">
        <f t="shared" si="6"/>
        <v>⧗</v>
      </c>
      <c r="AG9" t="s">
        <v>143</v>
      </c>
      <c r="AH9" t="s">
        <v>56</v>
      </c>
      <c r="AI9" t="s">
        <v>135</v>
      </c>
    </row>
    <row r="10" spans="1:36" ht="16" x14ac:dyDescent="0.25">
      <c r="A10" s="13" t="s">
        <v>153</v>
      </c>
      <c r="B10">
        <v>0</v>
      </c>
      <c r="W10" s="108">
        <f t="shared" si="0"/>
        <v>0</v>
      </c>
      <c r="X10" s="108">
        <f t="shared" si="1"/>
        <v>0</v>
      </c>
      <c r="Y10" s="109">
        <f t="shared" si="2"/>
        <v>0</v>
      </c>
      <c r="Z10" s="109">
        <f t="shared" si="3"/>
        <v>0</v>
      </c>
      <c r="AA10" s="109">
        <f t="shared" si="4"/>
        <v>1</v>
      </c>
      <c r="AB10" s="35" t="str">
        <f t="shared" si="5"/>
        <v>-</v>
      </c>
      <c r="AC10" s="35" t="str">
        <f t="shared" si="7"/>
        <v>⧗</v>
      </c>
      <c r="AD10" s="35" t="s">
        <v>799</v>
      </c>
      <c r="AE10" s="35" t="str">
        <f t="shared" si="6"/>
        <v>⧗</v>
      </c>
      <c r="AG10" t="s">
        <v>153</v>
      </c>
      <c r="AH10" t="s">
        <v>56</v>
      </c>
      <c r="AI10" t="s">
        <v>135</v>
      </c>
    </row>
    <row r="11" spans="1:36" ht="16" x14ac:dyDescent="0.25">
      <c r="A11" s="13" t="s">
        <v>161</v>
      </c>
      <c r="B11" s="112">
        <v>2</v>
      </c>
      <c r="W11" s="108">
        <f t="shared" si="0"/>
        <v>2</v>
      </c>
      <c r="X11" s="108">
        <f t="shared" si="1"/>
        <v>0</v>
      </c>
      <c r="Y11" s="109">
        <f t="shared" si="2"/>
        <v>2</v>
      </c>
      <c r="Z11" s="109">
        <f t="shared" si="3"/>
        <v>2</v>
      </c>
      <c r="AA11" s="109">
        <f t="shared" si="4"/>
        <v>1</v>
      </c>
      <c r="AB11" s="35" t="str">
        <f t="shared" si="5"/>
        <v>2 ± 0 (2-2) [1]</v>
      </c>
      <c r="AC11" s="35" t="str">
        <f t="shared" si="7"/>
        <v>⧗⧗</v>
      </c>
      <c r="AE11" s="35" t="str">
        <f t="shared" si="6"/>
        <v>⧗⧗</v>
      </c>
      <c r="AG11" t="s">
        <v>161</v>
      </c>
      <c r="AH11" t="s">
        <v>165</v>
      </c>
      <c r="AI11" t="s">
        <v>77</v>
      </c>
    </row>
    <row r="12" spans="1:36" ht="16" x14ac:dyDescent="0.25">
      <c r="A12" s="13" t="s">
        <v>171</v>
      </c>
      <c r="B12">
        <v>3.2</v>
      </c>
      <c r="C12">
        <v>1.5</v>
      </c>
      <c r="W12" s="108">
        <f t="shared" si="0"/>
        <v>2.4</v>
      </c>
      <c r="X12" s="108">
        <f t="shared" si="1"/>
        <v>0.9</v>
      </c>
      <c r="Y12" s="109">
        <f t="shared" si="2"/>
        <v>1.5</v>
      </c>
      <c r="Z12" s="109">
        <f t="shared" si="3"/>
        <v>3</v>
      </c>
      <c r="AA12" s="109">
        <f t="shared" si="4"/>
        <v>2</v>
      </c>
      <c r="AB12" s="35" t="str">
        <f t="shared" si="5"/>
        <v>2.4 ± 0.9 (1.5-3) [2]</v>
      </c>
      <c r="AC12" s="35" t="str">
        <f t="shared" si="7"/>
        <v>⧗⧗</v>
      </c>
      <c r="AE12" s="35" t="str">
        <f t="shared" si="6"/>
        <v>⧗⧗</v>
      </c>
      <c r="AG12" t="s">
        <v>171</v>
      </c>
      <c r="AH12" t="s">
        <v>176</v>
      </c>
      <c r="AI12" t="s">
        <v>77</v>
      </c>
    </row>
    <row r="13" spans="1:36" ht="16" x14ac:dyDescent="0.25">
      <c r="A13" s="13" t="s">
        <v>183</v>
      </c>
      <c r="B13">
        <v>6</v>
      </c>
      <c r="C13">
        <v>1.25</v>
      </c>
      <c r="D13">
        <v>12</v>
      </c>
      <c r="W13" s="108">
        <f t="shared" si="0"/>
        <v>6.4</v>
      </c>
      <c r="X13" s="108">
        <f t="shared" si="1"/>
        <v>4.4000000000000004</v>
      </c>
      <c r="Y13" s="109">
        <f t="shared" si="2"/>
        <v>1.3</v>
      </c>
      <c r="Z13" s="109">
        <f t="shared" si="3"/>
        <v>12</v>
      </c>
      <c r="AA13" s="109">
        <f t="shared" si="4"/>
        <v>3</v>
      </c>
      <c r="AB13" s="35" t="str">
        <f t="shared" si="5"/>
        <v>6.4 ± 4.4 (1.3-12) [3]</v>
      </c>
      <c r="AC13" s="35" t="str">
        <f t="shared" si="7"/>
        <v>⧗⧗⧗</v>
      </c>
      <c r="AD13" s="35" t="s">
        <v>799</v>
      </c>
      <c r="AE13" s="35" t="str">
        <f t="shared" si="6"/>
        <v>⧗</v>
      </c>
      <c r="AG13" t="s">
        <v>183</v>
      </c>
      <c r="AH13" t="s">
        <v>56</v>
      </c>
      <c r="AI13" t="s">
        <v>60</v>
      </c>
    </row>
    <row r="14" spans="1:36" ht="16" x14ac:dyDescent="0.25">
      <c r="A14" s="13" t="s">
        <v>195</v>
      </c>
      <c r="B14">
        <v>3.2</v>
      </c>
      <c r="C14">
        <v>3.2</v>
      </c>
      <c r="D14">
        <v>4</v>
      </c>
      <c r="W14" s="108">
        <f t="shared" si="0"/>
        <v>3.5</v>
      </c>
      <c r="X14" s="108">
        <f t="shared" si="1"/>
        <v>0.4</v>
      </c>
      <c r="Y14" s="109">
        <f t="shared" si="2"/>
        <v>3.2</v>
      </c>
      <c r="Z14" s="109">
        <f t="shared" si="3"/>
        <v>4</v>
      </c>
      <c r="AA14" s="109">
        <f t="shared" si="4"/>
        <v>3</v>
      </c>
      <c r="AB14" s="35" t="str">
        <f t="shared" si="5"/>
        <v>3.5 ± 0.4 (3.2-4) [3]</v>
      </c>
      <c r="AC14" s="35" t="str">
        <f t="shared" si="7"/>
        <v>⧗⧗⧗</v>
      </c>
      <c r="AE14" s="35" t="str">
        <f t="shared" si="6"/>
        <v>⧗⧗⧗</v>
      </c>
      <c r="AG14" t="s">
        <v>195</v>
      </c>
      <c r="AH14" t="s">
        <v>198</v>
      </c>
      <c r="AI14" t="s">
        <v>77</v>
      </c>
    </row>
    <row r="15" spans="1:36" ht="16" x14ac:dyDescent="0.25">
      <c r="A15" s="13" t="s">
        <v>204</v>
      </c>
      <c r="B15">
        <v>0</v>
      </c>
      <c r="W15" s="108">
        <f t="shared" si="0"/>
        <v>0</v>
      </c>
      <c r="X15" s="108">
        <f t="shared" si="1"/>
        <v>0</v>
      </c>
      <c r="Y15" s="109">
        <f t="shared" si="2"/>
        <v>0</v>
      </c>
      <c r="Z15" s="109">
        <f t="shared" si="3"/>
        <v>0</v>
      </c>
      <c r="AA15" s="109">
        <f t="shared" si="4"/>
        <v>1</v>
      </c>
      <c r="AB15" s="35" t="str">
        <f t="shared" si="5"/>
        <v>-</v>
      </c>
      <c r="AC15" s="35" t="str">
        <f t="shared" si="7"/>
        <v>⧗</v>
      </c>
      <c r="AD15" s="35" t="s">
        <v>799</v>
      </c>
      <c r="AE15" s="35" t="str">
        <f t="shared" si="6"/>
        <v>⧗</v>
      </c>
      <c r="AG15" t="s">
        <v>204</v>
      </c>
      <c r="AH15" t="s">
        <v>56</v>
      </c>
      <c r="AI15" t="s">
        <v>135</v>
      </c>
    </row>
    <row r="16" spans="1:36" ht="16" x14ac:dyDescent="0.25">
      <c r="A16" s="13" t="s">
        <v>218</v>
      </c>
      <c r="B16">
        <v>0</v>
      </c>
      <c r="W16" s="108">
        <f t="shared" si="0"/>
        <v>0</v>
      </c>
      <c r="X16" s="108">
        <f t="shared" si="1"/>
        <v>0</v>
      </c>
      <c r="Y16" s="109">
        <f t="shared" si="2"/>
        <v>0</v>
      </c>
      <c r="Z16" s="109">
        <f t="shared" si="3"/>
        <v>0</v>
      </c>
      <c r="AA16" s="109">
        <f t="shared" si="4"/>
        <v>1</v>
      </c>
      <c r="AB16" s="35" t="str">
        <f t="shared" si="5"/>
        <v>-</v>
      </c>
      <c r="AC16" s="35" t="str">
        <f t="shared" si="7"/>
        <v>⧗</v>
      </c>
      <c r="AD16" s="35" t="s">
        <v>799</v>
      </c>
      <c r="AE16" s="35" t="str">
        <f t="shared" si="6"/>
        <v>⧗</v>
      </c>
      <c r="AG16" t="s">
        <v>218</v>
      </c>
      <c r="AH16" t="s">
        <v>56</v>
      </c>
      <c r="AI16" t="s">
        <v>135</v>
      </c>
    </row>
    <row r="17" spans="1:35" ht="16" x14ac:dyDescent="0.25">
      <c r="A17" s="13" t="s">
        <v>225</v>
      </c>
      <c r="B17">
        <v>2.5</v>
      </c>
      <c r="C17">
        <v>6</v>
      </c>
      <c r="D17">
        <v>12</v>
      </c>
      <c r="W17" s="108">
        <f t="shared" si="0"/>
        <v>6.8</v>
      </c>
      <c r="X17" s="108">
        <f t="shared" si="1"/>
        <v>3.9</v>
      </c>
      <c r="Y17" s="109">
        <f t="shared" si="2"/>
        <v>2.5</v>
      </c>
      <c r="Z17" s="109">
        <f t="shared" si="3"/>
        <v>12</v>
      </c>
      <c r="AA17" s="109">
        <f t="shared" si="4"/>
        <v>3</v>
      </c>
      <c r="AB17" s="35" t="str">
        <f t="shared" si="5"/>
        <v>6.8 ± 3.9 (2.5-12) [3]</v>
      </c>
      <c r="AC17" s="35" t="str">
        <f t="shared" si="7"/>
        <v>⧗⧗⧗</v>
      </c>
      <c r="AE17" s="35" t="str">
        <f t="shared" si="6"/>
        <v>⧗⧗⧗</v>
      </c>
      <c r="AG17" t="s">
        <v>225</v>
      </c>
      <c r="AH17" t="s">
        <v>228</v>
      </c>
      <c r="AI17" t="s">
        <v>60</v>
      </c>
    </row>
    <row r="18" spans="1:35" ht="16" x14ac:dyDescent="0.25">
      <c r="A18" s="13" t="s">
        <v>237</v>
      </c>
      <c r="B18">
        <v>5</v>
      </c>
      <c r="C18">
        <v>5</v>
      </c>
      <c r="W18" s="108">
        <f t="shared" si="0"/>
        <v>5</v>
      </c>
      <c r="X18" s="108">
        <f t="shared" si="1"/>
        <v>0</v>
      </c>
      <c r="Y18" s="109">
        <f t="shared" si="2"/>
        <v>5</v>
      </c>
      <c r="Z18" s="109">
        <f t="shared" si="3"/>
        <v>5</v>
      </c>
      <c r="AA18" s="109">
        <f t="shared" si="4"/>
        <v>2</v>
      </c>
      <c r="AB18" s="35" t="str">
        <f t="shared" si="5"/>
        <v>5 ± 0 (5-5) [2]</v>
      </c>
      <c r="AC18" s="35" t="str">
        <f t="shared" si="7"/>
        <v>⧗⧗⧗</v>
      </c>
      <c r="AD18" s="35" t="s">
        <v>799</v>
      </c>
      <c r="AE18" s="35" t="str">
        <f t="shared" si="6"/>
        <v>⧗</v>
      </c>
      <c r="AG18" t="s">
        <v>800</v>
      </c>
      <c r="AH18" t="s">
        <v>56</v>
      </c>
      <c r="AI18" t="s">
        <v>60</v>
      </c>
    </row>
    <row r="19" spans="1:35" ht="16" x14ac:dyDescent="0.25">
      <c r="A19" s="13" t="s">
        <v>249</v>
      </c>
      <c r="B19">
        <f>7/30</f>
        <v>0.23333333333333334</v>
      </c>
      <c r="C19">
        <f>21/30</f>
        <v>0.7</v>
      </c>
      <c r="W19" s="108">
        <f t="shared" si="0"/>
        <v>0.5</v>
      </c>
      <c r="X19" s="108">
        <f t="shared" si="1"/>
        <v>0.2</v>
      </c>
      <c r="Y19" s="109">
        <f t="shared" si="2"/>
        <v>0.2</v>
      </c>
      <c r="Z19" s="109">
        <f t="shared" si="3"/>
        <v>1</v>
      </c>
      <c r="AA19" s="109">
        <f t="shared" si="4"/>
        <v>2</v>
      </c>
      <c r="AB19" s="35" t="str">
        <f t="shared" si="5"/>
        <v>0.5 ± 0.2 (0.2-1) [2]</v>
      </c>
      <c r="AC19" s="35" t="str">
        <f t="shared" si="7"/>
        <v>⧗</v>
      </c>
      <c r="AD19" s="35" t="s">
        <v>799</v>
      </c>
      <c r="AE19" s="35" t="str">
        <f t="shared" si="6"/>
        <v>⧗</v>
      </c>
      <c r="AG19" t="s">
        <v>249</v>
      </c>
      <c r="AH19" t="s">
        <v>251</v>
      </c>
      <c r="AI19" s="110" t="s">
        <v>77</v>
      </c>
    </row>
    <row r="20" spans="1:35" ht="16" x14ac:dyDescent="0.25">
      <c r="A20" s="13" t="s">
        <v>257</v>
      </c>
      <c r="B20">
        <v>6</v>
      </c>
      <c r="W20" s="108">
        <f t="shared" si="0"/>
        <v>6</v>
      </c>
      <c r="X20" s="108">
        <f t="shared" si="1"/>
        <v>0</v>
      </c>
      <c r="Y20" s="109">
        <f t="shared" si="2"/>
        <v>6</v>
      </c>
      <c r="Z20" s="109">
        <f t="shared" si="3"/>
        <v>6</v>
      </c>
      <c r="AA20" s="109">
        <f t="shared" si="4"/>
        <v>1</v>
      </c>
      <c r="AB20" s="35" t="str">
        <f t="shared" si="5"/>
        <v>6 ± 0 (6-6) [1]</v>
      </c>
      <c r="AC20" s="35" t="str">
        <f t="shared" si="7"/>
        <v>⧗⧗⧗</v>
      </c>
      <c r="AE20" s="35" t="str">
        <f t="shared" si="6"/>
        <v>⧗⧗⧗</v>
      </c>
      <c r="AG20" t="s">
        <v>257</v>
      </c>
      <c r="AH20" s="35" t="s">
        <v>261</v>
      </c>
      <c r="AI20" t="s">
        <v>60</v>
      </c>
    </row>
    <row r="21" spans="1:35" ht="16" x14ac:dyDescent="0.25">
      <c r="A21" s="13" t="s">
        <v>266</v>
      </c>
      <c r="B21">
        <v>3</v>
      </c>
      <c r="C21">
        <f>24/4</f>
        <v>6</v>
      </c>
      <c r="D21">
        <v>3</v>
      </c>
      <c r="E21">
        <v>1</v>
      </c>
      <c r="F21">
        <v>0.25</v>
      </c>
      <c r="G21">
        <v>2</v>
      </c>
      <c r="H21">
        <v>3</v>
      </c>
      <c r="I21">
        <f>0.7/4</f>
        <v>0.17499999999999999</v>
      </c>
      <c r="J21">
        <v>6</v>
      </c>
      <c r="K21">
        <v>3</v>
      </c>
      <c r="L21">
        <v>3</v>
      </c>
      <c r="W21" s="108">
        <f t="shared" si="0"/>
        <v>2.8</v>
      </c>
      <c r="X21" s="108">
        <f t="shared" si="1"/>
        <v>1.9</v>
      </c>
      <c r="Y21" s="109">
        <f t="shared" si="2"/>
        <v>0.2</v>
      </c>
      <c r="Z21" s="109">
        <f t="shared" si="3"/>
        <v>6</v>
      </c>
      <c r="AA21" s="109">
        <f t="shared" si="4"/>
        <v>11</v>
      </c>
      <c r="AB21" s="35" t="str">
        <f t="shared" si="5"/>
        <v>2.8 ± 1.9 (0.2-6) [11]</v>
      </c>
      <c r="AC21" s="35" t="str">
        <f t="shared" si="7"/>
        <v>⧗⧗</v>
      </c>
      <c r="AE21" s="35" t="str">
        <f t="shared" si="6"/>
        <v>⧗⧗</v>
      </c>
      <c r="AG21" t="s">
        <v>266</v>
      </c>
      <c r="AH21" t="s">
        <v>271</v>
      </c>
      <c r="AI21" t="s">
        <v>77</v>
      </c>
    </row>
    <row r="22" spans="1:35" ht="16" x14ac:dyDescent="0.25">
      <c r="A22" s="13" t="s">
        <v>277</v>
      </c>
      <c r="B22">
        <v>1.5</v>
      </c>
      <c r="C22">
        <v>2</v>
      </c>
      <c r="D22">
        <v>1.5</v>
      </c>
      <c r="W22" s="108">
        <f t="shared" si="0"/>
        <v>1.7</v>
      </c>
      <c r="X22" s="108">
        <f t="shared" si="1"/>
        <v>0.2</v>
      </c>
      <c r="Y22" s="109">
        <f t="shared" si="2"/>
        <v>1.5</v>
      </c>
      <c r="Z22" s="109">
        <f t="shared" si="3"/>
        <v>2</v>
      </c>
      <c r="AA22" s="109">
        <f t="shared" si="4"/>
        <v>3</v>
      </c>
      <c r="AB22" s="35" t="str">
        <f t="shared" si="5"/>
        <v>1.7 ± 0.2 (1.5-2) [3]</v>
      </c>
      <c r="AC22" s="35" t="str">
        <f t="shared" si="7"/>
        <v>⧗⧗</v>
      </c>
      <c r="AE22" s="35" t="str">
        <f t="shared" si="6"/>
        <v>⧗⧗</v>
      </c>
      <c r="AG22" t="s">
        <v>277</v>
      </c>
      <c r="AH22" t="s">
        <v>280</v>
      </c>
      <c r="AI22" t="s">
        <v>77</v>
      </c>
    </row>
    <row r="23" spans="1:35" ht="16" x14ac:dyDescent="0.25">
      <c r="A23" s="13" t="s">
        <v>285</v>
      </c>
      <c r="B23">
        <v>3</v>
      </c>
      <c r="W23" s="108">
        <f t="shared" si="0"/>
        <v>3</v>
      </c>
      <c r="X23" s="108">
        <f t="shared" si="1"/>
        <v>0</v>
      </c>
      <c r="Y23" s="109">
        <f t="shared" si="2"/>
        <v>3</v>
      </c>
      <c r="Z23" s="109">
        <f t="shared" si="3"/>
        <v>3</v>
      </c>
      <c r="AA23" s="109">
        <f t="shared" si="4"/>
        <v>1</v>
      </c>
      <c r="AB23" s="35" t="str">
        <f t="shared" si="5"/>
        <v>3 ± 0 (3-3) [1]</v>
      </c>
      <c r="AC23" s="35" t="str">
        <f t="shared" si="7"/>
        <v>⧗⧗⧗</v>
      </c>
      <c r="AE23" s="35" t="str">
        <f t="shared" si="6"/>
        <v>⧗⧗⧗</v>
      </c>
      <c r="AG23" t="s">
        <v>285</v>
      </c>
      <c r="AH23" t="s">
        <v>289</v>
      </c>
      <c r="AI23" t="s">
        <v>60</v>
      </c>
    </row>
    <row r="24" spans="1:35" ht="16" x14ac:dyDescent="0.25">
      <c r="A24" s="13" t="s">
        <v>297</v>
      </c>
      <c r="B24">
        <v>2</v>
      </c>
      <c r="C24">
        <v>4</v>
      </c>
      <c r="D24">
        <v>5</v>
      </c>
      <c r="E24">
        <v>4</v>
      </c>
      <c r="W24" s="108">
        <f t="shared" si="0"/>
        <v>3.8</v>
      </c>
      <c r="X24" s="108">
        <f t="shared" si="1"/>
        <v>1.1000000000000001</v>
      </c>
      <c r="Y24" s="109">
        <f t="shared" si="2"/>
        <v>2</v>
      </c>
      <c r="Z24" s="109">
        <f t="shared" si="3"/>
        <v>5</v>
      </c>
      <c r="AA24" s="109">
        <f t="shared" si="4"/>
        <v>4</v>
      </c>
      <c r="AB24" s="35" t="str">
        <f t="shared" si="5"/>
        <v>3.8 ± 1.1 (2-5) [4]</v>
      </c>
      <c r="AC24" s="35" t="str">
        <f t="shared" si="7"/>
        <v>⧗⧗⧗</v>
      </c>
      <c r="AE24" s="35" t="str">
        <f t="shared" si="6"/>
        <v>⧗⧗⧗</v>
      </c>
      <c r="AG24" t="s">
        <v>801</v>
      </c>
      <c r="AH24" t="s">
        <v>301</v>
      </c>
      <c r="AI24" t="s">
        <v>60</v>
      </c>
    </row>
    <row r="25" spans="1:35" ht="16" x14ac:dyDescent="0.25">
      <c r="A25" s="13" t="s">
        <v>307</v>
      </c>
      <c r="B25">
        <v>0</v>
      </c>
      <c r="W25" s="108">
        <f t="shared" si="0"/>
        <v>0</v>
      </c>
      <c r="X25" s="108">
        <f t="shared" si="1"/>
        <v>0</v>
      </c>
      <c r="Y25" s="109">
        <f t="shared" si="2"/>
        <v>0</v>
      </c>
      <c r="Z25" s="109">
        <f t="shared" si="3"/>
        <v>0</v>
      </c>
      <c r="AA25" s="109">
        <f t="shared" si="4"/>
        <v>1</v>
      </c>
      <c r="AB25" s="35" t="str">
        <f t="shared" si="5"/>
        <v>-</v>
      </c>
      <c r="AC25" s="35" t="str">
        <f t="shared" si="7"/>
        <v>⧗</v>
      </c>
      <c r="AD25" s="35" t="s">
        <v>799</v>
      </c>
      <c r="AE25" s="35" t="str">
        <f t="shared" si="6"/>
        <v>⧗</v>
      </c>
      <c r="AG25" t="s">
        <v>307</v>
      </c>
      <c r="AH25" t="s">
        <v>56</v>
      </c>
      <c r="AI25" t="s">
        <v>135</v>
      </c>
    </row>
    <row r="26" spans="1:35" ht="16" x14ac:dyDescent="0.25">
      <c r="A26" s="13" t="s">
        <v>319</v>
      </c>
      <c r="B26">
        <v>4</v>
      </c>
      <c r="C26">
        <v>3</v>
      </c>
      <c r="D26">
        <v>3</v>
      </c>
      <c r="W26" s="108">
        <f t="shared" si="0"/>
        <v>3.3</v>
      </c>
      <c r="X26" s="108">
        <f t="shared" si="1"/>
        <v>0.5</v>
      </c>
      <c r="Y26" s="109">
        <f t="shared" si="2"/>
        <v>3</v>
      </c>
      <c r="Z26" s="109">
        <f t="shared" si="3"/>
        <v>4</v>
      </c>
      <c r="AA26" s="109">
        <f t="shared" si="4"/>
        <v>3</v>
      </c>
      <c r="AB26" s="35" t="str">
        <f t="shared" si="5"/>
        <v>3.3 ± 0.5 (3-4) [3]</v>
      </c>
      <c r="AC26" s="35" t="str">
        <f t="shared" si="7"/>
        <v>⧗⧗⧗</v>
      </c>
      <c r="AE26" s="35" t="str">
        <f t="shared" si="6"/>
        <v>⧗⧗⧗</v>
      </c>
      <c r="AG26" t="s">
        <v>802</v>
      </c>
      <c r="AH26" t="s">
        <v>323</v>
      </c>
      <c r="AI26" t="s">
        <v>60</v>
      </c>
    </row>
    <row r="27" spans="1:35" ht="16" x14ac:dyDescent="0.25">
      <c r="A27" s="13" t="s">
        <v>329</v>
      </c>
      <c r="B27">
        <v>0</v>
      </c>
      <c r="W27" s="108">
        <f t="shared" si="0"/>
        <v>0</v>
      </c>
      <c r="X27" s="108">
        <f t="shared" si="1"/>
        <v>0</v>
      </c>
      <c r="Y27" s="109">
        <f t="shared" si="2"/>
        <v>0</v>
      </c>
      <c r="Z27" s="109">
        <f t="shared" si="3"/>
        <v>0</v>
      </c>
      <c r="AA27" s="109">
        <f t="shared" si="4"/>
        <v>1</v>
      </c>
      <c r="AB27" s="35" t="str">
        <f t="shared" si="5"/>
        <v>-</v>
      </c>
      <c r="AC27" s="35" t="str">
        <f t="shared" si="7"/>
        <v>⧗</v>
      </c>
      <c r="AD27" s="35" t="s">
        <v>799</v>
      </c>
      <c r="AE27" s="35" t="str">
        <f t="shared" si="6"/>
        <v>⧗</v>
      </c>
      <c r="AG27" t="s">
        <v>803</v>
      </c>
      <c r="AH27" t="s">
        <v>56</v>
      </c>
      <c r="AI27" t="s">
        <v>135</v>
      </c>
    </row>
    <row r="28" spans="1:35" ht="16" x14ac:dyDescent="0.25">
      <c r="A28" s="13" t="s">
        <v>338</v>
      </c>
      <c r="B28">
        <v>0</v>
      </c>
      <c r="W28" s="108">
        <f t="shared" si="0"/>
        <v>0</v>
      </c>
      <c r="X28" s="108">
        <f t="shared" si="1"/>
        <v>0</v>
      </c>
      <c r="Y28" s="109">
        <f t="shared" si="2"/>
        <v>0</v>
      </c>
      <c r="Z28" s="109">
        <f t="shared" si="3"/>
        <v>0</v>
      </c>
      <c r="AA28" s="109">
        <f t="shared" si="4"/>
        <v>1</v>
      </c>
      <c r="AB28" s="35" t="str">
        <f t="shared" si="5"/>
        <v>-</v>
      </c>
      <c r="AC28" s="35" t="str">
        <f t="shared" si="7"/>
        <v>⧗</v>
      </c>
      <c r="AD28" s="35" t="s">
        <v>799</v>
      </c>
      <c r="AE28" s="35" t="str">
        <f t="shared" si="6"/>
        <v>⧗</v>
      </c>
      <c r="AG28" t="s">
        <v>338</v>
      </c>
      <c r="AH28" t="s">
        <v>56</v>
      </c>
      <c r="AI28" t="s">
        <v>135</v>
      </c>
    </row>
    <row r="29" spans="1:35" ht="16" x14ac:dyDescent="0.25">
      <c r="A29" s="13" t="s">
        <v>344</v>
      </c>
      <c r="B29">
        <v>0</v>
      </c>
      <c r="W29" s="108">
        <f t="shared" si="0"/>
        <v>0</v>
      </c>
      <c r="X29" s="108">
        <f t="shared" si="1"/>
        <v>0</v>
      </c>
      <c r="Y29" s="109">
        <f t="shared" si="2"/>
        <v>0</v>
      </c>
      <c r="Z29" s="109">
        <f t="shared" si="3"/>
        <v>0</v>
      </c>
      <c r="AA29" s="109">
        <f t="shared" si="4"/>
        <v>1</v>
      </c>
      <c r="AB29" s="35" t="str">
        <f t="shared" si="5"/>
        <v>-</v>
      </c>
      <c r="AC29" s="35" t="str">
        <f t="shared" si="7"/>
        <v>⧗</v>
      </c>
      <c r="AD29" s="35" t="s">
        <v>799</v>
      </c>
      <c r="AE29" s="35" t="str">
        <f t="shared" si="6"/>
        <v>⧗</v>
      </c>
      <c r="AG29" t="s">
        <v>344</v>
      </c>
      <c r="AH29" t="s">
        <v>56</v>
      </c>
      <c r="AI29" t="s">
        <v>135</v>
      </c>
    </row>
    <row r="30" spans="1:35" ht="16" x14ac:dyDescent="0.25">
      <c r="A30" s="13" t="s">
        <v>350</v>
      </c>
      <c r="B30">
        <v>6</v>
      </c>
      <c r="W30" s="108">
        <f t="shared" si="0"/>
        <v>6</v>
      </c>
      <c r="X30" s="108">
        <f t="shared" si="1"/>
        <v>0</v>
      </c>
      <c r="Y30" s="109">
        <f t="shared" si="2"/>
        <v>6</v>
      </c>
      <c r="Z30" s="109">
        <f t="shared" si="3"/>
        <v>6</v>
      </c>
      <c r="AA30" s="109">
        <f t="shared" si="4"/>
        <v>1</v>
      </c>
      <c r="AB30" s="35" t="str">
        <f t="shared" si="5"/>
        <v>6 ± 0 (6-6) [1]</v>
      </c>
      <c r="AC30" s="35" t="str">
        <f t="shared" si="7"/>
        <v>⧗⧗⧗</v>
      </c>
      <c r="AD30" s="35" t="s">
        <v>799</v>
      </c>
      <c r="AE30" s="35" t="str">
        <f t="shared" si="6"/>
        <v>⧗</v>
      </c>
      <c r="AG30" t="s">
        <v>350</v>
      </c>
      <c r="AH30" t="s">
        <v>56</v>
      </c>
      <c r="AI30" s="35" t="s">
        <v>60</v>
      </c>
    </row>
    <row r="31" spans="1:35" ht="16" x14ac:dyDescent="0.25">
      <c r="A31" s="13" t="s">
        <v>359</v>
      </c>
      <c r="B31">
        <v>0</v>
      </c>
      <c r="W31" s="108">
        <f t="shared" si="0"/>
        <v>0</v>
      </c>
      <c r="X31" s="108">
        <f t="shared" si="1"/>
        <v>0</v>
      </c>
      <c r="Y31" s="109">
        <f t="shared" si="2"/>
        <v>0</v>
      </c>
      <c r="Z31" s="109">
        <f t="shared" si="3"/>
        <v>0</v>
      </c>
      <c r="AA31" s="109">
        <f t="shared" si="4"/>
        <v>1</v>
      </c>
      <c r="AB31" s="35" t="str">
        <f t="shared" si="5"/>
        <v>-</v>
      </c>
      <c r="AC31" s="35" t="str">
        <f t="shared" si="7"/>
        <v>⧗</v>
      </c>
      <c r="AD31" s="35" t="s">
        <v>799</v>
      </c>
      <c r="AE31" s="35" t="str">
        <f t="shared" si="6"/>
        <v>⧗</v>
      </c>
      <c r="AG31" t="s">
        <v>359</v>
      </c>
      <c r="AH31" t="s">
        <v>56</v>
      </c>
      <c r="AI31" t="s">
        <v>135</v>
      </c>
    </row>
    <row r="32" spans="1:35" ht="16" x14ac:dyDescent="0.25">
      <c r="A32" s="13" t="s">
        <v>364</v>
      </c>
      <c r="B32">
        <v>12</v>
      </c>
      <c r="W32" s="108">
        <f t="shared" si="0"/>
        <v>12</v>
      </c>
      <c r="X32" s="108">
        <f t="shared" si="1"/>
        <v>0</v>
      </c>
      <c r="Y32" s="109">
        <f t="shared" si="2"/>
        <v>12</v>
      </c>
      <c r="Z32" s="109">
        <f t="shared" si="3"/>
        <v>12</v>
      </c>
      <c r="AA32" s="109">
        <f t="shared" si="4"/>
        <v>1</v>
      </c>
      <c r="AB32" s="35" t="str">
        <f t="shared" si="5"/>
        <v>12 ± 0 (12-12) [1]</v>
      </c>
      <c r="AC32" s="35" t="str">
        <f t="shared" si="7"/>
        <v>⧗⧗⧗</v>
      </c>
      <c r="AD32" s="35" t="s">
        <v>799</v>
      </c>
      <c r="AE32" s="35" t="str">
        <f t="shared" si="6"/>
        <v>⧗</v>
      </c>
      <c r="AG32" t="s">
        <v>364</v>
      </c>
      <c r="AH32" t="s">
        <v>367</v>
      </c>
      <c r="AI32" t="s">
        <v>60</v>
      </c>
    </row>
    <row r="33" spans="1:35" ht="16" x14ac:dyDescent="0.25">
      <c r="A33" s="13" t="s">
        <v>372</v>
      </c>
      <c r="B33">
        <f>5/30</f>
        <v>0.16666666666666666</v>
      </c>
      <c r="C33">
        <v>1</v>
      </c>
      <c r="W33" s="108">
        <f t="shared" si="0"/>
        <v>0.6</v>
      </c>
      <c r="X33" s="108">
        <f t="shared" si="1"/>
        <v>0.4</v>
      </c>
      <c r="Y33" s="109">
        <f t="shared" si="2"/>
        <v>0.2</v>
      </c>
      <c r="Z33" s="109">
        <f t="shared" si="3"/>
        <v>1</v>
      </c>
      <c r="AA33" s="109">
        <f t="shared" si="4"/>
        <v>2</v>
      </c>
      <c r="AB33" s="35" t="str">
        <f t="shared" si="5"/>
        <v>0.6 ± 0.4 (0.2-1) [2]</v>
      </c>
      <c r="AC33" s="35" t="str">
        <f t="shared" si="7"/>
        <v>⧗</v>
      </c>
      <c r="AE33" s="35" t="str">
        <f t="shared" si="6"/>
        <v>⧗</v>
      </c>
      <c r="AG33" t="s">
        <v>372</v>
      </c>
      <c r="AH33" t="s">
        <v>375</v>
      </c>
      <c r="AI33" s="110" t="s">
        <v>77</v>
      </c>
    </row>
    <row r="34" spans="1:35" ht="16" x14ac:dyDescent="0.25">
      <c r="A34" s="13" t="s">
        <v>380</v>
      </c>
      <c r="B34">
        <v>0</v>
      </c>
      <c r="W34" s="108">
        <f t="shared" si="0"/>
        <v>0</v>
      </c>
      <c r="X34" s="108">
        <f t="shared" si="1"/>
        <v>0</v>
      </c>
      <c r="Y34" s="109">
        <f t="shared" si="2"/>
        <v>0</v>
      </c>
      <c r="Z34" s="109">
        <f t="shared" si="3"/>
        <v>0</v>
      </c>
      <c r="AA34" s="109">
        <f t="shared" si="4"/>
        <v>1</v>
      </c>
      <c r="AB34" s="35" t="str">
        <f t="shared" si="5"/>
        <v>-</v>
      </c>
      <c r="AC34" s="35" t="str">
        <f t="shared" si="7"/>
        <v>⧗</v>
      </c>
      <c r="AD34" s="35" t="s">
        <v>799</v>
      </c>
      <c r="AE34" s="35" t="str">
        <f t="shared" si="6"/>
        <v>⧗</v>
      </c>
      <c r="AG34" t="s">
        <v>804</v>
      </c>
      <c r="AH34" t="s">
        <v>56</v>
      </c>
      <c r="AI34" t="s">
        <v>135</v>
      </c>
    </row>
    <row r="35" spans="1:35" ht="16" x14ac:dyDescent="0.25">
      <c r="A35" s="13" t="s">
        <v>392</v>
      </c>
      <c r="B35">
        <v>1.5</v>
      </c>
      <c r="C35">
        <v>1.5</v>
      </c>
      <c r="W35" s="108">
        <f t="shared" si="0"/>
        <v>1.5</v>
      </c>
      <c r="X35" s="108">
        <f t="shared" si="1"/>
        <v>0</v>
      </c>
      <c r="Y35" s="109">
        <f t="shared" si="2"/>
        <v>1.5</v>
      </c>
      <c r="Z35" s="109">
        <f t="shared" si="3"/>
        <v>2</v>
      </c>
      <c r="AA35" s="109">
        <f t="shared" si="4"/>
        <v>2</v>
      </c>
      <c r="AB35" s="35" t="str">
        <f t="shared" si="5"/>
        <v>1.5 ± 0 (1.5-2) [2]</v>
      </c>
      <c r="AC35" s="35" t="str">
        <f t="shared" si="7"/>
        <v>⧗⧗</v>
      </c>
      <c r="AD35" s="35" t="s">
        <v>799</v>
      </c>
      <c r="AE35" s="35" t="str">
        <f t="shared" si="6"/>
        <v>⧗</v>
      </c>
      <c r="AG35" t="s">
        <v>392</v>
      </c>
      <c r="AH35" t="s">
        <v>395</v>
      </c>
      <c r="AI35" t="s">
        <v>77</v>
      </c>
    </row>
    <row r="36" spans="1:35" ht="16" x14ac:dyDescent="0.25">
      <c r="A36" s="13" t="s">
        <v>402</v>
      </c>
      <c r="B36">
        <v>6</v>
      </c>
      <c r="W36" s="108">
        <f t="shared" si="0"/>
        <v>6</v>
      </c>
      <c r="X36" s="108">
        <f t="shared" si="1"/>
        <v>0</v>
      </c>
      <c r="Y36" s="109">
        <f t="shared" si="2"/>
        <v>6</v>
      </c>
      <c r="Z36" s="109">
        <f t="shared" si="3"/>
        <v>6</v>
      </c>
      <c r="AA36" s="109">
        <f t="shared" si="4"/>
        <v>1</v>
      </c>
      <c r="AB36" s="35" t="str">
        <f t="shared" si="5"/>
        <v>6 ± 0 (6-6) [1]</v>
      </c>
      <c r="AC36" s="35" t="str">
        <f t="shared" si="7"/>
        <v>⧗⧗⧗</v>
      </c>
      <c r="AD36" s="35" t="s">
        <v>799</v>
      </c>
      <c r="AE36" s="35" t="str">
        <f t="shared" si="6"/>
        <v>⧗</v>
      </c>
      <c r="AG36" t="s">
        <v>402</v>
      </c>
      <c r="AH36" t="s">
        <v>261</v>
      </c>
      <c r="AI36" t="s">
        <v>60</v>
      </c>
    </row>
    <row r="37" spans="1:35" ht="16" x14ac:dyDescent="0.25">
      <c r="A37" s="13" t="s">
        <v>407</v>
      </c>
      <c r="B37">
        <v>0</v>
      </c>
      <c r="W37" s="108">
        <f t="shared" si="0"/>
        <v>0</v>
      </c>
      <c r="X37" s="108">
        <f t="shared" si="1"/>
        <v>0</v>
      </c>
      <c r="Y37" s="109">
        <f t="shared" si="2"/>
        <v>0</v>
      </c>
      <c r="Z37" s="109">
        <f t="shared" si="3"/>
        <v>0</v>
      </c>
      <c r="AA37" s="109">
        <f t="shared" si="4"/>
        <v>1</v>
      </c>
      <c r="AB37" s="35" t="str">
        <f t="shared" si="5"/>
        <v>-</v>
      </c>
      <c r="AC37" s="35" t="str">
        <f t="shared" si="7"/>
        <v>⧗</v>
      </c>
      <c r="AD37" s="35" t="s">
        <v>799</v>
      </c>
      <c r="AE37" s="35" t="str">
        <f t="shared" si="6"/>
        <v>⧗</v>
      </c>
      <c r="AG37" t="s">
        <v>407</v>
      </c>
      <c r="AH37" t="s">
        <v>56</v>
      </c>
      <c r="AI37" t="s">
        <v>135</v>
      </c>
    </row>
    <row r="38" spans="1:35" ht="16" x14ac:dyDescent="0.25">
      <c r="A38" s="77" t="s">
        <v>413</v>
      </c>
      <c r="B38">
        <v>3</v>
      </c>
      <c r="C38">
        <v>2</v>
      </c>
      <c r="D38">
        <v>2</v>
      </c>
      <c r="W38" s="108">
        <f t="shared" si="0"/>
        <v>2.2999999999999998</v>
      </c>
      <c r="X38" s="108">
        <f t="shared" si="1"/>
        <v>0.5</v>
      </c>
      <c r="Y38" s="109">
        <f t="shared" si="2"/>
        <v>2</v>
      </c>
      <c r="Z38" s="109">
        <f t="shared" si="3"/>
        <v>3</v>
      </c>
      <c r="AA38" s="109">
        <f t="shared" si="4"/>
        <v>3</v>
      </c>
      <c r="AB38" s="35" t="str">
        <f t="shared" si="5"/>
        <v>2.3 ± 0.5 (2-3) [3]</v>
      </c>
      <c r="AC38" s="35" t="str">
        <f t="shared" si="7"/>
        <v>⧗⧗</v>
      </c>
      <c r="AE38" s="35" t="str">
        <f t="shared" si="6"/>
        <v>⧗⧗</v>
      </c>
      <c r="AG38" t="s">
        <v>413</v>
      </c>
      <c r="AH38" t="s">
        <v>415</v>
      </c>
      <c r="AI38" t="s">
        <v>77</v>
      </c>
    </row>
    <row r="39" spans="1:35" ht="16" x14ac:dyDescent="0.25">
      <c r="A39" s="78" t="s">
        <v>419</v>
      </c>
      <c r="B39">
        <v>2</v>
      </c>
      <c r="C39">
        <v>18</v>
      </c>
      <c r="D39">
        <v>4</v>
      </c>
      <c r="E39">
        <v>2</v>
      </c>
      <c r="F39">
        <v>2</v>
      </c>
      <c r="G39">
        <v>2</v>
      </c>
      <c r="H39">
        <v>3</v>
      </c>
      <c r="W39" s="108">
        <f t="shared" si="0"/>
        <v>4.7</v>
      </c>
      <c r="X39" s="108">
        <f t="shared" si="1"/>
        <v>5.5</v>
      </c>
      <c r="Y39" s="109">
        <f t="shared" si="2"/>
        <v>2</v>
      </c>
      <c r="Z39" s="109">
        <f t="shared" si="3"/>
        <v>18</v>
      </c>
      <c r="AA39" s="109">
        <f t="shared" si="4"/>
        <v>7</v>
      </c>
      <c r="AB39" s="35" t="str">
        <f t="shared" si="5"/>
        <v>4.7 ± 5.5 (2-18) [7]</v>
      </c>
      <c r="AC39" s="35" t="str">
        <f t="shared" si="7"/>
        <v>⧗⧗⧗</v>
      </c>
      <c r="AE39" s="35" t="str">
        <f t="shared" si="6"/>
        <v>⧗⧗⧗</v>
      </c>
      <c r="AG39" t="s">
        <v>419</v>
      </c>
      <c r="AH39" t="s">
        <v>420</v>
      </c>
      <c r="AI39" t="s">
        <v>60</v>
      </c>
    </row>
    <row r="40" spans="1:35" ht="16" x14ac:dyDescent="0.25">
      <c r="A40" s="78" t="s">
        <v>424</v>
      </c>
      <c r="B40">
        <v>3</v>
      </c>
      <c r="C40">
        <v>3</v>
      </c>
      <c r="D40">
        <v>4</v>
      </c>
      <c r="E40">
        <v>2</v>
      </c>
      <c r="W40" s="108">
        <f t="shared" si="0"/>
        <v>3</v>
      </c>
      <c r="X40" s="108">
        <f t="shared" si="1"/>
        <v>0.7</v>
      </c>
      <c r="Y40" s="109">
        <f t="shared" si="2"/>
        <v>2</v>
      </c>
      <c r="Z40" s="109">
        <f t="shared" si="3"/>
        <v>4</v>
      </c>
      <c r="AA40" s="109">
        <f t="shared" si="4"/>
        <v>4</v>
      </c>
      <c r="AB40" s="35" t="str">
        <f t="shared" si="5"/>
        <v>3 ± 0.7 (2-4) [4]</v>
      </c>
      <c r="AC40" s="35" t="str">
        <f t="shared" si="7"/>
        <v>⧗⧗⧗</v>
      </c>
      <c r="AE40" s="35" t="str">
        <f t="shared" si="6"/>
        <v>⧗⧗⧗</v>
      </c>
      <c r="AG40" t="s">
        <v>424</v>
      </c>
      <c r="AH40" t="s">
        <v>425</v>
      </c>
      <c r="AI40" t="s">
        <v>60</v>
      </c>
    </row>
    <row r="41" spans="1:35" ht="16" x14ac:dyDescent="0.25">
      <c r="A41" s="78" t="s">
        <v>428</v>
      </c>
      <c r="B41">
        <v>3</v>
      </c>
      <c r="W41" s="108">
        <f t="shared" si="0"/>
        <v>3</v>
      </c>
      <c r="X41" s="108">
        <f t="shared" si="1"/>
        <v>0</v>
      </c>
      <c r="Y41" s="109">
        <f t="shared" si="2"/>
        <v>3</v>
      </c>
      <c r="Z41" s="109">
        <f t="shared" si="3"/>
        <v>3</v>
      </c>
      <c r="AA41" s="109">
        <f t="shared" si="4"/>
        <v>1</v>
      </c>
      <c r="AB41" s="35" t="str">
        <f t="shared" si="5"/>
        <v>3 ± 0 (3-3) [1]</v>
      </c>
      <c r="AC41" s="35" t="str">
        <f t="shared" si="7"/>
        <v>⧗⧗⧗</v>
      </c>
      <c r="AE41" s="35" t="str">
        <f t="shared" si="6"/>
        <v>⧗⧗⧗</v>
      </c>
      <c r="AG41" t="s">
        <v>428</v>
      </c>
      <c r="AH41" t="s">
        <v>289</v>
      </c>
      <c r="AI41" t="s">
        <v>60</v>
      </c>
    </row>
    <row r="42" spans="1:35" ht="16" x14ac:dyDescent="0.25">
      <c r="A42" s="78" t="s">
        <v>434</v>
      </c>
      <c r="B42">
        <v>2.5</v>
      </c>
      <c r="C42">
        <v>5</v>
      </c>
      <c r="D42">
        <v>3</v>
      </c>
      <c r="E42">
        <v>2</v>
      </c>
      <c r="F42">
        <v>3</v>
      </c>
      <c r="G42">
        <v>3</v>
      </c>
      <c r="H42">
        <v>12</v>
      </c>
      <c r="I42">
        <v>6</v>
      </c>
      <c r="J42">
        <v>2.5</v>
      </c>
      <c r="K42">
        <v>6</v>
      </c>
      <c r="W42" s="108">
        <f t="shared" si="0"/>
        <v>4.5</v>
      </c>
      <c r="X42" s="108">
        <f t="shared" si="1"/>
        <v>2.9</v>
      </c>
      <c r="Y42" s="109">
        <f t="shared" si="2"/>
        <v>2</v>
      </c>
      <c r="Z42" s="109">
        <f t="shared" si="3"/>
        <v>12</v>
      </c>
      <c r="AA42" s="109">
        <f t="shared" si="4"/>
        <v>10</v>
      </c>
      <c r="AB42" s="35" t="str">
        <f t="shared" si="5"/>
        <v>4.5 ± 2.9 (2-12) [10]</v>
      </c>
      <c r="AC42" s="35" t="str">
        <f t="shared" si="7"/>
        <v>⧗⧗⧗</v>
      </c>
      <c r="AE42" s="35" t="str">
        <f t="shared" si="6"/>
        <v>⧗⧗⧗</v>
      </c>
      <c r="AG42" t="s">
        <v>434</v>
      </c>
      <c r="AH42" t="s">
        <v>435</v>
      </c>
      <c r="AI42" t="s">
        <v>60</v>
      </c>
    </row>
    <row r="43" spans="1:35" ht="16" x14ac:dyDescent="0.25">
      <c r="A43" s="78" t="s">
        <v>440</v>
      </c>
      <c r="B43">
        <v>18</v>
      </c>
      <c r="C43">
        <v>3</v>
      </c>
      <c r="W43" s="108">
        <f t="shared" si="0"/>
        <v>10.5</v>
      </c>
      <c r="X43" s="108">
        <f t="shared" si="1"/>
        <v>7.5</v>
      </c>
      <c r="Y43" s="109">
        <f t="shared" si="2"/>
        <v>3</v>
      </c>
      <c r="Z43" s="109">
        <f t="shared" si="3"/>
        <v>18</v>
      </c>
      <c r="AA43" s="109">
        <f t="shared" si="4"/>
        <v>2</v>
      </c>
      <c r="AB43" s="35" t="str">
        <f t="shared" si="5"/>
        <v>10.5 ± 7.5 (3-18) [2]</v>
      </c>
      <c r="AC43" s="35" t="str">
        <f t="shared" si="7"/>
        <v>⧗⧗⧗</v>
      </c>
      <c r="AE43" s="35" t="str">
        <f t="shared" si="6"/>
        <v>⧗⧗⧗</v>
      </c>
      <c r="AG43" t="s">
        <v>440</v>
      </c>
      <c r="AH43" t="s">
        <v>441</v>
      </c>
      <c r="AI43" t="s">
        <v>60</v>
      </c>
    </row>
    <row r="44" spans="1:35" ht="16" x14ac:dyDescent="0.25">
      <c r="A44" s="78" t="s">
        <v>445</v>
      </c>
      <c r="B44">
        <v>2</v>
      </c>
      <c r="C44">
        <v>2</v>
      </c>
      <c r="W44" s="108">
        <f t="shared" si="0"/>
        <v>2</v>
      </c>
      <c r="X44" s="108">
        <f t="shared" si="1"/>
        <v>0</v>
      </c>
      <c r="Y44" s="109">
        <f t="shared" si="2"/>
        <v>2</v>
      </c>
      <c r="Z44" s="109">
        <f t="shared" si="3"/>
        <v>2</v>
      </c>
      <c r="AA44" s="109">
        <f t="shared" si="4"/>
        <v>2</v>
      </c>
      <c r="AB44" s="35" t="str">
        <f t="shared" si="5"/>
        <v>2 ± 0 (2-2) [2]</v>
      </c>
      <c r="AC44" s="35" t="str">
        <f t="shared" si="7"/>
        <v>⧗⧗</v>
      </c>
      <c r="AE44" s="35" t="str">
        <f t="shared" si="6"/>
        <v>⧗⧗</v>
      </c>
      <c r="AG44" t="s">
        <v>445</v>
      </c>
      <c r="AH44" t="s">
        <v>446</v>
      </c>
      <c r="AI44" t="s">
        <v>77</v>
      </c>
    </row>
    <row r="45" spans="1:35" ht="16" x14ac:dyDescent="0.25">
      <c r="A45" s="13" t="s">
        <v>450</v>
      </c>
      <c r="B45">
        <v>3</v>
      </c>
      <c r="C45">
        <v>2</v>
      </c>
      <c r="D45">
        <v>6</v>
      </c>
      <c r="E45">
        <v>1</v>
      </c>
      <c r="W45" s="108">
        <f t="shared" si="0"/>
        <v>3</v>
      </c>
      <c r="X45" s="108">
        <f t="shared" si="1"/>
        <v>1.9</v>
      </c>
      <c r="Y45" s="109">
        <f t="shared" si="2"/>
        <v>1</v>
      </c>
      <c r="Z45" s="109">
        <f t="shared" si="3"/>
        <v>6</v>
      </c>
      <c r="AA45" s="109">
        <f t="shared" si="4"/>
        <v>4</v>
      </c>
      <c r="AB45" s="35" t="str">
        <f t="shared" si="5"/>
        <v>3 ± 1.9 (1-6) [4]</v>
      </c>
      <c r="AC45" s="35" t="str">
        <f t="shared" si="7"/>
        <v>⧗⧗⧗</v>
      </c>
      <c r="AE45" s="35" t="str">
        <f t="shared" si="6"/>
        <v>⧗⧗⧗</v>
      </c>
      <c r="AG45" t="s">
        <v>450</v>
      </c>
      <c r="AH45" t="s">
        <v>454</v>
      </c>
      <c r="AI45" t="s">
        <v>60</v>
      </c>
    </row>
    <row r="46" spans="1:35" ht="16" x14ac:dyDescent="0.25">
      <c r="A46" s="13" t="s">
        <v>461</v>
      </c>
      <c r="B46">
        <f>14/30</f>
        <v>0.46666666666666667</v>
      </c>
      <c r="W46" s="108">
        <f t="shared" si="0"/>
        <v>0.5</v>
      </c>
      <c r="X46" s="108">
        <f t="shared" si="1"/>
        <v>0</v>
      </c>
      <c r="Y46" s="109">
        <f t="shared" si="2"/>
        <v>0.5</v>
      </c>
      <c r="Z46" s="109">
        <f t="shared" si="3"/>
        <v>0</v>
      </c>
      <c r="AA46" s="109">
        <f t="shared" si="4"/>
        <v>1</v>
      </c>
      <c r="AB46" s="35" t="str">
        <f t="shared" si="5"/>
        <v>0.5 ± 0 (0.5-0) [1]</v>
      </c>
      <c r="AC46" s="35" t="str">
        <f t="shared" si="7"/>
        <v>⧗</v>
      </c>
      <c r="AD46" s="35" t="s">
        <v>799</v>
      </c>
      <c r="AE46" s="35" t="str">
        <f t="shared" si="6"/>
        <v>⧗</v>
      </c>
      <c r="AG46" t="s">
        <v>461</v>
      </c>
      <c r="AH46" t="s">
        <v>56</v>
      </c>
      <c r="AI46" s="110" t="s">
        <v>77</v>
      </c>
    </row>
    <row r="47" spans="1:35" ht="16" x14ac:dyDescent="0.25">
      <c r="A47" s="13" t="s">
        <v>471</v>
      </c>
      <c r="B47">
        <v>0</v>
      </c>
      <c r="W47" s="108">
        <f t="shared" si="0"/>
        <v>0</v>
      </c>
      <c r="X47" s="108">
        <f t="shared" si="1"/>
        <v>0</v>
      </c>
      <c r="Y47" s="109">
        <f t="shared" si="2"/>
        <v>0</v>
      </c>
      <c r="Z47" s="109">
        <f t="shared" si="3"/>
        <v>0</v>
      </c>
      <c r="AA47" s="109">
        <f t="shared" si="4"/>
        <v>1</v>
      </c>
      <c r="AB47" s="35" t="str">
        <f t="shared" si="5"/>
        <v>-</v>
      </c>
      <c r="AC47" s="35" t="str">
        <f t="shared" si="7"/>
        <v>⧗</v>
      </c>
      <c r="AD47" s="35" t="s">
        <v>799</v>
      </c>
      <c r="AE47" s="35" t="str">
        <f t="shared" si="6"/>
        <v>⧗</v>
      </c>
      <c r="AG47" t="s">
        <v>471</v>
      </c>
      <c r="AH47" t="s">
        <v>56</v>
      </c>
      <c r="AI47" t="s">
        <v>135</v>
      </c>
    </row>
    <row r="48" spans="1:35" ht="16" x14ac:dyDescent="0.25">
      <c r="A48" s="13" t="s">
        <v>483</v>
      </c>
      <c r="B48">
        <v>3</v>
      </c>
      <c r="C48">
        <v>3</v>
      </c>
      <c r="D48">
        <v>3</v>
      </c>
      <c r="W48" s="108">
        <f t="shared" si="0"/>
        <v>3</v>
      </c>
      <c r="X48" s="108">
        <f t="shared" si="1"/>
        <v>0</v>
      </c>
      <c r="Y48" s="109">
        <f t="shared" si="2"/>
        <v>3</v>
      </c>
      <c r="Z48" s="109">
        <f t="shared" si="3"/>
        <v>3</v>
      </c>
      <c r="AA48" s="109">
        <f t="shared" si="4"/>
        <v>3</v>
      </c>
      <c r="AB48" s="35" t="str">
        <f t="shared" si="5"/>
        <v>3 ± 0 (3-3) [3]</v>
      </c>
      <c r="AC48" s="35" t="str">
        <f t="shared" si="7"/>
        <v>⧗⧗⧗</v>
      </c>
      <c r="AD48" s="35" t="s">
        <v>799</v>
      </c>
      <c r="AE48" s="35" t="str">
        <f t="shared" si="6"/>
        <v>⧗</v>
      </c>
      <c r="AG48" t="s">
        <v>483</v>
      </c>
      <c r="AH48" t="s">
        <v>487</v>
      </c>
      <c r="AI48" t="s">
        <v>60</v>
      </c>
    </row>
    <row r="49" spans="1:35" ht="16" x14ac:dyDescent="0.25">
      <c r="A49" s="13" t="s">
        <v>492</v>
      </c>
      <c r="B49">
        <f>26/4</f>
        <v>6.5</v>
      </c>
      <c r="W49" s="108">
        <f t="shared" si="0"/>
        <v>6.5</v>
      </c>
      <c r="X49" s="108">
        <f t="shared" si="1"/>
        <v>0</v>
      </c>
      <c r="Y49" s="109">
        <f t="shared" si="2"/>
        <v>6.5</v>
      </c>
      <c r="Z49" s="109">
        <f t="shared" si="3"/>
        <v>7</v>
      </c>
      <c r="AA49" s="109">
        <f t="shared" si="4"/>
        <v>1</v>
      </c>
      <c r="AB49" s="35" t="str">
        <f t="shared" si="5"/>
        <v>6.5 ± 0 (6.5-7) [1]</v>
      </c>
      <c r="AC49" s="35" t="str">
        <f t="shared" si="7"/>
        <v>⧗⧗⧗</v>
      </c>
      <c r="AD49" s="35" t="s">
        <v>799</v>
      </c>
      <c r="AE49" s="35" t="str">
        <f t="shared" si="6"/>
        <v>⧗</v>
      </c>
      <c r="AG49" t="s">
        <v>492</v>
      </c>
      <c r="AH49" t="s">
        <v>56</v>
      </c>
      <c r="AI49" t="s">
        <v>60</v>
      </c>
    </row>
    <row r="50" spans="1:35" ht="16" x14ac:dyDescent="0.25">
      <c r="A50" s="13" t="s">
        <v>501</v>
      </c>
      <c r="B50" s="113">
        <v>3</v>
      </c>
      <c r="C50">
        <v>3</v>
      </c>
      <c r="D50">
        <v>3</v>
      </c>
      <c r="E50">
        <v>6</v>
      </c>
      <c r="F50">
        <v>3</v>
      </c>
      <c r="G50">
        <v>3</v>
      </c>
      <c r="H50">
        <v>3</v>
      </c>
      <c r="I50">
        <v>3</v>
      </c>
      <c r="J50">
        <v>4</v>
      </c>
      <c r="K50">
        <v>3</v>
      </c>
      <c r="L50">
        <v>3</v>
      </c>
      <c r="W50" s="108">
        <f t="shared" si="0"/>
        <v>3.4</v>
      </c>
      <c r="X50" s="108">
        <f t="shared" si="1"/>
        <v>0.9</v>
      </c>
      <c r="Y50" s="109">
        <f t="shared" si="2"/>
        <v>3</v>
      </c>
      <c r="Z50" s="109">
        <f t="shared" si="3"/>
        <v>6</v>
      </c>
      <c r="AA50" s="109">
        <f t="shared" si="4"/>
        <v>11</v>
      </c>
      <c r="AB50" s="35" t="str">
        <f t="shared" si="5"/>
        <v>3.4 ± 0.9 (3-6) [11]</v>
      </c>
      <c r="AC50" s="35" t="str">
        <f t="shared" si="7"/>
        <v>⧗⧗⧗</v>
      </c>
      <c r="AE50" s="35" t="str">
        <f t="shared" si="6"/>
        <v>⧗⧗⧗</v>
      </c>
      <c r="AG50" t="s">
        <v>501</v>
      </c>
      <c r="AH50" t="s">
        <v>506</v>
      </c>
      <c r="AI50" t="s">
        <v>60</v>
      </c>
    </row>
    <row r="51" spans="1:35" ht="16" x14ac:dyDescent="0.25">
      <c r="A51" s="13" t="s">
        <v>513</v>
      </c>
      <c r="B51">
        <v>3</v>
      </c>
      <c r="C51">
        <v>3</v>
      </c>
      <c r="W51" s="108">
        <f t="shared" si="0"/>
        <v>3</v>
      </c>
      <c r="X51" s="108">
        <f t="shared" si="1"/>
        <v>0</v>
      </c>
      <c r="Y51" s="109">
        <f t="shared" si="2"/>
        <v>3</v>
      </c>
      <c r="Z51" s="109">
        <f t="shared" si="3"/>
        <v>3</v>
      </c>
      <c r="AA51" s="109">
        <f t="shared" si="4"/>
        <v>2</v>
      </c>
      <c r="AB51" s="35" t="str">
        <f t="shared" si="5"/>
        <v>3 ± 0 (3-3) [2]</v>
      </c>
      <c r="AC51" s="35" t="str">
        <f t="shared" si="7"/>
        <v>⧗⧗⧗</v>
      </c>
      <c r="AE51" s="35" t="str">
        <f t="shared" si="6"/>
        <v>⧗⧗⧗</v>
      </c>
      <c r="AG51" t="s">
        <v>513</v>
      </c>
      <c r="AH51" t="s">
        <v>517</v>
      </c>
      <c r="AI51" t="s">
        <v>60</v>
      </c>
    </row>
    <row r="52" spans="1:35" ht="16" x14ac:dyDescent="0.25">
      <c r="A52" s="13" t="s">
        <v>524</v>
      </c>
      <c r="B52">
        <v>1</v>
      </c>
      <c r="C52">
        <f>3/4</f>
        <v>0.75</v>
      </c>
      <c r="W52" s="108">
        <f t="shared" si="0"/>
        <v>0.9</v>
      </c>
      <c r="X52" s="108">
        <f t="shared" si="1"/>
        <v>0.1</v>
      </c>
      <c r="Y52" s="109">
        <f t="shared" si="2"/>
        <v>0.8</v>
      </c>
      <c r="Z52" s="109">
        <f t="shared" si="3"/>
        <v>1</v>
      </c>
      <c r="AA52" s="109">
        <f t="shared" si="4"/>
        <v>2</v>
      </c>
      <c r="AB52" s="35" t="str">
        <f t="shared" si="5"/>
        <v>0.9 ± 0.1 (0.8-1) [2]</v>
      </c>
      <c r="AC52" s="35" t="str">
        <f t="shared" si="7"/>
        <v>⧗</v>
      </c>
      <c r="AE52" s="35" t="str">
        <f t="shared" si="6"/>
        <v>⧗</v>
      </c>
      <c r="AG52" t="s">
        <v>524</v>
      </c>
      <c r="AH52" t="s">
        <v>526</v>
      </c>
      <c r="AI52" s="110" t="s">
        <v>77</v>
      </c>
    </row>
    <row r="53" spans="1:35" ht="16" x14ac:dyDescent="0.25">
      <c r="A53" s="13" t="s">
        <v>532</v>
      </c>
      <c r="B53" s="113">
        <v>0.75</v>
      </c>
      <c r="C53">
        <v>2</v>
      </c>
      <c r="D53">
        <v>0.33300000000000002</v>
      </c>
      <c r="W53" s="108">
        <f t="shared" si="0"/>
        <v>1</v>
      </c>
      <c r="X53" s="108">
        <f t="shared" si="1"/>
        <v>0.7</v>
      </c>
      <c r="Y53" s="109">
        <f t="shared" si="2"/>
        <v>0.3</v>
      </c>
      <c r="Z53" s="109">
        <f t="shared" si="3"/>
        <v>2</v>
      </c>
      <c r="AA53" s="109">
        <f t="shared" si="4"/>
        <v>3</v>
      </c>
      <c r="AB53" s="35" t="str">
        <f t="shared" si="5"/>
        <v>1 ± 0.7 (0.3-2) [3]</v>
      </c>
      <c r="AC53" s="35" t="str">
        <f t="shared" si="7"/>
        <v>⧗⧗</v>
      </c>
      <c r="AE53" s="35" t="str">
        <f t="shared" si="6"/>
        <v>⧗⧗</v>
      </c>
      <c r="AG53" t="s">
        <v>532</v>
      </c>
      <c r="AH53" t="s">
        <v>533</v>
      </c>
      <c r="AI53" t="s">
        <v>77</v>
      </c>
    </row>
    <row r="54" spans="1:35" ht="16" x14ac:dyDescent="0.25">
      <c r="A54" s="13" t="s">
        <v>538</v>
      </c>
      <c r="B54">
        <v>3</v>
      </c>
      <c r="W54" s="108">
        <f t="shared" si="0"/>
        <v>3</v>
      </c>
      <c r="X54" s="108">
        <f t="shared" si="1"/>
        <v>0</v>
      </c>
      <c r="Y54" s="109">
        <f t="shared" si="2"/>
        <v>3</v>
      </c>
      <c r="Z54" s="109">
        <f t="shared" si="3"/>
        <v>3</v>
      </c>
      <c r="AA54" s="109">
        <f t="shared" si="4"/>
        <v>1</v>
      </c>
      <c r="AB54" s="35" t="str">
        <f t="shared" si="5"/>
        <v>3 ± 0 (3-3) [1]</v>
      </c>
      <c r="AC54" s="35" t="str">
        <f t="shared" si="7"/>
        <v>⧗⧗⧗</v>
      </c>
      <c r="AE54" s="35" t="str">
        <f t="shared" si="6"/>
        <v>⧗⧗⧗</v>
      </c>
      <c r="AG54" t="s">
        <v>538</v>
      </c>
      <c r="AH54" t="s">
        <v>289</v>
      </c>
      <c r="AI54" t="s">
        <v>60</v>
      </c>
    </row>
    <row r="55" spans="1:35" ht="16" x14ac:dyDescent="0.25">
      <c r="A55" s="13" t="s">
        <v>542</v>
      </c>
      <c r="B55">
        <v>3</v>
      </c>
      <c r="C55">
        <v>3</v>
      </c>
      <c r="D55">
        <v>2</v>
      </c>
      <c r="E55">
        <v>1.5</v>
      </c>
      <c r="W55" s="108">
        <f t="shared" si="0"/>
        <v>2.4</v>
      </c>
      <c r="X55" s="108">
        <f t="shared" si="1"/>
        <v>0.6</v>
      </c>
      <c r="Y55" s="109">
        <f t="shared" si="2"/>
        <v>1.5</v>
      </c>
      <c r="Z55" s="109">
        <f t="shared" si="3"/>
        <v>3</v>
      </c>
      <c r="AA55" s="109">
        <f t="shared" si="4"/>
        <v>4</v>
      </c>
      <c r="AB55" s="35" t="str">
        <f t="shared" si="5"/>
        <v>2.4 ± 0.6 (1.5-3) [4]</v>
      </c>
      <c r="AC55" s="35" t="str">
        <f t="shared" si="7"/>
        <v>⧗⧗</v>
      </c>
      <c r="AE55" s="35" t="str">
        <f t="shared" si="6"/>
        <v>⧗⧗</v>
      </c>
      <c r="AG55" t="s">
        <v>542</v>
      </c>
      <c r="AH55" t="s">
        <v>546</v>
      </c>
      <c r="AI55" t="s">
        <v>77</v>
      </c>
    </row>
    <row r="56" spans="1:35" ht="16" x14ac:dyDescent="0.25">
      <c r="A56" s="13" t="s">
        <v>553</v>
      </c>
      <c r="B56">
        <v>6</v>
      </c>
      <c r="C56">
        <v>12</v>
      </c>
      <c r="D56">
        <v>6</v>
      </c>
      <c r="W56" s="108">
        <f t="shared" si="0"/>
        <v>8</v>
      </c>
      <c r="X56" s="108">
        <f t="shared" si="1"/>
        <v>2.8</v>
      </c>
      <c r="Y56" s="109">
        <f t="shared" si="2"/>
        <v>6</v>
      </c>
      <c r="Z56" s="109">
        <f t="shared" si="3"/>
        <v>12</v>
      </c>
      <c r="AA56" s="109">
        <f t="shared" si="4"/>
        <v>3</v>
      </c>
      <c r="AB56" s="35" t="str">
        <f t="shared" si="5"/>
        <v>8 ± 2.8 (6-12) [3]</v>
      </c>
      <c r="AC56" s="35" t="str">
        <f t="shared" si="7"/>
        <v>⧗⧗⧗</v>
      </c>
      <c r="AE56" s="35" t="str">
        <f t="shared" si="6"/>
        <v>⧗⧗⧗</v>
      </c>
      <c r="AG56" t="s">
        <v>553</v>
      </c>
      <c r="AH56" t="s">
        <v>558</v>
      </c>
      <c r="AI56" t="s">
        <v>60</v>
      </c>
    </row>
    <row r="57" spans="1:35" ht="16" x14ac:dyDescent="0.25">
      <c r="A57" s="13" t="s">
        <v>567</v>
      </c>
      <c r="B57" s="113">
        <v>1</v>
      </c>
      <c r="C57">
        <v>0.1666</v>
      </c>
      <c r="D57">
        <v>0.75</v>
      </c>
      <c r="E57">
        <v>1.5</v>
      </c>
      <c r="F57">
        <v>3</v>
      </c>
      <c r="G57">
        <v>0.6</v>
      </c>
      <c r="H57">
        <v>3</v>
      </c>
      <c r="W57" s="108">
        <f t="shared" si="0"/>
        <v>1.4</v>
      </c>
      <c r="X57" s="108">
        <f t="shared" si="1"/>
        <v>1.1000000000000001</v>
      </c>
      <c r="Y57" s="109">
        <f t="shared" si="2"/>
        <v>0.2</v>
      </c>
      <c r="Z57" s="109">
        <f t="shared" si="3"/>
        <v>3</v>
      </c>
      <c r="AA57" s="109">
        <f t="shared" si="4"/>
        <v>7</v>
      </c>
      <c r="AB57" s="35" t="str">
        <f t="shared" si="5"/>
        <v>1.4 ± 1.1 (0.2-3) [7]</v>
      </c>
      <c r="AC57" s="35" t="str">
        <f t="shared" si="7"/>
        <v>⧗⧗</v>
      </c>
      <c r="AE57" s="35" t="str">
        <f t="shared" si="6"/>
        <v>⧗⧗</v>
      </c>
      <c r="AG57" t="s">
        <v>567</v>
      </c>
      <c r="AH57" t="s">
        <v>571</v>
      </c>
      <c r="AI57" t="s">
        <v>77</v>
      </c>
    </row>
    <row r="58" spans="1:35" ht="16" x14ac:dyDescent="0.25">
      <c r="A58" s="13" t="s">
        <v>578</v>
      </c>
      <c r="B58">
        <f>90/30</f>
        <v>3</v>
      </c>
      <c r="W58" s="108">
        <f t="shared" si="0"/>
        <v>3</v>
      </c>
      <c r="X58" s="108">
        <f t="shared" si="1"/>
        <v>0</v>
      </c>
      <c r="Y58" s="109">
        <f t="shared" si="2"/>
        <v>3</v>
      </c>
      <c r="Z58" s="109">
        <f t="shared" si="3"/>
        <v>3</v>
      </c>
      <c r="AA58" s="109">
        <f t="shared" si="4"/>
        <v>1</v>
      </c>
      <c r="AB58" s="35" t="str">
        <f t="shared" si="5"/>
        <v>3 ± 0 (3-3) [1]</v>
      </c>
      <c r="AC58" s="35" t="str">
        <f t="shared" si="7"/>
        <v>⧗⧗⧗</v>
      </c>
      <c r="AE58" s="35" t="str">
        <f t="shared" si="6"/>
        <v>⧗⧗⧗</v>
      </c>
      <c r="AG58" t="s">
        <v>578</v>
      </c>
      <c r="AH58" t="s">
        <v>289</v>
      </c>
      <c r="AI58" t="s">
        <v>60</v>
      </c>
    </row>
    <row r="59" spans="1:35" ht="16" x14ac:dyDescent="0.25">
      <c r="A59" s="13" t="s">
        <v>585</v>
      </c>
      <c r="B59">
        <v>6</v>
      </c>
      <c r="C59">
        <v>2.5</v>
      </c>
      <c r="D59">
        <v>12</v>
      </c>
      <c r="W59" s="108">
        <f t="shared" si="0"/>
        <v>6.8</v>
      </c>
      <c r="X59" s="108">
        <f t="shared" si="1"/>
        <v>3.9</v>
      </c>
      <c r="Y59" s="109">
        <f t="shared" si="2"/>
        <v>2.5</v>
      </c>
      <c r="Z59" s="109">
        <f t="shared" si="3"/>
        <v>12</v>
      </c>
      <c r="AA59" s="109">
        <f t="shared" si="4"/>
        <v>3</v>
      </c>
      <c r="AB59" s="35" t="str">
        <f t="shared" si="5"/>
        <v>6.8 ± 3.9 (2.5-12) [3]</v>
      </c>
      <c r="AC59" s="35" t="str">
        <f t="shared" si="7"/>
        <v>⧗⧗⧗</v>
      </c>
      <c r="AD59" s="35" t="s">
        <v>799</v>
      </c>
      <c r="AE59" s="35" t="str">
        <f t="shared" si="6"/>
        <v>⧗</v>
      </c>
      <c r="AG59" t="s">
        <v>585</v>
      </c>
      <c r="AH59" t="s">
        <v>56</v>
      </c>
      <c r="AI59" t="s">
        <v>60</v>
      </c>
    </row>
    <row r="60" spans="1:35" ht="16" x14ac:dyDescent="0.25">
      <c r="A60" s="13" t="s">
        <v>597</v>
      </c>
      <c r="B60">
        <v>12</v>
      </c>
      <c r="C60">
        <v>2</v>
      </c>
      <c r="D60">
        <v>24</v>
      </c>
      <c r="E60">
        <v>3</v>
      </c>
      <c r="W60" s="108">
        <f t="shared" si="0"/>
        <v>10.3</v>
      </c>
      <c r="X60" s="108">
        <f t="shared" si="1"/>
        <v>8.8000000000000007</v>
      </c>
      <c r="Y60" s="109">
        <f t="shared" si="2"/>
        <v>2</v>
      </c>
      <c r="Z60" s="109">
        <f t="shared" si="3"/>
        <v>24</v>
      </c>
      <c r="AA60" s="109">
        <f t="shared" si="4"/>
        <v>4</v>
      </c>
      <c r="AB60" s="35" t="str">
        <f t="shared" si="5"/>
        <v>10.3 ± 8.8 (2-24) [4]</v>
      </c>
      <c r="AC60" s="35" t="str">
        <f t="shared" si="7"/>
        <v>⧗⧗⧗</v>
      </c>
      <c r="AD60" s="35" t="s">
        <v>799</v>
      </c>
      <c r="AE60" s="35" t="str">
        <f t="shared" si="6"/>
        <v>⧗</v>
      </c>
      <c r="AG60" t="s">
        <v>597</v>
      </c>
      <c r="AH60" t="s">
        <v>600</v>
      </c>
      <c r="AI60" t="s">
        <v>60</v>
      </c>
    </row>
    <row r="61" spans="1:35" ht="16" x14ac:dyDescent="0.25">
      <c r="A61" s="13" t="s">
        <v>604</v>
      </c>
      <c r="B61">
        <v>2</v>
      </c>
      <c r="W61" s="108">
        <f t="shared" si="0"/>
        <v>2</v>
      </c>
      <c r="X61" s="108">
        <f t="shared" si="1"/>
        <v>0</v>
      </c>
      <c r="Y61" s="109">
        <f t="shared" si="2"/>
        <v>2</v>
      </c>
      <c r="Z61" s="109">
        <f t="shared" si="3"/>
        <v>2</v>
      </c>
      <c r="AA61" s="109">
        <f t="shared" si="4"/>
        <v>1</v>
      </c>
      <c r="AB61" s="35" t="str">
        <f t="shared" si="5"/>
        <v>2 ± 0 (2-2) [1]</v>
      </c>
      <c r="AC61" s="35" t="str">
        <f t="shared" si="7"/>
        <v>⧗⧗</v>
      </c>
      <c r="AE61" s="35" t="str">
        <f t="shared" si="6"/>
        <v>⧗⧗</v>
      </c>
      <c r="AG61" t="s">
        <v>604</v>
      </c>
      <c r="AH61" t="s">
        <v>165</v>
      </c>
      <c r="AI61" t="s">
        <v>77</v>
      </c>
    </row>
    <row r="62" spans="1:35" ht="16" x14ac:dyDescent="0.25">
      <c r="A62" s="13" t="s">
        <v>610</v>
      </c>
      <c r="B62">
        <v>0</v>
      </c>
      <c r="W62" s="108">
        <f t="shared" si="0"/>
        <v>0</v>
      </c>
      <c r="X62" s="108">
        <f t="shared" si="1"/>
        <v>0</v>
      </c>
      <c r="Y62" s="109">
        <f t="shared" si="2"/>
        <v>0</v>
      </c>
      <c r="Z62" s="109">
        <f t="shared" si="3"/>
        <v>0</v>
      </c>
      <c r="AA62" s="109">
        <f t="shared" si="4"/>
        <v>1</v>
      </c>
      <c r="AB62" s="35" t="str">
        <f t="shared" si="5"/>
        <v>-</v>
      </c>
      <c r="AC62" s="35" t="str">
        <f t="shared" si="7"/>
        <v>⧗</v>
      </c>
      <c r="AD62" s="35" t="s">
        <v>799</v>
      </c>
      <c r="AE62" s="35" t="str">
        <f t="shared" si="6"/>
        <v>⧗</v>
      </c>
      <c r="AG62" t="s">
        <v>610</v>
      </c>
      <c r="AH62" t="s">
        <v>56</v>
      </c>
      <c r="AI62" t="s">
        <v>135</v>
      </c>
    </row>
    <row r="63" spans="1:35" ht="16" x14ac:dyDescent="0.25">
      <c r="A63" s="13" t="s">
        <v>614</v>
      </c>
      <c r="B63">
        <v>6</v>
      </c>
      <c r="W63" s="108">
        <f t="shared" si="0"/>
        <v>6</v>
      </c>
      <c r="X63" s="108">
        <f t="shared" si="1"/>
        <v>0</v>
      </c>
      <c r="Y63" s="109">
        <f t="shared" si="2"/>
        <v>6</v>
      </c>
      <c r="Z63" s="109">
        <f t="shared" si="3"/>
        <v>6</v>
      </c>
      <c r="AA63" s="109">
        <f t="shared" si="4"/>
        <v>1</v>
      </c>
      <c r="AB63" s="35" t="str">
        <f t="shared" si="5"/>
        <v>6 ± 0 (6-6) [1]</v>
      </c>
      <c r="AC63" s="35" t="str">
        <f t="shared" si="7"/>
        <v>⧗⧗⧗</v>
      </c>
      <c r="AE63" s="35" t="str">
        <f t="shared" si="6"/>
        <v>⧗⧗⧗</v>
      </c>
      <c r="AG63" t="s">
        <v>614</v>
      </c>
      <c r="AH63" t="s">
        <v>261</v>
      </c>
      <c r="AI63" t="s">
        <v>60</v>
      </c>
    </row>
    <row r="64" spans="1:35" ht="16" x14ac:dyDescent="0.25">
      <c r="A64" s="13" t="s">
        <v>622</v>
      </c>
      <c r="B64">
        <f>3*12</f>
        <v>36</v>
      </c>
      <c r="W64" s="108">
        <f t="shared" si="0"/>
        <v>36</v>
      </c>
      <c r="X64" s="108">
        <f t="shared" si="1"/>
        <v>0</v>
      </c>
      <c r="Y64" s="109">
        <f t="shared" si="2"/>
        <v>36</v>
      </c>
      <c r="Z64" s="109">
        <f t="shared" si="3"/>
        <v>36</v>
      </c>
      <c r="AA64" s="109">
        <f t="shared" si="4"/>
        <v>1</v>
      </c>
      <c r="AB64" s="35" t="str">
        <f t="shared" si="5"/>
        <v>36 ± 0 (36-36) [1]</v>
      </c>
      <c r="AC64" s="35" t="str">
        <f t="shared" si="7"/>
        <v>⧗⧗⧗⧗</v>
      </c>
      <c r="AD64" s="35" t="s">
        <v>799</v>
      </c>
      <c r="AE64" s="35" t="str">
        <f t="shared" si="6"/>
        <v>⧗</v>
      </c>
      <c r="AG64" t="s">
        <v>805</v>
      </c>
      <c r="AH64" t="s">
        <v>56</v>
      </c>
      <c r="AI64" t="s">
        <v>135</v>
      </c>
    </row>
    <row r="65" spans="1:35" ht="16" x14ac:dyDescent="0.25">
      <c r="A65" s="13" t="s">
        <v>634</v>
      </c>
      <c r="B65" s="112">
        <f>1/30</f>
        <v>3.3333333333333333E-2</v>
      </c>
      <c r="C65" s="112">
        <f>1/30</f>
        <v>3.3333333333333333E-2</v>
      </c>
      <c r="W65" s="108">
        <f t="shared" si="0"/>
        <v>0</v>
      </c>
      <c r="X65" s="108">
        <f t="shared" si="1"/>
        <v>0</v>
      </c>
      <c r="Y65" s="109">
        <f t="shared" si="2"/>
        <v>0</v>
      </c>
      <c r="Z65" s="109">
        <f t="shared" si="3"/>
        <v>0</v>
      </c>
      <c r="AA65" s="109">
        <f t="shared" si="4"/>
        <v>2</v>
      </c>
      <c r="AB65" s="35" t="str">
        <f t="shared" si="5"/>
        <v>0 ± 0 (0-0) [2]</v>
      </c>
      <c r="AC65" s="35" t="str">
        <f t="shared" si="7"/>
        <v>⧗</v>
      </c>
      <c r="AE65" s="35" t="str">
        <f t="shared" si="6"/>
        <v>⧗</v>
      </c>
      <c r="AG65" t="s">
        <v>634</v>
      </c>
      <c r="AH65" t="s">
        <v>636</v>
      </c>
      <c r="AI65" t="s">
        <v>135</v>
      </c>
    </row>
    <row r="66" spans="1:35" ht="16" x14ac:dyDescent="0.25">
      <c r="A66" s="13" t="s">
        <v>643</v>
      </c>
      <c r="B66">
        <f>21/30</f>
        <v>0.7</v>
      </c>
      <c r="W66" s="108">
        <f t="shared" ref="W66:W77" si="8">ROUND(AVERAGE(B66:V66),1)</f>
        <v>0.7</v>
      </c>
      <c r="X66" s="108">
        <f t="shared" ref="X66:X77" si="9">ROUND(_xlfn.STDEV.P(B66:V66),1)</f>
        <v>0</v>
      </c>
      <c r="Y66" s="109">
        <f t="shared" ref="Y66:Y77" si="10">ROUND(MIN(B66:V66),1)</f>
        <v>0.7</v>
      </c>
      <c r="Z66" s="109">
        <f t="shared" ref="Z66:Z77" si="11">ROUND(MAX(B66:V66),0)</f>
        <v>1</v>
      </c>
      <c r="AA66" s="109">
        <f t="shared" ref="AA66:AA77" si="12">COUNTA(B66:V66)</f>
        <v>1</v>
      </c>
      <c r="AB66" s="35" t="str">
        <f t="shared" ref="AB66:AB77" si="13">IF(B66=0,"-",W66&amp;" "&amp;$AB$1&amp;" "&amp;X66&amp;" ("&amp;Y66&amp;"-"&amp;Z66&amp;") ["&amp;AA66&amp;"]")</f>
        <v>0.7 ± 0 (0.7-1) [1]</v>
      </c>
      <c r="AC66" s="35" t="str">
        <f t="shared" si="7"/>
        <v>⧗</v>
      </c>
      <c r="AD66" s="35" t="s">
        <v>799</v>
      </c>
      <c r="AE66" s="35" t="str">
        <f t="shared" ref="AE66:AE77" si="14">IF(AD66="",AC66,"⧗")</f>
        <v>⧗</v>
      </c>
      <c r="AG66" t="s">
        <v>643</v>
      </c>
      <c r="AH66" t="s">
        <v>56</v>
      </c>
      <c r="AI66" s="110" t="s">
        <v>77</v>
      </c>
    </row>
    <row r="67" spans="1:35" ht="16" x14ac:dyDescent="0.25">
      <c r="A67" s="13" t="s">
        <v>656</v>
      </c>
      <c r="B67">
        <v>0.75</v>
      </c>
      <c r="C67">
        <v>2</v>
      </c>
      <c r="D67">
        <f>10/30</f>
        <v>0.33333333333333331</v>
      </c>
      <c r="E67">
        <v>0.5</v>
      </c>
      <c r="W67" s="108">
        <f t="shared" si="8"/>
        <v>0.9</v>
      </c>
      <c r="X67" s="108">
        <f t="shared" si="9"/>
        <v>0.7</v>
      </c>
      <c r="Y67" s="109">
        <f t="shared" si="10"/>
        <v>0.3</v>
      </c>
      <c r="Z67" s="109">
        <f t="shared" si="11"/>
        <v>2</v>
      </c>
      <c r="AA67" s="109">
        <f t="shared" si="12"/>
        <v>4</v>
      </c>
      <c r="AB67" s="35" t="str">
        <f t="shared" si="13"/>
        <v>0.9 ± 0.7 (0.3-2) [4]</v>
      </c>
      <c r="AC67" s="35" t="str">
        <f t="shared" ref="AC67:AC77" si="15">IF(B67=0,"⧗",IF(W67&lt;1,"⧗",IF(W67&lt;3,"⧗⧗",IF(W67&lt;12,"⧗⧗⧗",IF(W67=12,"⧗⧗⧗","⧗⧗⧗⧗")))))</f>
        <v>⧗</v>
      </c>
      <c r="AE67" s="35" t="str">
        <f t="shared" si="14"/>
        <v>⧗</v>
      </c>
      <c r="AG67" t="s">
        <v>656</v>
      </c>
      <c r="AH67" t="s">
        <v>657</v>
      </c>
      <c r="AI67" s="110" t="s">
        <v>77</v>
      </c>
    </row>
    <row r="68" spans="1:35" ht="16" x14ac:dyDescent="0.25">
      <c r="A68" s="13" t="s">
        <v>664</v>
      </c>
      <c r="B68">
        <v>1</v>
      </c>
      <c r="W68" s="108">
        <f t="shared" si="8"/>
        <v>1</v>
      </c>
      <c r="X68" s="108">
        <f t="shared" si="9"/>
        <v>0</v>
      </c>
      <c r="Y68" s="109">
        <f t="shared" si="10"/>
        <v>1</v>
      </c>
      <c r="Z68" s="109">
        <f t="shared" si="11"/>
        <v>1</v>
      </c>
      <c r="AA68" s="109">
        <f t="shared" si="12"/>
        <v>1</v>
      </c>
      <c r="AB68" s="35" t="str">
        <f t="shared" si="13"/>
        <v>1 ± 0 (1-1) [1]</v>
      </c>
      <c r="AC68" s="35" t="str">
        <f t="shared" si="15"/>
        <v>⧗⧗</v>
      </c>
      <c r="AD68" s="35" t="s">
        <v>799</v>
      </c>
      <c r="AE68" s="35" t="str">
        <f t="shared" si="14"/>
        <v>⧗</v>
      </c>
      <c r="AG68" t="s">
        <v>664</v>
      </c>
      <c r="AH68" t="s">
        <v>56</v>
      </c>
      <c r="AI68" t="s">
        <v>135</v>
      </c>
    </row>
    <row r="69" spans="1:35" ht="16" x14ac:dyDescent="0.25">
      <c r="A69" s="13" t="s">
        <v>675</v>
      </c>
      <c r="B69">
        <v>3</v>
      </c>
      <c r="C69">
        <v>3</v>
      </c>
      <c r="D69">
        <v>3</v>
      </c>
      <c r="E69">
        <v>3</v>
      </c>
      <c r="F69">
        <v>3</v>
      </c>
      <c r="G69">
        <v>3</v>
      </c>
      <c r="W69" s="108">
        <f t="shared" si="8"/>
        <v>3</v>
      </c>
      <c r="X69" s="108">
        <f t="shared" si="9"/>
        <v>0</v>
      </c>
      <c r="Y69" s="109">
        <f t="shared" si="10"/>
        <v>3</v>
      </c>
      <c r="Z69" s="109">
        <f t="shared" si="11"/>
        <v>3</v>
      </c>
      <c r="AA69" s="109">
        <f t="shared" si="12"/>
        <v>6</v>
      </c>
      <c r="AB69" s="35" t="str">
        <f t="shared" si="13"/>
        <v>3 ± 0 (3-3) [6]</v>
      </c>
      <c r="AC69" s="35" t="str">
        <f t="shared" si="15"/>
        <v>⧗⧗⧗</v>
      </c>
      <c r="AE69" s="35" t="str">
        <f t="shared" si="14"/>
        <v>⧗⧗⧗</v>
      </c>
      <c r="AG69" t="s">
        <v>675</v>
      </c>
      <c r="AH69" t="s">
        <v>679</v>
      </c>
      <c r="AI69" t="s">
        <v>60</v>
      </c>
    </row>
    <row r="70" spans="1:35" ht="16" x14ac:dyDescent="0.25">
      <c r="A70" s="13" t="s">
        <v>685</v>
      </c>
      <c r="B70" t="s">
        <v>806</v>
      </c>
      <c r="W70" s="108" t="e">
        <f t="shared" si="8"/>
        <v>#DIV/0!</v>
      </c>
      <c r="X70" s="108" t="e">
        <f t="shared" si="9"/>
        <v>#DIV/0!</v>
      </c>
      <c r="Y70" s="109">
        <f t="shared" si="10"/>
        <v>0</v>
      </c>
      <c r="Z70" s="109">
        <f t="shared" si="11"/>
        <v>0</v>
      </c>
      <c r="AA70" s="109">
        <f t="shared" si="12"/>
        <v>1</v>
      </c>
      <c r="AB70" s="35" t="e">
        <f t="shared" si="13"/>
        <v>#DIV/0!</v>
      </c>
      <c r="AC70" s="35" t="e">
        <f t="shared" si="15"/>
        <v>#DIV/0!</v>
      </c>
      <c r="AE70" s="109" t="s">
        <v>626</v>
      </c>
      <c r="AG70" t="s">
        <v>685</v>
      </c>
      <c r="AH70" t="e">
        <v>#DIV/0!</v>
      </c>
      <c r="AI70" t="e">
        <v>#DIV/0!</v>
      </c>
    </row>
    <row r="71" spans="1:35" ht="16" x14ac:dyDescent="0.25">
      <c r="A71" s="13" t="s">
        <v>698</v>
      </c>
      <c r="B71">
        <v>0.5</v>
      </c>
      <c r="C71">
        <v>0.5</v>
      </c>
      <c r="D71">
        <v>0.5</v>
      </c>
      <c r="W71" s="108">
        <f t="shared" si="8"/>
        <v>0.5</v>
      </c>
      <c r="X71" s="108">
        <f t="shared" si="9"/>
        <v>0</v>
      </c>
      <c r="Y71" s="109">
        <f t="shared" si="10"/>
        <v>0.5</v>
      </c>
      <c r="Z71" s="109">
        <f t="shared" si="11"/>
        <v>1</v>
      </c>
      <c r="AA71" s="109">
        <f t="shared" si="12"/>
        <v>3</v>
      </c>
      <c r="AB71" s="35" t="str">
        <f t="shared" si="13"/>
        <v>0.5 ± 0 (0.5-1) [3]</v>
      </c>
      <c r="AC71" s="35" t="str">
        <f t="shared" si="15"/>
        <v>⧗</v>
      </c>
      <c r="AE71" s="35" t="str">
        <f t="shared" si="14"/>
        <v>⧗</v>
      </c>
      <c r="AG71" t="s">
        <v>698</v>
      </c>
      <c r="AH71" t="s">
        <v>699</v>
      </c>
      <c r="AI71" s="110" t="s">
        <v>77</v>
      </c>
    </row>
    <row r="72" spans="1:35" ht="16" x14ac:dyDescent="0.25">
      <c r="A72" s="77" t="s">
        <v>707</v>
      </c>
      <c r="B72" s="113">
        <v>1</v>
      </c>
      <c r="W72" s="108">
        <f t="shared" si="8"/>
        <v>1</v>
      </c>
      <c r="X72" s="108">
        <f t="shared" si="9"/>
        <v>0</v>
      </c>
      <c r="Y72" s="109">
        <f t="shared" si="10"/>
        <v>1</v>
      </c>
      <c r="Z72" s="109">
        <f t="shared" si="11"/>
        <v>1</v>
      </c>
      <c r="AA72" s="109">
        <f t="shared" si="12"/>
        <v>1</v>
      </c>
      <c r="AB72" s="35" t="str">
        <f t="shared" si="13"/>
        <v>1 ± 0 (1-1) [1]</v>
      </c>
      <c r="AC72" s="35" t="str">
        <f t="shared" si="15"/>
        <v>⧗⧗</v>
      </c>
      <c r="AD72" s="35" t="s">
        <v>799</v>
      </c>
      <c r="AE72" s="35" t="str">
        <f t="shared" si="14"/>
        <v>⧗</v>
      </c>
      <c r="AG72" t="s">
        <v>807</v>
      </c>
      <c r="AH72" t="s">
        <v>668</v>
      </c>
      <c r="AI72" t="s">
        <v>77</v>
      </c>
    </row>
    <row r="73" spans="1:35" ht="16" x14ac:dyDescent="0.25">
      <c r="A73" s="77" t="s">
        <v>717</v>
      </c>
      <c r="B73" s="113">
        <v>2</v>
      </c>
      <c r="W73" s="108">
        <f t="shared" si="8"/>
        <v>2</v>
      </c>
      <c r="X73" s="108">
        <f t="shared" si="9"/>
        <v>0</v>
      </c>
      <c r="Y73" s="109">
        <f t="shared" si="10"/>
        <v>2</v>
      </c>
      <c r="Z73" s="109">
        <f t="shared" si="11"/>
        <v>2</v>
      </c>
      <c r="AA73" s="109">
        <f t="shared" si="12"/>
        <v>1</v>
      </c>
      <c r="AB73" s="35" t="str">
        <f t="shared" si="13"/>
        <v>2 ± 0 (2-2) [1]</v>
      </c>
      <c r="AC73" s="35" t="str">
        <f t="shared" si="15"/>
        <v>⧗⧗</v>
      </c>
      <c r="AE73" s="35" t="str">
        <f t="shared" si="14"/>
        <v>⧗⧗</v>
      </c>
      <c r="AG73" t="s">
        <v>808</v>
      </c>
      <c r="AH73" t="s">
        <v>165</v>
      </c>
      <c r="AI73" t="s">
        <v>77</v>
      </c>
    </row>
    <row r="74" spans="1:35" ht="16" x14ac:dyDescent="0.25">
      <c r="A74" s="13" t="s">
        <v>809</v>
      </c>
      <c r="B74" s="113"/>
      <c r="W74" s="108" t="e">
        <f t="shared" si="8"/>
        <v>#DIV/0!</v>
      </c>
      <c r="X74" s="108" t="e">
        <f t="shared" si="9"/>
        <v>#DIV/0!</v>
      </c>
      <c r="Y74" s="109">
        <f t="shared" si="10"/>
        <v>0</v>
      </c>
      <c r="Z74" s="109">
        <f t="shared" si="11"/>
        <v>0</v>
      </c>
      <c r="AA74" s="109">
        <f t="shared" si="12"/>
        <v>0</v>
      </c>
      <c r="AB74" s="35" t="str">
        <f t="shared" si="13"/>
        <v>-</v>
      </c>
      <c r="AC74" s="35" t="str">
        <f t="shared" si="15"/>
        <v>⧗</v>
      </c>
      <c r="AE74" s="35" t="str">
        <f t="shared" si="14"/>
        <v>⧗</v>
      </c>
      <c r="AG74" t="s">
        <v>809</v>
      </c>
      <c r="AH74" t="s">
        <v>56</v>
      </c>
      <c r="AI74" t="s">
        <v>135</v>
      </c>
    </row>
    <row r="75" spans="1:35" ht="16" x14ac:dyDescent="0.25">
      <c r="A75" s="13" t="s">
        <v>724</v>
      </c>
      <c r="B75" s="113">
        <v>3</v>
      </c>
      <c r="W75" s="108">
        <f t="shared" si="8"/>
        <v>3</v>
      </c>
      <c r="X75" s="108">
        <f t="shared" si="9"/>
        <v>0</v>
      </c>
      <c r="Y75" s="109">
        <f t="shared" si="10"/>
        <v>3</v>
      </c>
      <c r="Z75" s="109">
        <f t="shared" si="11"/>
        <v>3</v>
      </c>
      <c r="AA75" s="109">
        <f t="shared" si="12"/>
        <v>1</v>
      </c>
      <c r="AB75" s="35" t="str">
        <f t="shared" si="13"/>
        <v>3 ± 0 (3-3) [1]</v>
      </c>
      <c r="AC75" s="35" t="str">
        <f t="shared" si="15"/>
        <v>⧗⧗⧗</v>
      </c>
      <c r="AE75" s="35" t="str">
        <f t="shared" si="14"/>
        <v>⧗⧗⧗</v>
      </c>
      <c r="AG75" t="s">
        <v>724</v>
      </c>
      <c r="AH75" t="s">
        <v>289</v>
      </c>
      <c r="AI75" t="s">
        <v>60</v>
      </c>
    </row>
    <row r="76" spans="1:35" ht="16" x14ac:dyDescent="0.25">
      <c r="A76" s="13" t="s">
        <v>736</v>
      </c>
      <c r="B76">
        <v>12</v>
      </c>
      <c r="W76" s="108">
        <f t="shared" si="8"/>
        <v>12</v>
      </c>
      <c r="X76" s="108">
        <f t="shared" si="9"/>
        <v>0</v>
      </c>
      <c r="Y76" s="109">
        <f t="shared" si="10"/>
        <v>12</v>
      </c>
      <c r="Z76" s="109">
        <f t="shared" si="11"/>
        <v>12</v>
      </c>
      <c r="AA76" s="109">
        <f t="shared" si="12"/>
        <v>1</v>
      </c>
      <c r="AB76" s="35" t="str">
        <f t="shared" si="13"/>
        <v>12 ± 0 (12-12) [1]</v>
      </c>
      <c r="AC76" s="35" t="str">
        <f t="shared" si="15"/>
        <v>⧗⧗⧗</v>
      </c>
      <c r="AE76" s="35" t="str">
        <f t="shared" si="14"/>
        <v>⧗⧗⧗</v>
      </c>
      <c r="AG76" t="s">
        <v>736</v>
      </c>
      <c r="AH76" t="s">
        <v>367</v>
      </c>
      <c r="AI76" t="s">
        <v>60</v>
      </c>
    </row>
    <row r="77" spans="1:35" ht="16" x14ac:dyDescent="0.25">
      <c r="A77" s="13" t="s">
        <v>743</v>
      </c>
      <c r="B77">
        <v>12</v>
      </c>
      <c r="C77">
        <v>18</v>
      </c>
      <c r="D77">
        <v>6</v>
      </c>
      <c r="W77" s="108">
        <f t="shared" si="8"/>
        <v>12</v>
      </c>
      <c r="X77" s="108">
        <f t="shared" si="9"/>
        <v>4.9000000000000004</v>
      </c>
      <c r="Y77" s="109">
        <f t="shared" si="10"/>
        <v>6</v>
      </c>
      <c r="Z77" s="109">
        <f t="shared" si="11"/>
        <v>18</v>
      </c>
      <c r="AA77" s="109">
        <f t="shared" si="12"/>
        <v>3</v>
      </c>
      <c r="AB77" s="35" t="str">
        <f t="shared" si="13"/>
        <v>12 ± 4.9 (6-18) [3]</v>
      </c>
      <c r="AC77" s="35" t="str">
        <f t="shared" si="15"/>
        <v>⧗⧗⧗</v>
      </c>
      <c r="AD77" s="35" t="s">
        <v>799</v>
      </c>
      <c r="AE77" s="35" t="str">
        <f t="shared" si="14"/>
        <v>⧗</v>
      </c>
      <c r="AG77" t="s">
        <v>743</v>
      </c>
      <c r="AH77" t="s">
        <v>747</v>
      </c>
      <c r="AI77" t="s">
        <v>60</v>
      </c>
    </row>
    <row r="78" spans="1:35" x14ac:dyDescent="0.2">
      <c r="W78" s="108"/>
      <c r="X78" s="108"/>
    </row>
    <row r="79" spans="1:35" x14ac:dyDescent="0.2">
      <c r="W79" s="108"/>
      <c r="X79" s="108"/>
    </row>
  </sheetData>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0647E-5EFC-1547-86DA-26E6D44CF4CE}">
  <dimension ref="A1:G127"/>
  <sheetViews>
    <sheetView workbookViewId="0">
      <selection activeCell="A2" sqref="A2"/>
    </sheetView>
  </sheetViews>
  <sheetFormatPr baseColWidth="10" defaultColWidth="8.83203125" defaultRowHeight="15" x14ac:dyDescent="0.2"/>
  <cols>
    <col min="1" max="1" width="18" bestFit="1" customWidth="1"/>
    <col min="2" max="2" width="18.5" bestFit="1" customWidth="1"/>
    <col min="7" max="7" width="8" customWidth="1"/>
  </cols>
  <sheetData>
    <row r="1" spans="1:7" x14ac:dyDescent="0.2">
      <c r="A1" t="s">
        <v>810</v>
      </c>
    </row>
    <row r="3" spans="1:7" ht="21" x14ac:dyDescent="0.25">
      <c r="A3" s="114" t="s">
        <v>811</v>
      </c>
    </row>
    <row r="4" spans="1:7" x14ac:dyDescent="0.2">
      <c r="A4" t="s">
        <v>812</v>
      </c>
      <c r="B4" t="s">
        <v>813</v>
      </c>
      <c r="C4" t="s">
        <v>814</v>
      </c>
      <c r="D4" t="s">
        <v>815</v>
      </c>
      <c r="E4" t="s">
        <v>816</v>
      </c>
    </row>
    <row r="5" spans="1:7" x14ac:dyDescent="0.2">
      <c r="A5" t="s">
        <v>817</v>
      </c>
      <c r="B5">
        <v>12</v>
      </c>
      <c r="C5" t="s">
        <v>80</v>
      </c>
      <c r="E5" t="s">
        <v>107</v>
      </c>
    </row>
    <row r="6" spans="1:7" x14ac:dyDescent="0.2">
      <c r="A6" t="s">
        <v>818</v>
      </c>
      <c r="B6">
        <v>2</v>
      </c>
      <c r="D6" t="s">
        <v>107</v>
      </c>
    </row>
    <row r="7" spans="1:7" x14ac:dyDescent="0.2">
      <c r="A7" t="s">
        <v>819</v>
      </c>
      <c r="B7">
        <v>4</v>
      </c>
      <c r="C7" t="s">
        <v>80</v>
      </c>
    </row>
    <row r="8" spans="1:7" x14ac:dyDescent="0.2">
      <c r="A8" t="s">
        <v>820</v>
      </c>
      <c r="B8">
        <v>3</v>
      </c>
      <c r="C8" t="s">
        <v>80</v>
      </c>
    </row>
    <row r="9" spans="1:7" x14ac:dyDescent="0.2">
      <c r="A9" t="s">
        <v>821</v>
      </c>
      <c r="B9" s="115" t="s">
        <v>822</v>
      </c>
      <c r="C9" t="s">
        <v>107</v>
      </c>
    </row>
    <row r="10" spans="1:7" x14ac:dyDescent="0.2">
      <c r="A10" t="s">
        <v>823</v>
      </c>
      <c r="B10">
        <v>3</v>
      </c>
      <c r="C10" t="s">
        <v>80</v>
      </c>
    </row>
    <row r="11" spans="1:7" x14ac:dyDescent="0.2">
      <c r="A11" t="s">
        <v>824</v>
      </c>
      <c r="B11" t="s">
        <v>825</v>
      </c>
      <c r="D11" t="s">
        <v>107</v>
      </c>
    </row>
    <row r="12" spans="1:7" x14ac:dyDescent="0.2">
      <c r="A12" t="s">
        <v>826</v>
      </c>
      <c r="B12" t="s">
        <v>827</v>
      </c>
      <c r="D12" t="s">
        <v>107</v>
      </c>
    </row>
    <row r="13" spans="1:7" x14ac:dyDescent="0.2">
      <c r="A13" t="s">
        <v>828</v>
      </c>
      <c r="B13" t="s">
        <v>829</v>
      </c>
      <c r="D13" t="s">
        <v>107</v>
      </c>
    </row>
    <row r="14" spans="1:7" x14ac:dyDescent="0.2">
      <c r="A14" t="s">
        <v>830</v>
      </c>
      <c r="B14">
        <v>2</v>
      </c>
      <c r="C14" t="s">
        <v>80</v>
      </c>
    </row>
    <row r="15" spans="1:7" x14ac:dyDescent="0.2">
      <c r="A15" t="s">
        <v>831</v>
      </c>
      <c r="B15">
        <v>2</v>
      </c>
      <c r="C15" t="s">
        <v>80</v>
      </c>
    </row>
    <row r="16" spans="1:7" x14ac:dyDescent="0.2">
      <c r="A16" t="s">
        <v>832</v>
      </c>
      <c r="B16">
        <v>2</v>
      </c>
      <c r="D16" t="s">
        <v>107</v>
      </c>
      <c r="G16" t="s">
        <v>833</v>
      </c>
    </row>
    <row r="17" spans="1:7" x14ac:dyDescent="0.2">
      <c r="A17" t="s">
        <v>834</v>
      </c>
      <c r="B17" t="s">
        <v>835</v>
      </c>
      <c r="D17" t="s">
        <v>80</v>
      </c>
      <c r="F17" s="116"/>
      <c r="G17" s="117">
        <v>12</v>
      </c>
    </row>
    <row r="18" spans="1:7" x14ac:dyDescent="0.2">
      <c r="A18" t="s">
        <v>836</v>
      </c>
      <c r="B18">
        <v>1.5</v>
      </c>
      <c r="C18" t="s">
        <v>107</v>
      </c>
      <c r="F18" s="118"/>
      <c r="G18" s="119">
        <v>4</v>
      </c>
    </row>
    <row r="19" spans="1:7" x14ac:dyDescent="0.2">
      <c r="A19" t="s">
        <v>837</v>
      </c>
      <c r="B19">
        <v>6</v>
      </c>
      <c r="D19" t="s">
        <v>107</v>
      </c>
      <c r="F19" s="118"/>
      <c r="G19" s="119">
        <v>3</v>
      </c>
    </row>
    <row r="20" spans="1:7" x14ac:dyDescent="0.2">
      <c r="A20" t="s">
        <v>838</v>
      </c>
      <c r="B20">
        <v>2</v>
      </c>
      <c r="C20" t="s">
        <v>80</v>
      </c>
      <c r="F20" s="118"/>
      <c r="G20" s="119">
        <v>3</v>
      </c>
    </row>
    <row r="21" spans="1:7" x14ac:dyDescent="0.2">
      <c r="A21" t="s">
        <v>839</v>
      </c>
      <c r="B21">
        <v>3</v>
      </c>
      <c r="C21" t="s">
        <v>107</v>
      </c>
      <c r="F21" s="118"/>
      <c r="G21" s="119">
        <v>2</v>
      </c>
    </row>
    <row r="22" spans="1:7" x14ac:dyDescent="0.2">
      <c r="A22" t="s">
        <v>840</v>
      </c>
      <c r="B22">
        <v>2</v>
      </c>
      <c r="C22" t="s">
        <v>80</v>
      </c>
      <c r="F22" s="118"/>
      <c r="G22" s="119">
        <v>2</v>
      </c>
    </row>
    <row r="23" spans="1:7" x14ac:dyDescent="0.2">
      <c r="A23" t="s">
        <v>841</v>
      </c>
      <c r="B23" t="s">
        <v>822</v>
      </c>
      <c r="C23" t="s">
        <v>80</v>
      </c>
      <c r="F23" s="118"/>
      <c r="G23" s="119">
        <v>2</v>
      </c>
    </row>
    <row r="24" spans="1:7" x14ac:dyDescent="0.2">
      <c r="A24" t="s">
        <v>842</v>
      </c>
      <c r="B24">
        <v>1.5</v>
      </c>
      <c r="C24" t="s">
        <v>107</v>
      </c>
      <c r="F24" s="118"/>
      <c r="G24" s="119">
        <v>2</v>
      </c>
    </row>
    <row r="25" spans="1:7" x14ac:dyDescent="0.2">
      <c r="A25" t="s">
        <v>843</v>
      </c>
      <c r="B25" t="s">
        <v>844</v>
      </c>
      <c r="C25" t="s">
        <v>80</v>
      </c>
      <c r="E25" t="s">
        <v>80</v>
      </c>
      <c r="F25" s="118"/>
      <c r="G25" s="119">
        <v>3</v>
      </c>
    </row>
    <row r="26" spans="1:7" x14ac:dyDescent="0.2">
      <c r="A26" t="s">
        <v>845</v>
      </c>
      <c r="B26" t="s">
        <v>844</v>
      </c>
      <c r="C26" t="s">
        <v>107</v>
      </c>
      <c r="E26" t="s">
        <v>80</v>
      </c>
      <c r="F26" s="118"/>
      <c r="G26" s="119">
        <v>12</v>
      </c>
    </row>
    <row r="27" spans="1:7" x14ac:dyDescent="0.2">
      <c r="A27" t="s">
        <v>846</v>
      </c>
      <c r="B27" t="s">
        <v>847</v>
      </c>
      <c r="D27" t="s">
        <v>107</v>
      </c>
      <c r="F27" s="118"/>
      <c r="G27" s="119">
        <v>2</v>
      </c>
    </row>
    <row r="28" spans="1:7" x14ac:dyDescent="0.2">
      <c r="A28" t="s">
        <v>848</v>
      </c>
      <c r="B28" t="s">
        <v>849</v>
      </c>
      <c r="F28" s="118"/>
      <c r="G28" s="119">
        <v>3</v>
      </c>
    </row>
    <row r="29" spans="1:7" x14ac:dyDescent="0.2">
      <c r="A29" s="120" t="s">
        <v>850</v>
      </c>
      <c r="B29">
        <v>2</v>
      </c>
      <c r="D29" t="s">
        <v>80</v>
      </c>
      <c r="F29" s="118"/>
      <c r="G29" s="119">
        <v>3</v>
      </c>
    </row>
    <row r="30" spans="1:7" x14ac:dyDescent="0.2">
      <c r="A30" s="121" t="s">
        <v>851</v>
      </c>
      <c r="B30">
        <v>2</v>
      </c>
      <c r="F30" s="118"/>
      <c r="G30" s="119">
        <v>2</v>
      </c>
    </row>
    <row r="31" spans="1:7" x14ac:dyDescent="0.2">
      <c r="A31" t="s">
        <v>852</v>
      </c>
      <c r="B31">
        <v>24</v>
      </c>
      <c r="F31" s="118"/>
      <c r="G31" s="119">
        <v>3</v>
      </c>
    </row>
    <row r="32" spans="1:7" x14ac:dyDescent="0.2">
      <c r="A32" t="s">
        <v>853</v>
      </c>
      <c r="B32" t="s">
        <v>825</v>
      </c>
      <c r="F32" s="118"/>
      <c r="G32" s="119">
        <v>4</v>
      </c>
    </row>
    <row r="33" spans="1:7" x14ac:dyDescent="0.2">
      <c r="A33" t="s">
        <v>854</v>
      </c>
      <c r="B33">
        <v>3</v>
      </c>
      <c r="C33" t="s">
        <v>107</v>
      </c>
      <c r="F33" s="118"/>
      <c r="G33" s="119">
        <v>3</v>
      </c>
    </row>
    <row r="34" spans="1:7" x14ac:dyDescent="0.2">
      <c r="A34" t="s">
        <v>855</v>
      </c>
      <c r="B34">
        <v>2</v>
      </c>
      <c r="C34" t="s">
        <v>80</v>
      </c>
      <c r="F34" s="118"/>
      <c r="G34" s="119"/>
    </row>
    <row r="35" spans="1:7" x14ac:dyDescent="0.2">
      <c r="A35" t="s">
        <v>856</v>
      </c>
      <c r="B35">
        <v>2</v>
      </c>
      <c r="C35" t="s">
        <v>107</v>
      </c>
      <c r="F35" s="122" t="s">
        <v>857</v>
      </c>
      <c r="G35" s="123">
        <f>AVERAGE(G17:G33)</f>
        <v>3.8235294117647061</v>
      </c>
    </row>
    <row r="36" spans="1:7" x14ac:dyDescent="0.2">
      <c r="A36" t="s">
        <v>858</v>
      </c>
      <c r="B36">
        <v>3</v>
      </c>
      <c r="C36" t="s">
        <v>80</v>
      </c>
      <c r="F36" s="122" t="s">
        <v>789</v>
      </c>
      <c r="G36" s="124">
        <f>_xlfn.STDEV.P(G17:G33)</f>
        <v>3.0531621817319952</v>
      </c>
    </row>
    <row r="37" spans="1:7" x14ac:dyDescent="0.2">
      <c r="A37" t="s">
        <v>859</v>
      </c>
      <c r="B37">
        <v>2</v>
      </c>
      <c r="D37" t="s">
        <v>80</v>
      </c>
      <c r="F37" s="122" t="s">
        <v>790</v>
      </c>
      <c r="G37" s="125">
        <f>MIN(G17:G33)</f>
        <v>2</v>
      </c>
    </row>
    <row r="38" spans="1:7" x14ac:dyDescent="0.2">
      <c r="A38" t="s">
        <v>860</v>
      </c>
      <c r="B38" t="s">
        <v>861</v>
      </c>
      <c r="D38" t="s">
        <v>107</v>
      </c>
      <c r="F38" s="126" t="s">
        <v>791</v>
      </c>
      <c r="G38" s="127">
        <f>MAX(G17:G33)</f>
        <v>12</v>
      </c>
    </row>
    <row r="39" spans="1:7" x14ac:dyDescent="0.2">
      <c r="A39" t="s">
        <v>862</v>
      </c>
      <c r="B39">
        <v>2</v>
      </c>
      <c r="C39" t="s">
        <v>107</v>
      </c>
    </row>
    <row r="40" spans="1:7" x14ac:dyDescent="0.2">
      <c r="A40" t="s">
        <v>863</v>
      </c>
      <c r="B40" t="s">
        <v>864</v>
      </c>
      <c r="E40" t="s">
        <v>107</v>
      </c>
    </row>
    <row r="41" spans="1:7" x14ac:dyDescent="0.2">
      <c r="A41" t="s">
        <v>865</v>
      </c>
      <c r="B41">
        <v>30</v>
      </c>
      <c r="E41" t="s">
        <v>107</v>
      </c>
    </row>
    <row r="42" spans="1:7" x14ac:dyDescent="0.2">
      <c r="A42" t="s">
        <v>866</v>
      </c>
      <c r="B42" t="s">
        <v>867</v>
      </c>
      <c r="C42" t="s">
        <v>107</v>
      </c>
      <c r="E42" t="s">
        <v>107</v>
      </c>
    </row>
    <row r="43" spans="1:7" x14ac:dyDescent="0.2">
      <c r="A43" t="s">
        <v>868</v>
      </c>
      <c r="B43">
        <v>6</v>
      </c>
    </row>
    <row r="44" spans="1:7" x14ac:dyDescent="0.2">
      <c r="A44" t="s">
        <v>869</v>
      </c>
      <c r="B44">
        <v>3</v>
      </c>
      <c r="C44" t="s">
        <v>80</v>
      </c>
    </row>
    <row r="45" spans="1:7" x14ac:dyDescent="0.2">
      <c r="A45" t="s">
        <v>870</v>
      </c>
      <c r="B45" t="s">
        <v>871</v>
      </c>
    </row>
    <row r="46" spans="1:7" x14ac:dyDescent="0.2">
      <c r="A46" t="s">
        <v>872</v>
      </c>
      <c r="B46" t="s">
        <v>867</v>
      </c>
      <c r="C46" t="s">
        <v>107</v>
      </c>
      <c r="E46" t="s">
        <v>107</v>
      </c>
    </row>
    <row r="47" spans="1:7" x14ac:dyDescent="0.2">
      <c r="A47" t="s">
        <v>873</v>
      </c>
      <c r="B47">
        <v>3</v>
      </c>
      <c r="D47" t="s">
        <v>80</v>
      </c>
    </row>
    <row r="48" spans="1:7" x14ac:dyDescent="0.2">
      <c r="A48" t="s">
        <v>874</v>
      </c>
      <c r="B48" t="s">
        <v>875</v>
      </c>
      <c r="D48" t="s">
        <v>80</v>
      </c>
    </row>
    <row r="49" spans="1:6" x14ac:dyDescent="0.2">
      <c r="A49" t="s">
        <v>876</v>
      </c>
      <c r="B49">
        <v>2</v>
      </c>
      <c r="C49" t="s">
        <v>80</v>
      </c>
    </row>
    <row r="50" spans="1:6" x14ac:dyDescent="0.2">
      <c r="A50" t="s">
        <v>877</v>
      </c>
      <c r="B50">
        <v>3</v>
      </c>
      <c r="C50" t="s">
        <v>107</v>
      </c>
    </row>
    <row r="51" spans="1:6" x14ac:dyDescent="0.2">
      <c r="A51" t="s">
        <v>878</v>
      </c>
      <c r="B51">
        <v>3</v>
      </c>
      <c r="C51" t="s">
        <v>80</v>
      </c>
    </row>
    <row r="52" spans="1:6" x14ac:dyDescent="0.2">
      <c r="A52" t="s">
        <v>879</v>
      </c>
      <c r="B52" t="s">
        <v>822</v>
      </c>
      <c r="D52" t="s">
        <v>107</v>
      </c>
    </row>
    <row r="53" spans="1:6" x14ac:dyDescent="0.2">
      <c r="A53" t="s">
        <v>880</v>
      </c>
      <c r="B53">
        <v>24</v>
      </c>
      <c r="E53" t="s">
        <v>80</v>
      </c>
    </row>
    <row r="54" spans="1:6" x14ac:dyDescent="0.2">
      <c r="A54" t="s">
        <v>881</v>
      </c>
      <c r="B54" t="s">
        <v>849</v>
      </c>
      <c r="C54" t="s">
        <v>107</v>
      </c>
    </row>
    <row r="55" spans="1:6" x14ac:dyDescent="0.2">
      <c r="A55" t="s">
        <v>882</v>
      </c>
      <c r="B55">
        <v>4</v>
      </c>
      <c r="C55" t="s">
        <v>80</v>
      </c>
    </row>
    <row r="56" spans="1:6" x14ac:dyDescent="0.2">
      <c r="A56" t="s">
        <v>883</v>
      </c>
      <c r="B56">
        <v>3</v>
      </c>
      <c r="C56" t="s">
        <v>80</v>
      </c>
    </row>
    <row r="57" spans="1:6" x14ac:dyDescent="0.2">
      <c r="A57" t="s">
        <v>884</v>
      </c>
      <c r="B57">
        <v>3</v>
      </c>
      <c r="D57" t="s">
        <v>107</v>
      </c>
    </row>
    <row r="58" spans="1:6" x14ac:dyDescent="0.2">
      <c r="A58" t="s">
        <v>885</v>
      </c>
      <c r="B58" t="s">
        <v>847</v>
      </c>
      <c r="D58" t="s">
        <v>80</v>
      </c>
    </row>
    <row r="61" spans="1:6" ht="21" x14ac:dyDescent="0.25">
      <c r="A61" s="114" t="s">
        <v>886</v>
      </c>
    </row>
    <row r="62" spans="1:6" x14ac:dyDescent="0.2">
      <c r="A62" s="128" t="s">
        <v>887</v>
      </c>
      <c r="B62" s="128" t="s">
        <v>888</v>
      </c>
      <c r="C62" s="128" t="s">
        <v>889</v>
      </c>
      <c r="D62" s="128"/>
      <c r="E62" s="128" t="s">
        <v>890</v>
      </c>
      <c r="F62" s="128" t="s">
        <v>891</v>
      </c>
    </row>
    <row r="63" spans="1:6" x14ac:dyDescent="0.2">
      <c r="A63" t="s">
        <v>892</v>
      </c>
      <c r="B63" t="s">
        <v>893</v>
      </c>
      <c r="C63" t="s">
        <v>894</v>
      </c>
      <c r="E63">
        <v>15</v>
      </c>
      <c r="F63" t="s">
        <v>80</v>
      </c>
    </row>
    <row r="64" spans="1:6" x14ac:dyDescent="0.2">
      <c r="A64" t="s">
        <v>839</v>
      </c>
      <c r="B64">
        <f>12/4</f>
        <v>3</v>
      </c>
      <c r="C64" t="s">
        <v>895</v>
      </c>
      <c r="E64">
        <v>3</v>
      </c>
      <c r="F64" t="s">
        <v>80</v>
      </c>
    </row>
    <row r="65" spans="1:6" x14ac:dyDescent="0.2">
      <c r="A65" t="s">
        <v>896</v>
      </c>
      <c r="B65">
        <v>6</v>
      </c>
      <c r="C65" t="s">
        <v>895</v>
      </c>
      <c r="E65">
        <v>6</v>
      </c>
      <c r="F65" t="s">
        <v>80</v>
      </c>
    </row>
    <row r="66" spans="1:6" x14ac:dyDescent="0.2">
      <c r="A66" t="s">
        <v>897</v>
      </c>
      <c r="B66">
        <f>12/4</f>
        <v>3</v>
      </c>
      <c r="C66" t="s">
        <v>898</v>
      </c>
      <c r="E66">
        <v>3</v>
      </c>
      <c r="F66" t="s">
        <v>80</v>
      </c>
    </row>
    <row r="67" spans="1:6" x14ac:dyDescent="0.2">
      <c r="A67" t="s">
        <v>899</v>
      </c>
      <c r="B67">
        <v>8</v>
      </c>
      <c r="C67" t="s">
        <v>898</v>
      </c>
      <c r="E67">
        <v>8</v>
      </c>
      <c r="F67" t="s">
        <v>80</v>
      </c>
    </row>
    <row r="68" spans="1:6" x14ac:dyDescent="0.2">
      <c r="A68" t="s">
        <v>900</v>
      </c>
      <c r="B68">
        <f>11/4</f>
        <v>2.75</v>
      </c>
      <c r="C68" t="s">
        <v>895</v>
      </c>
      <c r="E68">
        <v>2.75</v>
      </c>
    </row>
    <row r="69" spans="1:6" x14ac:dyDescent="0.2">
      <c r="A69" t="s">
        <v>836</v>
      </c>
      <c r="B69">
        <f>6/4</f>
        <v>1.5</v>
      </c>
      <c r="C69" t="s">
        <v>898</v>
      </c>
      <c r="E69">
        <v>1.5</v>
      </c>
    </row>
    <row r="70" spans="1:6" x14ac:dyDescent="0.2">
      <c r="A70" t="s">
        <v>901</v>
      </c>
      <c r="B70">
        <f>12/4</f>
        <v>3</v>
      </c>
      <c r="C70" t="s">
        <v>895</v>
      </c>
      <c r="E70">
        <v>3</v>
      </c>
    </row>
    <row r="71" spans="1:6" x14ac:dyDescent="0.2">
      <c r="A71" t="s">
        <v>860</v>
      </c>
      <c r="B71">
        <v>8</v>
      </c>
      <c r="C71" t="s">
        <v>895</v>
      </c>
      <c r="E71">
        <v>8</v>
      </c>
    </row>
    <row r="72" spans="1:6" x14ac:dyDescent="0.2">
      <c r="A72" t="s">
        <v>902</v>
      </c>
      <c r="B72">
        <f>20/4</f>
        <v>5</v>
      </c>
      <c r="C72" t="s">
        <v>895</v>
      </c>
      <c r="E72">
        <v>5</v>
      </c>
    </row>
    <row r="73" spans="1:6" x14ac:dyDescent="0.2">
      <c r="A73" t="s">
        <v>903</v>
      </c>
      <c r="B73" t="s">
        <v>904</v>
      </c>
      <c r="C73" t="s">
        <v>905</v>
      </c>
      <c r="E73">
        <v>3</v>
      </c>
    </row>
    <row r="74" spans="1:6" x14ac:dyDescent="0.2">
      <c r="A74" t="s">
        <v>906</v>
      </c>
      <c r="B74">
        <v>3</v>
      </c>
      <c r="C74" t="s">
        <v>56</v>
      </c>
      <c r="E74">
        <v>3</v>
      </c>
    </row>
    <row r="75" spans="1:6" x14ac:dyDescent="0.2">
      <c r="A75" t="s">
        <v>884</v>
      </c>
      <c r="B75">
        <v>3</v>
      </c>
      <c r="C75" t="s">
        <v>898</v>
      </c>
      <c r="E75">
        <v>3</v>
      </c>
    </row>
    <row r="77" spans="1:6" x14ac:dyDescent="0.2">
      <c r="D77" s="128" t="s">
        <v>788</v>
      </c>
      <c r="E77" s="129">
        <f>AVERAGE(E63:E67)</f>
        <v>7</v>
      </c>
      <c r="F77" s="130"/>
    </row>
    <row r="78" spans="1:6" x14ac:dyDescent="0.2">
      <c r="D78" s="128" t="s">
        <v>789</v>
      </c>
      <c r="E78" s="129">
        <f>_xlfn.STDEV.P(E63:E67)</f>
        <v>4.4271887242357311</v>
      </c>
    </row>
    <row r="79" spans="1:6" x14ac:dyDescent="0.2">
      <c r="D79" s="128" t="s">
        <v>790</v>
      </c>
      <c r="E79" s="128">
        <f>MIN(E63:E67)</f>
        <v>3</v>
      </c>
    </row>
    <row r="80" spans="1:6" x14ac:dyDescent="0.2">
      <c r="D80" s="128" t="s">
        <v>791</v>
      </c>
      <c r="E80" s="129">
        <f>MAX(E63:E67)</f>
        <v>15</v>
      </c>
    </row>
    <row r="81" spans="1:5" x14ac:dyDescent="0.2">
      <c r="D81" s="128" t="s">
        <v>907</v>
      </c>
      <c r="E81" s="128">
        <f>COUNT(E63:E67)</f>
        <v>5</v>
      </c>
    </row>
    <row r="83" spans="1:5" ht="23" x14ac:dyDescent="0.3">
      <c r="A83" s="131" t="s">
        <v>266</v>
      </c>
    </row>
    <row r="84" spans="1:5" x14ac:dyDescent="0.2">
      <c r="A84" t="s">
        <v>908</v>
      </c>
      <c r="B84" t="s">
        <v>909</v>
      </c>
    </row>
    <row r="85" spans="1:5" x14ac:dyDescent="0.2">
      <c r="A85" t="s">
        <v>910</v>
      </c>
      <c r="B85">
        <v>3</v>
      </c>
    </row>
    <row r="86" spans="1:5" x14ac:dyDescent="0.2">
      <c r="A86" t="s">
        <v>911</v>
      </c>
      <c r="B86">
        <f>24/4</f>
        <v>6</v>
      </c>
    </row>
    <row r="87" spans="1:5" x14ac:dyDescent="0.2">
      <c r="A87" t="s">
        <v>912</v>
      </c>
      <c r="B87">
        <v>3</v>
      </c>
    </row>
    <row r="88" spans="1:5" x14ac:dyDescent="0.2">
      <c r="A88" t="s">
        <v>913</v>
      </c>
      <c r="B88">
        <v>1</v>
      </c>
    </row>
    <row r="89" spans="1:5" x14ac:dyDescent="0.2">
      <c r="A89" t="s">
        <v>914</v>
      </c>
      <c r="B89">
        <v>0.25</v>
      </c>
    </row>
    <row r="90" spans="1:5" x14ac:dyDescent="0.2">
      <c r="A90" t="s">
        <v>915</v>
      </c>
      <c r="B90">
        <v>2</v>
      </c>
    </row>
    <row r="91" spans="1:5" x14ac:dyDescent="0.2">
      <c r="A91" t="s">
        <v>916</v>
      </c>
      <c r="B91">
        <v>3</v>
      </c>
    </row>
    <row r="92" spans="1:5" x14ac:dyDescent="0.2">
      <c r="A92" t="s">
        <v>917</v>
      </c>
      <c r="B92">
        <f>0.7/4</f>
        <v>0.17499999999999999</v>
      </c>
    </row>
    <row r="93" spans="1:5" x14ac:dyDescent="0.2">
      <c r="A93" t="s">
        <v>918</v>
      </c>
      <c r="B93">
        <v>6</v>
      </c>
    </row>
    <row r="94" spans="1:5" x14ac:dyDescent="0.2">
      <c r="A94" t="s">
        <v>919</v>
      </c>
      <c r="B94">
        <v>3</v>
      </c>
    </row>
    <row r="95" spans="1:5" x14ac:dyDescent="0.2">
      <c r="A95" t="s">
        <v>920</v>
      </c>
      <c r="B95">
        <v>3</v>
      </c>
    </row>
    <row r="97" spans="1:2" x14ac:dyDescent="0.2">
      <c r="A97" s="128" t="s">
        <v>788</v>
      </c>
      <c r="B97" s="129">
        <f>AVERAGE(B85:B95)</f>
        <v>2.7659090909090911</v>
      </c>
    </row>
    <row r="98" spans="1:2" x14ac:dyDescent="0.2">
      <c r="A98" s="128" t="s">
        <v>789</v>
      </c>
      <c r="B98" s="129">
        <f>_xlfn.STDEV.P(B85:B95)</f>
        <v>1.8571811707064136</v>
      </c>
    </row>
    <row r="99" spans="1:2" x14ac:dyDescent="0.2">
      <c r="A99" s="128" t="s">
        <v>790</v>
      </c>
      <c r="B99" s="128">
        <f>MIN(B85:B95)</f>
        <v>0.17499999999999999</v>
      </c>
    </row>
    <row r="100" spans="1:2" x14ac:dyDescent="0.2">
      <c r="A100" s="128" t="s">
        <v>791</v>
      </c>
      <c r="B100" s="129">
        <f>MAX(B85:B95)</f>
        <v>6</v>
      </c>
    </row>
    <row r="101" spans="1:2" x14ac:dyDescent="0.2">
      <c r="A101" s="128" t="s">
        <v>907</v>
      </c>
      <c r="B101" s="128">
        <f>COUNT(B85:B95)</f>
        <v>11</v>
      </c>
    </row>
    <row r="104" spans="1:2" ht="21" x14ac:dyDescent="0.25">
      <c r="A104" s="114" t="s">
        <v>921</v>
      </c>
    </row>
    <row r="105" spans="1:2" x14ac:dyDescent="0.2">
      <c r="A105" t="s">
        <v>908</v>
      </c>
      <c r="B105" t="s">
        <v>909</v>
      </c>
    </row>
    <row r="106" spans="1:2" x14ac:dyDescent="0.2">
      <c r="A106" t="s">
        <v>922</v>
      </c>
      <c r="B106">
        <v>1</v>
      </c>
    </row>
    <row r="108" spans="1:2" ht="21" x14ac:dyDescent="0.25">
      <c r="A108" s="114" t="s">
        <v>923</v>
      </c>
    </row>
    <row r="109" spans="1:2" x14ac:dyDescent="0.2">
      <c r="A109" t="s">
        <v>908</v>
      </c>
      <c r="B109" t="s">
        <v>909</v>
      </c>
    </row>
    <row r="110" spans="1:2" x14ac:dyDescent="0.2">
      <c r="A110" t="s">
        <v>924</v>
      </c>
      <c r="B110">
        <v>2</v>
      </c>
    </row>
    <row r="113" spans="1:3" ht="21" x14ac:dyDescent="0.25">
      <c r="A113" s="114" t="s">
        <v>925</v>
      </c>
    </row>
    <row r="114" spans="1:3" x14ac:dyDescent="0.2">
      <c r="A114" t="s">
        <v>926</v>
      </c>
      <c r="B114">
        <f>21/30</f>
        <v>0.7</v>
      </c>
    </row>
    <row r="115" spans="1:3" x14ac:dyDescent="0.2">
      <c r="A115" t="s">
        <v>927</v>
      </c>
      <c r="B115">
        <v>0</v>
      </c>
    </row>
    <row r="116" spans="1:3" x14ac:dyDescent="0.2">
      <c r="A116" t="s">
        <v>928</v>
      </c>
      <c r="B116">
        <v>0.5</v>
      </c>
    </row>
    <row r="117" spans="1:3" x14ac:dyDescent="0.2">
      <c r="A117" t="s">
        <v>929</v>
      </c>
      <c r="B117">
        <v>1</v>
      </c>
    </row>
    <row r="118" spans="1:3" x14ac:dyDescent="0.2">
      <c r="A118" t="s">
        <v>930</v>
      </c>
      <c r="B118">
        <v>0</v>
      </c>
    </row>
    <row r="119" spans="1:3" x14ac:dyDescent="0.2">
      <c r="A119" t="s">
        <v>931</v>
      </c>
      <c r="B119">
        <f>10/30</f>
        <v>0.33333333333333331</v>
      </c>
    </row>
    <row r="120" spans="1:3" x14ac:dyDescent="0.2">
      <c r="A120" t="s">
        <v>932</v>
      </c>
      <c r="B120">
        <v>0</v>
      </c>
    </row>
    <row r="122" spans="1:3" ht="21" x14ac:dyDescent="0.25">
      <c r="A122" s="114" t="s">
        <v>933</v>
      </c>
    </row>
    <row r="123" spans="1:3" x14ac:dyDescent="0.2">
      <c r="A123" t="s">
        <v>934</v>
      </c>
      <c r="B123">
        <v>0</v>
      </c>
      <c r="C123" t="s">
        <v>935</v>
      </c>
    </row>
    <row r="124" spans="1:3" x14ac:dyDescent="0.2">
      <c r="A124" t="s">
        <v>936</v>
      </c>
      <c r="B124">
        <v>6</v>
      </c>
    </row>
    <row r="125" spans="1:3" x14ac:dyDescent="0.2">
      <c r="A125" t="s">
        <v>937</v>
      </c>
      <c r="B125">
        <v>1.25</v>
      </c>
    </row>
    <row r="126" spans="1:3" x14ac:dyDescent="0.2">
      <c r="A126" t="s">
        <v>938</v>
      </c>
      <c r="B126">
        <v>12</v>
      </c>
    </row>
    <row r="127" spans="1:3" x14ac:dyDescent="0.2">
      <c r="A127" t="s">
        <v>939</v>
      </c>
      <c r="B127">
        <v>4</v>
      </c>
    </row>
  </sheetData>
  <autoFilter ref="A62:F75" xr:uid="{6362C991-2FA7-4F6C-886C-76765216123C}">
    <sortState xmlns:xlrd2="http://schemas.microsoft.com/office/spreadsheetml/2017/richdata2" ref="A63:F75">
      <sortCondition ref="F62:F7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Performance Matrix</vt:lpstr>
      <vt:lpstr>Duration scores from ind papers</vt:lpstr>
      <vt:lpstr>Dur scores extractd from SysRVs</vt:lpstr>
      <vt:lpstr>duration1</vt:lpstr>
      <vt:lpstr>dure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2019-03-25T20:55:58Z</dcterms:created>
  <dcterms:modified xsi:type="dcterms:W3CDTF">2019-03-25T21:06:53Z</dcterms:modified>
</cp:coreProperties>
</file>