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oss Wilson\GitHub Projects\CMOR-evidence-table\data\raw\"/>
    </mc:Choice>
  </mc:AlternateContent>
  <bookViews>
    <workbookView xWindow="0" yWindow="0" windowWidth="21600" windowHeight="10410"/>
  </bookViews>
  <sheets>
    <sheet name="RACGP 2017" sheetId="1" r:id="rId1"/>
    <sheet name="Ross' Notes" sheetId="2" r:id="rId2"/>
    <sheet name="ES calculator" sheetId="3" r:id="rId3"/>
  </sheets>
  <definedNames>
    <definedName name="_xlnm._FilterDatabase" localSheetId="0" hidden="1">'RACGP 2017'!$A$3:$AS$124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67" i="3" l="1"/>
  <c r="N67" i="3"/>
  <c r="O67" i="3" s="1"/>
  <c r="Q67" i="3" s="1"/>
  <c r="S67" i="3" s="1"/>
  <c r="H67" i="3"/>
  <c r="M60" i="3"/>
  <c r="N60" i="3" s="1"/>
  <c r="M61" i="3"/>
  <c r="N61" i="3" s="1"/>
  <c r="M62" i="3"/>
  <c r="N62" i="3" s="1"/>
  <c r="M63" i="3"/>
  <c r="N63" i="3" s="1"/>
  <c r="M64" i="3"/>
  <c r="N64" i="3" s="1"/>
  <c r="M65" i="3"/>
  <c r="N65" i="3" s="1"/>
  <c r="M66" i="3"/>
  <c r="N66" i="3" s="1"/>
  <c r="I61" i="3"/>
  <c r="K61" i="3"/>
  <c r="I62" i="3"/>
  <c r="K62" i="3"/>
  <c r="I63" i="3"/>
  <c r="K63" i="3"/>
  <c r="I64" i="3"/>
  <c r="K64" i="3"/>
  <c r="I65" i="3"/>
  <c r="K65" i="3"/>
  <c r="I66" i="3"/>
  <c r="K66" i="3"/>
  <c r="K60" i="3"/>
  <c r="I60" i="3"/>
  <c r="H66" i="3"/>
  <c r="H65" i="3"/>
  <c r="H64" i="3"/>
  <c r="H63" i="3"/>
  <c r="H62" i="3"/>
  <c r="H61" i="3"/>
  <c r="H60" i="3"/>
  <c r="E66" i="3"/>
  <c r="E65" i="3"/>
  <c r="E64" i="3"/>
  <c r="E63" i="3"/>
  <c r="E61" i="3"/>
  <c r="E62" i="3"/>
  <c r="E60" i="3"/>
  <c r="R48" i="3"/>
  <c r="S48" i="3"/>
  <c r="T48" i="3"/>
  <c r="R49" i="3"/>
  <c r="S49" i="3"/>
  <c r="T49" i="3"/>
  <c r="R50" i="3"/>
  <c r="T50" i="3" s="1"/>
  <c r="S50" i="3"/>
  <c r="M55" i="3"/>
  <c r="N55" i="3"/>
  <c r="O55" i="3" s="1"/>
  <c r="Q55" i="3" s="1"/>
  <c r="M56" i="3"/>
  <c r="N56" i="3"/>
  <c r="O56" i="3" s="1"/>
  <c r="Q56" i="3" s="1"/>
  <c r="M57" i="3"/>
  <c r="N57" i="3"/>
  <c r="O57" i="3" s="1"/>
  <c r="Q57" i="3" s="1"/>
  <c r="M58" i="3"/>
  <c r="N58" i="3"/>
  <c r="O58" i="3" s="1"/>
  <c r="Q58" i="3" s="1"/>
  <c r="M59" i="3"/>
  <c r="N59" i="3"/>
  <c r="O59" i="3" s="1"/>
  <c r="Q59" i="3" s="1"/>
  <c r="H59" i="3"/>
  <c r="H58" i="3"/>
  <c r="H57" i="3"/>
  <c r="H56" i="3"/>
  <c r="H55" i="3"/>
  <c r="E59" i="3"/>
  <c r="E58" i="3"/>
  <c r="E57" i="3"/>
  <c r="E56" i="3"/>
  <c r="E55" i="3"/>
  <c r="S54" i="3"/>
  <c r="T54" i="3" s="1"/>
  <c r="R54" i="3"/>
  <c r="S53" i="3"/>
  <c r="R53" i="3"/>
  <c r="T53" i="3" s="1"/>
  <c r="S52" i="3"/>
  <c r="T52" i="3" s="1"/>
  <c r="R52" i="3"/>
  <c r="S51" i="3"/>
  <c r="R51" i="3"/>
  <c r="T51" i="3" s="1"/>
  <c r="M54" i="3"/>
  <c r="N54" i="3"/>
  <c r="O54" i="3" s="1"/>
  <c r="Q54" i="3" s="1"/>
  <c r="H54" i="3"/>
  <c r="R67" i="3" l="1"/>
  <c r="T67" i="3" s="1"/>
  <c r="P67" i="3"/>
  <c r="O61" i="3"/>
  <c r="Q61" i="3" s="1"/>
  <c r="S61" i="3" s="1"/>
  <c r="O63" i="3"/>
  <c r="Q63" i="3" s="1"/>
  <c r="S63" i="3" s="1"/>
  <c r="P63" i="3"/>
  <c r="O66" i="3"/>
  <c r="Q66" i="3" s="1"/>
  <c r="S66" i="3" s="1"/>
  <c r="P66" i="3"/>
  <c r="R62" i="3"/>
  <c r="T62" i="3" s="1"/>
  <c r="O62" i="3"/>
  <c r="Q62" i="3" s="1"/>
  <c r="S62" i="3" s="1"/>
  <c r="P62" i="3"/>
  <c r="O65" i="3"/>
  <c r="Q65" i="3" s="1"/>
  <c r="S65" i="3" s="1"/>
  <c r="O64" i="3"/>
  <c r="Q64" i="3" s="1"/>
  <c r="S64" i="3" s="1"/>
  <c r="P64" i="3"/>
  <c r="O60" i="3"/>
  <c r="Q60" i="3" s="1"/>
  <c r="S60" i="3" s="1"/>
  <c r="P60" i="3"/>
  <c r="S59" i="3"/>
  <c r="R59" i="3"/>
  <c r="T59" i="3" s="1"/>
  <c r="S57" i="3"/>
  <c r="R57" i="3"/>
  <c r="S58" i="3"/>
  <c r="R58" i="3"/>
  <c r="T58" i="3" s="1"/>
  <c r="S56" i="3"/>
  <c r="R56" i="3"/>
  <c r="S55" i="3"/>
  <c r="R55" i="3"/>
  <c r="T55" i="3" s="1"/>
  <c r="P59" i="3"/>
  <c r="P58" i="3"/>
  <c r="P57" i="3"/>
  <c r="P56" i="3"/>
  <c r="P55" i="3"/>
  <c r="P54" i="3"/>
  <c r="M53" i="3"/>
  <c r="N53" i="3"/>
  <c r="P53" i="3" s="1"/>
  <c r="O53" i="3"/>
  <c r="Q53" i="3" s="1"/>
  <c r="H53" i="3"/>
  <c r="M52" i="3"/>
  <c r="H52" i="3"/>
  <c r="E51" i="3"/>
  <c r="N51" i="3" s="1"/>
  <c r="O51" i="3" s="1"/>
  <c r="Q51" i="3" s="1"/>
  <c r="E50" i="3"/>
  <c r="E49" i="3"/>
  <c r="H49" i="3"/>
  <c r="H50" i="3"/>
  <c r="N50" i="3"/>
  <c r="O50" i="3" s="1"/>
  <c r="H51" i="3"/>
  <c r="N48" i="3"/>
  <c r="O48" i="3" s="1"/>
  <c r="Q48" i="3" s="1"/>
  <c r="H48" i="3"/>
  <c r="E48" i="3"/>
  <c r="M44" i="3"/>
  <c r="N44" i="3" s="1"/>
  <c r="H42" i="3"/>
  <c r="H43" i="3"/>
  <c r="H44" i="3"/>
  <c r="H45" i="3"/>
  <c r="M45" i="3" s="1"/>
  <c r="N45" i="3" s="1"/>
  <c r="H46" i="3"/>
  <c r="H47" i="3"/>
  <c r="M47" i="3" s="1"/>
  <c r="N47" i="3" s="1"/>
  <c r="H41" i="3"/>
  <c r="M41" i="3" s="1"/>
  <c r="N41" i="3" s="1"/>
  <c r="H40" i="3"/>
  <c r="M40" i="3" s="1"/>
  <c r="N40" i="3" s="1"/>
  <c r="E39" i="3"/>
  <c r="K39" i="3"/>
  <c r="M39" i="3" s="1"/>
  <c r="N39" i="3" s="1"/>
  <c r="I39" i="3"/>
  <c r="K38" i="3"/>
  <c r="I38" i="3"/>
  <c r="E38" i="3"/>
  <c r="H38" i="3"/>
  <c r="H39" i="3"/>
  <c r="E37" i="3"/>
  <c r="E35" i="3"/>
  <c r="E33" i="3"/>
  <c r="E31" i="3"/>
  <c r="H37" i="3"/>
  <c r="H35" i="3"/>
  <c r="H33" i="3"/>
  <c r="H31" i="3"/>
  <c r="E36" i="3"/>
  <c r="N36" i="3" s="1"/>
  <c r="E34" i="3"/>
  <c r="E32" i="3"/>
  <c r="E30" i="3"/>
  <c r="H32" i="3"/>
  <c r="H34" i="3"/>
  <c r="N34" i="3" s="1"/>
  <c r="H36" i="3"/>
  <c r="H30" i="3"/>
  <c r="R65" i="3" l="1"/>
  <c r="T65" i="3" s="1"/>
  <c r="R64" i="3"/>
  <c r="T64" i="3" s="1"/>
  <c r="R63" i="3"/>
  <c r="T63" i="3" s="1"/>
  <c r="R60" i="3"/>
  <c r="T60" i="3" s="1"/>
  <c r="P65" i="3"/>
  <c r="R66" i="3"/>
  <c r="T66" i="3" s="1"/>
  <c r="P61" i="3"/>
  <c r="R61" i="3"/>
  <c r="T61" i="3" s="1"/>
  <c r="T56" i="3"/>
  <c r="T57" i="3"/>
  <c r="N52" i="3"/>
  <c r="O52" i="3" s="1"/>
  <c r="Q52" i="3" s="1"/>
  <c r="Q50" i="3"/>
  <c r="P50" i="3"/>
  <c r="N49" i="3"/>
  <c r="P51" i="3"/>
  <c r="O49" i="3"/>
  <c r="Q49" i="3" s="1"/>
  <c r="P48" i="3"/>
  <c r="N37" i="3"/>
  <c r="M38" i="3"/>
  <c r="N38" i="3" s="1"/>
  <c r="M43" i="3"/>
  <c r="N43" i="3" s="1"/>
  <c r="M42" i="3"/>
  <c r="N42" i="3" s="1"/>
  <c r="O44" i="3"/>
  <c r="Q44" i="3" s="1"/>
  <c r="M46" i="3"/>
  <c r="N46" i="3" s="1"/>
  <c r="P47" i="3"/>
  <c r="O47" i="3"/>
  <c r="Q47" i="3" s="1"/>
  <c r="O45" i="3"/>
  <c r="Q45" i="3" s="1"/>
  <c r="P45" i="3"/>
  <c r="O41" i="3"/>
  <c r="Q41" i="3" s="1"/>
  <c r="R40" i="3" s="1"/>
  <c r="O40" i="3"/>
  <c r="Q40" i="3" s="1"/>
  <c r="P40" i="3"/>
  <c r="O39" i="3"/>
  <c r="Q39" i="3" s="1"/>
  <c r="S39" i="3" s="1"/>
  <c r="P39" i="3"/>
  <c r="N33" i="3"/>
  <c r="O33" i="3" s="1"/>
  <c r="Q33" i="3" s="1"/>
  <c r="O38" i="3"/>
  <c r="Q38" i="3" s="1"/>
  <c r="S38" i="3" s="1"/>
  <c r="N30" i="3"/>
  <c r="O30" i="3" s="1"/>
  <c r="Q30" i="3" s="1"/>
  <c r="N35" i="3"/>
  <c r="O35" i="3" s="1"/>
  <c r="Q35" i="3" s="1"/>
  <c r="N31" i="3"/>
  <c r="O31" i="3" s="1"/>
  <c r="Q31" i="3" s="1"/>
  <c r="O37" i="3"/>
  <c r="Q37" i="3" s="1"/>
  <c r="O36" i="3"/>
  <c r="Q36" i="3" s="1"/>
  <c r="N32" i="3"/>
  <c r="O34" i="3"/>
  <c r="Q34" i="3" s="1"/>
  <c r="H27" i="3"/>
  <c r="M27" i="3" s="1"/>
  <c r="E27" i="3"/>
  <c r="H26" i="3"/>
  <c r="E26" i="3"/>
  <c r="H25" i="3"/>
  <c r="M25" i="3" s="1"/>
  <c r="E25" i="3"/>
  <c r="H24" i="3"/>
  <c r="M24" i="3" s="1"/>
  <c r="N24" i="3" s="1"/>
  <c r="O24" i="3" s="1"/>
  <c r="Q24" i="3" s="1"/>
  <c r="L23" i="3"/>
  <c r="K23" i="3"/>
  <c r="H23" i="3"/>
  <c r="E23" i="3"/>
  <c r="L22" i="3"/>
  <c r="K22" i="3"/>
  <c r="H22" i="3"/>
  <c r="E22" i="3"/>
  <c r="H21" i="3"/>
  <c r="M21" i="3" s="1"/>
  <c r="N21" i="3" s="1"/>
  <c r="O21" i="3" s="1"/>
  <c r="Q21" i="3" s="1"/>
  <c r="H29" i="3"/>
  <c r="M29" i="3" s="1"/>
  <c r="E29" i="3"/>
  <c r="H20" i="3"/>
  <c r="M20" i="3" s="1"/>
  <c r="E20" i="3"/>
  <c r="H28" i="3"/>
  <c r="E28" i="3"/>
  <c r="P52" i="3" l="1"/>
  <c r="P49" i="3"/>
  <c r="P36" i="3"/>
  <c r="S44" i="3"/>
  <c r="R38" i="3"/>
  <c r="T38" i="3" s="1"/>
  <c r="P35" i="3"/>
  <c r="S40" i="3"/>
  <c r="T40" i="3" s="1"/>
  <c r="O42" i="3"/>
  <c r="Q42" i="3" s="1"/>
  <c r="O43" i="3"/>
  <c r="Q43" i="3" s="1"/>
  <c r="R42" i="3" s="1"/>
  <c r="P44" i="3"/>
  <c r="R44" i="3"/>
  <c r="T44" i="3" s="1"/>
  <c r="O46" i="3"/>
  <c r="Q46" i="3" s="1"/>
  <c r="R46" i="3" s="1"/>
  <c r="S46" i="3"/>
  <c r="P41" i="3"/>
  <c r="R39" i="3"/>
  <c r="T39" i="3" s="1"/>
  <c r="P38" i="3"/>
  <c r="S30" i="3"/>
  <c r="O32" i="3"/>
  <c r="Q32" i="3" s="1"/>
  <c r="S34" i="3"/>
  <c r="S36" i="3"/>
  <c r="R34" i="3"/>
  <c r="R30" i="3"/>
  <c r="R36" i="3"/>
  <c r="M22" i="3"/>
  <c r="N22" i="3" s="1"/>
  <c r="M23" i="3"/>
  <c r="N27" i="3"/>
  <c r="O27" i="3" s="1"/>
  <c r="Q27" i="3" s="1"/>
  <c r="P37" i="3"/>
  <c r="P33" i="3"/>
  <c r="P31" i="3"/>
  <c r="P30" i="3"/>
  <c r="P34" i="3"/>
  <c r="N20" i="3"/>
  <c r="N25" i="3"/>
  <c r="O25" i="3" s="1"/>
  <c r="Q25" i="3" s="1"/>
  <c r="M28" i="3"/>
  <c r="N28" i="3" s="1"/>
  <c r="O28" i="3" s="1"/>
  <c r="N29" i="3"/>
  <c r="O29" i="3" s="1"/>
  <c r="Q29" i="3" s="1"/>
  <c r="N23" i="3"/>
  <c r="O23" i="3" s="1"/>
  <c r="Q23" i="3" s="1"/>
  <c r="M26" i="3"/>
  <c r="N26" i="3" s="1"/>
  <c r="P24" i="3"/>
  <c r="P21" i="3"/>
  <c r="P32" i="3" l="1"/>
  <c r="P42" i="3"/>
  <c r="S42" i="3"/>
  <c r="T42" i="3" s="1"/>
  <c r="P43" i="3"/>
  <c r="P46" i="3"/>
  <c r="T46" i="3"/>
  <c r="S32" i="3"/>
  <c r="T30" i="3"/>
  <c r="T34" i="3"/>
  <c r="T36" i="3"/>
  <c r="R32" i="3"/>
  <c r="O22" i="3"/>
  <c r="Q22" i="3" s="1"/>
  <c r="O20" i="3"/>
  <c r="Q28" i="3"/>
  <c r="P28" i="3"/>
  <c r="P29" i="3"/>
  <c r="P23" i="3"/>
  <c r="O26" i="3"/>
  <c r="Q26" i="3" s="1"/>
  <c r="P25" i="3"/>
  <c r="P27" i="3"/>
  <c r="T32" i="3" l="1"/>
  <c r="Q20" i="3"/>
  <c r="P20" i="3"/>
  <c r="P22" i="3"/>
  <c r="P26" i="3"/>
  <c r="S20" i="3" l="1"/>
  <c r="R20" i="3"/>
  <c r="H19" i="3"/>
  <c r="M19" i="3" s="1"/>
  <c r="N19" i="3" s="1"/>
  <c r="E18" i="3"/>
  <c r="H18" i="3"/>
  <c r="M18" i="3" s="1"/>
  <c r="H17" i="3"/>
  <c r="M17" i="3" s="1"/>
  <c r="E17" i="3"/>
  <c r="H16" i="3"/>
  <c r="M16" i="3" s="1"/>
  <c r="N16" i="3" s="1"/>
  <c r="H15" i="3"/>
  <c r="M15" i="3" s="1"/>
  <c r="N15" i="3" s="1"/>
  <c r="K14" i="3"/>
  <c r="L14" i="3"/>
  <c r="L12" i="3"/>
  <c r="L11" i="3"/>
  <c r="L13" i="3"/>
  <c r="K13" i="3"/>
  <c r="H14" i="3"/>
  <c r="H13" i="3"/>
  <c r="H12" i="3"/>
  <c r="K12" i="3"/>
  <c r="K11" i="3"/>
  <c r="H11" i="3"/>
  <c r="L10" i="3"/>
  <c r="K10" i="3"/>
  <c r="H10" i="3"/>
  <c r="H9" i="3"/>
  <c r="M9" i="3" s="1"/>
  <c r="N9" i="3" s="1"/>
  <c r="H6" i="3"/>
  <c r="N6" i="3" s="1"/>
  <c r="H7" i="3"/>
  <c r="N7" i="3" s="1"/>
  <c r="H8" i="3"/>
  <c r="N8" i="3" s="1"/>
  <c r="H5" i="3"/>
  <c r="N5" i="3" s="1"/>
  <c r="O5" i="3" s="1"/>
  <c r="Q5" i="3" s="1"/>
  <c r="S5" i="3" s="1"/>
  <c r="H4" i="3"/>
  <c r="M4" i="3" s="1"/>
  <c r="N4" i="3" s="1"/>
  <c r="H3" i="3"/>
  <c r="M3" i="3" s="1"/>
  <c r="N3" i="3" s="1"/>
  <c r="H2" i="3"/>
  <c r="M2" i="3" s="1"/>
  <c r="N2" i="3" s="1"/>
  <c r="T20" i="3" l="1"/>
  <c r="M10" i="3"/>
  <c r="N10" i="3" s="1"/>
  <c r="O10" i="3" s="1"/>
  <c r="Q10" i="3" s="1"/>
  <c r="S10" i="3" s="1"/>
  <c r="N17" i="3"/>
  <c r="M13" i="3"/>
  <c r="N13" i="3" s="1"/>
  <c r="O13" i="3" s="1"/>
  <c r="Q13" i="3" s="1"/>
  <c r="S13" i="3" s="1"/>
  <c r="O2" i="3"/>
  <c r="Q2" i="3" s="1"/>
  <c r="S2" i="3" s="1"/>
  <c r="O9" i="3"/>
  <c r="Q9" i="3" s="1"/>
  <c r="S9" i="3" s="1"/>
  <c r="O19" i="3"/>
  <c r="Q19" i="3" s="1"/>
  <c r="R19" i="3" s="1"/>
  <c r="M14" i="3"/>
  <c r="N14" i="3" s="1"/>
  <c r="O14" i="3" s="1"/>
  <c r="Q14" i="3" s="1"/>
  <c r="S14" i="3" s="1"/>
  <c r="M11" i="3"/>
  <c r="N11" i="3" s="1"/>
  <c r="O11" i="3" s="1"/>
  <c r="Q11" i="3" s="1"/>
  <c r="S11" i="3" s="1"/>
  <c r="N18" i="3"/>
  <c r="O18" i="3" s="1"/>
  <c r="Q18" i="3" s="1"/>
  <c r="S18" i="3" s="1"/>
  <c r="O17" i="3"/>
  <c r="Q17" i="3" s="1"/>
  <c r="S17" i="3" s="1"/>
  <c r="O15" i="3"/>
  <c r="Q15" i="3" s="1"/>
  <c r="O16" i="3"/>
  <c r="Q16" i="3" s="1"/>
  <c r="M12" i="3"/>
  <c r="N12" i="3" s="1"/>
  <c r="O8" i="3"/>
  <c r="Q8" i="3" s="1"/>
  <c r="R8" i="3" s="1"/>
  <c r="O7" i="3"/>
  <c r="Q7" i="3" s="1"/>
  <c r="R7" i="3" s="1"/>
  <c r="O6" i="3"/>
  <c r="Q6" i="3" s="1"/>
  <c r="R6" i="3" s="1"/>
  <c r="R5" i="3"/>
  <c r="T5" i="3" s="1"/>
  <c r="P5" i="3"/>
  <c r="O4" i="3"/>
  <c r="Q4" i="3" s="1"/>
  <c r="O3" i="3"/>
  <c r="Q3" i="3" s="1"/>
  <c r="T84" i="1"/>
  <c r="R11" i="3" l="1"/>
  <c r="S19" i="3"/>
  <c r="T19" i="3" s="1"/>
  <c r="R2" i="3"/>
  <c r="T2" i="3" s="1"/>
  <c r="P9" i="3"/>
  <c r="P10" i="3"/>
  <c r="R10" i="3"/>
  <c r="R9" i="3"/>
  <c r="T9" i="3" s="1"/>
  <c r="S3" i="3"/>
  <c r="P4" i="3"/>
  <c r="S6" i="3"/>
  <c r="T6" i="3" s="1"/>
  <c r="P19" i="3"/>
  <c r="P2" i="3"/>
  <c r="R3" i="3"/>
  <c r="P3" i="3"/>
  <c r="S7" i="3"/>
  <c r="T7" i="3" s="1"/>
  <c r="P11" i="3"/>
  <c r="P17" i="3"/>
  <c r="R17" i="3"/>
  <c r="T17" i="3" s="1"/>
  <c r="R18" i="3"/>
  <c r="T18" i="3" s="1"/>
  <c r="P18" i="3"/>
  <c r="S15" i="3"/>
  <c r="P15" i="3"/>
  <c r="R15" i="3"/>
  <c r="P16" i="3"/>
  <c r="R14" i="3"/>
  <c r="T14" i="3" s="1"/>
  <c r="O12" i="3"/>
  <c r="Q12" i="3" s="1"/>
  <c r="S12" i="3" s="1"/>
  <c r="R13" i="3"/>
  <c r="T13" i="3" s="1"/>
  <c r="P13" i="3"/>
  <c r="P14" i="3"/>
  <c r="T11" i="3"/>
  <c r="T10" i="3"/>
  <c r="S8" i="3"/>
  <c r="T8" i="3" s="1"/>
  <c r="P8" i="3"/>
  <c r="P7" i="3"/>
  <c r="P6" i="3"/>
  <c r="T3" i="3" l="1"/>
  <c r="R12" i="3"/>
  <c r="T12" i="3" s="1"/>
  <c r="P12" i="3"/>
  <c r="T15" i="3"/>
</calcChain>
</file>

<file path=xl/comments1.xml><?xml version="1.0" encoding="utf-8"?>
<comments xmlns="http://schemas.openxmlformats.org/spreadsheetml/2006/main">
  <authors>
    <author>Ross Wilson</author>
  </authors>
  <commentList>
    <comment ref="M1" authorId="0" shapeId="0">
      <text>
        <r>
          <rPr>
            <b/>
            <sz val="9"/>
            <color indexed="81"/>
            <rFont val="Tahoma"/>
            <family val="2"/>
          </rPr>
          <t>Ross Wilson:</t>
        </r>
        <r>
          <rPr>
            <sz val="9"/>
            <color indexed="81"/>
            <rFont val="Tahoma"/>
            <family val="2"/>
          </rPr>
          <t xml:space="preserve">
Calculated as SD = sqrt(((n1-1)*sd1^2 + (n2-1)*sd2^2 + n1*n2/N*(m1-m2)^2) / (N-1))
(Cochrane handbook, http://handbook-5-1.cochrane.org/chapter_7/table_7_7_a_formulae_for_combining_groups.htm)</t>
        </r>
      </text>
    </comment>
    <comment ref="N1" authorId="0" shapeId="0">
      <text>
        <r>
          <rPr>
            <b/>
            <sz val="9"/>
            <color indexed="81"/>
            <rFont val="Tahoma"/>
            <family val="2"/>
          </rPr>
          <t>Ross Wilson:</t>
        </r>
        <r>
          <rPr>
            <sz val="9"/>
            <color indexed="81"/>
            <rFont val="Tahoma"/>
            <family val="2"/>
          </rPr>
          <t xml:space="preserve">
Calculated using Hedges' adjusted g: SMD = MD/SD*(1-3/(4*N-9))
(Cochrane Handbook, Statistical Methods Supplement, https://training.cochrane.org/handbook/statistical-methods-revman5)</t>
        </r>
      </text>
    </comment>
    <comment ref="O1" authorId="0" shapeId="0">
      <text>
        <r>
          <rPr>
            <b/>
            <sz val="9"/>
            <color indexed="81"/>
            <rFont val="Tahoma"/>
            <family val="2"/>
          </rPr>
          <t>Ross Wilson:</t>
        </r>
        <r>
          <rPr>
            <sz val="9"/>
            <color indexed="81"/>
            <rFont val="Tahoma"/>
            <family val="2"/>
          </rPr>
          <t xml:space="preserve">
SE(SMD) = sqrt(N/(n1*n2) + SMD^2/(2*(N-3.94)))
(Cochrane Handbook, Statistical Methods Supplement, https://training.cochrane.org/handbook/statistical-methods-revman5)</t>
        </r>
      </text>
    </comment>
    <comment ref="L54" authorId="0" shapeId="0">
      <text>
        <r>
          <rPr>
            <b/>
            <sz val="9"/>
            <color indexed="81"/>
            <rFont val="Tahoma"/>
            <family val="2"/>
          </rPr>
          <t>Ross Wilson:</t>
        </r>
        <r>
          <rPr>
            <sz val="9"/>
            <color indexed="81"/>
            <rFont val="Tahoma"/>
            <family val="2"/>
          </rPr>
          <t xml:space="preserve">
Could not source the original paper - these are from Jason's ES Calculator</t>
        </r>
      </text>
    </comment>
  </commentList>
</comments>
</file>

<file path=xl/sharedStrings.xml><?xml version="1.0" encoding="utf-8"?>
<sst xmlns="http://schemas.openxmlformats.org/spreadsheetml/2006/main" count="4519" uniqueCount="1242">
  <si>
    <t>knee, hip or both filter (1/0/10)</t>
  </si>
  <si>
    <t>Intervention name</t>
  </si>
  <si>
    <t xml:space="preserve">Strength of recommendations from the RACGP guideline (worst-best):
1. strong against
2. conditional against
3. conditional (neutral)
4. conditional for
5. strong for
</t>
  </si>
  <si>
    <t xml:space="preserve">Strength of recommendations from the RACGP guideline (worst-best):
Strong for ↑↑
Conditional for ↑
Neutral ↔
Conditional against ↓
Strong against ↓↓
</t>
  </si>
  <si>
    <t>1st line recommendation score
5 = best timing
4 = 
3 = neutral timing
2 = 
1 = worst timing</t>
  </si>
  <si>
    <t>2nd line recommendation score
5 = best timing
4 = 
3 = neutral timing
2 = 
1 = worst timing</t>
  </si>
  <si>
    <t>3rd line recommendation score
5 = best timing
4 = 
3 = neutral timing
2 = 
1 = worst timing</t>
  </si>
  <si>
    <t>1st line intervention timing. Do not modify
↑↑= strong for
↑= conditional for
↔= neutral
↓= conditional against
↓↓= strong against</t>
  </si>
  <si>
    <t>2nd line intervention timing. Do not modify
↑↑= strong for
↑= conditional for
↔= neutral
↓= conditional against
↓↓= strong against</t>
  </si>
  <si>
    <t>3rd line intervention timing. Do not modify. 
↑↑= strong for
↑= conditional for
↔= neutral
↓= conditional against
↓↓= strong against</t>
  </si>
  <si>
    <t>Do not modify these columns.</t>
  </si>
  <si>
    <t>Quality of the evidence
✓= very low
✓✓= Low
✓✓✓= moderate
✓✓✓✓= high</t>
  </si>
  <si>
    <t>Cost Category 
$$$= high $1k/mo or &gt;$15k one-off
$$= medium $100-$1k/mo or $1500-$15k one-off
$= low &lt;$100/mo or &lt;$1500 one-off</t>
  </si>
  <si>
    <t xml:space="preserve">Cost expressed in NZ$ 2017 prices
Adjustments for inflation and currency followed  Welte et al 2004 rcommendations. OECD purchasing power parities (PPP) were used to exchange currency, and inflation was calculated using consumer price index (CPI):
PPP: $1USD = NZ$ 2017 1.48; NZ$ 2012 1.5; NZ$ 2009 1.47; NZ$ 2008 1.49 (http://stats.oecd.org/Index.aspx?DataSetCode=CPL#)
CPI (inflation): 2008 (2010= 100) = 95.7, 2009= 97.7, 2012= 105.1, 2013= 106.3 and 2017= 110.7 (https://data.oecd.org/price/inflation-cpi.htm#indicator-chart)
Steps 1) convert original value to NZD using the PPP for the correct year, 2) convert the adjusted value for PPP to 2017 $NZ, by subtracting the appropriate year CPI from the 2017 CPI (110.7) and dividing by 100 then adding 1 to convert to a % and multiplying by the corrected value for PPP to convert into 2017 $NZ.
</t>
  </si>
  <si>
    <t>Unit</t>
  </si>
  <si>
    <t>PHARMAC subsidy?</t>
  </si>
  <si>
    <t>unadjusted cost/ unit</t>
  </si>
  <si>
    <t>Description of costed intervention (assumptions)</t>
  </si>
  <si>
    <t>Cost source(s)</t>
  </si>
  <si>
    <t>Assumptions for duration</t>
  </si>
  <si>
    <t xml:space="preserve">Accessiblity - informed by the MoH MAP membership
1. Number of interventions reaching consensus after round 1 = 5 (Convenient: Alternative medicines, pharmacological agents. Inconvenient: mechanical aids, psychological interventions, surgical interventions)
2. Number of interventions reaching consensus after round 2 = 1 (Convenient: pharmacological interventions - presecription only medicine)
3. Number of interventions which did not reach consensus after round 2 = 4 (Electrotherapies, exercise, injectable agents, other physical therapies, self-management &amp; education, weight management)
♿ - inaccessible travel, or wait time
♿♿ - neither accessible or inaccessible travel, or wait time
♿♿♿ - accessible travel, or wait time.
</t>
  </si>
  <si>
    <t>Access comment in the RACGP guideline</t>
  </si>
  <si>
    <t xml:space="preserve">Mild/ moderate harms:
⚠⚠⚠ High: 3 in 4: &gt;50% 
⚠⚠ Moderate: 2 in 4: 25% ≤50% 
⚠ Low: 1 in 4: &lt;25%
adverse events: An unfavourable outcome that occurs during or after the use of a drug or other intervention but is not necessarily caused by it.  It can be defined as “any abnormal sign, symptom, or laboratory test, or any syndromic combination of such abnormalities, any untoward or unplanned occurrence (for example, an accident or unplanned pregnancy), or any unexpected worsening or improvement in a concurrent illness” </t>
  </si>
  <si>
    <t>Serious harms :
⚠⚠⚠ High: &gt;0.5%
⚠⚠ Moderate: 0.2% - 0.5%
⚠ Low: &lt;0.2%
Assumptions made: 
1. If no SAEs were detected in the RACGP CPG, then I assumed that there were no SAEs related to the intervention.
2. If SAEs were noted, then the type of SAE and whether it was  attributable to the intervention was reviewed in the SAE summary table provided in the technical document.
3. If the level of risk was unclear for mild/moderate or serious adverse events, a literature review was conducted to search for systematic reviews to inform what level level should be used (quantitative reviews&gt; qualitative reviews&gt; individual papers).
4. I have assumed that the level of mild and moderate harm is high across all surgical interventions.</t>
  </si>
  <si>
    <t xml:space="preserve">DOUBLE CHECK risks </t>
  </si>
  <si>
    <t>Serious harms as reported in the guidelines.
(‘Serious’ refers to adverse effects that have significant medical consequences, eg lead to death, permanent disability or prolonged hospitalisation (WHO)) or 'death or injury possibly related to participation in the trial and requiring medical attention' (tech doc p.257)
We assumed that the RACGP expert panel statements ‘no adverse events reported,’ 'no evidence of harm',  ‘very low/ low risk of harm,’ and ‘very low/ low likelihood of serious adverse effects’ conferred to low levels of mild or moderate, or serious harm. If the statements were different or the treatment harms were further specified, the evidence tables were reviewed in the technical document for further information and literature review was undertaken if more information was required.</t>
  </si>
  <si>
    <t>Relative Risk [intervention: control] RR &lt;1 favours intervention (as reported in the RACGP CPG)</t>
  </si>
  <si>
    <t>Rates (as reported in the RACGP CPG)</t>
  </si>
  <si>
    <t>Effect - pain
(lower numbers are better. Right justified ES's have been calculated by JC)</t>
  </si>
  <si>
    <r>
      <rPr>
        <sz val="10"/>
        <color rgb="FFFF0000"/>
        <rFont val="Segoe UI Symbol"/>
        <family val="2"/>
      </rPr>
      <t xml:space="preserve">PAIN </t>
    </r>
    <r>
      <rPr>
        <sz val="10"/>
        <color theme="1"/>
        <rFont val="Segoe UI Symbol"/>
        <family val="2"/>
      </rPr>
      <t>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</si>
  <si>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Effect - function
(Lower numbers are better. Right justified ES's have been calculated by JC)</t>
  </si>
  <si>
    <r>
      <rPr>
        <sz val="10"/>
        <color rgb="FFFF0000"/>
        <rFont val="Segoe UI Symbol"/>
        <family val="2"/>
      </rPr>
      <t>FUNCT</t>
    </r>
    <r>
      <rPr>
        <sz val="10"/>
        <color theme="1"/>
        <rFont val="Segoe UI Symbol"/>
        <family val="2"/>
      </rPr>
      <t xml:space="preserve"> 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</si>
  <si>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The effect size (ES) was calculated using the MD reported in the RACGP CPG, divided by the pooled standardised baseline SD for the trial(s) referenced. A weighted pooled standard deviation (SD) was calculated using the sample size reported in the RACGP CPG. Olejnik et al (2000) recommend using pooled baseline SD to calculate ES: Olejnik, S. and J. Algina, Measures of Effect Size for Comparative Studies: Applications, Interpretations, and Limitations. Contemp Educ Psychol, 2000. 25(3): p. 241-286. The method for weighting SDs for the trial sample size is supported by the cochrane handbook and Thorlund, K., et al., Pooling health-related quality of life outcomes in meta-analysis-a tutorial and review of methods for enhancing interpretability. Res Synth Methods, 2011. 2(3): p. 188-203. Where no baseline SD in individual trials was reported, the baseline SD from another study was used instead (also recommended in the Cochrane handbook (section 16.1.3.1)). Refer to the ES Calculator spreadsheet for the calculations and the Pooled SD Calculator spreadsheet for the pooled SD calculator.
- If more than one time point was measured for the outcome measures, the timepoint with the greatest effect on pain or function was selected.
- Where no RCT data was found in the RACGP CPG, a quick literature review was undertaken to find other systematic reviews reporting ESs.
- If the ES was reported as Cohen's d in a study, it was transposed, rather than re-calculated. For cases where this has happened it is noted in the ES calculator spreadsheet.</t>
  </si>
  <si>
    <t>1000minds variable names</t>
  </si>
  <si>
    <t>Alternative</t>
  </si>
  <si>
    <t>Rec</t>
  </si>
  <si>
    <t>Rec1</t>
  </si>
  <si>
    <t>Rec2</t>
  </si>
  <si>
    <t>Rec3</t>
  </si>
  <si>
    <t>↑↑</t>
  </si>
  <si>
    <t>↑</t>
  </si>
  <si>
    <t>↔</t>
  </si>
  <si>
    <t>↓</t>
  </si>
  <si>
    <t>↓↓</t>
  </si>
  <si>
    <t>Qua</t>
  </si>
  <si>
    <t>Cos</t>
  </si>
  <si>
    <t xml:space="preserve">Dur
</t>
  </si>
  <si>
    <t>Acc</t>
  </si>
  <si>
    <t>Rmi</t>
  </si>
  <si>
    <t>Rse</t>
  </si>
  <si>
    <t>Eff</t>
  </si>
  <si>
    <t>Fun</t>
  </si>
  <si>
    <t>NON-PHARMACOLOGIC INTERVENTIONS</t>
  </si>
  <si>
    <t>self-management education programs - knee</t>
  </si>
  <si>
    <t>conditional (neutral)</t>
  </si>
  <si>
    <t>✓</t>
  </si>
  <si>
    <t>$</t>
  </si>
  <si>
    <t>$1129.20-$4158.66
2008 US to 2008 NZD = $659x 1.49 (2008 PPP): $981.91
adjust for inflation to 2017 NZD= 981.91x ((110.7-95.7/100)+1) = $1129.20 2017NZD</t>
  </si>
  <si>
    <t>mean total cost per person</t>
  </si>
  <si>
    <t>-</t>
  </si>
  <si>
    <t>$659 mean total cost per person, 2008 US dollars, for the nurse-led patient education program.
$2427 mean total cost per person, US$ 2008, for the 6-session arthritis self-management program (NZ$ 4158.66)</t>
  </si>
  <si>
    <t>"Patient education program" Nurse-led patient education + conventional management for knee patients (4 1hr sessionsx4 wk).</t>
  </si>
  <si>
    <t>Pinto, D., et al., Cost-Effectiveness of Nonpharmacologic, Nonsurgical Interventions for Hip and/or Knee Osteoarthritis: Systematic Review. Value in Health, 2012. 15(1): p. 1-12. Table 2</t>
  </si>
  <si>
    <t>⧗⧗</t>
  </si>
  <si>
    <t>6-12 months: Moderate effect at 6 months and a reduced, but still significant small effect at 12 months. See P. e306 of Du, S., et al., Self-management programs for chronic musculoskeletal pain conditions: a systematic review and meta-analysis. Patient Educ Couns, 2011. 85(3): p. e299-310.</t>
  </si>
  <si>
    <t>♿♿</t>
  </si>
  <si>
    <t>They may also require a considerable time commitment by the person to attend and many Australians may experience access difficulties (e.g. those in rural/remote areas, or those for whom English is not a native language).</t>
  </si>
  <si>
    <t>⚠</t>
  </si>
  <si>
    <t>Y</t>
  </si>
  <si>
    <t>No adverse events reported</t>
  </si>
  <si>
    <t>0.8 [0.47-1.35] (non-adherence)</t>
  </si>
  <si>
    <t>-44/1000</t>
  </si>
  <si>
    <t>-0.16 [-0.39, -0.06]</t>
  </si>
  <si>
    <t>⚕</t>
  </si>
  <si>
    <t>-0.19 [-0.52, +0.14]</t>
  </si>
  <si>
    <t>self-management education programs - hip</t>
  </si>
  <si>
    <t>Assumed the same as knee</t>
  </si>
  <si>
    <t>Total adverse events RR 0.19 [0.01-3.92]; no participation due to lack of interest RR 0.31 [0.03-2.83]</t>
  </si>
  <si>
    <t>total Aes -45/1000; no partiicpation due to lack of interest -57/1000.</t>
  </si>
  <si>
    <t>-0.02 [-0.49, 0.46]</t>
  </si>
  <si>
    <t xml:space="preserve">-0.05 [-0.53, 0.42] </t>
  </si>
  <si>
    <t>See ES calculator for notes.</t>
  </si>
  <si>
    <t xml:space="preserve">Cognitive behavioural therapy - knee </t>
  </si>
  <si>
    <t>Conditional for</t>
  </si>
  <si>
    <t>✓✓</t>
  </si>
  <si>
    <t>Assumed the same as self-management education programs</t>
  </si>
  <si>
    <t>Assumed the same as self-manageemnt and education programs</t>
  </si>
  <si>
    <t>♿</t>
  </si>
  <si>
    <t>[clinicians] should be cognizant of issues related to cost and access.</t>
  </si>
  <si>
    <t>Y - lit RV revealed no SRs</t>
  </si>
  <si>
    <t>Low likelihood of adverse effects</t>
  </si>
  <si>
    <t>(0.38 [0.14-1.09] (withdrawal due to no-response or dissatisfaction)</t>
  </si>
  <si>
    <t>not reported</t>
  </si>
  <si>
    <t>-0.21 [-0.42, -0.01]</t>
  </si>
  <si>
    <t>⚕⚕</t>
  </si>
  <si>
    <t>-0.05 [-0.28, +0.19]</t>
  </si>
  <si>
    <t xml:space="preserve">Cognitive behavioural therapy - hip </t>
  </si>
  <si>
    <t>No participation due to lack of interest 5.33 [0.96-29.51]; daily additoinal use of pain mediaciton MD -0.08 [0.16-0]</t>
  </si>
  <si>
    <t>No available rates</t>
  </si>
  <si>
    <t>-0.18 [-0.35, -0.02]</t>
  </si>
  <si>
    <t>-0.1 [-0.28, +0.08]</t>
  </si>
  <si>
    <t>ES that did not cross the null for self efficacy and depression were reported (+0.45 and -0.23, respectively)</t>
  </si>
  <si>
    <t>ALL LAND-BASED EXERCISE - knee (all land based, muscle-strengthening, walking, Tai Chi)</t>
  </si>
  <si>
    <t>strong for</t>
  </si>
  <si>
    <t>$800.20 - $1334.82</t>
  </si>
  <si>
    <t>$467 - $779 mean total cost per person. US$2008.</t>
  </si>
  <si>
    <t xml:space="preserve">Cost range is for mean total cost per person for class-based exercise ($769), home based exercise ($779) and facility-based aerobic exercise ($467). </t>
  </si>
  <si>
    <t>Pinto, D., et al., Cost-Effectiveness of Nonpharmacologic, Nonsurgical Interventions for Hip and/or Knee Osteoarthritis: Systematic Review. Value in Health, 2012. 15(1): p. 1-12. Table 2
$503.22 US$2012 annual cost above usual care, excl. GST in Table III of Pinto, D., et al., Manual therapy, exercise therapy, or both, in addition to usual care, for osteoarthritis of the hip or knee. 2: economic evaluation alongside a randomized controlled trial. Osteoarthritis and Cartilage, 2013. 21(10): p. 1504-1513.</t>
  </si>
  <si>
    <t xml:space="preserve">3-6 months, possibly more with booster sessions. 
1. Tanaka, R., et al. (2014). "Effect of the Frequency and Duration of Land-based Therapeutic Exercise on Pain Relief for People with Knee Osteoarthritis: A Systematic Review and Meta-analysis of Randomized Controlled Trials." Journal of Physical Therapy Science 26(7): 969.
2. Pisters, M. F., et al. (2007). "Long-term effectiveness of exercise therapy in patients with osteoarthritis of the hip or knee: a systematic review." Arthritis Rheum 57(7): 1245-1253.
3. Other refs: Fransen, M., et al. (2015). "Exercise for osteoarthritis of the knee." Cochrane Database of Systematic Reviews(1). 
Other note: benefits of exercise maximised around 9-12 weeks, with no improvements after 12 weeks (Tanaka et al, Li et al).
</t>
  </si>
  <si>
    <t>Very low likelihood of serious adverse effects. Most are minor and include temporary increased pain at affected joint or pain at other sites.</t>
  </si>
  <si>
    <t>Study withdrawals: 0.89 [0.78-1.03]</t>
  </si>
  <si>
    <t>-0.49 [-0.59, -0.39]</t>
  </si>
  <si>
    <t>-0.52 [-0.64, -0.39]</t>
  </si>
  <si>
    <t>⚕⚕⚕</t>
  </si>
  <si>
    <t xml:space="preserve">Knee exercise: MUSCLE STRENGTHENING ONLY for quadriceps strengthening </t>
  </si>
  <si>
    <t>Assumed the same as all land-based knee exercise</t>
  </si>
  <si>
    <t>Assumed the same as land-based knee exercise</t>
  </si>
  <si>
    <t>Withdrawals due to Aes: 1.33 [0.76-2.31]; treatment-related Aes: 3.9 [1.55-9.81]; Serious Aes: 3.06 [0.32-29.10]. See page 27-28 of technical document.</t>
  </si>
  <si>
    <t>-0.74 [-1.07, -0.41]</t>
  </si>
  <si>
    <t>Knee exercise: MUSCLE STRENGTHENING ONLY for lower limb strengthening</t>
  </si>
  <si>
    <t>Same as quadriceps</t>
  </si>
  <si>
    <t>-0.53 [-0.78, -0.28]</t>
  </si>
  <si>
    <t>-0.54 [-0.83, -0.26]</t>
  </si>
  <si>
    <t>Knee exercise: Walking only (same as hip)</t>
  </si>
  <si>
    <t>withdrawals 2.07 [0.19-22.57]; serious Aes 2.07 [0.17-22.57]</t>
  </si>
  <si>
    <t>withdrawals -39/1000; serious Aes +7/1000</t>
  </si>
  <si>
    <t>-0.48 [-0.83, -0.13]</t>
  </si>
  <si>
    <t>-0.35 [-0.58, -0.11]</t>
  </si>
  <si>
    <t>conditional for</t>
  </si>
  <si>
    <t>6.65 [0.37-120.36] treatment-related Aes. Withdrawals due to Aes 8.55 [0.49-148.33]</t>
  </si>
  <si>
    <t>Not calculable due to zero events in the comparator arm.</t>
  </si>
  <si>
    <t>-0.99 [-6.53, 4.54]</t>
  </si>
  <si>
    <t>-0.65 [-6.91, 5.59]</t>
  </si>
  <si>
    <t>Knee exercise: Tai Chi only (same as hip)</t>
  </si>
  <si>
    <t xml:space="preserve">Newberry et al 2017 (P.36/37) conclude that 1) there's insufficient evidence if yoga is beneficial for the knee (1 RCT) and 2) there appears to be short to medium term benefits (1-6 months) on pain and function with Tai Chi:  Newberry, S.J., et al., AHRQ Comparative Effectiveness Reviews, in Treatment of Osteoarthritis of the Knee: An Update Review. 2017, Agency for Healthcare Research and Quality (US): Rockville (MD). </t>
  </si>
  <si>
    <t>withdrawals: 1.90 [0.43-8.37]; treatment related 3.00 [0.13 - 69.52]; serious 1.00 [0.07-14.90]</t>
  </si>
  <si>
    <t>withdrawals +14/1000; treatment related aes not calculable; serious aes 0/1000</t>
  </si>
  <si>
    <t>-0.57 [-0.76, -0.37]</t>
  </si>
  <si>
    <t>-0.67 [-0.88, -0.46]</t>
  </si>
  <si>
    <t>Knee exercise: Yoga only (same as hip)</t>
  </si>
  <si>
    <t>Treatment related Aes: Not available; Serious Aes: Not available - see page 33 of technical document.</t>
  </si>
  <si>
    <t>Not calculable due to zero events in both study arms.</t>
  </si>
  <si>
    <t>-1.01 [-1.72, -0.3]</t>
  </si>
  <si>
    <t>-0.81 [-3.47, 1.83]</t>
  </si>
  <si>
    <t>Knee exercise: Land-based exercise - knee (stationary cycling, hatha yoga)</t>
  </si>
  <si>
    <t>See cycling &amp; yoga</t>
  </si>
  <si>
    <t>Effect sizes reported for individual exercises</t>
  </si>
  <si>
    <t>ALL LAND-BASED EXERCISE - hip (when combining all studies of land-based exercise)</t>
  </si>
  <si>
    <t>✓✓✓</t>
  </si>
  <si>
    <t>3-6 months: Fransen, M., et al. (2014). "Exercise for osteoarthritis of the hip." Cochrane Database of Systematic Reviews(4). Assumed booster sessions effect.</t>
  </si>
  <si>
    <t>Withdrawals 1.85 p0.93-3.66]</t>
  </si>
  <si>
    <t>Withdrawals +29/1000</t>
  </si>
  <si>
    <t>-0.38 [-0.55, -0.20]</t>
  </si>
  <si>
    <t>-0.30 [-0.54, 0.05]</t>
  </si>
  <si>
    <t>Hip exercise: MUSCLE STRENGTHENING ONLY</t>
  </si>
  <si>
    <t>total withdrawals 2.95 [0.12-70.11]; total adverse events 2.95 [0.12-70.77]</t>
  </si>
  <si>
    <t>Rates not available due to zero events in the comparator arm</t>
  </si>
  <si>
    <t>-0.02 [-0.68, +0.64]</t>
  </si>
  <si>
    <t>-0.07 [-0.58, +0.44]</t>
  </si>
  <si>
    <t>Hip exercise: Walking (same as knee)</t>
  </si>
  <si>
    <t>Hip exercise: Cycling (same as knee)</t>
  </si>
  <si>
    <t>Hip exercise: Tai Chi (same as knee)</t>
  </si>
  <si>
    <t>Hip exercise: Yoga (same as knee)</t>
  </si>
  <si>
    <t>Aquatic exercise/ hydrotherapy - knee (same as hip)</t>
  </si>
  <si>
    <t>$796 mean total cost per person, US$2008.</t>
  </si>
  <si>
    <t>Usual care  + water-based therapy, maximum 30 participants per 1-h class, up to 84 in 12 mo, led by
swimming instructors.</t>
  </si>
  <si>
    <t>See Table 2, water-based therapy mean total cost per person and  mean program cost per person, in Pinto, D., et al. (2012). "Cost-Effectiveness of Nonpharmacologic, Nonsurgical Interventions for Hip and/or Knee Osteoarthritis: Systematic Review." Value in Health 15(1): 1-12.</t>
  </si>
  <si>
    <t xml:space="preserve">&lt;3 months: Bartels et al (2016), page 15: follow up at 12-24 weeks post-treatment showed no significant effect, but there was a high level of heterogeinity across studies and a limited number of studies.
Bartels, E. M., et al. (2016). "Aquatic exercise for the treatment of knee and hip osteoarthritis." Cochrane Database of Systematic Reviews(3).
</t>
  </si>
  <si>
    <t>Total adverse events: 1.25 [0.98-1.60]</t>
  </si>
  <si>
    <t>withdrawals +38/1000</t>
  </si>
  <si>
    <t>-0.31 [-0.47, -0.15]</t>
  </si>
  <si>
    <t>-0.32 [-0.47, -0.17]</t>
  </si>
  <si>
    <t>Aquatic exercise/ hydrotherapy - hip (same as knee)</t>
  </si>
  <si>
    <t>Manual therapy (massage) - knee (same as hip)</t>
  </si>
  <si>
    <t>$$</t>
  </si>
  <si>
    <t>per month</t>
  </si>
  <si>
    <t xml:space="preserve">$416 NZ$2009/ 30d </t>
  </si>
  <si>
    <t>Based on 3x $52 sessions per week ($52 NZ$ 2009 is the reported average cost per session in Pinto et al 2013)</t>
  </si>
  <si>
    <t>Supplment 1: Pinto, D., et al., Manual therapy, exercise therapy, or both, in addition to usual care, for osteoarthritis of the hip or knee. 2: economic evaluation alongside a randomized controlled trial. Osteoarthritis and Cartilage, 2013. 21(10): p. 1504-1513.</t>
  </si>
  <si>
    <t>12 months: the study by Abbott et al (2015) and Fitzgerald et al (2016) reported sustained changes 12-months posttreatment in the review by Newberry et al 2017.
Abbott, J.H., et al., The Incremental Effects of Manual Therapy or Booster Sessions in Addition to Exercise Therapy for Knee Osteoarthritis: A Randomized Clinical Trial. J Orthop Sports Phys Ther, 2015. 45(12): p. 975-83.
Most studies in the Salamh review only followed treatment in the region of months (1-4 weeks; one study 9 months, which showed no favourable outcomes): Salamh, P., et al., Treatment effectiveness and fidelity of manual therapy to the knee: A systematic review and meta-analysis. Musculoskeletal Care, 2017. 15(3): p. 238-248.
Jansen, M. J., et al. (2011). "Strength training alone, exercise therapy alone, and exercise therapy with passive manual mobilisation each reduce pain and disability in people with knee osteoarthritis: a systematic review." J Physiother 57(1): 11-20.</t>
  </si>
  <si>
    <t>When considering manual therapies, clinicians and patients should be aware of possible cost, time and access barriers.</t>
  </si>
  <si>
    <t>Very low risk of harm reported.</t>
  </si>
  <si>
    <t>Withdrawals due to Aes: 1.17 [0.23 - 5.89]; Total adverse events: 2.01 [0.22-18.82] - see page 36</t>
  </si>
  <si>
    <t>withdrawals +2/1000; total aes not calculable</t>
  </si>
  <si>
    <t>-0.70 [ -0.97, -0.43]</t>
  </si>
  <si>
    <t>-0.58 [-0.87, -0.29]</t>
  </si>
  <si>
    <t>Manual therapy (massage) - hip (same as knee)</t>
  </si>
  <si>
    <t>&lt;3months. See Beumer, L., et al., Effects of exercise and manual therapy on pain associated with hip osteoarthritis: a systematic review and meta-analysis. Br J Sports Med, 2016. 50(8): p. 458-63.</t>
  </si>
  <si>
    <t xml:space="preserve">Manual therapy (mobilisation and manipulation) - knee </t>
  </si>
  <si>
    <t>$548.82 (Excl. GST)</t>
  </si>
  <si>
    <t>$485.68 cost to patient, family, friends NZ$2009, excl. GST</t>
  </si>
  <si>
    <t>Manual therapy focused on improving joint mobility through manually administered forces to the target joint and surrounding soft tissue.</t>
  </si>
  <si>
    <t>Pinto, D., et al., Manual therapy, exercise therapy, or both, in addition to usual care, for osteoarthritis of the hip or knee. 2: economic evaluation alongside a randomized controlled trial. Osteoarthritis and Cartilage, 2013. 21(10): p. 1504-1513. See table III</t>
  </si>
  <si>
    <t>Assumed the same as massage</t>
  </si>
  <si>
    <t>Withdrawals due to Aes: not available; Total Aes - not available. See page 37 of technical document.</t>
  </si>
  <si>
    <t>-0.16 [-0.52, +0.21]</t>
  </si>
  <si>
    <t>-0.56 [-0.93, -0.19]</t>
  </si>
  <si>
    <t>Manual therapy (mobilisation and manipulation) - hip</t>
  </si>
  <si>
    <t>Withdrawals due to Aes 1.02 [0.07-14.83]; treatment related aes 18.51 [1.12-307.04]; serious aes not calculable</t>
  </si>
  <si>
    <t>withdrawals due to AEs +1/1000; treatment related aes not calculable; serious aes not calculable</t>
  </si>
  <si>
    <t>-1.07 [-1.55, -0.6]</t>
  </si>
  <si>
    <t>-0.79 [-4.93, 3.34]</t>
  </si>
  <si>
    <t>See ES calculator for notes. 6wk outcome scores used.</t>
  </si>
  <si>
    <t>Weight management - knee (same as hip)</t>
  </si>
  <si>
    <t>$3523 US$2008 mean total cost per person</t>
  </si>
  <si>
    <t>Diet: encouraged to lose 5% baseline weight, maintain loss  x 18 mo, included home visit and group
meetings.</t>
  </si>
  <si>
    <t>Pinto, D., et al., Cost-Effectiveness of Nonpharmacologic, Nonsurgical Interventions for Hip and/or Knee Osteoarthritis: Systematic Review. Value in Health, 2012. 15(1): p. 1-12. See Table 2.</t>
  </si>
  <si>
    <t xml:space="preserve">The review by Newberry (2017) reports that weight loss has benefits on pain that can last up to 6 months (see summary on P.58).
Systematic review of weight loss among obese patients shows that 3-6% weight reduction from baseline can be maintained up to 4 years after intervention. No studies among populations with osteoarthritis have been investigated apart from one RCT in 2017 among knee OA patients which showed sustained weight reduction after 3 years: 
1. Anderson, J. W., Konz, E. C., Frederich, R. C., &amp; Wood, C. L. (2001). Long-term weight-loss maintenance: a meta-analysis of US studies. Am J Clin Nutr, 74(5), 579-584. doi:10.1093/ajcn/74.5.579
2. Christensen, P., Henriksen, M., Bartels, E. M., Leeds, A. R., Meinert Larsen, T., Gudbergsen, H., . . . Bliddal, H. (2017). Long-term weight-loss maintenance in obese patients with knee osteoarthritis: a randomized trial. Am J Clin Nutr, 106(3), 755-763. doi:10.3945/ajcn.117.158543
3. Franz, M. J., VanWormer, J. J., Crain, A. L., Boucher, J. L., Histon, T., Caplan, W., . . . Pronk, N. P. (2007). Weight-loss outcomes: a systematic review and meta-analysis of weight-loss clinical trials with a minimum 1-year follow-up. J Am Diet Assoc, 107(10), 1755-1767. doi:10.1016/j.jada.2007.07.017
</t>
  </si>
  <si>
    <t>Y - SAEs not reported</t>
  </si>
  <si>
    <t>Low risk of harms.</t>
  </si>
  <si>
    <t>Withdrawals due to Aes: 1.02 [0.15 - 6.94]; Serious Aes: not available; non-compliance with regimen 0.77 [0.37-1.67] in favour of weight management. Page 39 of technical document.</t>
  </si>
  <si>
    <t>withdrawals due to AEs +1/1000; non-compliance -71/1000; serious aes not calculable.</t>
  </si>
  <si>
    <t>-0.38  [-0.88, +0.11]</t>
  </si>
  <si>
    <t>-0.29 [-0.62, +0.04]</t>
  </si>
  <si>
    <t>Weight management - hip (same as knee)</t>
  </si>
  <si>
    <t>withdrawals due to Aes +1/1000; non-compliance -71/1000; serious aes not calculable.</t>
  </si>
  <si>
    <t>Heat therapy - same for knee and hip</t>
  </si>
  <si>
    <t>$11.02 (average retail cost of items 1-3)</t>
  </si>
  <si>
    <t>1. $16.99 reusable hot/cold pack http://www.pharmacydirect.co.nz/Nexcare-Reusable-Hot/Cold-Pack-with-Cover.html?&amp;partner=sli&amp;bid=3
2.  $7.12 https://www.amtech.co.nz/shop/Physiotherapy+Consumables/Hot+and+Cold+Therapy+PHYSUHOTCO/Patient+Packs+PHYSUHOTCOPATIENT+PACKS/TP470Platinum+Reusable+Hot+and+Cold+Pack+TP470.html
3. 8.95 https://gosport.nz/products/mcdavid-211-reusable-hot-cold-gel-pack?utm_medium=cpc&amp;utm_source=googlepla&amp;variant=28683822595&amp;gclid=CjwKCAiAsejRBRB3EiwAZft7sEX-zwXZFZWGemw0BFPQNjbKQFhbRGT6TKZYIUMs3nJKC7OtsjEzWhoCX-cQAvD_BwE
4. $10 http://firstaid.kiwi/hot-and-cold-packs/coldhot-pack-reusable-freezer-and-microwave-safe
5. $18.90 hot &amp; cold clay pack: http://www.pharmacydirect.co.nz/SurgiPack-Hot-Cold-Clay-Pack-Medium.html</t>
  </si>
  <si>
    <t>⧗</t>
  </si>
  <si>
    <t>There are no narrative or Systematic Reviews specifically investigating heat therapy. In Aciksoz et al (2017) no difference was measured 2 weeks after commencing the intervention regimen. The review by newberry (2017) suggests that there are no benefits associated with heat therapy, based on limited evidence of low quality. 
1. Yildirim, N., et al. (2010). "The effect of heat application on pain, stiffness, physical function and quality of life in patients with knee osteoarthritis." J Clin Nurs 19(7-8): 1113-1120.
2. Kim, H., et al. (2013). "Effectiveness of exercise with or without thermal therapy for community-dwelling elderly Japanese women with non-specific knee pain: a randomized controlled trial." Arch Gerontol Geriatr 57(3): 352-359.
3. Ochiai, S., et al. (2014). "Effectiveness of Thermotherapy Using a Heat and Steam Generating Sheet for Cartilage in Knee Osteoarthritis." Journal of Physical Therapy Science 26(2): 281-284.
4. Aciksoz, S., et al. (2017). "The effect of self-administered superficial local hot and cold application methods on pain, functional status and quality of life in primary knee osteoarthritis patients." J Clin Nurs.
Newberry, S. J., et al. (2017). AHRQ Comparative Effectiveness Reviews. Treatment of Osteoarthritis of the Knee: An Update Review. Rockville (MD), Agency for Healthcare Research and Quality (US).</t>
  </si>
  <si>
    <t>No adverse effects reported. However, patients should be warned about the risks of burns and heat therapy may not be suitable in those with compromised sensation.</t>
  </si>
  <si>
    <t>Total Aes: not calculable - see page 40 of technical document.</t>
  </si>
  <si>
    <t>not calculable</t>
  </si>
  <si>
    <t>-0.38 [-0.69, -0.07]</t>
  </si>
  <si>
    <t>-0.27 [0.68, +0.15]</t>
  </si>
  <si>
    <t>Cold therapy - same for knee and hip</t>
  </si>
  <si>
    <t>conditional against</t>
  </si>
  <si>
    <t>Assumed the same as heat therapy</t>
  </si>
  <si>
    <t>After 3 months follow up, there was no statistical difference in knee circumference (edema) according to the Cochrane review by Brosseau (2003).</t>
  </si>
  <si>
    <t>There is emerging clinical evidence that patients with symptomatic knee OA may experience cold hyperalgesia, suggesting therapeutic use of cold may be unhelpful. No adverse effects reported.</t>
  </si>
  <si>
    <t>Total Aes: not available - see page 41 of technical document.</t>
  </si>
  <si>
    <t>-0.5 [-1.07, +0.07]</t>
  </si>
  <si>
    <t>-0.4 [-4.08, 3.28]</t>
  </si>
  <si>
    <t>See ES calculator for notes.. KOOS FDL calculated manually from Table 4 change in KOOS scale after control and treatment scores in Denegar et al 2010</t>
  </si>
  <si>
    <t>Knee braces (varus unloading/re-alignment braces)</t>
  </si>
  <si>
    <t>$1408.33 (average cost of items 1-3)</t>
  </si>
  <si>
    <t>1. $1635 for a medial/lateral unloading brace: https://www.alliedmedical.co.nz/products/bracing-supports/lower-body/knee/ossur-unloader-one-ots-knee-brace/
2. $1495 for Ossur Rebound knee brace: http://www.queenstownrm.co.nz/cellular-therapy-pricing/
3. $1095 for Ossur Unloader Hip brace: http://www.queenstownrm.co.nz/cellular-therapy-pricing/
$1200 Ossur knee brace unloader: https://www.aucklandorthotics.co.nz/products/knee-brace-unloader-fit</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</si>
  <si>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knee braces. Beaudreuil, J. (2017). "Orthoses for osteoarthritis: A narrative review." Ann Phys Rehabil Med 60(2): 102-106</t>
  </si>
  <si>
    <t>Y - performed lit search to look for more data and found Raja</t>
  </si>
  <si>
    <t>Low likelihood of adverse effects which can include skin irritation.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</si>
  <si>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No RCT data found, but according to the review by Moyer et al (2015) for valgus unloading braces, the Aes most likely relate to skin irritation (&lt;25% minor Aes, no serious Aes))</t>
  </si>
  <si>
    <t>Aes &amp; risk assumed the same as valgus unloading brackes</t>
  </si>
  <si>
    <t>No RCT data found. Due to lack of evidence the RACGP CPG recommendation is neutral. This SR also concludes that there is insufficient information available to determine its effectiveness: Duivenvoorden, T., et al. (2015). "Braces and orthoses for treating osteoarthritis of the knee." The Cochrane database of systematic reviews(3): CD004020, though they state MD for PAIN (1 study)= 0.00 (95%CI -0.84 to 0.84) Absolute percent change = 0% (95% CI - 8.4 to 8.4)</t>
  </si>
  <si>
    <t>No RCT data found. Due to lack of evidence the RACGP CPG recommendation is neutral. This SR also concludes that there is insufficient information available to determine its effectivenss: Duivenvoorden, T., et al. (2015). "Braces and orthoses for treating osteoarthritis of the knee." The Cochrane database of systematic reviews(3): CD004020, though they state a MD for function (1 study) = 1.00 (95%CI -2.98 to 4.98) Absolute percent change = 1.0% (95% CI 3.0 to 5.0) Relative percent change = 0.01%(95%CI 0.05 to 0.07)</t>
  </si>
  <si>
    <t>No RCT data found. Due to lack of evidence the RACGP CPG recommendation is neutral. This SR also concludes that there is insufficient information available to comemnt on its effectiveness: Duivenvoorden, T., et al. (2015). "Braces and orthoses for treating osteoarthritis of the knee." The Cochrane database of systematic reviews(3): CD004020.
The Kirkley 1999 paper did not report baseline outcome data, only change scores. Because of this, the SMD cannot be calculated. Given that the MDs reported by Duivenvoorden (2015) for pain and function seems to be small, (both estimates cross null) I have assigned a low level of effectivness for this intervention.</t>
  </si>
  <si>
    <t>Knee braces (valgus unloading/re-alignment braces)</t>
  </si>
  <si>
    <t>Assumed the same as varus unloading/re-alignment braces</t>
  </si>
  <si>
    <t>Assumed the same as varus unloading knee braces</t>
  </si>
  <si>
    <t>Low likelihood of adverse effects which can include skin irritation.
(Moyer Rebecca, F., et al. (2015). "Valgus Bracing for Knee Osteoarthritis: A Meta‐Analysis of Randomized Trials." Arthritis Care &amp; Research 67(4): 493-501 reports &lt;25% minor Aes and no serious AEs)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</si>
  <si>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Total Aes: 1.63 [0.94 - 2.82]. Assumed the same risk as varus unloading/relalignment braces</t>
  </si>
  <si>
    <t xml:space="preserve"> </t>
  </si>
  <si>
    <t>-0.30 [CI not reported]</t>
  </si>
  <si>
    <t xml:space="preserve">See ES calculator for details. 
This review group suggests greater ES: Moyer Rebecca, F., et al. (2015). "Valgus Bracing for Knee Osteoarthritis: A Meta‐Analysis of Randomized Trials." Arthritis Care &amp; Research 67(4): 493-501....pain 0.56, function 0.48.
</t>
  </si>
  <si>
    <t>Knee braces (re-aligning patellofemoral braces)</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</si>
  <si>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patello-femoral knee braces. Beaudreuil, J. (2017). "Orthoses for osteoarthritis: A narrative review." Ann Phys Rehabil Med 60(2): 102-106</t>
  </si>
  <si>
    <r>
      <t xml:space="preserve">Low likelihood of adverse effects which can include skin irritation.
</t>
    </r>
    <r>
      <rPr>
        <b/>
        <sz val="10"/>
        <color theme="1"/>
        <rFont val="Segoe UI Symbol"/>
        <family val="2"/>
      </rPr>
      <t>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r>
  </si>
  <si>
    <t>Withdrawals due to Aes: 3 [0.32 - 28.07]; Treatment related Aes: 1.25 [0.63 - 2.50]; Serious Aes 3.00 [0.12 - 72.27]</t>
  </si>
  <si>
    <t>-0.3 [-0.75, +0.14]</t>
  </si>
  <si>
    <t>0.42 [-3.22, 4.07]</t>
  </si>
  <si>
    <t xml:space="preserve">See ES calculator for details. </t>
  </si>
  <si>
    <t>Shoe orthotics (shock absorbing insoles or arch supports) - same for hip and knee</t>
  </si>
  <si>
    <t>Assumed the same as medial wedged insoles</t>
  </si>
  <si>
    <t>Assumed the same as medial wedge inserts</t>
  </si>
  <si>
    <t>The review by Newberry (2017) concluded that shoe inserts show no consistent beneficial effect (low quality evidence) and no medium or long-term benefits on pain or function (4 RCTs, pooled analysis of 3 RCTSs, low strenght of evidence). Based on their review, I assume the same duration of effect for lateral wedge insoles and medial wedge insoles.</t>
  </si>
  <si>
    <t>Y - Assumed the same as other orthotics</t>
  </si>
  <si>
    <t>Low likelihood of adverse effects.</t>
  </si>
  <si>
    <t>No RCTs found</t>
  </si>
  <si>
    <t>Informed by narrative RV - no RCTs found</t>
  </si>
  <si>
    <t>Narrative review by Newberry (2017) concludes that the current evidence is inconclusive, "Shoe Inserts showed no consistent beneficial effects across outcomes or follow-up times" .
No effect on pain: Hinman, R. S., et al. (2013). "Medial arch supports do not significantly alter the knee adduction moment in people with knee osteoarthritis." Osteoarthritis and Cartilage 21(1): 28-34.</t>
  </si>
  <si>
    <t>Shoe orthotics (lateral wedge insoles for medial tibiofemoral knee OA) - knee</t>
  </si>
  <si>
    <t>Parkes, M. J., et al. (2013). "Lateral wedge insoles as a conservative treatment for pain in patients with medial knee osteoarthritis: A meta-analysis." Jama 310(7): 722-730 suggests no beneficial treatment effect over neutral wedge insoles. Based on this assessment, I suggest the duration is short as it has little or no treatment effect.</t>
  </si>
  <si>
    <t>Withdrawals dut to Aes: 2.06 [0.64 - 6.59]; treatment related Aes 1.45 [0.55-3.80]</t>
  </si>
  <si>
    <t>-0.36 [-0.92, +0.2]</t>
  </si>
  <si>
    <t>-0.31 [-0.85, +0.24]</t>
  </si>
  <si>
    <t>This meta analysis recommends that lateral wedge insoles have no beneficial effects compared to a neutral insole: Parkes, M. J., et al. (2013). "Lateral wedge insoles as a conservative treatment for pain in patients with medial knee osteoarthritis: A meta-analysis." Jama 310(7): 722-730. SMD 0.03 for WOMAC pain when considering only low-heterogeneity studies.</t>
  </si>
  <si>
    <t>Shoe orthotics (medial wedged insoles for lateral tibiofemoral OA and valgus deformity) - knee</t>
  </si>
  <si>
    <t>$207.28 (average cost of items 1-3)</t>
  </si>
  <si>
    <t xml:space="preserve">1. $295-$495 Custom moulded orthotic from 5: https://www.shoreorthotics.co.nz/pricing.html
2. $76.94 customisable: https://www.dme.co.nz/physipod-component-orthotic
3. $49.91 customisable: https://www.dme.co.nz/orthotics-2
4. $495 (custom), $190-$240 (foam custom): https://aucklandsportspodiatry.co.nz/products-prices/
</t>
  </si>
  <si>
    <t>The narrative review by Beaudreuil  reported that one small trial reported effects up to 2 months follow up. Beaudreuil, J. (2017). "Orthoses for osteoarthritis: A narrative review." Ann Phys Rehabil Med 60(2): 102-106: "Medial wedge insoles for lateral femorotibial OA could reduce pain and functional disability at 2-month follow-up in one small-sized randomized trial [39]."</t>
  </si>
  <si>
    <t>-51/1000 treatment related Aes</t>
  </si>
  <si>
    <t>-1.08 [-6.18, 4.01]</t>
  </si>
  <si>
    <t>-1.21 [-2.54, 0.11]</t>
  </si>
  <si>
    <t>See ES calculator for details.
Ignore these notes: 
ES adjusted with Hedge's g based on pre-post data in Table 3 of Rodrigues et al 2008.
ES at pre WOMAC/ LEQUESNE
d= 0.14 [-0.15,1.38]/ 0.57 [-0.2,1.33]
g= 0.6 [-0.15,1.35]/ 0.55 [-0.19, 1.3]
ES at post
d= -0.46 [-1.22, 0.3]/ -0.6 [-1.37, 0.16]
g= -0.45 [-1.19, 0.29]/ -0.59 [-1.33, 0.16]
post-pre
d= -0.46-0.14= 0.6/ -1.17
g= -0.45-0.6=1.05/ -1.14</t>
  </si>
  <si>
    <t>Footwear (unloading shoes) - same for hip and knee</t>
  </si>
  <si>
    <t>Assumed cost is equivalent to a fully custom shoe that put its in the &lt;$1500 level of cost. Agreed in discussion with HA.</t>
  </si>
  <si>
    <t>Assumed &lt;$1500 for unloading footwear</t>
  </si>
  <si>
    <t>Cannot find specific unloading shoes.</t>
  </si>
  <si>
    <t>One RCT study found that unloading shoes were no different to conventional walking shoes - both conferred clinically relevant benefits. At 6 months follow up, there was a large and clinically important benefit of unloading shoes over conventional shoes which was clinically relevant for function, but not pain (Hinman 2016). There are no  Systematic Reviews or narrative reviews which specifically investigate unloading shoes.</t>
  </si>
  <si>
    <t>Withdrawals: 0.27 [0.08-0.88]; total Aes 1.27 [0.77-2.08]; withdrawal due to potentially treatment related reasons 0.39 [0.13-1.14]</t>
  </si>
  <si>
    <t>withdrawals -206/1000; total aes +67/1000; withdrawal due to treamtent-related reasons -156/1000</t>
  </si>
  <si>
    <t>-0.11 [-0.37, +0.14]</t>
  </si>
  <si>
    <t>-0.04 [-1.61, 1.51]</t>
  </si>
  <si>
    <t>See ES calculator for details.
Ignore these notes: 
computed ES from data in Table 2 baseline vs month 6 WOMAC data
pre ES
g= 0.07 [-0.24, 0.39]
post ES
g= 0.16 [-0.15, 0.47]
post-pre g= -0.09</t>
  </si>
  <si>
    <t>Footwear (minimalist footwear) - same for hip and knee</t>
  </si>
  <si>
    <t>Assumed the same as unloading shoes</t>
  </si>
  <si>
    <t xml:space="preserve">The RACGP guidelines note limited evidence of very poor quality. Given that its effectiveness is uncertain, I have assumed a low duration of effect. One study suggests benefits may be up to 3-6 months duration (see p.54 of Newberry et al 2017), but as noted in the RACGP review, the studies investigating this footwear are mostly from the same group of researchers, with serious risk of bias. </t>
  </si>
  <si>
    <t>Withdrawal due to Aes 1.00 [0.07-15.21]</t>
  </si>
  <si>
    <t>0/1000</t>
  </si>
  <si>
    <t>-1.28 [CI not calculable]</t>
  </si>
  <si>
    <t>-0.7 [-1.59, 0.18]</t>
  </si>
  <si>
    <t xml:space="preserve">See ES calculator. The baseline SD was not reported for pain (but it was for function), but within-group ES were reported in section 3.1. I subtracted experimental - control ES to calculated the between-group difference in ES. 1.28 at T6 (6 months) p1198, item 3.1. </t>
  </si>
  <si>
    <t>Footwear (rocker soled shoes) - same for hip and knee</t>
  </si>
  <si>
    <t>There is limited low quality evidence avaialble about this intervention. I have assumed that the duration is short, given the recommendations in the RACGP guideline and uncertainty about its effectiveness.</t>
  </si>
  <si>
    <t>Withdrawal due to Aes 1.16 [0.07-18.06]</t>
  </si>
  <si>
    <t>+2/1000</t>
  </si>
  <si>
    <t>0.01 [-41.14, 41.17]</t>
  </si>
  <si>
    <t>0.74 [-3.79, 5.27]</t>
  </si>
  <si>
    <t>See ES calculator for details.</t>
  </si>
  <si>
    <t>Taping (patellar taping) - same for knee and hip</t>
  </si>
  <si>
    <t>conditional neutral</t>
  </si>
  <si>
    <t>mean total cost per month</t>
  </si>
  <si>
    <t>$21.68/30d (average cost of items 1-3)</t>
  </si>
  <si>
    <t>Assumed 1m of tape per use, changing tape 3x per week</t>
  </si>
  <si>
    <t xml:space="preserve">Average $1.80/m 
1. $8. 00 USL Sport economy kinesio Ktape 5cmx5m Blue: http://www.pharmacydirect.co.nz/USL-Sport-Economy-KTape-5cm-x-5m-BLUE.html?&amp;partner=sli&amp;bid=3
2. $14.99 D3 Dressing Tape Kinesioogy 6.0m https://shop.countdown.co.nz/Shop/ProductDetails?stockcode=757033
3. Strapping tape: 12.5mmx13.7m $4.50, K-tpae 5cmx9.1m $12, Foam undewrap 7cmx27m, $6.70: https://www.roslynphysio.co.nz/pages/5/Products 
</t>
  </si>
  <si>
    <t>Hinman 2003, 'effects may last up to 3 weeks post-treatment, and also quoted in: Beaudreuil, J. (2017). "Orthoses for osteoarthritis: A narrative review." Ann Phys Rehabil Med 60(2): 102-106</t>
  </si>
  <si>
    <t>t is possible that people with specific patellofemoral pain symptoms may benefit from self-application of patellar taping to minimise pain and enable engagement in physical activity and rehabilitation</t>
  </si>
  <si>
    <t>Side effects are minor and include skin irritation from the tape.
+241/1000</t>
  </si>
  <si>
    <t>Total Aes not available; Skin irritation 8.00 [1.07 - 59.95]</t>
  </si>
  <si>
    <t>skin irritation +241/1000</t>
  </si>
  <si>
    <t>-0.54 [-0.92, -0.16]</t>
  </si>
  <si>
    <t>0.33 [-1.66, 2.33]</t>
  </si>
  <si>
    <t>Taping (kinesio taping) - same for knee and hip</t>
  </si>
  <si>
    <t>Assumed the same as patellar taping</t>
  </si>
  <si>
    <t>Side effects are minor and include skin irritation from the tape.</t>
  </si>
  <si>
    <t>Withdrawals due to Aes (12 days FU): 0.32 [0.01-7.42]; skin irritation 0.32 [0.01 - 7.42]</t>
  </si>
  <si>
    <t>withdrawals -32/1000; skin irritation -32/1000</t>
  </si>
  <si>
    <t>-0.07 [-3.01, 2.86]</t>
  </si>
  <si>
    <t>0.84 [-0.2, 1.89]</t>
  </si>
  <si>
    <t xml:space="preserve">Assistive walking device - knee </t>
  </si>
  <si>
    <t xml:space="preserve">$32 - $369.67 </t>
  </si>
  <si>
    <t>$32-$369.67 (average cost of items 1-3)</t>
  </si>
  <si>
    <t>1. $28 for basic crutch/cane up to $399 for walker/rollator: https://www.lifeunlimitedstore.co.nz/product-category/mobility/walkers-rollators
2. $27 for basic crutch up to $75 for forearm crutch and $190 for underarm version; walking frames $85 - $415+ for walker https://www.ilsnz.org/Products/Mobility/Walking-Sticks-Standard?page=2
3. $41 for basic walking stick; $295 for a walker http://www.aspirecanterbury.org.nz/Shop/Walkers/</t>
  </si>
  <si>
    <t xml:space="preserve">No SR or narrative reviews on this topic. </t>
  </si>
  <si>
    <t>Few adverse events. 
Jason's comment: None reported in the serious adverse events table on page 257 in the technical document.</t>
  </si>
  <si>
    <t>0.50 [0.05-5.24]</t>
  </si>
  <si>
    <t>-31/1000</t>
  </si>
  <si>
    <t>-2 [-2.27, -1.72]</t>
  </si>
  <si>
    <t>-1.05 [-1.9, -0.2]</t>
  </si>
  <si>
    <t>Assistive walking device - hip (same as knee)</t>
  </si>
  <si>
    <t>Same as knee</t>
  </si>
  <si>
    <t>ELECTROTHERAPIES</t>
  </si>
  <si>
    <t>Pulsed electromagnetic/ shortwave therapy - knee</t>
  </si>
  <si>
    <t>$768 NZ$2009/ 30d</t>
  </si>
  <si>
    <t>Assuming 4 sessions per week or 16/30d - as per RACGP for the most efficacious treatment regimen</t>
  </si>
  <si>
    <t xml:space="preserve">$64 NZ$2009, excl. GST  for 1 occasion of service for community physiotherapy services - see Appendix 1 of Pinto et al. 2013 Given that more than 1 treatment would be required per month, I bumped up the cost to medium. </t>
  </si>
  <si>
    <t>Assumed short, based on the recommended dosing schedule in the RACGP guideline (3-5 sessions, per week).</t>
  </si>
  <si>
    <t>The available evidence suggests 3-5 treatment sessions/week are required for benefits, when this treatment is administered by clinicians. Given the large number of visits required to a health professional for a treatment modality that is passive, the financial cost this may impose on a patient and the evidence suggesting no benefit for hip OA, the Working Group felt that clinician-delivered pulsed electromagnetic therapy should not be offered to people with knee and/or hip OA.</t>
  </si>
  <si>
    <t>Low risk of adverse events with no serious adverse events reported.</t>
  </si>
  <si>
    <t>withdrawals 0.72 [0.05 - 10.91]; treatment related Aes: 1.95 [0.81 - 4.71]; Serious Aes not available. Page 59 of technical document</t>
  </si>
  <si>
    <t>withdrawals due to Aes -3/1000; treatment-related aes +28/1000; SAEs not estimated - 0 events in both arms</t>
  </si>
  <si>
    <t>-0.53 [-0.84, -0.21]</t>
  </si>
  <si>
    <t>-0.39 [-0.58, -0.21]</t>
  </si>
  <si>
    <t>Pulsed electromagnetic/ shortwave therapy - hip</t>
  </si>
  <si>
    <t>Assumed the same as pulsed electromagnetic shortwave therapy</t>
  </si>
  <si>
    <t>Not reported</t>
  </si>
  <si>
    <t>0.02 [-5.48, 5.53]</t>
  </si>
  <si>
    <t>See ES calculator for details. Function was not reported in the one study of hips.</t>
  </si>
  <si>
    <t>Other electrotherapy - knee (laser) (same as hip)</t>
  </si>
  <si>
    <t>Conditional against</t>
  </si>
  <si>
    <t>The RACGP guideline states benefits up to 3 weeks. 
However, no effect immediately after or 12-weeks post-intervention is reported in the review by Huang et al 2015: Huang, Z., et al., Effectiveness of low-level laser therapy in patients with knee osteoarthritis: a systematic review and meta-analysis. Osteoarthritis Cartilage, 2015. 23(9): p. 1437-1444.</t>
  </si>
  <si>
    <t>Other electrotherapy - knee (laser)</t>
  </si>
  <si>
    <t>Across these modalities, there is no evidence of harm.</t>
  </si>
  <si>
    <t>withdrawals 0.32 [0.01-7.5]; total Aes not available. P.65 of technical document.</t>
  </si>
  <si>
    <t>-7/1000; not calculable</t>
  </si>
  <si>
    <t>-0.49 [-0.82, -0.17]</t>
  </si>
  <si>
    <t>-0.67 [-1.04, -0.31]</t>
  </si>
  <si>
    <t>Assumed the same as laser therapy. There is very low quality evidence avaiable about shockwave therapy. A qualitative review in 2016 confirms that more research needs to be conducted, and made no mention about the duration of treatment effect: Ji, Q., P. Wang, and C. He, Extracorporeal shockwave therapy as a novel and potential treatment for degenerative cartilage and bone disease: Osteoarthritis. A qualitative analysis of the literature. Prog Biophys Mol Biol, 2016. 121(3): p. 255-65.</t>
  </si>
  <si>
    <t>withdrawals 0.35 [0.01-8.36]; treatment related Aes not available. Page 60 of technical document.</t>
  </si>
  <si>
    <t>-0.95 [-1.52, -0.39]</t>
  </si>
  <si>
    <t>-0.86 [-3, 1.28]</t>
  </si>
  <si>
    <t>Other electrotherapy - hip (shock wave)</t>
  </si>
  <si>
    <t xml:space="preserve">Narrative review only. RACGP CPGs did not find any RCTs: Ji, Q., et al. (2016). "Extracorporeal shockwave therapy as a novel and potential treatment for degenerative cartilage and bone disease: Osteoarthritis. A qualitative analysis of the literature." Prog Biophys Mol Biol 121(3): 255-265.
</t>
  </si>
  <si>
    <t>Other electrotherapy - knee (interferential)</t>
  </si>
  <si>
    <t xml:space="preserve">Assumed the same as laser therapy. There is very low quality evidence avaiable about IFC therapy. </t>
  </si>
  <si>
    <t>treatment-related withdrawals not available P.63.</t>
  </si>
  <si>
    <t>-0.79 [-1.27 -0.32]</t>
  </si>
  <si>
    <t>-4.65 [-6.33, -2.97]</t>
  </si>
  <si>
    <t>Other electrotherapy - hip (interferential)</t>
  </si>
  <si>
    <t xml:space="preserve">NO RCT data found, no narrative reviews found. Assumed the same as knee </t>
  </si>
  <si>
    <t>Other electrotherapy - hip (laser) (same as knee)</t>
  </si>
  <si>
    <t xml:space="preserve">Transcutaneous electrical nerve stimulation (TENS) - knee </t>
  </si>
  <si>
    <t xml:space="preserve">&lt;8weeks. The SR by Newberry reviewed studies which reported inconsistent benefits at 8 weeks, and none at 12 weeks follow up. See page 42/43 of Newberry, S. J., et al. (2017). AHRQ Comparative Effectiveness Reviews. Treatment of Osteoarthritis of the Knee: An Update Review. Rockville (MD), Agency for Healthcare Research and Quality (US). </t>
  </si>
  <si>
    <t>portable home units are now available at home</t>
  </si>
  <si>
    <t>No adverse events have been reported in the included trials, however, clinicians should provide information to patients about how to use portable TENS units safely and minimise the risks of possible skin irritation.</t>
  </si>
  <si>
    <t>Treatment related Aes not estimable; serious Aes not not estimable; treatment related withdrawals 3 [0.13-68.57]. P.61 of technical document.</t>
  </si>
  <si>
    <t>treatment related withdrawals N/A because at least all studies received at least one high risk of bias rating</t>
  </si>
  <si>
    <t>-0.76 [-1.13, -0.39]</t>
  </si>
  <si>
    <t>-0.48 [-0.88, -0.08]</t>
  </si>
  <si>
    <t>The RACGP CPG shows an effect, but a cochrane review by Rutjes in 2009 failed to show any differences between control and intervention groups for knee OA.</t>
  </si>
  <si>
    <t>Transcutaneous electrical nerve stimulation (TENS) - hip</t>
  </si>
  <si>
    <t>No RCTs found in the RACGP guideline. No narrative reviews found. Assumed the same as knee</t>
  </si>
  <si>
    <t>Therapeutic ultrasound - knee (same as hip)</t>
  </si>
  <si>
    <t>Effects last up to 10 months post US according to Loyola-Sánchez, A., et al. (2010). "Efficacy of ultrasound therapy for the management of knee osteoarthritis: a systematic review with meta-analysis." Osteoarthritis and Cartilage 18(9): 1117-1126.</t>
  </si>
  <si>
    <t>The available evidence suggests that 3-5 treatment sessions/week are required for benefits. Given the large number of visits required to a health professional for a treatment modality that is passive, and the financial cost this may impose on a patient, the Working Group felt that therapeutic ultrasound should not be offered to people with knee and/or hip OA.</t>
  </si>
  <si>
    <t>No adverse events reported.</t>
  </si>
  <si>
    <t>withdrawals not available; total adverse events; not available. P 64 of technical document.</t>
  </si>
  <si>
    <t>-0.55 [-0.88, -0.22]</t>
  </si>
  <si>
    <t>-0.57 [-1.03, -0.10]</t>
  </si>
  <si>
    <t>Therapeutic ultrasound - hip (same as knee)</t>
  </si>
  <si>
    <t xml:space="preserve">$702 US$2008 </t>
  </si>
  <si>
    <t>Mean total cost per person</t>
  </si>
  <si>
    <t>Pinto, D., et al. (2012). "Cost-Effectiveness of Nonpharmacologic, Nonsurgical Interventions for Hip and/or Knee Osteoarthritis: Systematic Review." Value in Health 15(1): 1-12.</t>
  </si>
  <si>
    <t xml:space="preserve">1. The review by Manyanga (2014) suggest that efffects last up to 2 months, with greatest effects around 4 weeks: Manheimer, E., et al. (2010). "Acupuncture for peripheral joint osteoarthritis." Cochrane Database Syst Rev(1): CD001977 investigated follow up at 8 weeks. Manyanga's subgroup analysis hinted at greater effects on pain at 4 weeks (ES 0.38 0.69,0.06), see  Manyanga, T., et al. (2014). "Pain management with acupuncture in osteoarthritis: a systematic review and meta-analysis." BMC Complement Altern Med 14: 312.
2. The network meta-analysis by Corbett et al 2013 suggests little effect after 7 weeks (see discussion, p.1296): Corbett, M. S., et al. (2013). "Acupuncture and other physical treatments for the relief of pain due to osteoarthritis of the knee: network meta-analysis." Osteoarthritis Cartilage 21(9): 1290-1298.
3. On balance, I chose a short, rather than medium level of duration, as there is little evidence to suggest that the effects of acupuncture last 3-12 months or more.
</t>
  </si>
  <si>
    <t>Clinicians should not offer acupuncture to people with knee and/or hip OA due to its lack of clinical effectiveness and the necessity of multiple, visits to a clinician for passive treatment that may come at a financial cost to the patient.</t>
  </si>
  <si>
    <t>⚠⚠</t>
  </si>
  <si>
    <t>Y - serious Aes not reported in the SR by Manyanga, T., et al., Pain management with acupuncture in osteoarthritis: a systematic review and meta-analysis. BMC Complement Altern Med, 2014. 14: p. 312.</t>
  </si>
  <si>
    <t>There is a statistically significant increase in risk of adverse events with acupuncture compared to sham in people with knee OA, although most were unrelated to acupuncture treatment (Technical document, Appendix 5 adverse events table, p257/258)</t>
  </si>
  <si>
    <t>+32/1000 serious Aes; Risk ratio 2.28 (does not cross null)</t>
  </si>
  <si>
    <t>-0.16 [-0.33, -0.02]</t>
  </si>
  <si>
    <t>short term outcomes &gt; long term outcomes</t>
  </si>
  <si>
    <t>Acupuncture (laser) - knee</t>
  </si>
  <si>
    <t>Assumed the same as traditional acupuncture</t>
  </si>
  <si>
    <t>Assumed the same as traditional and electroacupuncture for the knee</t>
  </si>
  <si>
    <t>Assumed the same as traditional accupuncture.</t>
  </si>
  <si>
    <t>There is a statistically significant increase in risk of adverse events with acupuncture compared to sham in people with knee OA, although most were unrelated to acupuncture treatment (Technical document, Appendix 5 adverse events table, p257/258). 
The evidence for adverse events differs for laser acupuncuture (no significant differences), that's why the risk of serious harm is low.</t>
  </si>
  <si>
    <t>Withdrawals due to Aes: N/A. Total Aes +37/1000. RR 1.62</t>
  </si>
  <si>
    <t>RR 1.62</t>
  </si>
  <si>
    <t>+0.12 [-0.26, +0.49]</t>
  </si>
  <si>
    <t>Guidelines state, "There is very low quality evidence suggesting no statistically significant effect of laser acupuncture on either pain or function in people with knee OA".</t>
  </si>
  <si>
    <t>Acupuncture (laser) - hip</t>
  </si>
  <si>
    <t>withdrawals 0.32 [0.01-7.50]; total Aes not calculable</t>
  </si>
  <si>
    <t>withdrawals -7/1000; not calculable</t>
  </si>
  <si>
    <t>Acupuncture (traditional) - hip</t>
  </si>
  <si>
    <t>Y - performed additional lit search. No SAEs were reported in the SR by Manheimer 2018</t>
  </si>
  <si>
    <t xml:space="preserve">Based on 2018 Cochrane Review by Manheimer " Four trials reported on adverse events, and none reported any serious adverse events attributed to acupuncture." Manheimer, E., et al., Acupuncture for hip osteoarthritis. Cochrane Database Syst Rev, 2018. 5: p. Cd013010. y, a large UK survey of patients who received acupuncture treatment supports the notion that serious adverse effects of acupuncture are very rare, while minor side effects such as pain, nausea, or bruising at the site of needling may be experienced by up to 30% of patients (Macpherson 2004; MacPherson 2005). Thus, it can be concluded that acupuncture has a very low rate of adverse events, when conducted among licensed, qualified practitioners in the West (White 2004).
</t>
  </si>
  <si>
    <t>withdrawals not calculable; treamtent related Aes not calculable</t>
  </si>
  <si>
    <t>Not calculable</t>
  </si>
  <si>
    <t>-0.13 [-0.49, 0.22]</t>
  </si>
  <si>
    <t>-0.15 [-0.51, 0.21]</t>
  </si>
  <si>
    <t>See ES calculator for details (6 month outcomes used for ES). Calculated ES for Pain: -0.37 [-6.9, 6.15] and ES for Function: -0.16 [-1.19, 0.85]. A new Cochrane review for hip acupuncture informs the ES I use here: Manheimer, E., et al., Acupuncture for hip osteoarthritis. Cochrane Database Syst Rev, 2018. 5: p. Cd013010.</t>
  </si>
  <si>
    <t>PHARMACOLOGIC INTERVENTIONS</t>
  </si>
  <si>
    <t>Paracetamol - knee and/or hip (same for both)</t>
  </si>
  <si>
    <t>$1.71/30d (paracetamol 4000mg per day)</t>
  </si>
  <si>
    <t xml:space="preserve">According to the meta analysis by da Costa et al 2017, a maximum daily dose of 3900-4000mg is most efficacous (ES -0.16 [-0.27, 0.06]). See Figure 2, page e28. </t>
  </si>
  <si>
    <t>1. $7.12/1000x500mg blister pack 1 month supply on prescription, fully subsidised (Pharmacare)
NZ formulary recommendation for mild to moderate pain: Oral Adult 0.5–1g every 4–6 hours; maximum 4 g daily.
According to the meta analysis by da Costa et al 2017, a maximum daily dose of 3900-4000mg is most efficacous (ES -0.16 [-0.27, 0.06]). See Figure 2, page e28. 
Using the maximum dosage, 30 days equates to 8 tablets/day x 30 days = 240 tablets per month. 240* ($7.12/1000)= $1.71/30d
http://www.pharmac.govt.nz/2018/01/01/Schedule.pdf#page=134
http://www.medsafe.govt.nz/profs/Datasheet/p/panadolOsteocaplets.pdf
http://www.nzf.org.nz/nzf_2439</t>
  </si>
  <si>
    <t>6hrs. Assumption based on optimal dosing of 3900-4000mg/day (da Costa et al 2017)</t>
  </si>
  <si>
    <t>♿♿♿</t>
  </si>
  <si>
    <t>There is no significant increase of adverse events (AEs) with the use of paracetamol compared to placebos. However, clinicians should be cautious that paracetamol is more likely to increase the risk of abnormal liver functions and side effects are multiplied when combined with alcoholic drinks.
A systematic review of observational studies paints a poor picture for paracetamol dose/time relationship; but OR are only reported. See  Roberts, E., et al., Paracetamol: not as safe as we thought? A systematic literature review of observational studies. Annals of the Rheumatic Diseases, 2016. 75(3): p. 552. The review by da costa (2017) also suggests it's clinically ineffective.
Low risk: Hazlewood, G., D.M. van der Heijde, and C. Bombardier, Paracetamol for the management of pain in inflammatory arthritis: a systematic literature review. J Rheumatol Suppl, 2012. 90: p. 11-6.
No difference between control and intervention groups: Machado, G.C., et al., Efficacy and safety of paracetamol for spinal pain and osteoarthritis: systematic review and meta-analysis of randomised placebo controlled trials. Bmj, 2015. 350: p. h1225.</t>
  </si>
  <si>
    <t>Withdrawals 1.2 [0.9 - 1.5]; Total Aes 1.0 [0.9 - 1.1]; Serious Aes 1.2 [0.7 - 2.1]; Abnormal liver function 3.8 [1.9 -7.4]. P.72/73 of technical document</t>
  </si>
  <si>
    <t>withdrawals +13/1000; total aes -/1000; serious aes +2/1000; abnormal liver function +51/1000</t>
  </si>
  <si>
    <t>-0.15 [-1.11, 0.8]</t>
  </si>
  <si>
    <t>-0.14 [-0.94, 0.64]</t>
  </si>
  <si>
    <t>See ES calculator for details. The estimate by the network MA SR by da costa (2017) is probably more accurate: PAIN -0.16 [-0.27, -0.06]; FUNCTION -0.14, [-0.25,-0.04]</t>
  </si>
  <si>
    <t>Oral non-steroidal anti-inflammatory drugs (NSAIDs) including COX-2 inhibitors - knee</t>
  </si>
  <si>
    <t>$2.30-$58.65</t>
  </si>
  <si>
    <t>$2.30-$58.65/30d (Celecoxib 200mg/day - Etoricoxib (Arcoxia) 60mg/day)</t>
  </si>
  <si>
    <t>Celecoxib is based on most efficacous dosage which is recommended by the NZ Formulary. It is subsidised by PHARMAC. Etorocoxib is not subsidised and the dosage is based on NZ Formulary recommendations.</t>
  </si>
  <si>
    <t xml:space="preserve">1. Pharmac Schedule http://www.pharmac.govt.nz/2018/01/01/Schedule.pdf#page=121
*Celecoxib  $2.30/30x200mg cap, fully subsidised (Celecoxib Pfizer) - the most widely investigated drug in da Costa et al 2017 and also more effective than 100 or 400mg/day
2. Celecoxib $3.63/60x100mg cap, fully subsidised (Celexocib Pfizer)
3. Meloxicam $11.50/30x7.5mg, fully subsidised (Arrow-Meloxicam)
NZ Formulary recommends Celexocib 200mg per day: http://www.nzf.org.nz/nzf_5498
For ARCOXIA/ETEROCOXIB:
1. 30x60mg, $60.00: http://onlinechemist.co.nz/shop/PRESCRIPTIONS/Arcoxia/Arcoxia+90mg+30s.html
2. 30x60mg, $57.30 (2015 price): http://www.pharmacydirect.co.nz/images/textarea_images/Pharmacy%20Direct%20NSS%20Pricelist%20-%20MARCH%202015.pdf
3. NZ Formulary recommends 30 or 60mg once daily. Da Costa's systematic review suggests 60mg is the most efficacious dose. Not subsidised by PHARMAC.
For other drugs such as Etoricoxib (Arcoxia) the cost can rise to $58.65/month. See tab "Version 6" for a list of NSAIDs drug costs for: Diclofenac, celecoxib, etoricoxib...
Additional Refs
2. Wielage, R. C., et al. (2013). "The Cost-Effectiveness of Duloxetine in Chronic Low Back Pain: A US Private Payer Perspective." Value in Health 16(2): 334-344.
3. Annual cost of Celecoxib is $3,700 according to Katz, J. N., et al. (2016). "Cost-effectiveness of nonsteroidal anti-inflammatory drugs and opioids in the treatment of knee osteoarthritis in older patients with multiple comorbidities." Osteoarthritis and Cartilage 24(3): 409-418.
4. Wielage, R. C., et al. (2014). "Cost effectiveness of duloxetine for osteoarthritis: a Quebec societal perspective." Arthritis Care Res (Hoboken) 66(5): 702-708. 3month cost is $126.04 for 200mg.
</t>
  </si>
  <si>
    <t>12-24hrs: Assumption based on optimal or NZ Formulary recommended initial dosing schedule.
Applies to diclofenac, celecoxib, etoricoxib and non-selective NSAIDs. Etoricoxib is recommended adult 30-60mg once daily.</t>
  </si>
  <si>
    <t>⚠⚠⚠</t>
  </si>
  <si>
    <t xml:space="preserve">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Up to 40% experience upper GI problems - from: Sostres, C., C.J. Gargallo, and A. Lanas, Nonsteroidal anti-inflammatory drugs and upper and lower gastrointestinal mucosal damage. Arthritis research &amp; therapy, 2013. 15 Suppl 3: p. S3. which references this article: Larkai EN, Smith JL, Lidsky MD, Graham DY: Gastroduodenal mucosa and dyspeptic symptoms in arthritic patients during chronic steroidal antiinflammatory drug use. Am J Gastroenterol 1987, 82:1153-1158. Sostres also states that 1-2% of users experience serious adverse effects, although I'm not sure if it relates only to non-specific NSAIDs or also includes COX-2 inhibitors, or where Sostres found this estimate.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
</t>
  </si>
  <si>
    <t>Withdrawals 1.01 [0.85-1.21]; Total Aes 1.07 [1.01 - 1.13]; serious Aes 0.85 [0.56-1.29]; Gastrointestinal events 1.26 [1.13-1.40]</t>
  </si>
  <si>
    <t>withdrawals +1/1000; total aes +34/1000; serious aes -2/1000; gastro events +36/1000</t>
  </si>
  <si>
    <t>-0.26 [-0.31, -0.22]</t>
  </si>
  <si>
    <t>-0.31 [-0.36, -0.26]</t>
  </si>
  <si>
    <t>Oral non-steroidal anti-inflammatory drugs (NSAIDs) including COX-2 inhibitors - hip</t>
  </si>
  <si>
    <t>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t>
  </si>
  <si>
    <t>Withdrawals 1.53 [1.05-2.22]; total aes 1.15 [1.05-1.26]; serious aes 0.92 [0.38-2.25]; gastrointestinal events 1.24 [0.74-2.07]</t>
  </si>
  <si>
    <t>withdrawals +26/1000; total aes +67/1000; serious aes -2/1000; gastro events +25/1000</t>
  </si>
  <si>
    <t>-0.32 [-0.42, -0.21]</t>
  </si>
  <si>
    <t>-0.37 [-0.50, -0.24]</t>
  </si>
  <si>
    <t>Oral opioids - knee</t>
  </si>
  <si>
    <t>strong against</t>
  </si>
  <si>
    <t>$8.55/30d</t>
  </si>
  <si>
    <t>Based on morhpine sulfate long acting tablet (recommended NZ formulary max 20mg per 12 hours)</t>
  </si>
  <si>
    <t xml:space="preserve">1. Phamac Schedule: http://www.pharmac.govt.nz/2018/01/01/Schedule.pdf#page=121
*Tab long-acting 60mg $5.60 per 10, fully subsidised (Arrow-Morphine lA).
In a SR by da costa (2014) the median daily dose of opioids across 22 trials of weak opioids was 59mg morphine equivalents (range 13-160) (p.11)
For Chronic pain NZ Formulary recommends oral, modified 12-hourly preparations 10-20mg every 12 hours or, if immediate release, 5-10mg every 4 hours: http://www.nzf.org.nz/nzf_2515
Calculating monthly usage with long-acting 30mg $2.80/10 (tab, arrow-morphine LA, fully subsidised). Per month calculation = $2.80x3 (for 30 tablets, 1 tablet per day (30mg/24hrs)) = $8.40/30d.
Tramadol $2.75/20x200mg, fully sbsidised (Tramal SR 200) 
Tramadol $2.25/100x50mg cap, fully subsidised (Arrow-Tramadol) 
Paracetamol with codeine $18.21/1000x500mg with codein 8mg, fully subsidised (Paracetamol + Codeine (Relieve))
Oxycodone Controlled-resease $14.11/20x80mg, fully subsidised (BNM)
Oxycodone Controlled-resease $2.64/20x5mg, fully subsidised (BNM)
Oxycodone inj $51.00/50mg per ml, 1 ml ampoulex5, fully subsidised (OxyNorm)
Oxycodone inj $8.57/10mg per ml, 1 ml ampoulex5, fully subsidised (OxyNorm)
Codeine Phosphase $13.50/100x60mg tab, fully subsidised (PSM)
Codeine Phosphase $5.75/100x15mg tab, fully subsidised (PSM)
Fentanyl Patch 12.5mcg per ml, 2ml ampoule $3.95x10, fully subsidised (Boucher and Muir)
Fentanyl Patch 12.5mcg per ml, 10ml ampoule $10.45x10, fully subsidised (Boucher and Muir)
Patch 100 mcg per hour $11.40x5, fully subsidised (Fentanyl Sandoz)
Patch 12.5 mcg per hour $2.95x5, fully subsidised (Fentanyl Sandoz)
Additional Refs:
2. Medium: Wielage, R. C., et al. (2013). "The Cost-Effectiveness of Duloxetine in Chronic Low Back Pain: A US Private Payer Perspective." Value in Health 16(2): 334-344.
3. Low: Katz, J. N., et al. (2016). "Cost-effectiveness of nonsteroidal anti-inflammatory drugs and opioids in the treatment of knee osteoarthritis in older patients with multiple comorbidities." Osteoarthritis and Cartilage 24(3): 409-418.
Medium: Wielage, R. C., et al. (2014). "Cost effectiveness of duloxetine for osteoarthritis: a Quebec societal perspective." Arthritis Care Res (Hoboken) 66(5): 702-708.
da Costa 2014 Cochrane SR: Opiods were administered at a median daily dose of 59mg morphine equivalents (range 13-160mg)
</t>
  </si>
  <si>
    <t>4-12hrs.For Chronic pain NZ Formulary recommends oral, modified 12-hourly preparations 10-20mg every 12 hours or, if immediate release, 5-10mg every 4 hours</t>
  </si>
  <si>
    <r>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t>
    </r>
    <r>
      <rPr>
        <b/>
        <sz val="10"/>
        <color theme="1"/>
        <rFont val="Segoe UI Symbol"/>
        <family val="2"/>
      </rPr>
      <t xml:space="preserve"> 1 in 550 patients (0.18%)</t>
    </r>
  </si>
  <si>
    <t>Withdrawal &gt;= 5d after last medication intake 1.00 [0.37 - 2.67]; Withdrawals due to Aes 3.31 [2.19-5.02]; total Aes 1.33 [1.25 - 1.42]; Serious Aes 1.30 [0.65-2.60]; gastrointestinal events 2.67 [2.07-3.45]</t>
  </si>
  <si>
    <t>%withdrawal 5d after last med intake 0/1000; withdrawal due to aes +185/1000; total aes +180/1000; serious aes +5/1000; gastro events +438/1000</t>
  </si>
  <si>
    <t>-0.21 [-0.35, -0.07]</t>
  </si>
  <si>
    <t>0 [-2.12, 2.1]</t>
  </si>
  <si>
    <t>Oral opioids - hip</t>
  </si>
  <si>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 1 in 550 patients (0.18%)</t>
  </si>
  <si>
    <t>% experiencing withdrawal RR 5.06 [0.6-42.85]; withdrawals due to Aes 2.63 [1.47-4.72]; Serious Aes 1.57 [0.83-2.97]; gastro events 2.87 [1.80-4.57]</t>
  </si>
  <si>
    <t>% experiencing opioid withdrawal +23/1000; withdrawals +163/1000; total aes +249/1000; serious aes +11/1000; gastro events +437/1000</t>
  </si>
  <si>
    <t>-0.28 [-0.34, -0.21]</t>
  </si>
  <si>
    <t>-0.02 [-0.82, 0.77]</t>
  </si>
  <si>
    <t>Topical NSAIDs - knee (same for hip)</t>
  </si>
  <si>
    <t>N</t>
  </si>
  <si>
    <t>$27.93/100g (average of items 1-3)</t>
  </si>
  <si>
    <t xml:space="preserve">NZ Formulary recommends to apply a small amount to the affected area(s) 3–4 times daily; review use after 2 weeks (4 weeks for osteoarthritis): http://www.nzf.org.nz/nzf_10071 </t>
  </si>
  <si>
    <t xml:space="preserve">1. Voltaren $25.90 100g http://www.pharmacydirect.co.nz/Anti-Inflammatory-Topical-Rubs-Creams/
2.  Voltaren $27.90 100g https://www.netpharmacy.co.nz/products/voltaren-emulgel?variant=46902987014
3. Voltaren $29.99 100g https://www.lifepharmacy.co.nz/search/?q=voltarenhttps://www.lifepharmacy.co.nz/search/?q=voltaren
NZ Formulary recommends to apply a small amount to the affected area(s) 3–4 times daily; review use after 4 weeks for osteoarthritis: http://www.nzf.org.nz/nzf_10071 </t>
  </si>
  <si>
    <t>6-8hrs: NZ Formulary recommends 3-4 applications per day.</t>
  </si>
  <si>
    <t>Usually, adverse events from topical NSAIDs agents are minimal, but there is mild toxicity due to local skin reactions.</t>
  </si>
  <si>
    <t>withdrawals 1.36 [1.02 - 1.82]; total adverse events 1.07 [0.98 - 1.16]; serious Aes 1.089 [0.26 - 4.47]; gastrointestinal events .94 [0.70-1.25]; local reactions 1.32 [1.04-1.67]. P.79 of technical document.</t>
  </si>
  <si>
    <t>withdrawals +16/1000; total aes +34/1000; serious aes +1/1000; gastro evens -3/1000; local reactions +39/1000</t>
  </si>
  <si>
    <t>-0.2 [-0.29, -0.11]</t>
  </si>
  <si>
    <t>-0.19 [-0.28, -0.10]</t>
  </si>
  <si>
    <t>Topical NSAIDs - hip (same for knee)</t>
  </si>
  <si>
    <t>Patch 100 mcg per hour $11.40x5, fully subsidised (Fentanyl Sandoz) is the equivalent for oral morphine &lt;60mg/ 24hrs.  http://www.nzf.org.nz/nzf_155?searchterm=Fentanyl%20patch
Patch duration = 72hrs.</t>
  </si>
  <si>
    <t>1 patch lasts 72hrs. Therefore need ten patches per 30d, which = 2*($11.40x5)= $22.80/ 30d. Pharmac subsidised.</t>
  </si>
  <si>
    <t>Patches last 3-7 days before needing replacement according to NZ formulary.</t>
  </si>
  <si>
    <t>Comparing with oral opioid, transdermal patches increased drug bioavailability which enable the use of lower drug doses, thus reducing the incidence of adverse events. However, from the evidence, the risk of adverse effects both significantly increased after administrated with opioid regardless the delivery methods. Other potential risks, such as deliberate misuse, are also not different from oral opioid. SAE level informed by p.260 of technical document.</t>
  </si>
  <si>
    <t>$41.33AUD/ 30d with PPP of 1.52 for AUD$ 2017 and PPP of 1.48 NZ$ 2017 = $42.98</t>
  </si>
  <si>
    <t xml:space="preserve">NZ formulary for buprenorphine (Norspan): Transdermal Adult initially apply one 5 micrograms/hour patch (supplement with short-acting analgesia until adequate effect) replaced weekly, increase as required at intervals of 3 days or more; maximum 2 patches applied at same time. Norspan is not subsidised by PHARMAC.
</t>
  </si>
  <si>
    <t xml:space="preserve">1. $19.30AUD x2 patches https://www.chemistwarehouse.com.au/Buy/50558/Norspan-5mcg-Patches-2 
2. $19.39x2 AUD patches http://www.epharmacy.com.au/product.asp?id=50558
3. $23.39x2 AUD patches http://www.mychemist.com.au/product.asp?id=65689
1 patch lasts 1 week. Therefore monthly cost = 19.30@2= $41.33.
</t>
  </si>
  <si>
    <t>withdrawals 3.10 [1.38-6.94]; total Aes 1.25 [1.09-1.42]</t>
  </si>
  <si>
    <t>withdrawals +151/1000; total aes +184/1000</t>
  </si>
  <si>
    <t>-0.19 [-0.3, -0.09]</t>
  </si>
  <si>
    <t>-0.23 [-0.4, -0.05]</t>
  </si>
  <si>
    <t>$22.80/ 30d</t>
  </si>
  <si>
    <t>Withdrawals 2.63 [1.64-4.23]; total Aes 1.55 [1.33-1.81]; Serious Aes 2.78 [0.57-13.6]</t>
  </si>
  <si>
    <t>wtihdrawals +165/1000; total aes +278/1000; serious aes +18/1000</t>
  </si>
  <si>
    <t>-0.22 [-0.42, -0.03]</t>
  </si>
  <si>
    <t>-0.28 [-0.48, -0.09]</t>
  </si>
  <si>
    <t xml:space="preserve">Topical capsaicin - knee </t>
  </si>
  <si>
    <t>$9.95/45g</t>
  </si>
  <si>
    <t>NZ Formulary recommends for adults to  apply a pea-sized amount to the affected area 4 times daily (not more often than every 4 hours); it may need to be used for 1–2 weeks before pain is relieved http://www.nzf.org.nz/nzf_5765</t>
  </si>
  <si>
    <t xml:space="preserve">Pharmac schedule: http://www.pharmac.govt.nz/Schedule?osq=capsaicin
$9.95/45g 0.025%, fully subsidised, Zostrix. </t>
  </si>
  <si>
    <t>4hrs: NZ Formulary recommends for adults to  apply a pea-sized amount to the affected area 4 times daily (not more often than every 4 hours)</t>
  </si>
  <si>
    <t>Mild application site burning was the most comment adverse event associated with topical use of capsaicin, being more common in patients using capsaicin (35 – 100 %), and causally associated with capsaicin use, but rapidly ameliorates with continuing use 94. There have been no reports of systemic toxicity with the use of topical capsaicin in OA. A high level of mild/moderate harm was chosen based on the average of 35-100% (mild application site burning).</t>
  </si>
  <si>
    <t>Withdrawals not available; burning sensation 4.12 [3.3-5.15]</t>
  </si>
  <si>
    <t>withdrawals not estimable; burning sensation +609/1000</t>
  </si>
  <si>
    <t>0.16 [-0.15, 0.48]</t>
  </si>
  <si>
    <t>-0.5 [-3.12, 2.11]</t>
  </si>
  <si>
    <t>See ES Calculator for details. Note function ES refers to 'TOTAL WOMAC score'</t>
  </si>
  <si>
    <t>Topical capsaicin - hip</t>
  </si>
  <si>
    <r>
      <t xml:space="preserve">Duloxetine - knee </t>
    </r>
    <r>
      <rPr>
        <sz val="10"/>
        <color rgb="FFFF0000"/>
        <rFont val="Segoe UI Symbol"/>
        <family val="2"/>
      </rPr>
      <t>(not available in NZ)</t>
    </r>
  </si>
  <si>
    <t>$132.56-$165/30d (NZ$2015)</t>
  </si>
  <si>
    <t>(assuming 1 tablet/day using NZ 2015 prices)</t>
  </si>
  <si>
    <t>1. 2015 prices for 60mgx28 = $150 (154.64 NZ2017) or 30mg x 28 = $120  (NZ2017 123.72) http://www.pharmacydirect.co.nz/images/textarea_images/Pharmacy%20Direct%20NSS%20Pricelist%20-%20MARCH%202015.pdf
2. $489.19 Cymbalta 20mgx 360 ($1.36/pill) or x30 ($2.58/pill= $77.46); cymbalta 40mgx180 = $479.15; or 30x40mg = $137.71: http://www.schickersunichem.co.nz/buy-cymbalta-in-nz.html
PPP $AUD 2015= 1.47, $NZD 2015= 1.46. therefore 
Other ref: Table 1 Wielage, R. C., et al. (2014). "Cost effectiveness of duloxetine for osteoarthritis: a Quebec societal perspective." Arthritis Care Res (Hoboken) 66(5): 702-708. 60-120mg @ US$576.41 initial 3-month drug cost (subsequent cost $590.23)
NZ Formulary does not have recommendations for treating OA with Duloxetine.</t>
  </si>
  <si>
    <t>Based on the dosing schedule analysed in the SR by Wang et al (2015) of 1 tablet/day. Not included in the NZ Formulary.
Wang, Z.Y., et al., assessed 60/120mg duloxetine daily for 10-13 weeks of treatment: Efficacy and Safety of Duloxetine on Osteoarthritis Knee Pain: A Meta-Analysis of Randomized Controlled Trials. Pain Medicine, 2015. 16(7): p. 1373-1385 measured after 10-13 weeks of treatment.</t>
  </si>
  <si>
    <t>Among the patients in the three included RCTs, treatment with duloxetine was well tolerated, with the majority of adverse events being of mild or moderate intensity, for example, constipation, nausea, hyperhidrosis, cough, myalgia, arthralgia and palpitations.</t>
  </si>
  <si>
    <t>withdrawals 2.42 [1.46-4.03]; treatment related Aes 1.55 [1.15-2.09]; serious adverse events 1.04 [0.25-4.33]</t>
  </si>
  <si>
    <r>
      <t xml:space="preserve">withdrawals +72/1000; </t>
    </r>
    <r>
      <rPr>
        <b/>
        <sz val="10"/>
        <color theme="1"/>
        <rFont val="Segoe UI Symbol"/>
        <family val="2"/>
      </rPr>
      <t>treatment related</t>
    </r>
    <r>
      <rPr>
        <sz val="10"/>
        <color theme="1"/>
        <rFont val="Segoe UI Symbol"/>
        <family val="2"/>
      </rPr>
      <t xml:space="preserve"> Aes +180/1000; serious aes 0/1000.</t>
    </r>
  </si>
  <si>
    <t>-0.43 [-0.58, -0.29]</t>
  </si>
  <si>
    <t>-0.45 [-0.81, -0.08]</t>
  </si>
  <si>
    <r>
      <t>Duloxetine - hip</t>
    </r>
    <r>
      <rPr>
        <sz val="10"/>
        <color rgb="FFFF0000"/>
        <rFont val="Segoe UI Symbol"/>
        <family val="2"/>
      </rPr>
      <t xml:space="preserve"> (not avaialable in NZ)</t>
    </r>
  </si>
  <si>
    <r>
      <t xml:space="preserve">Strontium ranelate - same for knee and hip; </t>
    </r>
    <r>
      <rPr>
        <sz val="10"/>
        <color rgb="FFFF0000"/>
        <rFont val="Segoe UI Symbol"/>
        <family val="2"/>
      </rPr>
      <t>only indicated for osteoporosis in the NZ formulary</t>
    </r>
    <r>
      <rPr>
        <sz val="10"/>
        <color theme="1"/>
        <rFont val="Segoe UI Symbol"/>
        <family val="2"/>
      </rPr>
      <t>)</t>
    </r>
  </si>
  <si>
    <t xml:space="preserve">$$ </t>
  </si>
  <si>
    <t>Cannot find NZ cost. Not in Pharmac schedule. Not indicated for OA in the NZ formulary. Not listed in the NZ Universal List of Medicines.</t>
  </si>
  <si>
    <t>NZ Formulary only for severe osteoporisis http://www.nzf.org.nz/nzf_4041: Severe osteoporosis in postmenopausal women or men at high risk of fracture when other treatments are contra-indicated or not tolerated: Adult 2 g dissolved in at least 30 mL water daily, preferably at bedtime. Drug not subsidised by PHARMAC.</t>
  </si>
  <si>
    <t xml:space="preserve">Not included in the NZ formulary for OA. For the treatment of severe osteoporosis in postmenopausal women or men at high risk of fracture (last-resort treatment), strontium ralenate dosage is Adult 2 g dissolved in at least 30 mL water daily, preferably at bedtime. Assumed 1 tablet per day based on the dosage for high risk of fracture.
Still a relatively new drug for treatment of OA; Reginster, J.-Y., et al., Efficacy and safety of strontium ranelate in the treatment of knee osteoarthritis: results of a double-blind, randomised placebo-controlled trial. Annals of the Rheumatic Diseases, 2013. 72(2): p. 179.
</t>
  </si>
  <si>
    <t>As strontium ranelate is not accessible for people in Australia, the Working Group considered this treatment as unfeasible for use.</t>
  </si>
  <si>
    <t>Strontium ranelate was well tolerated for the treatment of OA in a study duration over 3 years. Despite its listed side effects such as myocardial infarction, venous thromboembolism events, pulmonary embolism, and hypersensitivity reaction in the approved product information, the European Medicines Agency recommended in 2014 that strontium ranelate remains available for patients with osteoporosis with restrictions relative to patients with existing heart disease.99 As strontium ranelate would be used as a daily treatment for OA and its effects could be relatively slow, the potential harm caused by its side effects if a concern.
⚠ 2% gastro events
⚠⚠⚠ 0.40% venous embolism</t>
  </si>
  <si>
    <t>Withdrawals 0.83 [0.52-1.33]; gastrointestinal 1.31 [0.97-1.77]; skin and subcutaneous disorders 1.10 [0.65-1.85]; venous thromboembolsim 2.25 [0.49-10.38]</t>
  </si>
  <si>
    <t>withdrawals -8/1000; gastrointestinal +29/1000; skin +4/1000; venous thromboembolism +4/1000</t>
  </si>
  <si>
    <t>-0.09 [-1.23, 1.04]</t>
  </si>
  <si>
    <t>-0.08 [-1.25, 1.08]</t>
  </si>
  <si>
    <t>See ES Calculator for details.</t>
  </si>
  <si>
    <r>
      <t xml:space="preserve">Fibroblast growth factor (FGF) – same for knee and hip, e.g. Sprifemin: </t>
    </r>
    <r>
      <rPr>
        <sz val="10"/>
        <color rgb="FFFF0000"/>
        <rFont val="Segoe UI Symbol"/>
        <family val="2"/>
      </rPr>
      <t>not avaliable in NZ</t>
    </r>
  </si>
  <si>
    <t>Not available in NZ; only available in phase II trials.
Did not find anything on NZ formulary or pharmac schedule for Sprifemin; currently only available in phase II trials in Australia (RACGP).
As per our systematic approach for interventions not available in NZ, the cost has been set to medium.</t>
  </si>
  <si>
    <t>RACGP guideline states that this drug is only available in phase II trials; it is not recommended due to dose-dependent reductions in cartilage thickness and lateral joint space widening.</t>
  </si>
  <si>
    <t>Currently, sprifermin is expensive and mainly available in phase II trials.</t>
  </si>
  <si>
    <t>According to the findings from two recent trials, the overall proportion of patients experiencing at least one treatment emergent adverse event (TEAE) was not increased in the sprifermin group versus placebo (Technical document, Appendix 5, p120,233). Incidence, severity, and nature of reported TEAEs raised no local or systemic safety concerns for doses up to 300 μg.
⚠ 6.7% treatment-emergent AEs</t>
  </si>
  <si>
    <t>Withdrawals 1.00 [0.11-9.39]; treatment emergent Aes 0.94 [0.48-1.82]; Serious Aes 0.33 [0.11-1.00]; Local treatment emergent Aes 1.37 [0.78-2.41]</t>
  </si>
  <si>
    <t>Withdrawals 0/1000; treatment emergent adverse events -38/1000; serious Aes -186/1000; Local treatment emergent Aes +67/1000</t>
  </si>
  <si>
    <t>0.72 [0.26, 1.17]</t>
  </si>
  <si>
    <t>0.3 [-1.83, 2.43]</t>
  </si>
  <si>
    <t>Doxycycline - knee</t>
  </si>
  <si>
    <t xml:space="preserve">$2.02/30d </t>
  </si>
  <si>
    <t>Estimate based on NZ Formulary dosage of 100mg daily:  Adult 200 mg on first day, then 100 mg daily; severe infections (including refractory urinary-tract infections), 200 mg daily</t>
  </si>
  <si>
    <t xml:space="preserve">Pharmac schedule http://www.pharmac.govt.nz/Schedule?osq=doxycycline
1. $6.75/250x100mg, fully subsidised= $0.0675 per 100mg tablet
</t>
  </si>
  <si>
    <t>12 hrs: The da Costa review identified 2 RCTs which used a dose regimen of two times 100mg per day doxycycline.</t>
  </si>
  <si>
    <t>Y - checked SAEs - none related to drug Tx (tech doc p 263)</t>
  </si>
  <si>
    <t>Adverse events that occurred significantly more frequently in the doxycycline group than in the placebo group were restricted to recognised side effects of doxycycline (i.e., monilial vaginitis, sun sensitivity, nonspecific gastrointestinal symptoms). However, only a small proportion of subjects reporting doxycycline-related side effects discontinued the study medication prematurely. Subjects in the active treatment group reported fewer urinary tract infections, and there was a trend toward fewer upper respiratory tract infections in the doxycycline group than in the placebo group.
⚠ &lt;20% , see p.3 of da Costa, B.R., et al., Doxycycline for osteoarthritis of the knee or hip. Cochrane Database of Systematic Reviews, 2012(11).)</t>
  </si>
  <si>
    <t>withdrawals 2.28 [1.06-4.90]; total aes 1.36 [1.08 - 1.72]; serious Aes 1.07 [0.68-1.68]</t>
  </si>
  <si>
    <t>withdrawals +105/1000; total adverse events +171/1000; serious aes +7/1000.</t>
  </si>
  <si>
    <t>-0.05 [-0.22, +0.13]</t>
  </si>
  <si>
    <t>-0.07 [-0.25, +0.10]</t>
  </si>
  <si>
    <t>Doxcycline - hip</t>
  </si>
  <si>
    <t>Assumed the same as hip</t>
  </si>
  <si>
    <t>Biphosphonates - knee</t>
  </si>
  <si>
    <t>$45.60/30d</t>
  </si>
  <si>
    <t xml:space="preserve">Risedronate sodium was used to estimate the cost (PAHRMAC fully subsidised). The NZ formulary recommends 35mg once weekly for treatment of osteoporosis; treatment of postmenopausal osteoporosis; prevention of glucocorticoid-induced osteoporosis.
</t>
  </si>
  <si>
    <t>NZ formulary http://www.nzf.org.nz/nzf_4030</t>
  </si>
  <si>
    <t>1x per week. Not indicated in the NZ formulary for OA. For the treatment of osteoporosis, Risdronate dose is recommended for adults over 18 years 35 mg once weekly.</t>
  </si>
  <si>
    <t>Y - saes correct. Oral biphosphonates incur a risk of &lt;25% gastro events resulting in discontinuation of the treatment. 
Reid, I. R. (2011). "Bisphosphonates in the treatment of osteoporosis: a review of their contribution and controversies." Skeletal Radiol 40(9): 1191-1196.</t>
  </si>
  <si>
    <t>Bisphosphonates come with significant side effect profiles and restrictions on some day to day activities such as dental procedures. Treatment with these drugs should be reserved for patients who meet the PBS guidelines for treatment of their osteoporosis but not for the management of OA. 
The jury is still out about the serious SEs associated with biphosphonate use. GI events are &lt;20% Reyes, C., et al. (2016). "Risks and Benefits of Bisphosphonate Therapies." J Cell Biochem 117(1): 20-28.
This SR provides a good overview of the risks associated with biphosphonate use: Eriksen, E.F., A. Díez-Pérez, and S. Boonen, Update on long-term treatment with bisphosphonates for postmenopausal osteoporosis: A systematic review. Bone, 2014. 58: p. 126-135.
"Depending on the severity of osteoporosis, between 9 and 60 patients need to be treated for 3 years to prevent one vertebral fracture (Table 1); between 20 and 68 patients need to be treated for 3 years to avoid one nonvertebral fracture. Even discounting the increased risk of fracture with advancing age, the number needed to treat for 8 years would be between 3 and 23 to prevent a vertebral fracture, and between 7 and 26 for nonvertebral fracture. Based on the range of risk estimates for osteonecrosis of the jaw, one case would occur for every 1000 to 100,000 patients treated. Using the data from California,47 one atypical femoral fracture would occur in 1282 patients treated for 8 years (0.08%). Based on the Swedish data,40 8 years of therapy would result in one atypical femoral fracture for every 149 patients treated (8.4 cases/10,000 patient-years)" in McClung, M., et al. (2013). "Bisphosphonate therapy for osteoporosis: benefits, risks, and drug holiday." Am J Med 126(1): 13-20.
Similar reports of harms in : Khosla, S., et al. (2012). "Benefits and risks of bisphosphonate therapy for osteoporosis." J Clin Endocrinol Metab 97(7): 2272-2282.</t>
  </si>
  <si>
    <t>withdrawals due to Aes 0.88 [0.70 - 1.12]; total Aes 1.10 [0.80-1.51]; serious Aes 1.83 [0.38-8.75]; gastrointestinal adverse events 1.07 [0.93-1.24]</t>
  </si>
  <si>
    <t>withdrawals due to Aes -13/1000; total aes +71/1000; serious aes +15/1000; gastro events +12/1000</t>
  </si>
  <si>
    <t>-0.16 [-0.34, +0.02]</t>
  </si>
  <si>
    <t>-0.02 [-0.10, +0.07]</t>
  </si>
  <si>
    <t>Biphosphonates - hip</t>
  </si>
  <si>
    <t>See hip</t>
  </si>
  <si>
    <t>Y - saes correct</t>
  </si>
  <si>
    <t>withdrawals 1.03 [0.10-10.57]</t>
  </si>
  <si>
    <t>withdrawals due to Aes +2/1000;</t>
  </si>
  <si>
    <t>-0.57 [-1.49, 0.34]</t>
  </si>
  <si>
    <t xml:space="preserve">Not reported but assumed the same as knee. The RACGP CPG state, "There is one very low quality trial conducted in 42 patients with hip OA, demonstrating no effects over 24 months (Technical document, Appendix 5, p108)."
This systematic review conducted in 2013 only detected 1 study of hips and biphosphonates: Davis, A. J., et al. (2013). "Are bisphosphonates effective in the treatment of osteoarthritis pain? A meta-analysis and systematic review." PLoS One 8(9): e72714. Their conclusion was that biphosphonates were not useful in the treatment of pain.
</t>
  </si>
  <si>
    <t>See ES Calculator for details. (12 month outcomes used for ES)</t>
  </si>
  <si>
    <t>Calcitonin - same for knee and hip</t>
  </si>
  <si>
    <t>$121 per 5 100 units. Therefore 4 weeks worth of 50 unit injections = ten doses per 5 units, so 121*3 = monthly cost.</t>
  </si>
  <si>
    <t>Unapproved NZ formulary recommendation is as follows: Prevention of acute bone loss due to sudden immobility [unapproved indication] - Subcutaneous or intramuscular injection: Adult 100 units daily in 1–2 divided doses, reduced to 50 units daily at start of mobilisation; duration of treatment 2 weeks, maximum 4 weeks. 
The drug is still in phase III trials for management of OA.</t>
  </si>
  <si>
    <t>Calcitonin Inj 100iu per ml, 1 ml ampoule =  $121.00 per 5. NZ fully subsidised pharmac schedule: http://www.pharmac.govt.nz/Schedule?osq=calci</t>
  </si>
  <si>
    <t>Assumed short given that the drug needs to be administered every 24hrs.</t>
  </si>
  <si>
    <t>Y - SAEs reported not related to the Tx.</t>
  </si>
  <si>
    <t>There were markedly higher incidences of gastrointestinal disorders and hot flushes in the active treatment arms of included studies. No other adverse events were markedly different between the two groups in either study.</t>
  </si>
  <si>
    <t>Withdrawals 2.68 [2.07-3.47]; total adverse events 1.03 [0.98-1.09]; serious adverse events 1.59 [0.75-3.40]; gastrointestinal events 1.55 [1.20-2.00]; hot flush 4.11 p3.02-5.59]</t>
  </si>
  <si>
    <r>
      <t xml:space="preserve">withdrawals +107/1000; total Aes +27/1000; Serious Aes +6/1000; Gastro </t>
    </r>
    <r>
      <rPr>
        <b/>
        <sz val="10"/>
        <color theme="1"/>
        <rFont val="Segoe UI Symbol"/>
        <family val="2"/>
      </rPr>
      <t>+150/1000; hot flush +132/1000</t>
    </r>
  </si>
  <si>
    <t>-0.09 [-3.59, 3.41]</t>
  </si>
  <si>
    <t>-0.04 [-19.14, 19.04]</t>
  </si>
  <si>
    <r>
      <t>Interleukin-1 (IL-1) inhibitors - same for knee and hip. E.g. anakinra (</t>
    </r>
    <r>
      <rPr>
        <sz val="10"/>
        <color rgb="FFFF0000"/>
        <rFont val="Segoe UI Symbol"/>
        <family val="2"/>
      </rPr>
      <t>unapproved in NZ</t>
    </r>
    <r>
      <rPr>
        <sz val="10"/>
        <color theme="1"/>
        <rFont val="Segoe UI Symbol"/>
        <family val="2"/>
      </rPr>
      <t xml:space="preserve">), rilonacept </t>
    </r>
    <r>
      <rPr>
        <sz val="10"/>
        <color rgb="FFFF0000"/>
        <rFont val="Segoe UI Symbol"/>
        <family val="2"/>
      </rPr>
      <t>(not listed in NZ Formulary)</t>
    </r>
    <r>
      <rPr>
        <sz val="10"/>
        <color theme="1"/>
        <rFont val="Segoe UI Symbol"/>
        <family val="2"/>
      </rPr>
      <t xml:space="preserve">, canakinumab </t>
    </r>
    <r>
      <rPr>
        <sz val="10"/>
        <color rgb="FFFF0000"/>
        <rFont val="Segoe UI Symbol"/>
        <family val="2"/>
      </rPr>
      <t>(not listed in NZ Formulary)</t>
    </r>
    <r>
      <rPr>
        <sz val="10"/>
        <color theme="1"/>
        <rFont val="Segoe UI Symbol"/>
        <family val="2"/>
      </rPr>
      <t>.</t>
    </r>
  </si>
  <si>
    <t>$$$</t>
  </si>
  <si>
    <t>Not covered by pharmac. Anakinra (kineret) is an IL-1 drug that is mentioned in the NZ formulary. However, it is not covered by PHARMAC. 100mg per day is recommended. According to a document published by a Dr in Timaru hospital in 2013, Kineret costs about $15000 annually. See: https://www.healthinfo.org.nz/patientinfo/Drug%20Therapy%20for%20Rheumatoid%20Arthritis.pdf  .Inflation to 2017 = 4.4% NZ$2017 15,660</t>
  </si>
  <si>
    <t>Dosing regimen for rheumatoid arthritis, in combination with methotrexate: Subcutaneous injection: Adult 100 mg once daily. Not listed for managing osteoarthritis. Px medicine only.</t>
  </si>
  <si>
    <t xml:space="preserve"> anakinra (unapproved in NZ) is listed under section 29 of the NZ Formulary http://www.nzf.org.nz/nzf_5648</t>
  </si>
  <si>
    <t>This SR suggests it's not effective for hand OA (of less inflammatory nature) in two double blind studies: Dimitroulas, T., et al., Biologic drugs as analgesics for the management of osteoarthritis. Seminars in Arthritis and Rheumatism, 2017. 46(6): p. 687-691.</t>
  </si>
  <si>
    <t>As IL-1 inhibitors require an authority prescription which cannot be prescribed by a GP, GPs need to work with specialists to get access to these agents. The Working Group discussed the limitations in current efficacy and safety, access and costs and considered it was not a feasible nor cost-effective treatment.</t>
  </si>
  <si>
    <t>The percentage of patients reporting adverse events (AEs) was similar between the placebo group and the anakinra groups (Technical document, Appendix 5, p115,228). The most common AE was arthralgia (10%), with similar rates between the anakinra 150 mg group and the placebo group but a lower rate for the anakinra 50 mg group (3%). Headache (10% versus 1%), upper respiratory tract infection (8% versus 1%), back pain (8% versus 3%), and extremity pain (6% versus 0%) occurred more often in the anakinra 150 mg group than in the placebo group. Infections were reported in 10% of patients, more frequently for the anakinra 150 mg group compared with the anakinra 50 mg or the placebo group.
[serious adverse events less likely in the IL-1 group; all other adverse events &lt;25%]</t>
  </si>
  <si>
    <t>Withdrawals not available; total adverse events 0.88 [0.67-1.16]; serious Aes 0.68 [0.04-10.74]; infections 2.22 [0.76-6.53]; Injection site reactions 0.68 [0.18-2.64]</t>
  </si>
  <si>
    <t>withdrawals not estimatable; total adverse events -71/1000; serious Aes -5/1000; Infections +71/1000; Injection site reactions -19/1000.</t>
  </si>
  <si>
    <t>-0.02 [-15.55, 15.5]</t>
  </si>
  <si>
    <t>-0.05 [-55.24, 55.12]</t>
  </si>
  <si>
    <t>Anti-nerve growth factor (NGF) - knee</t>
  </si>
  <si>
    <t>$100-$500</t>
  </si>
  <si>
    <t>Did not find anything on NZ formulary or pharmac schedule for fulranumab, tanezumab or fasimumab (requires off-label prescribing; RACGP)
?2016 paper estimates between $200-$1000 per dose (USD), in the absence of any published cost in RedBook: "Model-based evaluation of cost-effectiveness of Nerve Growth
Factor Inhibitors in Knee Osteoarthritis: Impact of drug cost, toxicity, and means of administration". Based on other studies they assumed that the drug was administered once every 8 weeks,  an annual cost of 6x200-1000= $1200-$6000 per annum, average $3600.
Losina, E., et al. (2016). "Model-based evaluation of cost-effectiveness of nerve growth factor inhibitors in knee osteoarthritis: impact of drug cost, toxicity, and means of administration." Osteoarthritis Cartilage 24(5): 776-785.</t>
  </si>
  <si>
    <r>
      <t xml:space="preserve">Narrative review suggests early success with NGFs up to 4-12 months follow up: </t>
    </r>
    <r>
      <rPr>
        <b/>
        <sz val="10"/>
        <color theme="1"/>
        <rFont val="Segoe UI Symbol"/>
        <family val="2"/>
      </rPr>
      <t>Dimitroulas, T., et al., Biologic drugs as analgesics for the management of osteoarthritis. Seminars in Arthritis and Rheumatism, 2017. 46(6): p. 687-691.</t>
    </r>
  </si>
  <si>
    <t>The Working Group discussed that anti-NGF requires off-label prescribing and is expensive which limited its accessibility and affordability</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</si>
  <si>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
Risk levels set the same as the oral nsaids (Checked with HA, OK)</t>
  </si>
  <si>
    <t>withdrawals 1.78 [0.97-3.25]; total Aes 1.08 [0.91-1.27]; treatment related Aes 1.04 [0.72-1.51]; Serious Aes 0.89 [0.49-1.62]</t>
  </si>
  <si>
    <t>withdrawals +18/1000; treatment related Aes +18/1000; Serious Aes -3/1000</t>
  </si>
  <si>
    <t>-0.6 [-0.83, -0.38]</t>
  </si>
  <si>
    <t>-0.64 [-0.84, -0.44]</t>
  </si>
  <si>
    <t>Anti-nerve growth factor (NGF) - hip</t>
  </si>
  <si>
    <t>Assumed the same as knee NGF</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</si>
  <si>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t>
  </si>
  <si>
    <t>Withdrawals 1.36 [0.81-2.27]; total aes 1.16 [1.05-1.29]; treatment related aes 1.2 [0.89-1.61]; serious aes 0.88 [0.47-1.64]</t>
  </si>
  <si>
    <t>withdrawals +11/1000; total aes +69/1000; treatment-related aes +50/1000; serious aes -3/1000</t>
  </si>
  <si>
    <t>-0.33 [-0.43, -0.24]</t>
  </si>
  <si>
    <t>-0.4 [-0.5, -0.3]</t>
  </si>
  <si>
    <r>
      <t xml:space="preserve">Not approved for OA in the NZ formulary. However, for Acute gout: Oral Adult 1 mg, followed by 500 micrograms every 6 hours up to 2.5 mg on the first day; maximum 1.5 mg on subsequent days; total maximum 6 mg over 4 days; course not to be repeated within 3 days. see http://www.nzf.org.nz/nzf_5674
PHARMAC: </t>
    </r>
    <r>
      <rPr>
        <b/>
        <sz val="10"/>
        <color theme="1"/>
        <rFont val="Segoe UI Symbol"/>
        <family val="2"/>
      </rPr>
      <t>Colgout 2200503 $10.08 per 100 = 0.1008/tablet. 3*0.1008*4*4= cost per month: $4.84</t>
    </r>
  </si>
  <si>
    <t>PHARMAC: Colgout 2200503 $10.08 per 100 = 0.1008/tablet. 3*0.1008*4*4= cost per month: $4.84</t>
  </si>
  <si>
    <t>PHARMAC: http://www.pharmac.govt.nz/Schedule?osq=colchicine</t>
  </si>
  <si>
    <t xml:space="preserve">No high quality evidence for OA. It is typically used to treat gout, for which, there is a NZ formulary 6 dosing schedule that goes for 4 days and is not to be repeated again for three days. Two small trials exist with some other unpublished data from Iran and Singapore in 2014/2015.
 NZ formulary "Acute gout: Oral Adult 1 mg, followed by 500 micrograms every 6 hours up to 2.5 mg on the first day; maximum 1.5 mg on subsequent days; total maximum 6 mg over 4 days; course not to be repeated within 3 days. "
</t>
  </si>
  <si>
    <t>There are no significant adverse events in the included trials of colchicine. The most commonly reported adverse events encountered with colchicine were gastrointestinal adverse events such as loose bowel movements and pain in the abdomen, which were usually mild.
- Mild/moderate SEs &lt;25% from Leung, Y.Y., L.L. Yao Hui, and V.B. Kraus, Colchicine--Update on mechanisms of action and therapeutic uses. Semin Arthritis Rheum, 2015. 45(3): p. 341-50.
- No mention of SAEs was made by Leung et al 2015.</t>
  </si>
  <si>
    <t>withdrawals 2.89 [0.31-26.79]; total adverse events 3.10 [0.13-73.16]; serious Aes not available; gastrointestinal events 1.26 [0.83-1.93]</t>
  </si>
  <si>
    <t>withdrawals not available; serious Aes not available; gastrointestinal Aes +75/1000.</t>
  </si>
  <si>
    <t>-0.44 [-1.07, 0.17]</t>
  </si>
  <si>
    <t>-1.19 [-1.79, -0.6]</t>
  </si>
  <si>
    <t>See ES Calculator for details. Function ES is for Modified HAQ.</t>
  </si>
  <si>
    <t>$58.44/ 30d</t>
  </si>
  <si>
    <t>7.5mg weekly dose according to NZ formulary use for rheumatoid arthritis - OA not specified: Oral Adult initially 7.5 mg once weekly, adjusted according to response; usual maximum 20 mg once weekly
$14.61 per pre-filled syringe x4 = $58.44/ 30d</t>
  </si>
  <si>
    <t>http://www.pharmac.govt.nz/Schedule?osq=Methotrexate</t>
  </si>
  <si>
    <t>RACGP: Very low quality evidence from one small trial of 56 patients used 7.5 mg methotrexate weekly versus placebo for painful knee OA and did not find a reduction in pain at 4 months (Technical document, Appendix 5, p124). Another open-label study by Wenham et al has evaluated effects of methotrexate for pain relief in patients with knee OA. At 24 weeks, 13/30 participants (43%) had achieved ≥30% reduction in VAS pain, of whom 7 (23%) had achieved ≥50% reduction. Four participants (13%) had experienced a flare. Thirteen of 30 (43%) participants achieved OARSI responder criteria.107 An ongoing pragmatic phase III trial (ISRCTN77854383) has been designed to confirm these inconsistent findings.</t>
  </si>
  <si>
    <t>In terms of cost and access, methotrexate is a relatively cheap and widely available. Currently, there is no direct evidence for hip OA.</t>
  </si>
  <si>
    <t xml:space="preserve">⚠⚠⚠ </t>
  </si>
  <si>
    <t xml:space="preserve">Y </t>
  </si>
  <si>
    <t>Side-effects of methotrexate can include gastrointestinal side-effects, haematological abnormalities and elevated liver transaminases. Side-effects resulting in discontinuation of the drug vary in frequency from 15 to 17%, but have been shown to reduce to 4% in the second year of treatment.
Pulmonary toxicity &amp; gastro events: A review of 21 prospective studies described only 15  cases out of 3,463 RA patients (0.43 %) treated up to 3 years with MTX, with  30.8% experiencing gastrointestiinal adverse events (Salliot 2009).
Liver toxicity &gt;0.2% (severe fibrosis, cirrhosis): Visser, K. and D. van Der Heijde, Risk and management of liver toxicity during methotrexate treatment in rheumatoid and psoriatic arthritis: a systematic review of the literature, in Clin. Exp. Rheumatol. 2009. p. 1017-1025.
Salliot, C. and D. van der Heijde, Long-term safety of methotrexate monotherapy in patients with rheumatoid arthritis: a systematic literature research. Annals of the Rheumatic Diseases, 2009. 68(7): p. 1100-1104.
In the SR review by Lopez-Olivo for rheumatoid arthritis, rate of serious adverse events were not statistically significant between control (2%) and intervention groups (3%). The non-serious AEs were also &lt;25%, see page 18 for a discussion of the toxicity in Lopez-Olivo, M.A., et al., Methotrexate for treating rheumatoid arthritis. Cochrane Database Syst Rev, 2014(6): p. Cd000957.</t>
  </si>
  <si>
    <t>Withdrawals not estimable due to zero events in both study arms, an absolute risk reduction was not estimable; serious Aes not estimable; Gastro events 1.00 [0.37-2.74]</t>
  </si>
  <si>
    <t>Gastro 0/1000</t>
  </si>
  <si>
    <t>0.2 [-0.56, 0.98]</t>
  </si>
  <si>
    <t>-0.25 [-3.47, 2.95]</t>
  </si>
  <si>
    <t>Methotrexate - hip</t>
  </si>
  <si>
    <t>Y - but SAE level may be too high. In the CPG they did not find any SAE in the RCT they found.</t>
  </si>
  <si>
    <t>Withdrawals not estimable; serious Aes not estimable; Gastro events 1.00 [0.37-2.74]</t>
  </si>
  <si>
    <t>Corticosteroid injection – knee</t>
  </si>
  <si>
    <t>per annum</t>
  </si>
  <si>
    <t>$5.64/annum</t>
  </si>
  <si>
    <t>NZ Formulary recommends no more than 4 treatments per year  (4x4ml injections).</t>
  </si>
  <si>
    <t>, "0.4–4 mg according to size (soft tissue infiltration 2–6 mg); repeated at intervals of 3–21 days if necessary, depending on site": http://www.nzf.org.nz/nzf_10066 and http://www.nzf.org.nz/nzf_5563?searchterm=corticosteroids
Using 'Max Health', fully subsidised inj 4mg per ml, 1ml ampoule - up to 5 inj available on a PSO... $14.10 per 10 ampoules. Assuming 4mg per injection, the cost per annum = ($14.10/10*4) = $5.64</t>
  </si>
  <si>
    <t>3months given that only 4 injections should be used over a 12 month period. At weeks 1-4 corticosteroids are superior to hyaluronic acid (HA), after which HA has greater effect. Bannuru, R. R., et al. (2009). "Therapeutic trajectory of hyaluronic acid versus corticosteroids in the treatment of knee osteoarthritis: a systematic review and meta-analysis." Arthritis Rheum 61(12): 1704-1711.</t>
  </si>
  <si>
    <t>Serious and total adverse events were not significantly increased versus placebo. There are however concerns of more rapid cartilage loss with repeated injections with no benefit in long term symptom outcomes at 2 years so these injections should be used judiciously</t>
  </si>
  <si>
    <t>Withdrawals due to Aes 0.33 [0.05-2.07]; total adverse events 0.89 [0.64-1.23]; serious Aes 0.80 [0.22-2.94]</t>
  </si>
  <si>
    <t>withdrawals -26/1000; total Aes -63/1000; serious Aes -6/1000</t>
  </si>
  <si>
    <t>-0.33 [-0.56, -0.09]</t>
  </si>
  <si>
    <t>Corticosteroid injection – hip</t>
  </si>
  <si>
    <t>wtihdrawals not estimable; total aes 0.99 [0.58-1.68]; serious aes 2.06 [0.09-48.34]; patients experiencing worsening of pain post injection 2.01 [0.73-5.49]; local reactions not estimable</t>
  </si>
  <si>
    <t>-1.37 [-2.72, -0.02]</t>
  </si>
  <si>
    <t>-1.42 [-3.06, +0.21]</t>
  </si>
  <si>
    <t>withdrawals not estimable; total aes -5/1000; serious aes not available; patients experiencing worsening pain post injection +122/1000; local reactions not estimable.</t>
  </si>
  <si>
    <t>Viscosupplementation injection – knee</t>
  </si>
  <si>
    <t>per injection (Excl. GST)</t>
  </si>
  <si>
    <t>$650/injection</t>
  </si>
  <si>
    <t>NZ ACC report suggests that most requests are made by surgeons, with injections costing $650 excluding GST.</t>
  </si>
  <si>
    <t>https://www.acc.co.nz/assets/research/hyaluronic-injections-review.pdf</t>
  </si>
  <si>
    <t>6months: Bannuru, R. R., et al. (2011). "Therapeutic trajectory following intra-articular hyaluronic acid injection in knee osteoarthritis – meta-analysis." Osteoarthritis and Cartilage 19(6): 611-619.
total duration 6 months, with maximum effects at 8 weeks and residul effects by 24 weeks.</t>
  </si>
  <si>
    <t xml:space="preserve">⚠⚠ </t>
  </si>
  <si>
    <t>Minor side effects include pain at the injection site (which occurs in 1 to 33% of patients), local joint pain and swelling (in &lt;1 to 30%), and local skin reactions (in 3 to 21%).111Pseudoseptic reactions (occurring in 1 to 3% of patients), which are characterised by inflammation and swelling of the joint that are not caused by infection, can be severe and may require further medical treatment. These reactions usually occur after sensitisation with the second or third injection of a series or with a repeat treatment course. True joint infections have also been reported, but these appear to be rare.112</t>
  </si>
  <si>
    <t>withdrawals 1.19 p1.03-1.15]; serious Aes 1.4 [1.02-1.91]; Local reactions 1.30 [1.14-1.47]; Septic Joint 0.28 [0.01-6.79]</t>
  </si>
  <si>
    <t>Withdrawals +6/1000; total Aes +36/1000; Serious Aes +8/1000; Local reactions +30/1000; Septic joint -1/1000.</t>
  </si>
  <si>
    <t>-0.34 [-0.42, -0.26]</t>
  </si>
  <si>
    <t>-0.30 [-0.4, -0.2]</t>
  </si>
  <si>
    <t>Viscosupplementation injection – hip</t>
  </si>
  <si>
    <t>withdrawals 5.29 [0.26-106.27]; total aes 1.16 [0.67-2.01]; serious aes 307 [0.13-73.3]; local reactions 3.44 [0.86-13.74]</t>
  </si>
  <si>
    <t>withdrawals not available; total aes +56/1000; serious aes not available; local reactions +79/1000.</t>
  </si>
  <si>
    <t>-0.18 [-0.50, +0.13]</t>
  </si>
  <si>
    <t>-0.18 [-0.47, +.10]</t>
  </si>
  <si>
    <t>Platelet-rich plasma (PRP) injection – same for knee and hip</t>
  </si>
  <si>
    <t>per injection</t>
  </si>
  <si>
    <t>$483.33/inj</t>
  </si>
  <si>
    <t>Average of items 1 and 2, excluding consultation cost. Assumed ongoing, rather than one-off cost.</t>
  </si>
  <si>
    <t>1. $550 for first injection + $43-$85 for first consultation, 2-3 injections required: http://www.prp.co.nz/common-questions.html
2. 1st injection is $450 followed by 2 injections at $400 (avg $416.66), all within the first 3 months http://mskmedspecialists.co.nz/is-prp-right-for-you/</t>
  </si>
  <si>
    <t>12 months: Shen, L., et al. (2017). "The temporal effect of platelet-rich plasma on pain and physical function in the treatment of knee osteoarthritis: systematic review and meta-analysis of randomized controlled trials." J Orthop Surg Res 12(1): 16.
Wheling et al (2017) note the low quality and inconsistent treatment protocol regarding PRP, but noted that two of 3 SRs reported benefits up to 12 months, whilst the last concluded there was insufficient evidence: Wehling, P., et al. (2017). "Effectiveness of intra-articular therapies in osteoarthritis: a literature review." Ther Adv Musculoskelet Dis 9(8): 183-196.
SR by Dai reports possible sustained benefits for 12 months post injection: Dai, W. L., et al. (2017). "Efficacy of Platelet-Rich Plasma in the Treatment of Knee Osteoarthritis: A Meta-analysis of Randomized Controlled Trials." Arthroscopy 33(3): 659-670.e651.
Kanchanatawan, W., et al., Short-term outcomes of platelet-rich plasma injection for treatment of osteoarthritis of the knee. Knee Surgery, Sports Traumatology, Arthroscopy, 2016. 24(5): p. 1665-1677.</t>
  </si>
  <si>
    <t>The cost of PRP treatment is high and additional equipment might be required for the preparation and administration.</t>
  </si>
  <si>
    <t>Y - mild/moderate harm informed by the only RCT avaialable.</t>
  </si>
  <si>
    <t>Serious harm level the same as viscospplementation as per RACGP CPG statement regarding hyaluronic acid vs saline. Most common treatment related adverse events were local swelling and transient regional pain. PRP did not increase the risk of adverse events compared with hyaluronic acid and saline according to other systematic reviews.114 
For mild to moderate harm level see Treatment of Knee Osteoarthritis With Allogeneic Bone Marrow Mesenchymal Stem Cells: A Randomized Controlled Trial, "Transient mild local pain and discomfort in the injected knee with inflammation and swelling during the first 1 to 7 days occurred frequently in both the control and cell-treated patients (50-60% of patients)."
These levels were discussed with HA.</t>
  </si>
  <si>
    <t>adverse events 3.06 [0.39-23.87]</t>
  </si>
  <si>
    <t>+34/1000</t>
  </si>
  <si>
    <t>-1.87 [-2.47, -1.27]</t>
  </si>
  <si>
    <t>-1.3 [-2.86, 0.24]</t>
  </si>
  <si>
    <t>Stem cell therapy – same for knee and hip</t>
  </si>
  <si>
    <t>Strong against</t>
  </si>
  <si>
    <t>per procedure</t>
  </si>
  <si>
    <t>$10,000 per procedure.</t>
  </si>
  <si>
    <t>1. http://www.queenstownrm.co.nz/cellular-therapy-pricing/  $12,500
2. http://www.stemcell.co.nz/faqs/#section-34 $8-12,000 
1. NZD$7500-$12500 
2. NZD$8000-$12000</t>
  </si>
  <si>
    <t>12 months:  Xia, P., et al. (2015). "Efficacy of mesenchymal stem cells injection for the management of knee osteoarthritis: a systematic review and meta-analysis." Int Orthop 39(12): 2363-2372.</t>
  </si>
  <si>
    <t>No serious adverse events were reported in those trials. There are two groups reporting minor adverse events including mild pain and effusion after the injections, which persisted for no more than 7 days
for mild to moderate harm: "Transient mild local pain and discomfort in the injected knee with inflammation and swelling during the first 1 to 7 days occurred frequently in both the control and cell-treated patients (50-60% of patients). This pain was controlled with ibuprofen." in Treatment of Knee Osteoarthritis With Allogeneic Bone Marrow Mesenchymal Stem Cells: A Randomized Controlled Trial</t>
  </si>
  <si>
    <t>-3.41 [-3.69, -3.14]</t>
  </si>
  <si>
    <t>-5.05 [-7.01, -3.1]</t>
  </si>
  <si>
    <t xml:space="preserve">Dextrose prolotherapy - knee </t>
  </si>
  <si>
    <t>$496 (8 sessions)</t>
  </si>
  <si>
    <t>8 sessions of GP community cost at $62/session to full recovery.</t>
  </si>
  <si>
    <t xml:space="preserve">One NZ website claims that it 'depends on number and time but on average NZD$220 for full regional treatment ( Plus preliminary consultation at usual rates)' (http://www.medcom.co.nz/prolotherapy-prolozone/) 
Another NZ website states 6-8 sessions, or more, from 1 week to 1 month apart until full recovery: http://www.southernsportspodiatry.co.nz/podiatry-treatments/prolotherapy
Assuming GP consultation cost of $62 (as reported in Pinto et al 2013) and 8 sessions without any additional costs, it costs 62*8= $496
1. $500 USD: https://www.caringmedical.com/for-patients/pricing-and-payment-policies/
2.  $150 - $400 USD: https://www.georgekramermd.com/prolotherapy-faq/
3. $250 USD: http://www.prolohawaii.com/prolotherapy/faqs-about-prolotherapy
4.  ?? Call to get cost: http://www.southernsportspodiatry.co.nz/podiatry-treatments/prolotherapy
$1424-$3000 based on 4-6 sessions @ $356-$500 NZD/ session (250-300USD)
</t>
  </si>
  <si>
    <t>12-16 weeks based on low-quality evidence: Regina Ws, S., et al. (2016). "Hypertonic dextrose injections (prolotherapy) in the treatment of symptomatic knee osteoarthritis: A systematic review and meta-analysis." Scientific Reports 6(1).</t>
  </si>
  <si>
    <t>The Working Group has considered that since prolotherapy is relatively cheap and accessible a conditional against recommendation was agreed upon</t>
  </si>
  <si>
    <t>The study reported self-limited bruises after both dextrose (n = 3) and saline injections (n = 5). This was an expected side effect and deemed to be of minimal clinical relevance due to its transient nature. No serious adverse events were reported; however, this may be because the study sample size is not large enough to detect uncommon adverse events.117</t>
  </si>
  <si>
    <t>Total Aes not estimable.</t>
  </si>
  <si>
    <t>Not estimable.</t>
  </si>
  <si>
    <t>-0.58 [-4.76, 3.58]</t>
  </si>
  <si>
    <t>-0.57 [-5.06, 3.91]</t>
  </si>
  <si>
    <t>See ES Calculator for details. 24wk ES used over 52 wk (greater ES on pain at 24 weeks).</t>
  </si>
  <si>
    <t>Dextrose prolotherapy - hip</t>
  </si>
  <si>
    <t>-0.5 [-5.36, 4.35]</t>
  </si>
  <si>
    <t>-0.53 [-5.34, 4.26]</t>
  </si>
  <si>
    <t>Calculated SMDs same as knee; used the most efficacous follow up timeframe (24wks, not 52)</t>
  </si>
  <si>
    <t>HERBAL TEHRAPIES</t>
  </si>
  <si>
    <t>Avocado-soybean unsaponifiables – same for knee and hip</t>
  </si>
  <si>
    <t xml:space="preserve">$27.05/30d </t>
  </si>
  <si>
    <t>1 tablet/ day</t>
  </si>
  <si>
    <t>International online shops - can't seem to find anything in NZ
$0.90/tab average items 1-3
1. $57.90 NZD 'avocado 300' 60x600mg= $0.965/tab https://nz.iherb.com/pr/Maximum-International-Avocado-300-Soy-Unsaponifiables-600-mg-60-Tablets/11676
2. $61.08 NZD 'avocado 300' 60x600mg= $1.02/tab, https://www.luckyvitamin.com/p-7058-maximum-international-avocado-300-soy-unsaponifiables-with-sierrasil-60-tablets
3. $30.39 USD (43.32 NZD) 600mgx60 tabs= $0.72/tab https://www.vitacost.com/maximum-international-avocado-300-soy-unsaponifiables-with-sierrasil</t>
  </si>
  <si>
    <t>Assumed short, based on the dosing schedule.</t>
  </si>
  <si>
    <t>In pooled data from 5 RCTs spanning 3 months to 3 years follow up, with a total of nearly 600 patients there was no significant increase in adverse events over placebo</t>
  </si>
  <si>
    <t>Total Aes 1.0 [1.0 - 1.1]</t>
  </si>
  <si>
    <t>-0.57 [-0.95, -0.19] (efficacy at 6 months -0.45 [0.77-, 0.14]</t>
  </si>
  <si>
    <t>-0.48 [-0.69, -0.28]</t>
  </si>
  <si>
    <t>Boswellia serrata extract - same for knee and hip</t>
  </si>
  <si>
    <t xml:space="preserve">$11.40/30d </t>
  </si>
  <si>
    <t xml:space="preserve">1. $28.95 250mgx100caps=0.29/cap https://www.biovea.net/nz/results.aspx?AG=boswellia&amp;FiltersObject=%7B%22SortValue%22:%7B%7D,%22PageSize%22:%2212%22,%22CompareProducts%22:%5B%5D,%22Brands%22:%7B%7D,%22FormValues%22:%7B%7D,%22PriceRanges%22:%7B%7D,%22Categories%22:%5B%5D,%22objects%22:%5B%5D%7D
2. *$67.19 120caps=0.56/cap Glucosamine with boswellia https://shop.amway.co.nz/en/Product/Detail/6122?c=EN-NZ
3. 7.85 pounds, $26.50AUD ($29.13)x100 caps=0.29/cap https://www.amazon.co.uk/Swanson-Boswellia-400mg-100-Capsules/dp/B001ENXPKE
</t>
  </si>
  <si>
    <t>Assumed the same as ASU</t>
  </si>
  <si>
    <t>Limited data on safety available. In 2 RCTs with follow up of 30-90 days pooled (n=117) there was no significant increase in adverse events over placebo. (Technical document, Appendix 5, p85,199).</t>
  </si>
  <si>
    <t>Total Aes 0.7 [0.10-4.80]</t>
  </si>
  <si>
    <t>-12/1000</t>
  </si>
  <si>
    <t>-1.61 [-2.1, -1.13]</t>
  </si>
  <si>
    <t>-1.15 [-1.63, -0.68]</t>
  </si>
  <si>
    <t>Curcuma/curcuminoid – same for knee and hip</t>
  </si>
  <si>
    <t xml:space="preserve">$24.30/30d </t>
  </si>
  <si>
    <t>1cap/day</t>
  </si>
  <si>
    <t xml:space="preserve"> - $81/100caps  (cap average of items 1-3)
1. $34.90 60 caps=0.58c/cap Tumeric 15800 http://www.healthpost.co.nz/good-health-turmeric-15800-complex-ghtur-g.html
2. $31.90 15800mg 60 tabs=0.53c/cap : http://products.pharmacydirect.co.nz/medical/Turmeric-Capsules
3. $39.99 15800mg tumeric 30= $1.33/cap capsules w/boswellia, ginger, ashwagandha and black pepper - http://www.unichempharmacy.co.nz/shop/Natural+Health/Joint+Health/Good+Health+Turmeric+15800+Complex+30+Capsules.html
Other refs:
4. $48.44 60 caps 400mg tumeric root extract
5. $34.90 30 capsules 550mg: http://www.unichempharmacy.co.nz/shop/Natural+Health/Joint+Health/Nutra+Life+Turmeric++Meriva+Curcumin+550+30+Capsules.html 
6. $11.95/50gm https://www.cottagehillherbs.co.nz/herbal-products-wellington/whole-dried-herbs-and-powders-wellington/</t>
  </si>
  <si>
    <t>Limited data on safety available. In 2 RCTs with follow up of 6-8 weeks pooled (n=113) there was no significant increase in serious adverse events over placebo though there was a non-statistically significant increase in gastrointestinal adverse events 15.8% vs 7.1% in placebo. (Technical document, Appendix 5, p86,200)</t>
  </si>
  <si>
    <t>Withdrawals 1.46 [0.34-6.31]; total Aes 1.48 [0.57-3.83]; serious Aes not available; gastrointenstinal events 1.92 [.68-5.41]</t>
  </si>
  <si>
    <t>withdrawals +17/1000; total aes +51/1000; serious aes not estimable; gastro events +66/1000</t>
  </si>
  <si>
    <t>-1.1 [-1.66, -0.54]</t>
  </si>
  <si>
    <t>-0.81 [-1.46, -0.16]</t>
  </si>
  <si>
    <t>Pycnogenol – knee</t>
  </si>
  <si>
    <t>$31.50/30d</t>
  </si>
  <si>
    <t xml:space="preserve">$105/100caps (cap average of items 1-3)
1. $101.40 100mgx 60caps=$1.69/cap:  http://www.healthpost.co.nz/life-extension-pycnogenol-french-maritime-pine-bark-extract-lxpyc.html
2. $37.50 25mgx50caps=$0.75/cap: http://www.pharmacydirect.co.nz/Nutralife-Pine-Bark-Extract-NZ-250mg-Capsules-50.html?&amp;partner=sli&amp;bid=3
3. $42.65 100mg x60caps=%=$0.71/cap: https://nz.pipingrock.com/pycnogenol/pycnogenol-100-mg-311?prd=2800ad34&amp;gclid=CjwKCAiA1O3RBRBHEiwAq5fD_CCDw9gNTEP8eVgTjrIwNgJpxg1K70ORO5LkiIbvsobY83yPxm956xoC4g0QAvD_BwE
4. $51.40 50mgx 60: https://www.biovea.net/nz/product_detail.aspx?PID=1575&amp;deptid=0&amp;cid=0&amp;OS=204&amp;NAME=PYCNOGENOL-50mg-60-Vegetarian-Capsules
</t>
  </si>
  <si>
    <t>Limited data on safety available. In 2 RCTs with follow up to 3 months (n=137) there was no significant increase in serious adverse events over placebo. (Technical document, Appendix 5, p88,202)</t>
  </si>
  <si>
    <t>Withdrawals 0.50 [0.10-2.61]; total Aes 0.50 [0.10-2.61]; Gastrointestinal Aes 1.00 [0.06-15.55]; Serious Aes not available. P.88/9 of technical document.</t>
  </si>
  <si>
    <t>withdrawals -29/1000; total aes -27/1000; gastro events 0/1000; serious aes not estimable.</t>
  </si>
  <si>
    <t>-1.2 [-36.76, 34.35]</t>
  </si>
  <si>
    <t>-1.24 [-126.1, 123.6]</t>
  </si>
  <si>
    <t>See ES calculator for details. ES reported here are for WOMAC Pain and Function VAS. If using WOMAC pain and function subscale scores, the ES is very different:
Pain: -3.81 [-4.14, -3.49] 
Function: -15.33 [-15.61, -15.06]</t>
  </si>
  <si>
    <t>Pycnogenol – hip</t>
  </si>
  <si>
    <t>NEUTRACEUTICALS</t>
  </si>
  <si>
    <t>Glucosamine – knee</t>
  </si>
  <si>
    <t>Assumed the same as glucosamine and chondroitin compound</t>
  </si>
  <si>
    <t>Assumed the same as glucosamine and chondroitin compound for knee</t>
  </si>
  <si>
    <t>Overall there was a low risk of adverse effects reported in the trials. Shellfish allergy and interactions with warfarin and diabetes are of concern and trials are likely to have excluded patients with those conditions more carefully than usual practice (Technical document, Appendix 5, p90,204).
Backup study to confirm SAE level as low:  Zeng, C., et al., Effectiveness and safety of Glucosamine, chondroitin, the two in combination, or celecoxib in the treatment of osteoarthritis of the knee. Sci Rep, 2015. 5: p. 16827.</t>
  </si>
  <si>
    <t>Withdrawals .89 [.64-1.24]; total Aes 1.01 [.95-1.07]; Serious Aes .82 [.23-3.00]; gastrointestinal events .82 [.64-1.05]</t>
  </si>
  <si>
    <t>withdrawals -7/1000; total aes +4/1000; serious aes -3/1000; gastro events -29/1000</t>
  </si>
  <si>
    <t>-0.57 [-1.18, +0.04]</t>
  </si>
  <si>
    <t>Glucosamine – hip</t>
  </si>
  <si>
    <t>Withdrawals r [0.26-3.90]; total aes 0.97 [0.75-1.24]; serious aes 2 [0.37-10.71]; gastro events 1.26 [0.95-1.67]</t>
  </si>
  <si>
    <t>withdrawals 0/1000; total aes -16/1000; serious aes +18/1000; gastro events +108/1000</t>
  </si>
  <si>
    <t>-0.03 [-3.06, 3]</t>
  </si>
  <si>
    <t>-0.09 [-3.11, 2.92]</t>
  </si>
  <si>
    <t>Chondroitin – same for knee and hip</t>
  </si>
  <si>
    <t>Pooled data from 6 trials and more than 1000 patients shows the risk of adverse events is comparable to placebo.</t>
  </si>
  <si>
    <t>Withdrawals 1.16 [.85 - 1.59]; total Aes 1.21 [.9 - 1.61]; Serious Aes 1.32 [0.45-3.87]; Gastrointestinal events 0.72 [.52 - 0.99]</t>
  </si>
  <si>
    <t>withdrawals +7/1000; total aes +42/1000; serious aes +4/1000; gastro events -21/1000</t>
  </si>
  <si>
    <t>-0.55 [-0.78, -0.33]</t>
  </si>
  <si>
    <t>Glucosamine and chondroitin in compound form – same for knee and hip</t>
  </si>
  <si>
    <t>$10.80/30d</t>
  </si>
  <si>
    <t xml:space="preserve">$36/100caps  (cap average of items 1-3)
1. $84.40 1500mgx180= $0.47/cap: http://www.hardys.co.nz/product/222-GO-Healthy-Glucosamine-1-A-Day-180-Capsules
2. $62.90 1500mgx210= $0.30/cap: http://www.pharmacydirect.co.nz/GO-Healthy-GO-Glucosamine-1-A-Day-Capsules-210.html?&amp;partner=sli&amp;bid=3
3. $63.90 1500mg x210= $0.30/cap: http://www.healthpost.co.nz/go-healthy-go-glucosamine-1-a-day-gyglu-g.html
</t>
  </si>
  <si>
    <t>As with the individual components, the reported rates of adverse events were similar to placebo.
Backup study to confirm SAE level as low:  Zeng, C., et al., Effectiveness and safety of Glucosamine, chondroitin, the two in combination, or celecoxib in the treatment of osteoarthritis of the knee. Sci Rep, 2015. 5: p. 16827.</t>
  </si>
  <si>
    <t>withdrawals 1.18 [0.68-2.04]; total Aes 1.45 [0.77-2.73]; serious aes 1.16 [0.36-3.75]; gastrointestinal events 1.00 [0.21-4.81]</t>
  </si>
  <si>
    <t>withdrawals +7/1000; total aes +88/1000; serious aes +3/1000; gastro events 0/1000</t>
  </si>
  <si>
    <t xml:space="preserve">0.26 [-0.43, +0.96] </t>
  </si>
  <si>
    <t xml:space="preserve">Vitamin D – knee </t>
  </si>
  <si>
    <t xml:space="preserve">$9.30/30d </t>
  </si>
  <si>
    <t>1. $27.90 1,000IU 90 caps= $0.31/cap: https://www.larsonspharmacy.co.nz/catalog/search.html?Filter%5BKeyword%5D=collagen
2. $14.95 60 caps, 1000IU= $0.25/cap http://www.healthpost.co.nz/swisse-vitamin-d-swd-g.html 
3. $17.90 60 caps, 1000IU= $0.30/cap https://www.netpharmacy.co.nz/products/go-healthy-go-vitamin-d3-1000iu</t>
  </si>
  <si>
    <t>Relatively safe, a non-statistically significant increase in hypercalciuria. No clinical effects or safety concerns.</t>
  </si>
  <si>
    <t>serious Aes 0.97 [0.75-1.27]; withdrawals 0.99 [0.48-2.05]; hypercalcemia 0.99 [0.32-3.10]; hypercaciuria 1.37 [0.93-2.01]</t>
  </si>
  <si>
    <t>Serious Aes -5/1000; withdrawals 0/1000; hypercalcemia 0/1000; hypercalciuria +45/1000</t>
  </si>
  <si>
    <t>-0.36 [-0.70, -0.02]</t>
  </si>
  <si>
    <t>-0.34 [-0.62, -0.07]</t>
  </si>
  <si>
    <t>Vitamin D – hip</t>
  </si>
  <si>
    <t>Omega-3 fatty acids - same for knee and hip</t>
  </si>
  <si>
    <t>$8.70/30d</t>
  </si>
  <si>
    <t>$29/100caps (cap average of items 1-3)
1.  $20.70, 150 caps 1000mg= $0.14/cap: http://www.healthpost.co.nz/good-health-omega-3-fish-oil-health-guard-ghom4-g.html
2. $29.90, 200 caps 1000mg= $0.15/cap: https://www.netpharmacy.co.nz/products/blackmores-odourless-fish-oil-1000mg (instructions reccy 4 capsules 3x/day!)
3. $34.99, 60 caps, 1000mg= $0.58/cap: https://www.larsonspharmacy.co.nz/catalog/Health-1/Wellbeing-127/Vitamins-and-Minerals-132/Blackmores-Omega-Brain-60-Capsules-2583.html
4. $28.90, 500 caps 1000mg= $0.06.cap : http://www.pharmacydirect.co.nz/Swisse-Odourless-Wild-Fish-Oil-1000mg-Capsules-500.html?&amp;partner=sli&amp;bid=3</t>
  </si>
  <si>
    <t>Side-effects are usually minor and uncommon.</t>
  </si>
  <si>
    <t>Withdrawals 1.33 [0.52-3.39]; Total Aes 1.31 [0.79-2.18]; Serious Aes not available.</t>
  </si>
  <si>
    <t>withdrawals +14/1000; total Aes +38/1000; Serious not available. P98 of technical document.</t>
  </si>
  <si>
    <t>-0.16 [-0.57, +0.24]</t>
  </si>
  <si>
    <t>+0.11 [-0.13, +0.35]</t>
  </si>
  <si>
    <t xml:space="preserve">Collagen - knee </t>
  </si>
  <si>
    <t xml:space="preserve">$9.60/30d </t>
  </si>
  <si>
    <t xml:space="preserve">$32/100caps   (cap average of items 1-3)
1.  $58.50/ 210 caps= $0.28/cap http://www.pharmacydirect.co.nz/GO-Healthy-GO-Collagen-for-Joints-Capsules-210.html?&amp;partner=sli&amp;bid=3
2. $60.90/ 210 caps= $0.0.29/cap http://www.healthpost.co.nz/go-healthy-go-collagen-for-joints-gycolj-g.html
3. $49.90/ 120 caps (400mg)= $0.42/cap https://www.larsonspharmacy.co.nz/catalog/search.html?Filter%5BKeyword%5D=collagen
</t>
  </si>
  <si>
    <t>Relatively safe, a non-statistically significant increase in gastrointestinal adverse events.</t>
  </si>
  <si>
    <t>Withdrawals 0.26 [0.09 - 0.78]; total adverse events 1.08 [0.87-1.36]; serious aes 3.00 [0.13-68.26]; gastrointestinal events 1.43 [0.90-2.25]</t>
  </si>
  <si>
    <t>withdrawals -32/1000; total adverse events 39/1000; serious Aes not available; gastrointestinal events 31/1000</t>
  </si>
  <si>
    <t>-0.58 [-0.98, -0.17]</t>
  </si>
  <si>
    <t>-0.18 [-0.42, +0.07]</t>
  </si>
  <si>
    <t>Collagen - hip</t>
  </si>
  <si>
    <t>total aes .94 [0.20-4.35]; serious aes not estimable; gastro events 0.19 [0.01-3.79]</t>
  </si>
  <si>
    <t>total aes -5/1000; serious aes not estimable; gastro events -49/1000</t>
  </si>
  <si>
    <t>-0.24 [-0.86, 0.37]</t>
  </si>
  <si>
    <t>-0.85 [-2.74, 1.03]</t>
  </si>
  <si>
    <t>Methylsulfonylmethane – same for knee and hip</t>
  </si>
  <si>
    <t xml:space="preserve">$12.13/30d </t>
  </si>
  <si>
    <t>1 tsp/day</t>
  </si>
  <si>
    <t xml:space="preserve">(192 teaspoons in a kg; $77.65/kg= 0.40c per teaspoon)
1. $27.50 250g= $0.11/g msm powder http://www.pharmacydirect.co.nz/Doctor-s-Best-MSM-Powder-with-OptiMSM-250g.html?&amp;partner=sli&amp;bid=3
2. 1kg $49.95=  $0.05/g: https://www.nzhealthfood.com/product/msm-powder/
3. $36.50 500g= $0.073/g http://www.healthpost.co.nz/biobalance-msm-powder-bbmsm.html
4. $25.80 500mg/60 caps http://www.expressthebest.co.nz/methyl-sulfonyl-methane-msm-60-caps-500mg/
2. $25.52 90 tablets natures sunshine MSM https://www.netpharmacy.co.nz/products/natures-sunshine-msm
The suggested oral dose is 4-6g per day.
</t>
  </si>
  <si>
    <t>Relatively safe. Minor side effects were recorded including gastrointestinal adverse events, fatigue and headaches but not statistically significant compared to placebo.</t>
  </si>
  <si>
    <t>Total Aes 1.1 [0.8-1.5]</t>
  </si>
  <si>
    <t>Total Aes +76/1000</t>
  </si>
  <si>
    <t>-0.47 [-0.80, -0.14]</t>
  </si>
  <si>
    <t>-1.1 [-1.81, -0.38]</t>
  </si>
  <si>
    <r>
      <t>Diacerein – knee (</t>
    </r>
    <r>
      <rPr>
        <sz val="10"/>
        <color rgb="FFFF0000"/>
        <rFont val="Segoe UI Symbol"/>
        <family val="2"/>
      </rPr>
      <t>not available in NZ</t>
    </r>
    <r>
      <rPr>
        <sz val="10"/>
        <color theme="1"/>
        <rFont val="Segoe UI Symbol"/>
        <family val="2"/>
      </rPr>
      <t>)</t>
    </r>
  </si>
  <si>
    <t xml:space="preserve">$73.70/30d </t>
  </si>
  <si>
    <t>100mg/day</t>
  </si>
  <si>
    <t>The Fidelix et al 2014 SR noted that 50mg, 100mg and 150mg doses were trialled; at 150mg the adverse events was so high they didn't do a subgroup analysis for this group (RR 2:1 adverse events).
US Site US$55/60x50mg caps= $0.92/cap: http://www.pharmacy2home.com/generic-cartidin-diacerein.htm; NZ$ 81.70 using PPP 1.48 (2017)</t>
  </si>
  <si>
    <t>Y - SAE level is related to diarrhoea and described as severe in RACGP CPG &amp; removed from EU pharma schedule, so in this case, not considered mild/moderate harm.</t>
  </si>
  <si>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There is an increase in rash, but the between-group difference was not significant.
From the cochrane review, "Diacerein for osteoarthritis": Low-quality evidence from seven trials showed significantly more adverse events in the diacerein group compared with the placebo group after two to 36 months, mainly diarrhoea (RR 3.52, 95% CI 2.42 to 5.11), with an absolute risk increase of 24% (95% CI 12% to 35%), and a number needed to treat for an additional harmful outcome (NNTH) of 4 (95% CI 3 to 7).No statistically significant differences in participant withdrawal due to adverse events were seen at two to 36 months for diacerein compared with placebo (RR 1.29, 95% CI 0.83 to 2.01).</t>
  </si>
  <si>
    <t>Withdrawals 0.94 [0.67-1.30]; total adverse events 1.95 [1.08 -3.54]; serious aes not available; rash/pruritus 2.97 [0.51-17.29]; diarrhea 3.50 [1.95-6.27]</t>
  </si>
  <si>
    <t>withdrawals -8/1000; total aes 339/1000; +35/1000; diarrhea +208/1000. P103/4.</t>
  </si>
  <si>
    <t>-0.45 [-0.91, -0.01]</t>
  </si>
  <si>
    <t>-0.23 [-0.38 -0.09]</t>
  </si>
  <si>
    <r>
      <t>Diacerein – hip (</t>
    </r>
    <r>
      <rPr>
        <sz val="10"/>
        <color rgb="FFFF0000"/>
        <rFont val="Segoe UI Symbol"/>
        <family val="2"/>
      </rPr>
      <t>not available in NZ</t>
    </r>
    <r>
      <rPr>
        <sz val="10"/>
        <color theme="1"/>
        <rFont val="Segoe UI Symbol"/>
        <family val="2"/>
      </rPr>
      <t>)</t>
    </r>
  </si>
  <si>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diarrhea 4.02 [2.63-6.11] for hip). There is an increase in rash, but the between-group difference was not significant.</t>
  </si>
  <si>
    <t>Withdrawls 1.40 [0.68-2.91]; total aes 1.87 [0.51-6.89]; rash/pruritus 2.40 [1.101-5.69]; diarrhea 4.02 [2.63-6.11]</t>
  </si>
  <si>
    <t>Withdrawls +63/1000; total aes +562/1000; rash/ruritus +39/1000; diarrhea +327/1000</t>
  </si>
  <si>
    <t>-0.24 [-1.67, 1.18]</t>
  </si>
  <si>
    <t>0 [-0.24, 0.23]</t>
  </si>
  <si>
    <t>SURGICAL INTERVENTIONS</t>
  </si>
  <si>
    <t>Arthroscopic lavage and debridement – knee</t>
  </si>
  <si>
    <t>$4,300-$7,100 (private cost, inc. GST)</t>
  </si>
  <si>
    <t>$4,300 - $7,100 (/occasion)</t>
  </si>
  <si>
    <t xml:space="preserve">Assumed under the cost covered by 'knee arthroscopy'. </t>
  </si>
  <si>
    <t xml:space="preserve">Health Funds Association NZ indicative costs (inc. GST). </t>
  </si>
  <si>
    <t>Outcomes worse at 2 weeks and not statistically different 24 months post-op for pain: Laupattarakasem, W., et al. (2008). "Arthroscopic debridement for knee osteoarthritis." Cochrane Database of Systematic Reviews(1).</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</si>
  <si>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 = risk of VTE and infection (serious AEs)</t>
  </si>
  <si>
    <t>Serious Aes rates not available, 95% CI crosses null</t>
  </si>
  <si>
    <t xml:space="preserve">-0.10 [-0.50, -0.29]
2. Reichenbach, S., et al. (2010). "Joint lavage for osteoarthritis of the knee." Cochrane Database of Systematic Reviews(5).
</t>
  </si>
  <si>
    <t xml:space="preserve">-0.17 [-0.38, 0.03]
2. Reichenbach, S., et al. (2010). "Joint lavage for osteoarthritis of the knee." Cochrane Database of Systematic Reviews(5).
</t>
  </si>
  <si>
    <t>Arthroscopic lavage and debridement) – hip</t>
  </si>
  <si>
    <t>"The likelihood of progression to THA after hip arthroscopy occurred on average within 2 years for those who progressed."Kemp, J. L., et al. (2015). "Hip Arthroscopy in the Setting of Hip Osteoarthritis: Systematic Review of Outcomes and Progression to Hip Arthroplasty." Clin Orthop Relat Res 473(3): 1055-1073.</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</si>
  <si>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i.e.  (6/435 = 1.37%) = risk of serious AEs for post-op infection.</t>
  </si>
  <si>
    <t>&gt;0.50. No RCT data found. According to the SR by Kemp et al (2015), the ES for pain is moderate to large - see figure 2.</t>
  </si>
  <si>
    <t>&gt;0.50. No RCT data found. According to the SR by Kemp et al (2015), the ES for pain is moderate to large  - see figure 2.</t>
  </si>
  <si>
    <t>The effect sizes reported in the systematic review by Kemp et al (2015) informed the effectiveness of this intervention. The authors note the number of studies with low quality evidence (level 3/4 - case series &amp; case-control) warrant further high quality confirmatory research...</t>
  </si>
  <si>
    <t>Arthroscopic meniscectomy  – knee</t>
  </si>
  <si>
    <t xml:space="preserve"> Assumed under the cost covered by 'knee arthroscopy'. </t>
  </si>
  <si>
    <t>Health Funds Association NZ indicative costs (inc. GST).</t>
  </si>
  <si>
    <t>3+ month duration of effect: Brignardello-Petersen, R., et al. (2017). "Knee arthroscopy versus conservative management in patients with degenerative knee disease: a systematic review." BMJ Open 7(5): e016114.
The 6 studies included in the Lamplot et al 2016 SR used follow-up times ranging from 6-24 months (median 12 months). How effective this intervention is, may be dependent on whether or not it was used as an early or late-stage intervention. 3 studies reported no improvement at 12 months in the review, while another 3 studies reported improvement at 12 months. Papalia et al 2011 suggest that the amount of cartilage removed mediates the progression of OA, with less removal being better. The SR by Petty et al 2011 report that in some patients radiographic progression of OA in patients with meniscectomy is worse 8-years post-intervention (20%-60%), but may not be clinically worse.
A few SR have been conducted; there isn't enough evidence to determine the long-term effects of meniscectomy:
1. Petty, C. A. and J. H. Lubowitz (2011). "Does arthroscopic partial meniscectomy result in knee osteoarthritis? A systematic review with a minimum of 8 years' follow-up." Arthroscopy 27(3): 419-424.
2. Lamplot, J. D. and R. H. Brophy (2016). "The role for arthroscopic partial meniscectomy in knees with degenerative changes: a systematic review." Bone Joint J 98-b(7): 934-938.
3. Papalia, R., et al. (2011). "Meniscectomy as a risk factor for knee osteoarthritis: a systematic review." Br Med Bull 99: 89-106.</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</si>
  <si>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</si>
  <si>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Serious Aes 3.25 [0.13 - 78.58]</t>
  </si>
  <si>
    <t>0.1 [-0.22, 0.42]</t>
  </si>
  <si>
    <t>-0.1 [-2.48, 2.26]</t>
  </si>
  <si>
    <t>See ES calculator for details. Lysholm score used for function ES.</t>
  </si>
  <si>
    <t>Arthroscopic cartilage repair  – knee</t>
  </si>
  <si>
    <t>Assumed the same as arthroscopic menniscectomy</t>
  </si>
  <si>
    <t>Assumed the same as arthroscopic meniscectomy</t>
  </si>
  <si>
    <t>Assumed the same as arthroscopic meniscectomy. Intervention survivorship is dependent on the type of intervention administered, ranging from about from 2-5 years, or more. See the narrative review by: Brittberg, M., et al. (2016). "Cartilage repair in the degenerative ageing knee: A narrative review and analysis." Acta Orthopaedica 87(Suppl 363): 26-38.</t>
  </si>
  <si>
    <t>Y - assumed the same as meniscectomy</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</si>
  <si>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This review did not cover cartilage repair, but found low rates of harm for memiscectomy and debridement intervention: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</si>
  <si>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Not available</t>
  </si>
  <si>
    <t>No RCT data found; assumed the same as lavage and debridement and meniscectomy</t>
  </si>
  <si>
    <t>No RCT data found; assumed same as lavage and debridement and meniscectomy</t>
  </si>
  <si>
    <t>No RCT data found. Assumed similar to lavage and debridement &amp; meniscectomy repair</t>
  </si>
  <si>
    <t>Arthroscopic cartilage repair  – hip</t>
  </si>
  <si>
    <t>Assumed the same as lavage and debridement</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</si>
  <si>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(6/435 = 1.37%)</t>
  </si>
  <si>
    <t>Range, 0.44–1.63. No RCT data found for hip, therefore not reported in the RACGP CPG. According to the SR by Kemp et al (2015), the ES for pain is moderate to large (range, 0.44–1.63)</t>
  </si>
  <si>
    <t>The effect sizes reported in the systematic review by Kemp et al (2015) informed the effectiveness of this intervention. The authors note the limited number of studies with low quality evidence (level 3/4 - case series &amp; case-control) that support their conclusion.</t>
  </si>
  <si>
    <t>Total Joint Replacement - knee</t>
  </si>
  <si>
    <t>Conditional against - early
Neutral - mid
Strong for - advanced</t>
  </si>
  <si>
    <t>✓ - early &amp; mid
✓✓✓✓ - advanced</t>
  </si>
  <si>
    <t>$21,600-$30,600 TKA (private cost NZ$2017)
$17,290.13 TKA (public cost, adjusted from NZ$ 2009)</t>
  </si>
  <si>
    <t>$20,300 - $30,600 per procedure
PUBLIC TKA $15,301 per procedure NZ$2009= $17,290.13</t>
  </si>
  <si>
    <t>private cost - Health Funds Association of New Zealand
public cost estimate is from pinto et al 2013 paper suppl 1</t>
  </si>
  <si>
    <t xml:space="preserve">1. $20,600 and $29,300 for hips and 21,600-$30,600 for knees - Health Funds Assocation NZ (2017) indicative costs of surgery (inc. GST): Health Funds Association of New Zealand, Indicative costs of surgery. 2017, healthfunds.org.nz.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OTHER
2. Royal Australasian College of Surgeons and Medibank (2017). Surgical Variance Report 2017: Orthopaedic Surgery. For Australian hip/knee surguries using private health care data from 2015/16 (MediBank).
Knee average separation cost $22,925: Page 19.
Hip average separation cost: $27,079: Page 11.
3. &gt;$12,000 USD: Pasquale, M.K., et al., Healthcare Utilization and Costs of Knee or Hip Replacements versus Pain-Relief Injections. American Health &amp; Drug Benefits, 2015. 8(7): p. 384-394.
4. $24761 (2012 USD) - Konopka, J.F., et al., The cost-effectiveness of surgical treatment of medial unicompartmental knee osteoarthritis in younger patients: a computer model-based evaluation. J Bone Joint Surg Am, 2015. 97(10): p. 807-17.
Konopka: convert 24761USD2012 to 2017USD= 26,602.49
Convert to NZD2017 = 37907.16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t>
  </si>
  <si>
    <t>⧗⧗⧗</t>
  </si>
  <si>
    <t>NZ Joint Registry  Survival is &gt;85% and &gt;92% 17 years for hip, and knees, respectively.
10 years or more: Ten years or more given &gt;90% survivorship 10-year cumulative survivorship: Bottomley, N., et al., A survival analysis of 1084 knees of the Oxford unicompartmental knee arthroplasty: a comparison between consultant and trainee surgeons. Bone Joint J, 2016. 98-b(10 Supple B): p. 22-27.
Duration of effect seems to peak at 2-3 years and then progressively decline 16 years post-operatively. See page 402 from: Shan, L., et al. (2014). "Total hip replacement: a systematic review and meta-analysis on mid-term quality of life." Osteoarthritis and Cartilage 22(3): 389-406.
Pollock's review suggests that effectiveness &amp; safety is the same for TKA, UKA and THA: Pollock, M., et al., Outpatient Total Hip Arthroplasty, Total Knee Arthroplasty, and Unicompartmental Knee Arthroplasty: A Systematic Review of the Literature. JBJS Rev, 2016. 4(12).
51patient follow up: Fifteen-year survivorship was 93% and 20-year survivorship was 90%. Four of 62 knees were revised to total knee arthroplasty at a mean of 144 months: Foran, J.R., et al., Long-term survivorship and failure modes of unicompartmental knee arthroplasty. Clin Orthop Relat Res, 2013. 471(1): p. 102-8.
NZ Joint Registry states &gt;80% survivorship at 15 years for unicompartmental knee replacement.</t>
  </si>
  <si>
    <t>Y - spoke to HA about this. Patient satisfaction is not considered a harm, so the level of mild/moderate is low, even though satisfaction with pain relief varies from 72-86% post-surgery. In another systematic review of pain outcomes, an unfavourable pain outcome was reported in 9% or more of patients after hip and about 20% of patients after knee replacement in high quality studies. See Beswick, A.D., et al., What proportion of patients report long-term pain after total hip or knee replacement for osteoarthritis? A systematic review of prospective studies in unselected patients. BMJ Open, 2012. 2(1).</t>
  </si>
  <si>
    <r>
      <t xml:space="preserve">Health round table - see word table. No data for knees, only hips. Some data is available for southland only (not national): 5.6% 1yr rate for unplanned readmissions of knees,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If patient satisfaction is considered a mild/moderate harm, Satisfaction with pain relief varied from 72-86% and with function from 70-84% for specific activities of daily living Bourne, R.B., et al., Patient satisfaction after total knee arthroplasty: who is satisfied and who is not? Clin Orthop Relat Res, 2010. 468(1): p. 57-63.
Fourteen articles describing 17 cohorts (6 with hip and 11 with knee replacement) presented appropriate data on pain intensity. The proportion of people with an unfavourable long-term pain outcome in studies ranged from about 7% to 23% after hip and 10% to 34% after knee replacement. In the best quality studies, an unfavourable pain outcome was reported in 9% or more of patients after hip and about 20% of patients after knee replacement. Beswick, A.D., et al., What proportion of patients report long-term pain after total hip or knee replacement for osteoarthritis? A systematic review of prospective studies in unselected patients. BMJ Open, 2012. 2(1).</t>
    </r>
  </si>
  <si>
    <t>-1.72 [-0.97, -2.46]  
Shan, L., et al. (2015). "Intermediate and long-term quality of life after total knee replacement: a systematic review and meta-analysis." J Bone Joint Surg Am 97(2): 156-168, "When WOMAC and KSS scores were combined, the total pain and function domains all demonstrated substantial benefit from total knee replacement. The pooled effect for each of these domains was &gt;1.0. 
The combined WOMAC and KSS Total Score SMD was 2.17 [1.13 - 3.22]</t>
  </si>
  <si>
    <t>-1.26 [-0.87, -1.64]
Shan, L., et al. (2015). "Intermediate and long-term quality of life after total knee replacement: a systematic review and meta-analysis." J Bone Joint Surg Am 97(2): 156-168 - "When WOMAC and KSS scores were combined, the total pain and function domains all demonstrated substantial benefit from total knee replacement. The pooled effect for each of these domains was &gt;1.0. 
The combined WOMAC and KSS Total Score SMD was 2.17 [1.13, 3.22]</t>
  </si>
  <si>
    <t>SMDs reported as combined womac and KSS pain score by Shan et al 2015.</t>
  </si>
  <si>
    <t>Total Joint Replacement - hip</t>
  </si>
  <si>
    <t>$20,600-$29,300 THA (private cost NZ$2017)
$15,340.88 THA (public cost, adjusted from NZ$ 2009)</t>
  </si>
  <si>
    <t>$20,300 - $30,600 per procedure
PUBLIC THA: $13,576 per procedure  NZ$2009= (13% inflation by OECD GPD CPI)  $15,340.88</t>
  </si>
  <si>
    <r>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r>
  </si>
  <si>
    <t>-2.33 [-1.59, -3.08] 
SMD is reported at 3.6-7 year follow up range from Shan, L., et al. (2014). "Total hip replacement: a systematic review and meta-analysis on mid-term quality of life." Osteoarthritis and Cartilage 22(3): 389-406
The combined WOMAC and KSS Total Score SMD is 2.17 [1.13 - 3.22]</t>
  </si>
  <si>
    <t>2.31 [-1.46, -3.16] 
SMD is reported at 3.6-7 year follow up range from Shan, L., et al. (2014). "Total hip replacement: a systematic review and meta-analysis on mid-term quality of life." Osteoarthritis and Cartilage 22(3): 389-406
The combined WOMAC and KSS Total Score SMD is 2.17 [1.13, 3.22]</t>
  </si>
  <si>
    <t>SMDs are combined WOMAC and HHS pain scores reported by Shan et al 2014.</t>
  </si>
  <si>
    <t>Unicompartmental Joint Replacement</t>
  </si>
  <si>
    <t>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</si>
  <si>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Neutral</t>
  </si>
  <si>
    <t>$15,849.50 (estimated 1st year cost of uncomplicated HTO in a US study)</t>
  </si>
  <si>
    <t>$15,849.50 per procedure</t>
  </si>
  <si>
    <t>Estimate from a US study (Konopka, 2015). "For each procedure, we used average Medicare reimbursement rates to estimate costs of physician visits, preoperative imaging, preoperative laboratory tests, anesthesia fees, surgeon fees, surgery-related technical needs, acute inpatient recovery, major medical complications, postoperative rehabilitation, and postoperative evaluations."</t>
  </si>
  <si>
    <t xml:space="preserve">$10,006 (2012 USD), see table 1 for included parameters: Konopka, J.F., et al., The cost-effectiveness of surgical treatment of medial unicompartmental knee osteoarthritis in younger patients: a computer model-based evaluation. J Bone Joint Surg Am, 2015. 97(10): p. 807-17.
convert from 2012$US to 2012$NZ= $10,006*1.5 (2012 CPI)
convert from 2012$NZ to 2017 $NZ= 15,009* (110.7-105.1)*100= 1.056; 15,009*1.056= $15,849.50
convert to 2017USD= 21,955.83
convert to 2017NZD= $31,342.91 
</t>
  </si>
  <si>
    <t>NZ Joint Registry data put unicompartmental knee replacement in the long category (&gt;10 years). There is no data for osteotomy.
1. NZ Joint Registry: &gt;80% survivorship at 15 years for unicompartmental knee replacement.</t>
  </si>
  <si>
    <t xml:space="preserve">NZ Specific data from the NZ Joint Registry report 2017 for unicompartmental knee replacement only:
Over 17 year period there was an 8% revision rate - the majority were for TKR (82%). Mean time to revision = 1828 days (5yrs). Primary reasons for revision were pain and loosening.
</t>
  </si>
  <si>
    <t>5 fewer in 1000 venus thromboembolism vs conservative management. See graphic on Page 2 of 8. in Siemieniuk, R.A.C., et al., Arthroscopic surgery for degenerative knee arthritis and meniscal tears: a clinical practice guideline. BMJ, 2017. 357.</t>
  </si>
  <si>
    <t>Weight management (combination weight management plus exercise vs exercise alone) - knee</t>
  </si>
  <si>
    <t>Good</t>
  </si>
  <si>
    <t>$6704 mean total cost per person US$2008</t>
  </si>
  <si>
    <t>Exercise: aerobic and resistance, facility-based; 1-h, 3 xweek  x 4 mo, then given the option to exercise at home with telephone contact; Diet: encouraged to lose 5% baseline weight, maintain loss  x 18 mo, included home visit and group meetings.</t>
  </si>
  <si>
    <t>3-6 months or more with booster sessions (assumed the same as all land based knee exercise)</t>
  </si>
  <si>
    <t>Y - SAEs unrelated to Tx</t>
  </si>
  <si>
    <t>SAEs unrelated to Tx +19/1000.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</si>
  <si>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-0.56 [-0.81, -0.32]</t>
  </si>
  <si>
    <t>-0.48 [-1.32, 0.36]</t>
  </si>
  <si>
    <t>Weight management (combination weight management plus exercise vs exercise alone) - hip</t>
  </si>
  <si>
    <t>SAEs unrelated to Tx +33/1000.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</si>
  <si>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-0.46 [-0.7, -0.21]</t>
  </si>
  <si>
    <t>-0.3 [-1.15, 0.54]</t>
  </si>
  <si>
    <t>Cognitive behavioural therapy + exercise vs exercise alone (knee and hip)</t>
  </si>
  <si>
    <t>-0.52 [-1.0, -0.03]</t>
  </si>
  <si>
    <t>-0.43 [-0.68, -0.18]</t>
  </si>
  <si>
    <t>Cognitive behavioural therapy + exercise vs cognitive behavioural therapy alone (knee and hip)</t>
  </si>
  <si>
    <t>-0.28 [-0.64, 0.08]</t>
  </si>
  <si>
    <t>-0.77 [-1.03, 0.52]</t>
  </si>
  <si>
    <t>could use up to date website to check rates of serious and moderate/mild harm.</t>
  </si>
  <si>
    <t>Tibial osteotomy and joint preserving surgical procedures (e.g. osteotomy for isolated PFJ OA, partial replacement for unicompartmental OA, osteotomy for hip OA)</t>
  </si>
  <si>
    <t>"Neutral" 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</si>
  <si>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 Suggest low - results from the cochrane review remain inconclusive and the studies reviewed were of low quality (GRADE): Brouwer, R. W., et al. (2014). "Osteotomy for treating knee osteoarthritis." Cochrane Database Syst Rev(12): Cd004019</t>
  </si>
  <si>
    <t xml:space="preserve">There is no data for osteotomy in the NZJR. In the review by Woodacre (2015), the 5 year survival rate for osteotomy is 80% with an overall complication rate of 31%. Their review did not highlight any follow up studies beyond 5 years for opening wedge high tibial osteotomy.
1. 5 years: 80% survival rate at 5 years. 31% overall complicaton rate: Woodacre, T., et al., Complications associated with opening wedge high tibial osteotomy — A review of the literature and of 15years of experience. The Knee, 2016. 23(2): p. 276-282.
88% survival at 6 years, 63% survival post ten-year follow up: Yasuda, K., et al., A ten- to 15-year follow-up observation of high tibial osteotomy in medial compartment osteoarthrosis. Clin Orthop Relat Res, 1992(282): p. 186-95.
</t>
  </si>
  <si>
    <t xml:space="preserve">For HTO % patients with complications, based on a a non-systematic review (Woodacre, 2016): 
1. 0-10% all infections
2. complications from bone defect, non-union requiring revision 0-5.4%
3. complications from implant 0-23%
Woodacre, T., et al., Complications associated with opening wedge high tibial osteotomy — A review of the literature and of 15 years of experience. The Knee, 2016. 23(2): p. 276-282.
</t>
  </si>
  <si>
    <t>-0.13 [-0.55, 0.29]
Brouwer, R. W., et al. (2014). "Osteotomy for treating knee osteoarthritis." Cochrane Database Syst Rev(12): Cd004019. PAN: '-0.13 [-0.55, 0.29]</t>
  </si>
  <si>
    <t>-0.10 [-0.57, 0.36]
Brouwer, R. W., et al. (2014). "Osteotomy for treating knee osteoarthritis." Cochrane Database Syst Rev(12): Cd004019. FCT: -0.10 [-0.57, 0.36]</t>
  </si>
  <si>
    <t>Cost value</t>
  </si>
  <si>
    <t>Cost duration</t>
  </si>
  <si>
    <t>&lt;$1500</t>
  </si>
  <si>
    <t>$1129-$4159</t>
  </si>
  <si>
    <t>$800 - $1335</t>
  </si>
  <si>
    <t>$1364</t>
  </si>
  <si>
    <t>$470</t>
  </si>
  <si>
    <t>$549</t>
  </si>
  <si>
    <t>$6037</t>
  </si>
  <si>
    <t>$11</t>
  </si>
  <si>
    <t>$1408</t>
  </si>
  <si>
    <t>$207</t>
  </si>
  <si>
    <t>$22</t>
  </si>
  <si>
    <t>$32 - $370</t>
  </si>
  <si>
    <t>$868</t>
  </si>
  <si>
    <t>$1203</t>
  </si>
  <si>
    <t>$2</t>
  </si>
  <si>
    <t>$2-$59</t>
  </si>
  <si>
    <t>$9</t>
  </si>
  <si>
    <t>$28</t>
  </si>
  <si>
    <t>$43</t>
  </si>
  <si>
    <t>$23</t>
  </si>
  <si>
    <t>$10</t>
  </si>
  <si>
    <t>$166</t>
  </si>
  <si>
    <t>$363</t>
  </si>
  <si>
    <t>$58</t>
  </si>
  <si>
    <t>$46</t>
  </si>
  <si>
    <t>$1305</t>
  </si>
  <si>
    <t>$5</t>
  </si>
  <si>
    <t>$650</t>
  </si>
  <si>
    <t>$496</t>
  </si>
  <si>
    <t>$27</t>
  </si>
  <si>
    <t>$24</t>
  </si>
  <si>
    <t>$10000</t>
  </si>
  <si>
    <t>$4,300-$7,100</t>
  </si>
  <si>
    <t>$1143-$1735</t>
  </si>
  <si>
    <t>Duration value</t>
  </si>
  <si>
    <t>6-12 months</t>
  </si>
  <si>
    <t>3-6 months</t>
  </si>
  <si>
    <t>1-6 months</t>
  </si>
  <si>
    <t>&lt;3 months</t>
  </si>
  <si>
    <t>12 months</t>
  </si>
  <si>
    <t>6 months</t>
  </si>
  <si>
    <t>3 weeks</t>
  </si>
  <si>
    <t>&lt; 8 weeks</t>
  </si>
  <si>
    <t>10 months</t>
  </si>
  <si>
    <t>&lt;2 months</t>
  </si>
  <si>
    <t>6 hours</t>
  </si>
  <si>
    <t>12-24 hours</t>
  </si>
  <si>
    <t>4-12 hours</t>
  </si>
  <si>
    <t>6-8 hours</t>
  </si>
  <si>
    <t>3-7 days</t>
  </si>
  <si>
    <t>1 day</t>
  </si>
  <si>
    <t>12 hours</t>
  </si>
  <si>
    <t>1 week</t>
  </si>
  <si>
    <t>4-12 months</t>
  </si>
  <si>
    <t>3 months</t>
  </si>
  <si>
    <t>10+ years</t>
  </si>
  <si>
    <t>Effectiveness value</t>
  </si>
  <si>
    <t>-1.72 [-0.97, -2.46]</t>
  </si>
  <si>
    <t>not available in NZ</t>
  </si>
  <si>
    <t>$6</t>
  </si>
  <si>
    <t>$32</t>
  </si>
  <si>
    <t>$12</t>
  </si>
  <si>
    <t>$82</t>
  </si>
  <si>
    <t>$17,290-$30,600</t>
  </si>
  <si>
    <t>-0.64 [-0.95, -0.33]</t>
  </si>
  <si>
    <t>-0.30 [-0.75, +0.14]</t>
  </si>
  <si>
    <t>-0.36 [-0.92, +0.20]</t>
  </si>
  <si>
    <t>-0.20 [-0.29, -0.11]</t>
  </si>
  <si>
    <t>-0.19 [-0.30, -0.09]</t>
  </si>
  <si>
    <t>-0.40 [-0.58, -0.22]</t>
  </si>
  <si>
    <t>-1.61 [-2.10, -1.13]</t>
  </si>
  <si>
    <t>-0.60 [-0.83, -0.38]</t>
  </si>
  <si>
    <t>+0.16 [-0.15, +0.48]</t>
  </si>
  <si>
    <t>-1.10 [-1.66, -0.54]</t>
  </si>
  <si>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NZ Specific data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</si>
  <si>
    <t>Very low likelihood of serious adverse effects</t>
  </si>
  <si>
    <t>Very low risk of harm reported</t>
  </si>
  <si>
    <t>Low risk of harms</t>
  </si>
  <si>
    <t>No adverse effects reported</t>
  </si>
  <si>
    <t>Low likelihood of adverse effects which can include skin irritation</t>
  </si>
  <si>
    <t>Side effects are minor and include skin irritation from the tape</t>
  </si>
  <si>
    <t>Few adverse events</t>
  </si>
  <si>
    <t>No evidence of harm</t>
  </si>
  <si>
    <t>Statistically significant increase in risk of adverse events</t>
  </si>
  <si>
    <t>Risk of harm is low</t>
  </si>
  <si>
    <t xml:space="preserve">Potential harms of NSAIDs include gastrointestinal (GI), renal and cardiovascular adverse effects
</t>
  </si>
  <si>
    <t>Adverse events from topical NSAIDs agents are minimal, but there is mild toxicity due to local skin reactions</t>
  </si>
  <si>
    <t>Mild application site burning is the most comment adverse event</t>
  </si>
  <si>
    <t>Majority of adverse events are of mild or moderate intensity, e.g. constipation, nausea, hyperhidrosis, cough, myalgia, arthralgia and palpitations</t>
  </si>
  <si>
    <t>Listed side effects include myocardial infarction, venous thromboembolism events, pulmonary embolism, and hypersensitivity reaction</t>
  </si>
  <si>
    <t>No local or systemic safety concerns for doses up to 300 μg</t>
  </si>
  <si>
    <t>Higher incidence of gastrointestinal disorders and hot flushes</t>
  </si>
  <si>
    <t>Minor adverse events and restrictions on some day to day activities such as dental procedures</t>
  </si>
  <si>
    <t>Minor adverse events include monilial vaginitis, sun sensitivity, nonspecific gastrointestinal symptoms</t>
  </si>
  <si>
    <t>Minor adverse events include headache, upper respiratory tract infection, back pain, and extremity pain</t>
  </si>
  <si>
    <t>Reported adverse events include arthralgia, headache, upper respiratory tract infection and abnormal peripheral sensation (e.g. paraesthesia, dysesthesia, hyperaesthesia and hypoesthesia)</t>
  </si>
  <si>
    <t>Side-effects can include gastrointestinal side-effects, haematological abnormalities and elevated liver transaminases</t>
  </si>
  <si>
    <t>Most common treatment related adverse events are local swelling and transient regional pain</t>
  </si>
  <si>
    <t>Minimal adverse events</t>
  </si>
  <si>
    <t>Low risk of adverse effects</t>
  </si>
  <si>
    <t>No significant risk of adverse events</t>
  </si>
  <si>
    <t>No safety concerns</t>
  </si>
  <si>
    <t>Side-effects are minor and uncommon</t>
  </si>
  <si>
    <t>Risk of serious adverse events including severe diarrhoea and potentially harmful effects on the liver</t>
  </si>
  <si>
    <t>Side effects can include local pain and swelling, infection, prolonged drainage from the surgical site, bleeding into the joint, and thrombophlebitis&lt;br&gt;Serious potential harms can include deep venous thrombosis, premature joint replacement, and rarely, pulmonary embolism and death</t>
  </si>
  <si>
    <t>Risk of joint infection</t>
  </si>
  <si>
    <t>Rmi value</t>
  </si>
  <si>
    <t>Rse value</t>
  </si>
  <si>
    <t>Minor adverse events include temporary increased pain at affected joint or pain at other sites</t>
  </si>
  <si>
    <t>Low likelihood of skin irritation</t>
  </si>
  <si>
    <t>No serious adverse events</t>
  </si>
  <si>
    <t>Low risk of adverse events</t>
  </si>
  <si>
    <t>No serious adverse events reported</t>
  </si>
  <si>
    <t>Common harmful effects include gastrointestinal disturbance and cognitive dysfunction</t>
  </si>
  <si>
    <t>The risk of additional adverse effects may accumulate with long-term use, including dependence, adverse effects on bone health, endocrine and immune function, and possible potentiation of chronic pain mechanisms</t>
  </si>
  <si>
    <t>Adverse events from topical NSAIDs agents are minimal</t>
  </si>
  <si>
    <t>Common harmful effects may occur in the short-term, such as gastrointestinal disturbance and cognitive dysfunction</t>
  </si>
  <si>
    <t>Majority of adverse events are of mild or moderate intensity</t>
  </si>
  <si>
    <t>Minor side effects include pain at the injection site, local joint pain and swelling, and local skin reactions</t>
  </si>
  <si>
    <t>Pseudoseptic reactions can be severe and may require further medical treatment</t>
  </si>
  <si>
    <t>Minor adverse events include mild pain and effusion</t>
  </si>
  <si>
    <t>No significant risk of mild/moderate adverse events</t>
  </si>
  <si>
    <t>Knee exercise: Stationary cycling only (same as hip)</t>
  </si>
  <si>
    <t>Other electrotherapy - knee (shockwave)</t>
  </si>
  <si>
    <t>Acupuncture (traditional with manual stimulation) - knee</t>
  </si>
  <si>
    <t>Assumed the same as traditional acupuncture for the knee</t>
  </si>
  <si>
    <t>Acupuncture (electroacupuncture) - knee</t>
  </si>
  <si>
    <r>
      <rPr>
        <i/>
        <sz val="10"/>
        <color theme="1"/>
        <rFont val="Segoe UI Symbol"/>
        <family val="2"/>
      </rPr>
      <t xml:space="preserve">Transdermal opioids </t>
    </r>
    <r>
      <rPr>
        <sz val="10"/>
        <color theme="1"/>
        <rFont val="Segoe UI Symbol"/>
        <family val="2"/>
      </rPr>
      <t>- buprenorphine - same for knee and hip</t>
    </r>
  </si>
  <si>
    <r>
      <rPr>
        <i/>
        <sz val="10"/>
        <color theme="1"/>
        <rFont val="Segoe UI Symbol"/>
        <family val="2"/>
      </rPr>
      <t>Transdermal opioids</t>
    </r>
    <r>
      <rPr>
        <sz val="10"/>
        <color theme="1"/>
        <rFont val="Segoe UI Symbol"/>
        <family val="2"/>
      </rPr>
      <t xml:space="preserve"> - Fentanyl - same for knee and hip</t>
    </r>
  </si>
  <si>
    <r>
      <t xml:space="preserve">Colchicine – same for knee and hip. </t>
    </r>
    <r>
      <rPr>
        <sz val="10"/>
        <color rgb="FFFF0000"/>
        <rFont val="Segoe UI Symbol"/>
        <family val="2"/>
      </rPr>
      <t>Only indicated for goutin the NZ Formulary</t>
    </r>
    <r>
      <rPr>
        <sz val="10"/>
        <color theme="1"/>
        <rFont val="Segoe UI Symbol"/>
        <family val="2"/>
      </rPr>
      <t>. Should be considered as an investigational medication only.</t>
    </r>
  </si>
  <si>
    <t>Methotrexate - knee. Should be considered as an investigational medication only</t>
  </si>
  <si>
    <t xml:space="preserve">Duration 
⧗= Short: up to &lt;6hrs
⧗⧗= short-medium &lt;3 months
⧗⧗⧗= Medium: 3-12 months 
⧗⧗⧗⧗= Long: &gt;12 months
Added the additional level short-medium, based on a review of all the follow up times used in the papers referenced by the RACGP CPG. HA discussed on 10/9/18 that if ES = small (crosses the null), then the duration would be set to short so that there would be no inconsistency ebtween duration and effect (contradiction).
</t>
  </si>
  <si>
    <t>⧗⧗⧗⧗</t>
  </si>
  <si>
    <t>-0.3 [-0.61,0]</t>
  </si>
  <si>
    <t>-0.23 [-0.47,0]</t>
  </si>
  <si>
    <t>-0.08 [-0.4, +0.24]</t>
  </si>
  <si>
    <t>-0.4 [-0.58, -0.22] (immediate 4-6weeks follow up) p141.</t>
  </si>
  <si>
    <t>SMD not calculable due to poor reporting</t>
  </si>
  <si>
    <t>p101 - Large publically funded trials demonstrate no effect.</t>
  </si>
  <si>
    <t>P105 - high quality data suggest no effect.</t>
  </si>
  <si>
    <t>p107 - high quality trials suggest no effect. SMD is not significant anyway.</t>
  </si>
  <si>
    <t>-0.30 [-0.61, 0.00]</t>
  </si>
  <si>
    <t>-0.23 [-0.47, 0.00]</t>
  </si>
  <si>
    <t>-0.08 [-0.40, +0.24]</t>
  </si>
  <si>
    <t>+0.72 [+0.26, +1.17]</t>
  </si>
  <si>
    <t>Intervention</t>
  </si>
  <si>
    <t>Attribute</t>
  </si>
  <si>
    <t>Note</t>
  </si>
  <si>
    <t>Knee exercise: Stationary cycling only</t>
  </si>
  <si>
    <t>Change</t>
  </si>
  <si>
    <t>Conditional For</t>
  </si>
  <si>
    <t>This is the overall recommendation in RACGP, and it is listed under optional adjunctive management, so should only be downgraded for 1st-line and 3rd-line, not 2nd-line</t>
  </si>
  <si>
    <t>Based on calculated SMD</t>
  </si>
  <si>
    <t>Dur</t>
  </si>
  <si>
    <t>From the single study reported in RACGP guideline</t>
  </si>
  <si>
    <t>Knee exercise: Yoga only</t>
  </si>
  <si>
    <t>From the two studies reported in RACGP guideline</t>
  </si>
  <si>
    <t>Calculated from the single study reported in RACGP guideline</t>
  </si>
  <si>
    <t>-0.28 [-0.65, +0.08]</t>
  </si>
  <si>
    <t>Based on calculated SMD - imprecision adjustment not used</t>
  </si>
  <si>
    <t>No RCT evidence</t>
  </si>
  <si>
    <t>Shoe orthotics (medial wedged insoles for lateral tibiofemoral OA and valgus deformity)</t>
  </si>
  <si>
    <t>8 weeks</t>
  </si>
  <si>
    <t>Footwear (minimalist footwear)</t>
  </si>
  <si>
    <t>Not possible to extract required data from the single study reported in RACGP guideline</t>
  </si>
  <si>
    <t>Footwear (rocker soled shoes)</t>
  </si>
  <si>
    <t>Taping (patellar taping)</t>
  </si>
  <si>
    <t>+0.04 [-0.31, +0.40]</t>
  </si>
  <si>
    <t>-0.00 [-0.51, +0.51]</t>
  </si>
  <si>
    <t>Taping (kinesio taping)</t>
  </si>
  <si>
    <t>No evidence of effect</t>
  </si>
  <si>
    <t>1 hour</t>
  </si>
  <si>
    <t>Based on effectiveness immediately after application of tape (first two studies reported in RACGP guidelines)</t>
  </si>
  <si>
    <t>Based on calculated SMD - applies only to immediate effect</t>
  </si>
  <si>
    <t>Study</t>
  </si>
  <si>
    <t>Salacinski 2012</t>
  </si>
  <si>
    <t>Week</t>
  </si>
  <si>
    <t>Measure</t>
  </si>
  <si>
    <t>WOMAC Pain</t>
  </si>
  <si>
    <t>MD</t>
  </si>
  <si>
    <t>n1</t>
  </si>
  <si>
    <t>n2</t>
  </si>
  <si>
    <t>sd1</t>
  </si>
  <si>
    <t>sd2</t>
  </si>
  <si>
    <t>SD</t>
  </si>
  <si>
    <t>SMD</t>
  </si>
  <si>
    <t>SE(SMD)</t>
  </si>
  <si>
    <t>95% CI</t>
  </si>
  <si>
    <t>m1</t>
  </si>
  <si>
    <t>m2</t>
  </si>
  <si>
    <t>-0.98 [-1.77, -0.18]</t>
  </si>
  <si>
    <t>Cheung 2014</t>
  </si>
  <si>
    <t>Cheung 2017</t>
  </si>
  <si>
    <t>Pooled SMD</t>
  </si>
  <si>
    <t>Pooled SE(SMD)</t>
  </si>
  <si>
    <t>Weight</t>
  </si>
  <si>
    <t>Pooled 95% CI</t>
  </si>
  <si>
    <t>--</t>
  </si>
  <si>
    <t>-0.53 [-0.95, -0.11]</t>
  </si>
  <si>
    <t>Brouwer 2006</t>
  </si>
  <si>
    <t>Overall</t>
  </si>
  <si>
    <t>VAS pain</t>
  </si>
  <si>
    <t>Pooled baseline group reported</t>
  </si>
  <si>
    <t>Rodrigues 2008</t>
  </si>
  <si>
    <t>-1.03 [-1.80, -0.26]</t>
  </si>
  <si>
    <t>Nigg 2006</t>
  </si>
  <si>
    <t>Hinman 2003</t>
  </si>
  <si>
    <t>Calculated from the single study reported in RACGP guideline ('overall' effect)</t>
  </si>
  <si>
    <t>Calculated from the single study reported in RACGP guideline - WOMAC Pain, 6-week follow-up</t>
  </si>
  <si>
    <t>Anandkumar 2014</t>
  </si>
  <si>
    <t>Cho 2015</t>
  </si>
  <si>
    <t>-2.06 [-2.60, -1.52]</t>
  </si>
  <si>
    <t>Assistive walking device</t>
  </si>
  <si>
    <t>Jones 2012</t>
  </si>
  <si>
    <t>-1.99 [-2.59, -1.38]</t>
  </si>
  <si>
    <t>Calculated from the single study reported in RACGP guideline - 60-day follow-up</t>
  </si>
  <si>
    <t>2 weeks</t>
  </si>
  <si>
    <t>Heat therapy</t>
  </si>
  <si>
    <t>Cold therapy</t>
  </si>
  <si>
    <t>Footwear (unloading shoes)</t>
  </si>
  <si>
    <t>2 months</t>
  </si>
  <si>
    <t>10 weeks</t>
  </si>
  <si>
    <t>Zhao 2013</t>
  </si>
  <si>
    <t>-0.95 [-1.45, -0.46]</t>
  </si>
  <si>
    <t>Paracetamol</t>
  </si>
  <si>
    <t>Case 2003</t>
  </si>
  <si>
    <t>Miceli-Richard 2004</t>
  </si>
  <si>
    <t>Pincus 2004a</t>
  </si>
  <si>
    <t>Pincus 2004b</t>
  </si>
  <si>
    <t>Herrero-Beaumont 2007</t>
  </si>
  <si>
    <t>Altman 2007a</t>
  </si>
  <si>
    <t>Altman 2007b</t>
  </si>
  <si>
    <t>Prior 2014</t>
  </si>
  <si>
    <t>Based on studies used in Machado et al. 2015 systematic review - longest possible follow-up for each study</t>
  </si>
  <si>
    <t>-0.24 [-0.32, -0.17]</t>
  </si>
  <si>
    <t>Duration</t>
  </si>
  <si>
    <t>What is the duration attribute supposed to actually measure? At the moment, it seems to be the length of study follow-up, but in the 1000minds task for stakeholders it was described as e.g. frequency of dosing for pharmacological interventions (i.e. the effects may only last for a few hours before a new dose is needed)</t>
  </si>
  <si>
    <t>Topical capsaicin</t>
  </si>
  <si>
    <t>Kosuwon 2010a</t>
  </si>
  <si>
    <t>Kosuwon 2010b</t>
  </si>
  <si>
    <t>+0.16 [-0.25, '+0.58]</t>
  </si>
  <si>
    <t>Strontium ranelate</t>
  </si>
  <si>
    <t>Reginster 2013</t>
  </si>
  <si>
    <t>Fibroblast growth factor (FGF)</t>
  </si>
  <si>
    <t>Lohmander 2014</t>
  </si>
  <si>
    <t>-0.10 [-0.21, +0.01]</t>
  </si>
  <si>
    <t>+0.75 [+0.39, +1.12]</t>
  </si>
  <si>
    <t>Calcitonin</t>
  </si>
  <si>
    <t>Karsdal 2015a</t>
  </si>
  <si>
    <t>Karsdal 2015b</t>
  </si>
  <si>
    <t>-0.13 [-0.21, -0.05]</t>
  </si>
  <si>
    <t>Calculated from the two studies reported in RACGP guideline, 24-month follow-up</t>
  </si>
  <si>
    <t>Based on 24-month follow-up</t>
  </si>
  <si>
    <t>24 months</t>
  </si>
  <si>
    <t>Interleukin-1 (IL-1) inhibitors</t>
  </si>
  <si>
    <t>Chevalier 2009</t>
  </si>
  <si>
    <t>-0.05 [-0.36, +0.25]</t>
  </si>
  <si>
    <t>Calculated from the single study reported in RACGP guideline, 12-week follow-up</t>
  </si>
  <si>
    <t>Colchicine</t>
  </si>
  <si>
    <t>Das 2002a/b</t>
  </si>
  <si>
    <t>-0.45 [-0.91, +0.01]</t>
  </si>
  <si>
    <t>Calculated from the two studies reported in RACGP guideline, 20-week follow-up (insufficient reporting to get all required data - used the MD reported in RACGP, and the baseline SD reported in the A&amp;R paper)</t>
  </si>
  <si>
    <t>Methotrexate</t>
  </si>
  <si>
    <t>de Holanda 2007</t>
  </si>
  <si>
    <t>+0.21 [-0.31, +0.74]</t>
  </si>
  <si>
    <t>Platelet-rich plasma (PRP) injection</t>
  </si>
  <si>
    <t>Based on RACGP reported SMD - no adjustment for 'outlier' effect size</t>
  </si>
  <si>
    <t>Stem cell therapy</t>
  </si>
  <si>
    <t>Varma 2010</t>
  </si>
  <si>
    <t>-3.39 [-4.28, -2.50]</t>
  </si>
  <si>
    <t>Dextrose prolotherapy</t>
  </si>
  <si>
    <t>Rabago 2013</t>
  </si>
  <si>
    <t>-0.59 [-1.14, -0.04]</t>
  </si>
  <si>
    <t>Calculated from the single study reported in RACGP guideline, 24-week follow-up</t>
  </si>
  <si>
    <t>Avocado-soybean unsaponifiables</t>
  </si>
  <si>
    <t>Boswellia serrata extract</t>
  </si>
  <si>
    <t>Curcuma/curcuminoid</t>
  </si>
  <si>
    <t>Based on RACGP reported SMD - no adjustment for study quality</t>
  </si>
  <si>
    <t>Pycnogenol</t>
  </si>
  <si>
    <t>Required data could not be extracted from the only reported RCT due to poor quality reporting</t>
  </si>
  <si>
    <t>Glucosamine</t>
  </si>
  <si>
    <t>-0.83 [-1.55, -0.11]</t>
  </si>
  <si>
    <t>-0.45 [-0.77, -0.14]</t>
  </si>
  <si>
    <t>Chondroitin</t>
  </si>
  <si>
    <t>-0.63 [-0.91, -0.36]</t>
  </si>
  <si>
    <t>Strongest effect at 3 months (-0.28 [-0.49, -0.06] at 6-12 months; -0.03 [-0.13, 0.07] at 24 months)</t>
  </si>
  <si>
    <t>From RACGP - highest quality (moderate) evidence only at 6-month follow-up</t>
  </si>
  <si>
    <t>+0.02 [-0.15, +0.19]</t>
  </si>
  <si>
    <t>From RACGP - highest quality (low) evidence only at 24-month follow-up</t>
  </si>
  <si>
    <t>Glucosamine and chondroitin in compound form</t>
  </si>
  <si>
    <t>Vitamin D</t>
  </si>
  <si>
    <t>Omega-3 fatty acids</t>
  </si>
  <si>
    <t>Collagen</t>
  </si>
  <si>
    <t>Methylsulfonylmethane</t>
  </si>
  <si>
    <t>4 months</t>
  </si>
  <si>
    <t>Diacerein</t>
  </si>
  <si>
    <t>Arthroscopic lavage and debridement</t>
  </si>
  <si>
    <t>Moseley 2002</t>
  </si>
  <si>
    <t>AIMS Pain</t>
  </si>
  <si>
    <t>+0.18 [-0.14, +0.50]</t>
  </si>
  <si>
    <t>Calculated from the single study reported in RACGP guideline, 6-month follow-up, pooled lavage &amp; debridement groups</t>
  </si>
  <si>
    <t>Arthroscopic meniscectomy</t>
  </si>
  <si>
    <t>Sihvonen 2013</t>
  </si>
  <si>
    <t>+0.05 [-0.27, +0.38]</t>
  </si>
  <si>
    <t>Arthroscopic cartilage repair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</si>
</sst>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8" formatCode="&quot;$&quot;#,##0.00;[Red]\-&quot;$&quot;#,##0.00"/>
    <numFmt numFmtId="44" formatCode="_-&quot;$&quot;* #,##0.00_-;\-&quot;$&quot;* #,##0.00_-;_-&quot;$&quot;* &quot;-&quot;??_-;_-@_-"/>
    <numFmt numFmtId="164" formatCode="0.0%"/>
  </numFmts>
  <fonts count="15"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Segoe UI Symbol"/>
      <family val="2"/>
    </font>
    <font>
      <b/>
      <sz val="14"/>
      <color theme="1"/>
      <name val="Segoe UI Symbol"/>
      <family val="2"/>
    </font>
    <font>
      <sz val="10"/>
      <color rgb="FFFF0000"/>
      <name val="Segoe UI Symbol"/>
      <family val="2"/>
    </font>
    <font>
      <b/>
      <sz val="10"/>
      <color theme="1"/>
      <name val="Segoe UI Symbol"/>
      <family val="2"/>
    </font>
    <font>
      <sz val="10"/>
      <name val="Arial"/>
      <family val="2"/>
    </font>
    <font>
      <sz val="10"/>
      <color rgb="FF00B0F0"/>
      <name val="Segoe UI Symbol"/>
      <family val="2"/>
    </font>
    <font>
      <sz val="10"/>
      <color rgb="FF00B050"/>
      <name val="Segoe UI Symbol"/>
      <family val="2"/>
    </font>
    <font>
      <i/>
      <sz val="10"/>
      <color theme="1"/>
      <name val="Segoe UI Symbol"/>
      <family val="2"/>
    </font>
    <font>
      <u/>
      <sz val="10"/>
      <color theme="10"/>
      <name val="Segoe UI Symbol"/>
      <family val="2"/>
    </font>
    <font>
      <sz val="9"/>
      <color indexed="81"/>
      <name val="Tahoma"/>
      <family val="2"/>
    </font>
    <font>
      <b/>
      <sz val="9"/>
      <color indexed="81"/>
      <name val="Tahoma"/>
      <family val="2"/>
    </font>
    <font>
      <b/>
      <sz val="11"/>
      <color theme="1"/>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7" fillId="0" borderId="0"/>
  </cellStyleXfs>
  <cellXfs count="138">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Fill="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3" fillId="5" borderId="0" xfId="0" applyFont="1" applyFill="1" applyAlignment="1">
      <alignment horizontal="center" vertical="center" wrapText="1"/>
    </xf>
    <xf numFmtId="0" fontId="3" fillId="5" borderId="0" xfId="0" applyFont="1" applyFill="1" applyAlignment="1">
      <alignment horizontal="center" vertical="top" wrapText="1"/>
    </xf>
    <xf numFmtId="0" fontId="3" fillId="4" borderId="0" xfId="0" applyFont="1" applyFill="1" applyAlignment="1">
      <alignment horizontal="center" vertical="top"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xf>
    <xf numFmtId="0" fontId="3" fillId="4" borderId="0" xfId="0" applyFont="1" applyFill="1" applyAlignment="1">
      <alignment horizontal="left" vertical="top" wrapText="1"/>
    </xf>
    <xf numFmtId="0" fontId="3" fillId="0" borderId="0" xfId="0" applyFont="1"/>
    <xf numFmtId="0" fontId="6" fillId="0" borderId="0" xfId="0" applyFont="1"/>
    <xf numFmtId="0" fontId="3" fillId="0" borderId="0" xfId="0" applyFont="1" applyAlignment="1">
      <alignment horizontal="left" vertical="top"/>
    </xf>
    <xf numFmtId="10" fontId="3" fillId="0" borderId="0" xfId="2" applyNumberFormat="1" applyFont="1"/>
    <xf numFmtId="0" fontId="3" fillId="0" borderId="0" xfId="0" applyFont="1" applyAlignment="1">
      <alignment horizontal="left"/>
    </xf>
    <xf numFmtId="0" fontId="7" fillId="0" borderId="0" xfId="4" applyAlignment="1">
      <alignment horizontal="center"/>
    </xf>
    <xf numFmtId="44" fontId="3" fillId="0" borderId="0" xfId="1" applyFont="1" applyAlignment="1">
      <alignment horizontal="left" vertical="top" wrapText="1"/>
    </xf>
    <xf numFmtId="44" fontId="3" fillId="0" borderId="0" xfId="1" applyFont="1" applyAlignment="1">
      <alignment horizontal="left" wrapText="1"/>
    </xf>
    <xf numFmtId="0" fontId="3" fillId="0" borderId="0" xfId="0" applyFont="1" applyAlignment="1">
      <alignment wrapText="1"/>
    </xf>
    <xf numFmtId="0" fontId="3" fillId="0" borderId="0" xfId="0" applyFont="1" applyAlignment="1"/>
    <xf numFmtId="0" fontId="3" fillId="0" borderId="0" xfId="0" applyFont="1" applyFill="1" applyAlignment="1"/>
    <xf numFmtId="0" fontId="8" fillId="0" borderId="0" xfId="0" applyFont="1" applyFill="1" applyAlignment="1">
      <alignment horizontal="center"/>
    </xf>
    <xf numFmtId="0" fontId="9" fillId="0" borderId="0" xfId="0" applyFont="1" applyFill="1" applyAlignment="1">
      <alignment horizontal="center"/>
    </xf>
    <xf numFmtId="0" fontId="3" fillId="0" borderId="0" xfId="0" quotePrefix="1" applyFont="1"/>
    <xf numFmtId="0" fontId="3" fillId="0" borderId="0" xfId="0" quotePrefix="1" applyFont="1" applyAlignment="1">
      <alignment horizontal="left"/>
    </xf>
    <xf numFmtId="0" fontId="3" fillId="0" borderId="0" xfId="0" quotePrefix="1" applyFont="1" applyAlignment="1">
      <alignment horizontal="center"/>
    </xf>
    <xf numFmtId="44" fontId="3" fillId="0" borderId="0" xfId="1" applyFont="1"/>
    <xf numFmtId="0" fontId="3" fillId="0" borderId="0" xfId="0" quotePrefix="1" applyFont="1" applyFill="1" applyAlignment="1">
      <alignment horizontal="right" vertical="top" wrapText="1"/>
    </xf>
    <xf numFmtId="44" fontId="3" fillId="0" borderId="0" xfId="1" applyFont="1" applyAlignment="1">
      <alignment horizontal="left" vertical="top"/>
    </xf>
    <xf numFmtId="44" fontId="3" fillId="0" borderId="0" xfId="1" applyFont="1" applyAlignment="1">
      <alignment horizontal="left"/>
    </xf>
    <xf numFmtId="0" fontId="10" fillId="0" borderId="0" xfId="0" applyFont="1"/>
    <xf numFmtId="0" fontId="3" fillId="0" borderId="0" xfId="0" quotePrefix="1" applyFont="1" applyAlignment="1">
      <alignment horizontal="center" vertical="top"/>
    </xf>
    <xf numFmtId="0" fontId="10" fillId="0" borderId="0" xfId="0" applyFont="1" applyAlignment="1">
      <alignment horizontal="left" indent="2"/>
    </xf>
    <xf numFmtId="44" fontId="3" fillId="0" borderId="0" xfId="1" applyFont="1" applyAlignment="1">
      <alignment horizontal="right" vertical="top"/>
    </xf>
    <xf numFmtId="0" fontId="3" fillId="0" borderId="0" xfId="0" quotePrefix="1" applyFont="1" applyAlignment="1">
      <alignment horizontal="left" vertical="top"/>
    </xf>
    <xf numFmtId="0" fontId="3" fillId="0" borderId="0" xfId="0" quotePrefix="1" applyFont="1" applyAlignment="1">
      <alignment horizontal="right" vertical="top" wrapText="1"/>
    </xf>
    <xf numFmtId="0" fontId="3" fillId="0" borderId="0" xfId="0" quotePrefix="1" applyFont="1" applyAlignment="1">
      <alignment horizontal="right" vertical="top"/>
    </xf>
    <xf numFmtId="0" fontId="3" fillId="0" borderId="0" xfId="0" applyFont="1" applyAlignment="1">
      <alignment horizontal="left" indent="2"/>
    </xf>
    <xf numFmtId="0" fontId="3" fillId="0" borderId="0" xfId="0" quotePrefix="1" applyFont="1" applyAlignment="1">
      <alignment horizontal="right" wrapText="1"/>
    </xf>
    <xf numFmtId="0" fontId="3" fillId="0" borderId="0" xfId="0" applyFont="1" applyFill="1" applyAlignment="1">
      <alignment horizontal="left" vertical="top" wrapText="1"/>
    </xf>
    <xf numFmtId="8" fontId="3" fillId="0" borderId="0" xfId="0" applyNumberFormat="1" applyFont="1" applyFill="1" applyAlignment="1"/>
    <xf numFmtId="0" fontId="3" fillId="0" borderId="0" xfId="0" applyFont="1" applyFill="1" applyAlignment="1">
      <alignment horizontal="left" vertical="top"/>
    </xf>
    <xf numFmtId="0" fontId="3" fillId="0" borderId="0" xfId="0" applyFont="1" applyFill="1"/>
    <xf numFmtId="0" fontId="3" fillId="0" borderId="0" xfId="0" quotePrefix="1" applyFont="1" applyAlignment="1">
      <alignment horizontal="left" wrapText="1"/>
    </xf>
    <xf numFmtId="0" fontId="3" fillId="0" borderId="0" xfId="0" quotePrefix="1" applyFont="1" applyAlignment="1">
      <alignment horizontal="left" vertical="top" wrapText="1"/>
    </xf>
    <xf numFmtId="0" fontId="3" fillId="0" borderId="0" xfId="0" quotePrefix="1" applyFont="1" applyFill="1" applyAlignment="1">
      <alignment horizontal="right"/>
    </xf>
    <xf numFmtId="0" fontId="3" fillId="0" borderId="0" xfId="0" applyFont="1" applyFill="1" applyAlignment="1">
      <alignment horizontal="left"/>
    </xf>
    <xf numFmtId="0" fontId="3" fillId="0" borderId="0" xfId="0" applyFont="1" applyFill="1" applyAlignment="1">
      <alignment wrapText="1"/>
    </xf>
    <xf numFmtId="0" fontId="3" fillId="0" borderId="0" xfId="0" applyFont="1" applyFill="1" applyAlignment="1">
      <alignment horizontal="center"/>
    </xf>
    <xf numFmtId="0" fontId="7" fillId="0" borderId="0" xfId="4" applyFill="1" applyAlignment="1">
      <alignment horizontal="center"/>
    </xf>
    <xf numFmtId="44" fontId="3" fillId="0" borderId="0" xfId="1" applyFont="1" applyFill="1" applyAlignment="1">
      <alignment horizontal="left" vertical="top"/>
    </xf>
    <xf numFmtId="10" fontId="3" fillId="0" borderId="0" xfId="2" applyNumberFormat="1" applyFont="1" applyFill="1"/>
    <xf numFmtId="0" fontId="3" fillId="0" borderId="0" xfId="0" quotePrefix="1" applyFont="1" applyFill="1" applyAlignment="1">
      <alignment horizontal="left"/>
    </xf>
    <xf numFmtId="0" fontId="3" fillId="0" borderId="0" xfId="0" quotePrefix="1" applyFont="1" applyFill="1" applyAlignment="1">
      <alignment horizontal="center"/>
    </xf>
    <xf numFmtId="0" fontId="3" fillId="0" borderId="0" xfId="0" applyFont="1" applyAlignment="1">
      <alignment vertical="top"/>
    </xf>
    <xf numFmtId="6" fontId="3" fillId="0" borderId="0" xfId="0" applyNumberFormat="1" applyFont="1" applyFill="1" applyAlignment="1"/>
    <xf numFmtId="0" fontId="3" fillId="0" borderId="0" xfId="0" quotePrefix="1" applyFont="1" applyAlignment="1">
      <alignment horizontal="right"/>
    </xf>
    <xf numFmtId="0" fontId="3" fillId="0" borderId="0" xfId="0" applyFont="1" applyFill="1" applyAlignment="1">
      <alignment horizontal="right"/>
    </xf>
    <xf numFmtId="0" fontId="3" fillId="0" borderId="0" xfId="0" applyFont="1" applyFill="1" applyAlignment="1">
      <alignment vertical="top"/>
    </xf>
    <xf numFmtId="0" fontId="3" fillId="0" borderId="0" xfId="0" applyFont="1" applyAlignment="1">
      <alignment horizontal="right"/>
    </xf>
    <xf numFmtId="0" fontId="3" fillId="0" borderId="0" xfId="0" applyFont="1" applyFill="1" applyAlignment="1">
      <alignment horizontal="left" wrapText="1"/>
    </xf>
    <xf numFmtId="10" fontId="3" fillId="0" borderId="0" xfId="2" applyNumberFormat="1" applyFont="1" applyAlignment="1"/>
    <xf numFmtId="0" fontId="3" fillId="0" borderId="0" xfId="0" quotePrefix="1" applyFont="1" applyFill="1"/>
    <xf numFmtId="2" fontId="0" fillId="0" borderId="0" xfId="0" quotePrefix="1" applyNumberFormat="1" applyAlignment="1">
      <alignment horizontal="right"/>
    </xf>
    <xf numFmtId="0" fontId="9" fillId="0" borderId="0" xfId="0" applyFont="1" applyFill="1" applyAlignment="1">
      <alignment horizontal="center" vertical="top"/>
    </xf>
    <xf numFmtId="10" fontId="3" fillId="0" borderId="0" xfId="2" applyNumberFormat="1" applyFont="1" applyFill="1" applyAlignment="1"/>
    <xf numFmtId="44" fontId="3" fillId="0" borderId="0" xfId="1" applyFont="1" applyFill="1" applyAlignment="1">
      <alignment horizontal="right" vertical="top"/>
    </xf>
    <xf numFmtId="44" fontId="3" fillId="0" borderId="0" xfId="1" applyFont="1" applyFill="1"/>
    <xf numFmtId="0" fontId="11" fillId="0" borderId="0" xfId="3" applyFont="1" applyFill="1" applyAlignment="1"/>
    <xf numFmtId="0" fontId="3" fillId="0" borderId="0" xfId="0" quotePrefix="1" applyFont="1" applyFill="1" applyAlignment="1"/>
    <xf numFmtId="0" fontId="3" fillId="0" borderId="0" xfId="0" quotePrefix="1" applyFont="1" applyAlignment="1"/>
    <xf numFmtId="0" fontId="11" fillId="0" borderId="0" xfId="3" applyFont="1" applyAlignment="1"/>
    <xf numFmtId="9" fontId="9" fillId="0" borderId="0" xfId="2" applyFont="1" applyFill="1" applyAlignment="1">
      <alignment horizontal="center" vertical="top"/>
    </xf>
    <xf numFmtId="44" fontId="3" fillId="0" borderId="0" xfId="1" applyFont="1" applyAlignment="1"/>
    <xf numFmtId="10" fontId="3" fillId="0" borderId="0" xfId="2" applyNumberFormat="1" applyFont="1" applyAlignment="1">
      <alignment wrapText="1"/>
    </xf>
    <xf numFmtId="0" fontId="3" fillId="0" borderId="0" xfId="0" quotePrefix="1" applyFont="1" applyFill="1" applyAlignment="1">
      <alignment wrapText="1"/>
    </xf>
    <xf numFmtId="9" fontId="9" fillId="0" borderId="0" xfId="2" applyFont="1" applyFill="1" applyAlignment="1">
      <alignment horizontal="center"/>
    </xf>
    <xf numFmtId="0" fontId="5" fillId="0" borderId="0" xfId="0" applyFont="1" applyFill="1" applyAlignment="1"/>
    <xf numFmtId="0" fontId="3" fillId="0" borderId="0" xfId="0" applyFont="1" applyFill="1" applyAlignment="1">
      <alignment vertical="top" wrapText="1"/>
    </xf>
    <xf numFmtId="10" fontId="3" fillId="8" borderId="0" xfId="2" applyNumberFormat="1" applyFont="1" applyFill="1"/>
    <xf numFmtId="0" fontId="2" fillId="0" borderId="0" xfId="3"/>
    <xf numFmtId="6" fontId="3" fillId="0" borderId="0" xfId="0" applyNumberFormat="1" applyFont="1" applyFill="1" applyAlignment="1">
      <alignment horizontal="left"/>
    </xf>
    <xf numFmtId="0" fontId="8" fillId="0" borderId="0" xfId="0" applyFont="1" applyAlignment="1">
      <alignment horizontal="center" vertical="top"/>
    </xf>
    <xf numFmtId="9" fontId="3" fillId="0" borderId="0" xfId="2" applyFont="1" applyFill="1" applyAlignment="1">
      <alignment horizontal="left" vertical="top" wrapText="1"/>
    </xf>
    <xf numFmtId="0" fontId="3" fillId="0" borderId="0" xfId="0" quotePrefix="1" applyFont="1" applyFill="1" applyAlignment="1">
      <alignment horizontal="left" vertical="top" wrapText="1"/>
    </xf>
    <xf numFmtId="0" fontId="3" fillId="0" borderId="0" xfId="0" quotePrefix="1" applyFont="1" applyAlignment="1">
      <alignment horizontal="center" vertical="center"/>
    </xf>
    <xf numFmtId="44" fontId="3" fillId="0" borderId="0" xfId="1" applyFont="1" applyAlignment="1">
      <alignment horizontal="right" vertical="top" wrapText="1"/>
    </xf>
    <xf numFmtId="0" fontId="5" fillId="0" borderId="0" xfId="0" applyFont="1" applyAlignment="1">
      <alignment horizontal="center" vertical="top" wrapText="1"/>
    </xf>
    <xf numFmtId="0" fontId="7" fillId="0" borderId="0" xfId="4"/>
    <xf numFmtId="9" fontId="3" fillId="0" borderId="0" xfId="2" applyFont="1"/>
    <xf numFmtId="44" fontId="3" fillId="0" borderId="0" xfId="1" applyFont="1" applyFill="1" applyAlignment="1">
      <alignment horizontal="right" vertical="top" wrapText="1"/>
    </xf>
    <xf numFmtId="8" fontId="3" fillId="0" borderId="0" xfId="0" applyNumberFormat="1" applyFont="1" applyFill="1" applyAlignment="1">
      <alignment horizontal="left"/>
    </xf>
    <xf numFmtId="0" fontId="3" fillId="8" borderId="0" xfId="0" quotePrefix="1" applyFont="1" applyFill="1" applyAlignment="1">
      <alignment horizontal="left" vertical="top" wrapText="1"/>
    </xf>
    <xf numFmtId="0" fontId="3" fillId="8" borderId="0" xfId="0" quotePrefix="1" applyFont="1" applyFill="1" applyAlignment="1">
      <alignment horizontal="center"/>
    </xf>
    <xf numFmtId="0" fontId="7" fillId="0" borderId="0" xfId="0" quotePrefix="1" applyFont="1"/>
    <xf numFmtId="0" fontId="3" fillId="8" borderId="0" xfId="0" applyFont="1" applyFill="1" applyAlignment="1">
      <alignment horizontal="left" vertical="top"/>
    </xf>
    <xf numFmtId="0" fontId="3" fillId="8" borderId="0" xfId="0" applyFont="1" applyFill="1" applyAlignment="1">
      <alignment horizontal="center"/>
    </xf>
    <xf numFmtId="49" fontId="3" fillId="4" borderId="0" xfId="0" applyNumberFormat="1" applyFont="1" applyFill="1" applyAlignment="1">
      <alignment horizontal="center" vertical="center" wrapText="1"/>
    </xf>
    <xf numFmtId="49" fontId="3" fillId="0" borderId="0" xfId="0" applyNumberFormat="1" applyFont="1"/>
    <xf numFmtId="49" fontId="3" fillId="0" borderId="0" xfId="0" applyNumberFormat="1" applyFont="1" applyFill="1"/>
    <xf numFmtId="49" fontId="3" fillId="0" borderId="0" xfId="0" applyNumberFormat="1" applyFont="1" applyAlignment="1"/>
    <xf numFmtId="49" fontId="3" fillId="0" borderId="0" xfId="0" applyNumberFormat="1" applyFont="1" applyFill="1" applyAlignment="1">
      <alignment wrapText="1"/>
    </xf>
    <xf numFmtId="49" fontId="3" fillId="5" borderId="0" xfId="0" applyNumberFormat="1" applyFont="1" applyFill="1" applyAlignment="1">
      <alignment horizontal="center" vertical="center" wrapText="1"/>
    </xf>
    <xf numFmtId="49" fontId="3" fillId="0" borderId="0" xfId="0" applyNumberFormat="1" applyFont="1" applyAlignment="1">
      <alignment horizontal="center"/>
    </xf>
    <xf numFmtId="49" fontId="3" fillId="0" borderId="0" xfId="0" applyNumberFormat="1" applyFont="1" applyFill="1" applyAlignment="1">
      <alignment horizontal="center"/>
    </xf>
    <xf numFmtId="49" fontId="3" fillId="7" borderId="0" xfId="0" applyNumberFormat="1" applyFont="1" applyFill="1" applyAlignment="1">
      <alignment horizontal="center" vertical="center" wrapText="1"/>
    </xf>
    <xf numFmtId="49" fontId="3" fillId="0" borderId="0" xfId="0" quotePrefix="1" applyNumberFormat="1" applyFont="1" applyAlignment="1">
      <alignment horizontal="center"/>
    </xf>
    <xf numFmtId="0" fontId="0" fillId="0" borderId="0" xfId="0" applyAlignment="1">
      <alignment wrapText="1"/>
    </xf>
    <xf numFmtId="0" fontId="8" fillId="0" borderId="0" xfId="0" applyFont="1" applyAlignment="1">
      <alignment horizontal="center"/>
    </xf>
    <xf numFmtId="0" fontId="9" fillId="0" borderId="0" xfId="0" applyFont="1" applyAlignment="1">
      <alignment horizontal="center"/>
    </xf>
    <xf numFmtId="0" fontId="0" fillId="0" borderId="0" xfId="0" applyAlignment="1">
      <alignment horizontal="left" vertical="top"/>
    </xf>
    <xf numFmtId="0" fontId="0" fillId="0" borderId="0" xfId="0" applyAlignment="1">
      <alignment horizontal="left" vertical="top" wrapText="1"/>
    </xf>
    <xf numFmtId="0" fontId="14" fillId="0" borderId="1" xfId="0" applyFont="1" applyBorder="1" applyAlignment="1">
      <alignment horizontal="left"/>
    </xf>
    <xf numFmtId="0" fontId="0" fillId="0" borderId="0" xfId="0" quotePrefix="1" applyAlignment="1">
      <alignment horizontal="center" vertical="top"/>
    </xf>
    <xf numFmtId="0" fontId="0" fillId="0" borderId="0" xfId="0" applyAlignment="1">
      <alignment horizontal="center" vertical="top"/>
    </xf>
    <xf numFmtId="0" fontId="14" fillId="0" borderId="1" xfId="0" applyFont="1" applyBorder="1" applyAlignment="1">
      <alignment horizontal="left" wrapText="1"/>
    </xf>
    <xf numFmtId="0" fontId="3" fillId="0" borderId="0" xfId="0" applyFont="1" applyAlignment="1">
      <alignment horizontal="center" vertical="center" wrapText="1"/>
    </xf>
    <xf numFmtId="0" fontId="0" fillId="9" borderId="0" xfId="0" applyFill="1"/>
    <xf numFmtId="0" fontId="14" fillId="0" borderId="1" xfId="0" applyFont="1" applyBorder="1"/>
    <xf numFmtId="0" fontId="14" fillId="9" borderId="1" xfId="0" applyFont="1" applyFill="1" applyBorder="1"/>
    <xf numFmtId="0" fontId="0" fillId="9" borderId="0" xfId="0" applyFill="1" applyAlignment="1">
      <alignment horizontal="left" vertical="top"/>
    </xf>
    <xf numFmtId="0" fontId="14" fillId="0" borderId="1" xfId="0" applyFont="1" applyFill="1" applyBorder="1"/>
    <xf numFmtId="0" fontId="0" fillId="0" borderId="0" xfId="0" quotePrefix="1" applyAlignment="1">
      <alignment horizontal="center"/>
    </xf>
    <xf numFmtId="0" fontId="0" fillId="9" borderId="0" xfId="0" applyFill="1" applyAlignment="1">
      <alignment horizontal="right"/>
    </xf>
    <xf numFmtId="0" fontId="0" fillId="9" borderId="0" xfId="0" applyFill="1" applyAlignment="1">
      <alignment horizontal="center"/>
    </xf>
    <xf numFmtId="0" fontId="0" fillId="0" borderId="0" xfId="0" applyAlignment="1">
      <alignment vertical="top"/>
    </xf>
    <xf numFmtId="0" fontId="0" fillId="0" borderId="0" xfId="0" quotePrefix="1" applyAlignment="1">
      <alignment vertical="top"/>
    </xf>
    <xf numFmtId="0" fontId="0" fillId="0" borderId="0" xfId="0" applyAlignment="1">
      <alignment vertical="top" wrapText="1"/>
    </xf>
    <xf numFmtId="0" fontId="0" fillId="0" borderId="0" xfId="0" applyFont="1"/>
    <xf numFmtId="0" fontId="0" fillId="8" borderId="0" xfId="0" applyFont="1" applyFill="1" applyBorder="1" applyAlignment="1">
      <alignment horizontal="left"/>
    </xf>
    <xf numFmtId="0" fontId="0" fillId="8" borderId="0" xfId="0" applyFont="1" applyFill="1" applyBorder="1" applyAlignment="1">
      <alignment horizontal="left" wrapText="1"/>
    </xf>
    <xf numFmtId="164" fontId="0" fillId="0" borderId="0" xfId="2" applyNumberFormat="1" applyFont="1"/>
    <xf numFmtId="49" fontId="3" fillId="0" borderId="0" xfId="0" quotePrefix="1" applyNumberFormat="1" applyFont="1" applyAlignment="1"/>
  </cellXfs>
  <cellStyles count="5">
    <cellStyle name="Currency" xfId="1" builtinId="4"/>
    <cellStyle name="Hyperlink" xfId="3" builtinId="8"/>
    <cellStyle name="Normal" xfId="0" builtinId="0"/>
    <cellStyle name="Normal 2" xfId="4"/>
    <cellStyle name="Percent" xfId="2" builtinId="5"/>
  </cellStyles>
  <dxfs count="2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cc.co.nz/assets/research/hyaluronic-injections-review.pdf" TargetMode="External"/><Relationship Id="rId2" Type="http://schemas.openxmlformats.org/officeDocument/2006/relationships/hyperlink" Target="http://www.pharmac.govt.nz/Schedule?osq=capsaicin" TargetMode="External"/><Relationship Id="rId1" Type="http://schemas.openxmlformats.org/officeDocument/2006/relationships/hyperlink" Target="http://www.pharmacydirect.co.nz/Anti-Inflammatory-Topical-Rubs-Creams/1.%20Voltaren%20$25.90%20100g2."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S141"/>
  <sheetViews>
    <sheetView tabSelected="1" zoomScale="85" zoomScaleNormal="85" workbookViewId="0">
      <pane xSplit="2" ySplit="1" topLeftCell="C2" activePane="bottomRight" state="frozen"/>
      <selection pane="topRight" activeCell="B1" sqref="B1"/>
      <selection pane="bottomLeft" activeCell="A2" sqref="A2"/>
      <selection pane="bottomRight" activeCell="AH118" sqref="AH118"/>
    </sheetView>
  </sheetViews>
  <sheetFormatPr defaultColWidth="8.5703125" defaultRowHeight="14.25" x14ac:dyDescent="0.25"/>
  <cols>
    <col min="1" max="1" width="5.7109375" style="15" customWidth="1"/>
    <col min="2" max="2" width="48.140625" style="15" customWidth="1"/>
    <col min="3" max="3" width="19.140625" style="15" customWidth="1"/>
    <col min="4" max="4" width="10.42578125" style="15" customWidth="1"/>
    <col min="5" max="5" width="9.42578125" style="13" hidden="1" customWidth="1"/>
    <col min="6" max="7" width="9.5703125" style="13" hidden="1" customWidth="1"/>
    <col min="8" max="10" width="8.5703125" style="15" customWidth="1"/>
    <col min="11" max="15" width="4" style="93" hidden="1" customWidth="1"/>
    <col min="16" max="16" width="10" style="15" customWidth="1"/>
    <col min="17" max="17" width="5.5703125" style="15" customWidth="1"/>
    <col min="18" max="18" width="18.5703125" style="103" bestFit="1" customWidth="1"/>
    <col min="19" max="19" width="10.28515625" style="15" bestFit="1" customWidth="1"/>
    <col min="20" max="20" width="33.85546875" style="15" hidden="1" customWidth="1"/>
    <col min="21" max="21" width="11.28515625" style="17" hidden="1" customWidth="1"/>
    <col min="22" max="25" width="12" style="15" hidden="1" customWidth="1"/>
    <col min="26" max="26" width="8.85546875" style="15" customWidth="1"/>
    <col min="27" max="27" width="20.7109375" style="103" bestFit="1" customWidth="1"/>
    <col min="28" max="28" width="26.5703125" style="59" hidden="1" customWidth="1"/>
    <col min="29" max="29" width="13.140625" style="59" customWidth="1"/>
    <col min="30" max="30" width="21.5703125" style="15" hidden="1" customWidth="1"/>
    <col min="31" max="34" width="17.140625" style="15" customWidth="1"/>
    <col min="35" max="35" width="15.5703125" style="15" hidden="1" customWidth="1"/>
    <col min="36" max="36" width="51.5703125" style="15" hidden="1" customWidth="1"/>
    <col min="37" max="38" width="18.5703125" style="15" hidden="1" customWidth="1"/>
    <col min="39" max="39" width="26.85546875" style="19" hidden="1" customWidth="1"/>
    <col min="40" max="40" width="11.42578125" style="13" customWidth="1"/>
    <col min="41" max="41" width="20" style="108" bestFit="1" customWidth="1"/>
    <col min="42" max="42" width="22.5703125" style="15" customWidth="1"/>
    <col min="43" max="43" width="10.5703125" style="13" customWidth="1"/>
    <col min="44" max="44" width="17.42578125" style="15" customWidth="1"/>
    <col min="45" max="45" width="8.5703125" style="15" customWidth="1"/>
    <col min="46" max="16384" width="8.5703125" style="15"/>
  </cols>
  <sheetData>
    <row r="1" spans="1:44" s="1" customFormat="1" ht="52.5" customHeight="1" x14ac:dyDescent="0.25">
      <c r="A1" s="1" t="s">
        <v>0</v>
      </c>
      <c r="B1" s="2" t="s">
        <v>1</v>
      </c>
      <c r="C1" s="3" t="s">
        <v>2</v>
      </c>
      <c r="D1" s="3" t="s">
        <v>3</v>
      </c>
      <c r="E1" s="3" t="s">
        <v>4</v>
      </c>
      <c r="F1" s="3" t="s">
        <v>5</v>
      </c>
      <c r="G1" s="3" t="s">
        <v>6</v>
      </c>
      <c r="H1" s="4" t="s">
        <v>7</v>
      </c>
      <c r="I1" s="4" t="s">
        <v>8</v>
      </c>
      <c r="J1" s="4" t="s">
        <v>9</v>
      </c>
      <c r="K1" s="121" t="s">
        <v>10</v>
      </c>
      <c r="L1" s="121"/>
      <c r="M1" s="121"/>
      <c r="N1" s="121"/>
      <c r="O1" s="121"/>
      <c r="P1" s="5" t="s">
        <v>11</v>
      </c>
      <c r="Q1" s="6" t="s">
        <v>12</v>
      </c>
      <c r="R1" s="102"/>
      <c r="S1" s="6"/>
      <c r="T1" s="6" t="s">
        <v>13</v>
      </c>
      <c r="U1" s="6" t="s">
        <v>14</v>
      </c>
      <c r="V1" s="6" t="s">
        <v>15</v>
      </c>
      <c r="W1" s="6" t="s">
        <v>16</v>
      </c>
      <c r="X1" s="6" t="s">
        <v>17</v>
      </c>
      <c r="Y1" s="6" t="s">
        <v>18</v>
      </c>
      <c r="Z1" s="7" t="s">
        <v>1068</v>
      </c>
      <c r="AA1" s="107"/>
      <c r="AB1" s="8" t="s">
        <v>19</v>
      </c>
      <c r="AC1" s="9" t="s">
        <v>20</v>
      </c>
      <c r="AD1" s="1" t="s">
        <v>21</v>
      </c>
      <c r="AE1" s="10" t="s">
        <v>22</v>
      </c>
      <c r="AF1" s="10" t="s">
        <v>23</v>
      </c>
      <c r="AG1" s="10"/>
      <c r="AH1" s="10"/>
      <c r="AI1" s="1" t="s">
        <v>24</v>
      </c>
      <c r="AJ1" s="1" t="s">
        <v>25</v>
      </c>
      <c r="AK1" s="1" t="s">
        <v>26</v>
      </c>
      <c r="AL1" s="1" t="s">
        <v>27</v>
      </c>
      <c r="AM1" s="1" t="s">
        <v>28</v>
      </c>
      <c r="AN1" s="11" t="s">
        <v>29</v>
      </c>
      <c r="AO1" s="110"/>
      <c r="AP1" s="1" t="s">
        <v>30</v>
      </c>
      <c r="AQ1" s="11" t="s">
        <v>31</v>
      </c>
      <c r="AR1" s="12" t="s">
        <v>32</v>
      </c>
    </row>
    <row r="2" spans="1:44" s="1" customFormat="1" ht="52.5" customHeight="1" x14ac:dyDescent="0.25">
      <c r="A2" s="1" t="s">
        <v>33</v>
      </c>
      <c r="B2" s="2" t="s">
        <v>34</v>
      </c>
      <c r="C2" s="3"/>
      <c r="D2" s="3" t="s">
        <v>35</v>
      </c>
      <c r="E2" s="3" t="s">
        <v>36</v>
      </c>
      <c r="F2" s="3" t="s">
        <v>37</v>
      </c>
      <c r="G2" s="3" t="s">
        <v>38</v>
      </c>
      <c r="H2" s="4" t="s">
        <v>36</v>
      </c>
      <c r="I2" s="4" t="s">
        <v>37</v>
      </c>
      <c r="J2" s="4" t="s">
        <v>38</v>
      </c>
      <c r="K2" s="13" t="s">
        <v>39</v>
      </c>
      <c r="L2" s="13" t="s">
        <v>40</v>
      </c>
      <c r="M2" s="13" t="s">
        <v>41</v>
      </c>
      <c r="N2" s="13" t="s">
        <v>42</v>
      </c>
      <c r="O2" s="13" t="s">
        <v>43</v>
      </c>
      <c r="P2" s="5" t="s">
        <v>44</v>
      </c>
      <c r="Q2" s="6" t="s">
        <v>45</v>
      </c>
      <c r="R2" s="102" t="s">
        <v>935</v>
      </c>
      <c r="S2" s="6" t="s">
        <v>936</v>
      </c>
      <c r="T2" s="6"/>
      <c r="U2" s="14"/>
      <c r="V2" s="6"/>
      <c r="W2" s="6"/>
      <c r="X2" s="6"/>
      <c r="Y2" s="6"/>
      <c r="Z2" s="7" t="s">
        <v>46</v>
      </c>
      <c r="AA2" s="107" t="s">
        <v>971</v>
      </c>
      <c r="AB2" s="8"/>
      <c r="AC2" s="9" t="s">
        <v>47</v>
      </c>
      <c r="AE2" s="10" t="s">
        <v>48</v>
      </c>
      <c r="AF2" s="10" t="s">
        <v>49</v>
      </c>
      <c r="AG2" s="10" t="s">
        <v>1043</v>
      </c>
      <c r="AH2" s="10" t="s">
        <v>1044</v>
      </c>
      <c r="AN2" s="11" t="s">
        <v>50</v>
      </c>
      <c r="AO2" s="110" t="s">
        <v>993</v>
      </c>
      <c r="AQ2" s="11" t="s">
        <v>51</v>
      </c>
      <c r="AR2" s="12"/>
    </row>
    <row r="3" spans="1:44" ht="15" customHeight="1" x14ac:dyDescent="0.25">
      <c r="B3" s="16" t="s">
        <v>52</v>
      </c>
      <c r="C3" s="16"/>
      <c r="D3" s="16"/>
      <c r="K3" s="15"/>
      <c r="L3" s="15"/>
      <c r="M3" s="15"/>
      <c r="N3" s="15"/>
      <c r="O3" s="15"/>
      <c r="P3" s="16"/>
      <c r="Z3" s="13"/>
      <c r="AA3" s="108"/>
      <c r="AB3" s="17"/>
      <c r="AC3" s="17"/>
      <c r="AD3" s="16"/>
      <c r="AI3" s="18"/>
      <c r="AJ3" s="16"/>
    </row>
    <row r="4" spans="1:44" ht="15" customHeight="1" x14ac:dyDescent="0.25">
      <c r="A4" s="15">
        <v>1</v>
      </c>
      <c r="B4" s="15" t="s">
        <v>53</v>
      </c>
      <c r="C4" s="15" t="s">
        <v>54</v>
      </c>
      <c r="D4" s="13" t="s">
        <v>41</v>
      </c>
      <c r="E4" s="13">
        <v>3</v>
      </c>
      <c r="F4" s="13">
        <v>3</v>
      </c>
      <c r="G4" s="13">
        <v>3</v>
      </c>
      <c r="H4" s="13" t="s">
        <v>41</v>
      </c>
      <c r="I4" s="13" t="s">
        <v>41</v>
      </c>
      <c r="J4" s="13" t="s">
        <v>41</v>
      </c>
      <c r="K4" s="20"/>
      <c r="L4" s="20"/>
      <c r="M4" s="20"/>
      <c r="N4" s="20"/>
      <c r="O4" s="20"/>
      <c r="P4" s="13" t="s">
        <v>55</v>
      </c>
      <c r="Q4" s="13" t="s">
        <v>56</v>
      </c>
      <c r="R4" s="103" t="s">
        <v>938</v>
      </c>
      <c r="T4" s="21" t="s">
        <v>57</v>
      </c>
      <c r="U4" s="21" t="s">
        <v>58</v>
      </c>
      <c r="V4" s="22" t="s">
        <v>59</v>
      </c>
      <c r="W4" s="23" t="s">
        <v>60</v>
      </c>
      <c r="X4" s="24" t="s">
        <v>61</v>
      </c>
      <c r="Y4" s="25" t="s">
        <v>62</v>
      </c>
      <c r="Z4" s="13" t="s">
        <v>219</v>
      </c>
      <c r="AA4" s="108" t="s">
        <v>972</v>
      </c>
      <c r="AB4" s="17" t="s">
        <v>64</v>
      </c>
      <c r="AC4" s="113" t="s">
        <v>65</v>
      </c>
      <c r="AD4" s="15" t="s">
        <v>66</v>
      </c>
      <c r="AE4" s="114" t="s">
        <v>67</v>
      </c>
      <c r="AF4" s="114" t="s">
        <v>67</v>
      </c>
      <c r="AG4" t="s">
        <v>69</v>
      </c>
      <c r="AH4" t="s">
        <v>69</v>
      </c>
      <c r="AI4" s="18" t="s">
        <v>68</v>
      </c>
      <c r="AJ4" s="15" t="s">
        <v>69</v>
      </c>
      <c r="AK4" s="15" t="s">
        <v>70</v>
      </c>
      <c r="AL4" s="28" t="s">
        <v>71</v>
      </c>
      <c r="AM4" s="29" t="s">
        <v>72</v>
      </c>
      <c r="AN4" s="13" t="s">
        <v>73</v>
      </c>
      <c r="AO4" s="111" t="s">
        <v>72</v>
      </c>
      <c r="AP4" s="28" t="s">
        <v>74</v>
      </c>
      <c r="AQ4" s="30" t="s">
        <v>73</v>
      </c>
    </row>
    <row r="5" spans="1:44" ht="15" hidden="1" customHeight="1" x14ac:dyDescent="0.25">
      <c r="A5" s="15">
        <v>0</v>
      </c>
      <c r="B5" s="15" t="s">
        <v>75</v>
      </c>
      <c r="C5" s="15" t="s">
        <v>54</v>
      </c>
      <c r="D5" s="15" t="s">
        <v>41</v>
      </c>
      <c r="E5" s="13">
        <v>3</v>
      </c>
      <c r="F5" s="13">
        <v>3</v>
      </c>
      <c r="G5" s="13">
        <v>3</v>
      </c>
      <c r="H5" s="13" t="s">
        <v>41</v>
      </c>
      <c r="I5" s="13" t="s">
        <v>41</v>
      </c>
      <c r="J5" s="13" t="s">
        <v>41</v>
      </c>
      <c r="K5" s="20"/>
      <c r="L5" s="20"/>
      <c r="M5" s="20"/>
      <c r="N5" s="20"/>
      <c r="O5" s="20"/>
      <c r="P5" s="13" t="s">
        <v>55</v>
      </c>
      <c r="Q5" s="15" t="s">
        <v>56</v>
      </c>
      <c r="R5" s="15"/>
      <c r="T5" s="15" t="s">
        <v>76</v>
      </c>
      <c r="U5" s="31" t="s">
        <v>59</v>
      </c>
      <c r="V5" s="31" t="s">
        <v>59</v>
      </c>
      <c r="W5" s="15" t="s">
        <v>76</v>
      </c>
      <c r="X5" s="15" t="s">
        <v>59</v>
      </c>
      <c r="Y5" s="15" t="s">
        <v>59</v>
      </c>
      <c r="Z5" s="13" t="s">
        <v>63</v>
      </c>
      <c r="AA5" s="13"/>
      <c r="AB5" s="19" t="s">
        <v>76</v>
      </c>
      <c r="AC5" s="26" t="s">
        <v>65</v>
      </c>
      <c r="AD5" s="15" t="s">
        <v>66</v>
      </c>
      <c r="AE5" s="27" t="s">
        <v>67</v>
      </c>
      <c r="AF5" s="27" t="s">
        <v>67</v>
      </c>
      <c r="AG5" t="s">
        <v>69</v>
      </c>
      <c r="AH5" t="s">
        <v>69</v>
      </c>
      <c r="AI5" s="18" t="s">
        <v>68</v>
      </c>
      <c r="AJ5" s="15" t="s">
        <v>69</v>
      </c>
      <c r="AK5" s="15" t="s">
        <v>77</v>
      </c>
      <c r="AL5" s="15" t="s">
        <v>78</v>
      </c>
      <c r="AM5" s="32" t="s">
        <v>79</v>
      </c>
      <c r="AN5" s="30" t="s">
        <v>73</v>
      </c>
      <c r="AO5" s="30"/>
      <c r="AP5" s="32" t="s">
        <v>80</v>
      </c>
      <c r="AQ5" s="30" t="s">
        <v>73</v>
      </c>
      <c r="AR5" s="15" t="s">
        <v>81</v>
      </c>
    </row>
    <row r="6" spans="1:44" ht="15" customHeight="1" x14ac:dyDescent="0.25">
      <c r="A6" s="15">
        <v>1</v>
      </c>
      <c r="B6" s="15" t="s">
        <v>82</v>
      </c>
      <c r="C6" s="15" t="s">
        <v>83</v>
      </c>
      <c r="D6" s="13" t="s">
        <v>40</v>
      </c>
      <c r="E6" s="13">
        <v>3</v>
      </c>
      <c r="F6" s="13">
        <v>3</v>
      </c>
      <c r="G6" s="13">
        <v>3</v>
      </c>
      <c r="H6" s="13" t="s">
        <v>41</v>
      </c>
      <c r="I6" s="13" t="s">
        <v>40</v>
      </c>
      <c r="J6" s="13" t="s">
        <v>41</v>
      </c>
      <c r="K6" s="20"/>
      <c r="L6" s="20"/>
      <c r="M6" s="20"/>
      <c r="N6" s="20"/>
      <c r="O6" s="20"/>
      <c r="P6" s="13" t="s">
        <v>84</v>
      </c>
      <c r="Q6" s="13" t="s">
        <v>56</v>
      </c>
      <c r="R6" s="103" t="s">
        <v>938</v>
      </c>
      <c r="T6" s="25" t="s">
        <v>85</v>
      </c>
      <c r="U6" s="33" t="s">
        <v>59</v>
      </c>
      <c r="V6" s="34" t="s">
        <v>59</v>
      </c>
      <c r="W6" s="25" t="s">
        <v>85</v>
      </c>
      <c r="X6" s="25" t="s">
        <v>59</v>
      </c>
      <c r="Y6" s="25" t="s">
        <v>59</v>
      </c>
      <c r="Z6" s="13" t="s">
        <v>884</v>
      </c>
      <c r="AA6" s="108" t="s">
        <v>972</v>
      </c>
      <c r="AB6" s="13" t="s">
        <v>86</v>
      </c>
      <c r="AC6" s="113" t="s">
        <v>87</v>
      </c>
      <c r="AD6" s="15" t="s">
        <v>88</v>
      </c>
      <c r="AE6" s="114" t="s">
        <v>67</v>
      </c>
      <c r="AF6" s="114" t="s">
        <v>67</v>
      </c>
      <c r="AG6" t="s">
        <v>90</v>
      </c>
      <c r="AH6" t="s">
        <v>90</v>
      </c>
      <c r="AI6" s="18" t="s">
        <v>89</v>
      </c>
      <c r="AJ6" s="15" t="s">
        <v>90</v>
      </c>
      <c r="AK6" s="15" t="s">
        <v>91</v>
      </c>
      <c r="AL6" s="15" t="s">
        <v>92</v>
      </c>
      <c r="AM6" s="29" t="s">
        <v>93</v>
      </c>
      <c r="AN6" s="13" t="s">
        <v>94</v>
      </c>
      <c r="AO6" s="111" t="s">
        <v>93</v>
      </c>
      <c r="AP6" s="28" t="s">
        <v>95</v>
      </c>
      <c r="AQ6" s="30" t="s">
        <v>73</v>
      </c>
    </row>
    <row r="7" spans="1:44" ht="15" hidden="1" customHeight="1" x14ac:dyDescent="0.25">
      <c r="A7" s="15">
        <v>0</v>
      </c>
      <c r="B7" s="15" t="s">
        <v>96</v>
      </c>
      <c r="C7" s="15" t="s">
        <v>83</v>
      </c>
      <c r="D7" s="15" t="s">
        <v>40</v>
      </c>
      <c r="E7" s="13">
        <v>3</v>
      </c>
      <c r="F7" s="13">
        <v>3</v>
      </c>
      <c r="G7" s="13">
        <v>3</v>
      </c>
      <c r="H7" s="13" t="s">
        <v>41</v>
      </c>
      <c r="I7" s="13" t="s">
        <v>41</v>
      </c>
      <c r="J7" s="13" t="s">
        <v>41</v>
      </c>
      <c r="K7" s="20"/>
      <c r="L7" s="20"/>
      <c r="M7" s="20"/>
      <c r="N7" s="20"/>
      <c r="O7" s="20"/>
      <c r="P7" s="13" t="s">
        <v>55</v>
      </c>
      <c r="Q7" s="15" t="s">
        <v>56</v>
      </c>
      <c r="R7" s="15"/>
      <c r="T7" s="15" t="s">
        <v>76</v>
      </c>
      <c r="U7" s="31" t="s">
        <v>59</v>
      </c>
      <c r="V7" s="31" t="s">
        <v>59</v>
      </c>
      <c r="W7" s="15" t="s">
        <v>76</v>
      </c>
      <c r="X7" s="15" t="s">
        <v>59</v>
      </c>
      <c r="Y7" s="15" t="s">
        <v>59</v>
      </c>
      <c r="Z7" s="13" t="s">
        <v>63</v>
      </c>
      <c r="AA7" s="13"/>
      <c r="AB7" s="13" t="s">
        <v>86</v>
      </c>
      <c r="AC7" s="26" t="s">
        <v>87</v>
      </c>
      <c r="AD7" s="15" t="s">
        <v>88</v>
      </c>
      <c r="AE7" s="27" t="s">
        <v>67</v>
      </c>
      <c r="AF7" s="27" t="s">
        <v>67</v>
      </c>
      <c r="AG7" t="s">
        <v>90</v>
      </c>
      <c r="AH7" t="s">
        <v>90</v>
      </c>
      <c r="AI7" s="18" t="s">
        <v>89</v>
      </c>
      <c r="AJ7" s="15" t="s">
        <v>90</v>
      </c>
      <c r="AK7" s="15" t="s">
        <v>97</v>
      </c>
      <c r="AL7" s="15" t="s">
        <v>98</v>
      </c>
      <c r="AM7" s="29" t="s">
        <v>99</v>
      </c>
      <c r="AN7" s="30" t="s">
        <v>73</v>
      </c>
      <c r="AO7" s="30"/>
      <c r="AP7" s="28" t="s">
        <v>100</v>
      </c>
      <c r="AQ7" s="30" t="s">
        <v>73</v>
      </c>
      <c r="AR7" s="15" t="s">
        <v>101</v>
      </c>
    </row>
    <row r="8" spans="1:44" ht="15" customHeight="1" x14ac:dyDescent="0.25">
      <c r="A8" s="15">
        <v>1</v>
      </c>
      <c r="B8" s="35" t="s">
        <v>102</v>
      </c>
      <c r="C8" s="15" t="s">
        <v>103</v>
      </c>
      <c r="D8" s="13" t="s">
        <v>39</v>
      </c>
      <c r="E8" s="13">
        <v>5</v>
      </c>
      <c r="F8" s="13">
        <v>5</v>
      </c>
      <c r="G8" s="13">
        <v>5</v>
      </c>
      <c r="H8" s="13" t="s">
        <v>39</v>
      </c>
      <c r="I8" s="13" t="s">
        <v>39</v>
      </c>
      <c r="J8" s="13" t="s">
        <v>39</v>
      </c>
      <c r="K8" s="20"/>
      <c r="L8" s="20"/>
      <c r="M8" s="20"/>
      <c r="N8" s="20"/>
      <c r="O8" s="20"/>
      <c r="P8" s="13" t="s">
        <v>84</v>
      </c>
      <c r="Q8" s="13" t="s">
        <v>56</v>
      </c>
      <c r="R8" s="103" t="s">
        <v>939</v>
      </c>
      <c r="T8" s="33" t="s">
        <v>104</v>
      </c>
      <c r="U8" s="21" t="s">
        <v>58</v>
      </c>
      <c r="V8" s="22" t="s">
        <v>59</v>
      </c>
      <c r="W8" s="25" t="s">
        <v>105</v>
      </c>
      <c r="X8" s="25" t="s">
        <v>106</v>
      </c>
      <c r="Y8" s="25" t="s">
        <v>107</v>
      </c>
      <c r="Z8" s="13" t="s">
        <v>884</v>
      </c>
      <c r="AA8" s="108" t="s">
        <v>973</v>
      </c>
      <c r="AB8" s="12" t="s">
        <v>108</v>
      </c>
      <c r="AC8" s="113" t="s">
        <v>65</v>
      </c>
      <c r="AD8" s="15" t="s">
        <v>59</v>
      </c>
      <c r="AE8" s="114" t="s">
        <v>67</v>
      </c>
      <c r="AF8" s="114" t="s">
        <v>67</v>
      </c>
      <c r="AG8" s="15" t="s">
        <v>1045</v>
      </c>
      <c r="AH8" t="s">
        <v>1012</v>
      </c>
      <c r="AI8" s="18" t="s">
        <v>68</v>
      </c>
      <c r="AJ8" s="15" t="s">
        <v>109</v>
      </c>
      <c r="AK8" s="15" t="s">
        <v>110</v>
      </c>
      <c r="AM8" s="29" t="s">
        <v>111</v>
      </c>
      <c r="AN8" s="13" t="s">
        <v>94</v>
      </c>
      <c r="AO8" s="111" t="s">
        <v>111</v>
      </c>
      <c r="AP8" s="28" t="s">
        <v>112</v>
      </c>
      <c r="AQ8" s="36" t="s">
        <v>113</v>
      </c>
    </row>
    <row r="9" spans="1:44" ht="15" customHeight="1" x14ac:dyDescent="0.25">
      <c r="A9" s="15">
        <v>1</v>
      </c>
      <c r="B9" s="37" t="s">
        <v>114</v>
      </c>
      <c r="C9" s="15" t="s">
        <v>103</v>
      </c>
      <c r="D9" s="13" t="s">
        <v>39</v>
      </c>
      <c r="E9" s="13">
        <v>5</v>
      </c>
      <c r="F9" s="13">
        <v>5</v>
      </c>
      <c r="G9" s="13">
        <v>5</v>
      </c>
      <c r="H9" s="13" t="s">
        <v>39</v>
      </c>
      <c r="I9" s="13" t="s">
        <v>39</v>
      </c>
      <c r="J9" s="13" t="s">
        <v>39</v>
      </c>
      <c r="K9" s="20"/>
      <c r="L9" s="20"/>
      <c r="M9" s="20"/>
      <c r="N9" s="20"/>
      <c r="O9" s="20"/>
      <c r="P9" s="13" t="s">
        <v>55</v>
      </c>
      <c r="Q9" s="13" t="s">
        <v>56</v>
      </c>
      <c r="R9" s="103" t="s">
        <v>939</v>
      </c>
      <c r="T9" s="15" t="s">
        <v>115</v>
      </c>
      <c r="U9" s="33" t="s">
        <v>59</v>
      </c>
      <c r="V9" s="33" t="s">
        <v>59</v>
      </c>
      <c r="W9" s="38" t="s">
        <v>59</v>
      </c>
      <c r="X9" s="38" t="s">
        <v>59</v>
      </c>
      <c r="Y9" s="38" t="s">
        <v>59</v>
      </c>
      <c r="Z9" s="13" t="s">
        <v>884</v>
      </c>
      <c r="AA9" s="108" t="s">
        <v>973</v>
      </c>
      <c r="AB9" s="15" t="s">
        <v>116</v>
      </c>
      <c r="AC9" s="113" t="s">
        <v>65</v>
      </c>
      <c r="AE9" s="114" t="s">
        <v>67</v>
      </c>
      <c r="AF9" s="114" t="s">
        <v>67</v>
      </c>
      <c r="AG9" s="15" t="s">
        <v>1045</v>
      </c>
      <c r="AH9" t="s">
        <v>1012</v>
      </c>
      <c r="AI9" s="18" t="s">
        <v>68</v>
      </c>
      <c r="AJ9" s="15" t="s">
        <v>109</v>
      </c>
      <c r="AK9" s="15" t="s">
        <v>117</v>
      </c>
      <c r="AM9" s="29" t="s">
        <v>1001</v>
      </c>
      <c r="AN9" s="13" t="s">
        <v>113</v>
      </c>
      <c r="AO9" s="111" t="s">
        <v>1001</v>
      </c>
      <c r="AP9" s="39" t="s">
        <v>118</v>
      </c>
      <c r="AQ9" s="36" t="s">
        <v>113</v>
      </c>
    </row>
    <row r="10" spans="1:44" ht="15" customHeight="1" x14ac:dyDescent="0.25">
      <c r="A10" s="15">
        <v>1</v>
      </c>
      <c r="B10" s="37" t="s">
        <v>119</v>
      </c>
      <c r="C10" s="15" t="s">
        <v>103</v>
      </c>
      <c r="D10" s="13" t="s">
        <v>39</v>
      </c>
      <c r="E10" s="13">
        <v>5</v>
      </c>
      <c r="F10" s="13">
        <v>5</v>
      </c>
      <c r="G10" s="13">
        <v>5</v>
      </c>
      <c r="H10" s="13" t="s">
        <v>39</v>
      </c>
      <c r="I10" s="13" t="s">
        <v>39</v>
      </c>
      <c r="J10" s="13" t="s">
        <v>39</v>
      </c>
      <c r="K10" s="20"/>
      <c r="L10" s="20"/>
      <c r="M10" s="20"/>
      <c r="N10" s="20"/>
      <c r="O10" s="20"/>
      <c r="P10" s="13" t="s">
        <v>55</v>
      </c>
      <c r="Q10" s="13" t="s">
        <v>56</v>
      </c>
      <c r="R10" s="103" t="s">
        <v>939</v>
      </c>
      <c r="T10" s="15" t="s">
        <v>115</v>
      </c>
      <c r="U10" s="33" t="s">
        <v>59</v>
      </c>
      <c r="V10" s="33" t="s">
        <v>59</v>
      </c>
      <c r="W10" s="38" t="s">
        <v>59</v>
      </c>
      <c r="X10" s="38" t="s">
        <v>59</v>
      </c>
      <c r="Y10" s="38" t="s">
        <v>59</v>
      </c>
      <c r="Z10" s="13" t="s">
        <v>63</v>
      </c>
      <c r="AA10" s="108" t="s">
        <v>973</v>
      </c>
      <c r="AB10" s="15" t="s">
        <v>116</v>
      </c>
      <c r="AC10" s="113" t="s">
        <v>65</v>
      </c>
      <c r="AE10" s="114" t="s">
        <v>67</v>
      </c>
      <c r="AF10" s="114" t="s">
        <v>67</v>
      </c>
      <c r="AG10" s="15" t="s">
        <v>1045</v>
      </c>
      <c r="AH10" t="s">
        <v>1012</v>
      </c>
      <c r="AI10" s="18" t="s">
        <v>68</v>
      </c>
      <c r="AJ10" s="15" t="s">
        <v>109</v>
      </c>
      <c r="AK10" s="15" t="s">
        <v>120</v>
      </c>
      <c r="AM10" s="29" t="s">
        <v>121</v>
      </c>
      <c r="AN10" s="13" t="s">
        <v>113</v>
      </c>
      <c r="AO10" s="111" t="s">
        <v>121</v>
      </c>
      <c r="AP10" s="39" t="s">
        <v>122</v>
      </c>
      <c r="AQ10" s="36" t="s">
        <v>113</v>
      </c>
    </row>
    <row r="11" spans="1:44" ht="15" customHeight="1" x14ac:dyDescent="0.25">
      <c r="A11" s="15">
        <v>1</v>
      </c>
      <c r="B11" s="37" t="s">
        <v>123</v>
      </c>
      <c r="C11" s="15" t="s">
        <v>103</v>
      </c>
      <c r="D11" s="13" t="s">
        <v>39</v>
      </c>
      <c r="E11" s="13">
        <v>5</v>
      </c>
      <c r="F11" s="13">
        <v>5</v>
      </c>
      <c r="G11" s="13">
        <v>5</v>
      </c>
      <c r="H11" s="13" t="s">
        <v>39</v>
      </c>
      <c r="I11" s="13" t="s">
        <v>39</v>
      </c>
      <c r="J11" s="13" t="s">
        <v>39</v>
      </c>
      <c r="K11" s="20"/>
      <c r="L11" s="20"/>
      <c r="M11" s="20"/>
      <c r="N11" s="20"/>
      <c r="O11" s="20"/>
      <c r="P11" s="13" t="s">
        <v>55</v>
      </c>
      <c r="Q11" s="13" t="s">
        <v>56</v>
      </c>
      <c r="R11" s="103" t="s">
        <v>939</v>
      </c>
      <c r="T11" s="15" t="s">
        <v>115</v>
      </c>
      <c r="U11" s="33" t="s">
        <v>59</v>
      </c>
      <c r="V11" s="33" t="s">
        <v>59</v>
      </c>
      <c r="W11" s="38" t="s">
        <v>59</v>
      </c>
      <c r="X11" s="38" t="s">
        <v>59</v>
      </c>
      <c r="Y11" s="38" t="s">
        <v>59</v>
      </c>
      <c r="Z11" s="13" t="s">
        <v>884</v>
      </c>
      <c r="AA11" s="108" t="s">
        <v>973</v>
      </c>
      <c r="AB11" s="15" t="s">
        <v>116</v>
      </c>
      <c r="AC11" s="113" t="s">
        <v>65</v>
      </c>
      <c r="AE11" s="114" t="s">
        <v>67</v>
      </c>
      <c r="AF11" s="114" t="s">
        <v>67</v>
      </c>
      <c r="AG11" s="15" t="s">
        <v>1045</v>
      </c>
      <c r="AH11" t="s">
        <v>1012</v>
      </c>
      <c r="AI11" s="18" t="s">
        <v>68</v>
      </c>
      <c r="AJ11" s="15" t="s">
        <v>109</v>
      </c>
      <c r="AK11" s="15" t="s">
        <v>124</v>
      </c>
      <c r="AL11" s="15" t="s">
        <v>125</v>
      </c>
      <c r="AM11" s="29" t="s">
        <v>126</v>
      </c>
      <c r="AN11" s="13" t="s">
        <v>94</v>
      </c>
      <c r="AO11" s="111" t="s">
        <v>126</v>
      </c>
      <c r="AP11" s="39" t="s">
        <v>127</v>
      </c>
      <c r="AQ11" s="30" t="s">
        <v>94</v>
      </c>
    </row>
    <row r="12" spans="1:44" ht="15" customHeight="1" x14ac:dyDescent="0.25">
      <c r="A12" s="15">
        <v>1</v>
      </c>
      <c r="B12" s="37" t="s">
        <v>1059</v>
      </c>
      <c r="C12" s="15" t="s">
        <v>128</v>
      </c>
      <c r="D12" s="13" t="s">
        <v>40</v>
      </c>
      <c r="E12" s="13">
        <v>4</v>
      </c>
      <c r="F12" s="13">
        <v>4</v>
      </c>
      <c r="G12" s="13">
        <v>4</v>
      </c>
      <c r="H12" s="13" t="s">
        <v>40</v>
      </c>
      <c r="I12" s="13" t="s">
        <v>40</v>
      </c>
      <c r="J12" s="13" t="s">
        <v>40</v>
      </c>
      <c r="K12" s="20"/>
      <c r="L12" s="20"/>
      <c r="M12" s="20"/>
      <c r="N12" s="20"/>
      <c r="O12" s="20"/>
      <c r="P12" s="13" t="s">
        <v>55</v>
      </c>
      <c r="Q12" s="13" t="s">
        <v>56</v>
      </c>
      <c r="R12" s="103" t="s">
        <v>939</v>
      </c>
      <c r="T12" s="15" t="s">
        <v>115</v>
      </c>
      <c r="U12" s="33" t="s">
        <v>59</v>
      </c>
      <c r="V12" s="33" t="s">
        <v>59</v>
      </c>
      <c r="W12" s="38" t="s">
        <v>59</v>
      </c>
      <c r="X12" s="38" t="s">
        <v>59</v>
      </c>
      <c r="Y12" s="38" t="s">
        <v>59</v>
      </c>
      <c r="Z12" s="13" t="s">
        <v>884</v>
      </c>
      <c r="AA12" s="108" t="s">
        <v>973</v>
      </c>
      <c r="AB12" s="15" t="s">
        <v>116</v>
      </c>
      <c r="AC12" s="113" t="s">
        <v>65</v>
      </c>
      <c r="AE12" s="114" t="s">
        <v>67</v>
      </c>
      <c r="AF12" s="114" t="s">
        <v>67</v>
      </c>
      <c r="AG12" s="15" t="s">
        <v>1045</v>
      </c>
      <c r="AH12" t="s">
        <v>1012</v>
      </c>
      <c r="AI12" s="18" t="s">
        <v>68</v>
      </c>
      <c r="AJ12" s="15" t="s">
        <v>109</v>
      </c>
      <c r="AK12" s="15" t="s">
        <v>129</v>
      </c>
      <c r="AL12" s="15" t="s">
        <v>130</v>
      </c>
      <c r="AM12" s="29" t="s">
        <v>131</v>
      </c>
      <c r="AN12" s="13" t="s">
        <v>113</v>
      </c>
      <c r="AO12" s="118" t="s">
        <v>1127</v>
      </c>
      <c r="AP12" s="40" t="s">
        <v>132</v>
      </c>
      <c r="AQ12" s="30" t="s">
        <v>94</v>
      </c>
      <c r="AR12" s="15" t="s">
        <v>81</v>
      </c>
    </row>
    <row r="13" spans="1:44" ht="15" customHeight="1" x14ac:dyDescent="0.25">
      <c r="A13" s="15">
        <v>1</v>
      </c>
      <c r="B13" s="37" t="s">
        <v>133</v>
      </c>
      <c r="C13" s="15" t="s">
        <v>103</v>
      </c>
      <c r="D13" s="13" t="s">
        <v>39</v>
      </c>
      <c r="E13" s="13">
        <v>5</v>
      </c>
      <c r="F13" s="13">
        <v>5</v>
      </c>
      <c r="G13" s="13">
        <v>5</v>
      </c>
      <c r="H13" s="13" t="s">
        <v>39</v>
      </c>
      <c r="I13" s="13" t="s">
        <v>39</v>
      </c>
      <c r="J13" s="13" t="s">
        <v>39</v>
      </c>
      <c r="K13" s="20"/>
      <c r="L13" s="20"/>
      <c r="M13" s="20"/>
      <c r="N13" s="20"/>
      <c r="O13" s="20"/>
      <c r="P13" s="13" t="s">
        <v>84</v>
      </c>
      <c r="Q13" s="13" t="s">
        <v>56</v>
      </c>
      <c r="R13" s="103" t="s">
        <v>939</v>
      </c>
      <c r="T13" s="15" t="s">
        <v>115</v>
      </c>
      <c r="U13" s="33" t="s">
        <v>59</v>
      </c>
      <c r="V13" s="33" t="s">
        <v>59</v>
      </c>
      <c r="W13" s="38" t="s">
        <v>59</v>
      </c>
      <c r="X13" s="38" t="s">
        <v>59</v>
      </c>
      <c r="Y13" s="38" t="s">
        <v>59</v>
      </c>
      <c r="Z13" s="13" t="s">
        <v>884</v>
      </c>
      <c r="AA13" s="108" t="s">
        <v>974</v>
      </c>
      <c r="AB13" s="17" t="s">
        <v>134</v>
      </c>
      <c r="AC13" s="113" t="s">
        <v>65</v>
      </c>
      <c r="AE13" s="114" t="s">
        <v>67</v>
      </c>
      <c r="AF13" s="114" t="s">
        <v>67</v>
      </c>
      <c r="AG13" s="15" t="s">
        <v>1045</v>
      </c>
      <c r="AH13" t="s">
        <v>1012</v>
      </c>
      <c r="AI13" s="18" t="s">
        <v>68</v>
      </c>
      <c r="AJ13" s="15" t="s">
        <v>109</v>
      </c>
      <c r="AK13" s="15" t="s">
        <v>135</v>
      </c>
      <c r="AL13" s="15" t="s">
        <v>136</v>
      </c>
      <c r="AM13" s="29" t="s">
        <v>137</v>
      </c>
      <c r="AN13" s="13" t="s">
        <v>113</v>
      </c>
      <c r="AO13" s="111" t="s">
        <v>137</v>
      </c>
      <c r="AP13" s="39" t="s">
        <v>138</v>
      </c>
      <c r="AQ13" s="36" t="s">
        <v>113</v>
      </c>
    </row>
    <row r="14" spans="1:44" ht="15" customHeight="1" x14ac:dyDescent="0.25">
      <c r="A14" s="15">
        <v>1</v>
      </c>
      <c r="B14" s="37" t="s">
        <v>139</v>
      </c>
      <c r="C14" s="15" t="s">
        <v>128</v>
      </c>
      <c r="D14" s="13" t="s">
        <v>40</v>
      </c>
      <c r="E14" s="13">
        <v>4</v>
      </c>
      <c r="F14" s="13">
        <v>4</v>
      </c>
      <c r="G14" s="13">
        <v>4</v>
      </c>
      <c r="H14" s="13" t="s">
        <v>40</v>
      </c>
      <c r="I14" s="13" t="s">
        <v>40</v>
      </c>
      <c r="J14" s="13" t="s">
        <v>40</v>
      </c>
      <c r="K14" s="20"/>
      <c r="L14" s="20"/>
      <c r="M14" s="20"/>
      <c r="N14" s="20"/>
      <c r="O14" s="20"/>
      <c r="P14" s="13" t="s">
        <v>55</v>
      </c>
      <c r="Q14" s="13" t="s">
        <v>56</v>
      </c>
      <c r="R14" s="103" t="s">
        <v>939</v>
      </c>
      <c r="T14" s="15" t="s">
        <v>115</v>
      </c>
      <c r="U14" s="33" t="s">
        <v>59</v>
      </c>
      <c r="V14" s="33" t="s">
        <v>59</v>
      </c>
      <c r="W14" s="38" t="s">
        <v>59</v>
      </c>
      <c r="X14" s="38" t="s">
        <v>59</v>
      </c>
      <c r="Y14" s="38" t="s">
        <v>59</v>
      </c>
      <c r="Z14" s="13" t="s">
        <v>63</v>
      </c>
      <c r="AA14" s="108" t="s">
        <v>973</v>
      </c>
      <c r="AB14" s="15" t="s">
        <v>116</v>
      </c>
      <c r="AC14" s="113" t="s">
        <v>65</v>
      </c>
      <c r="AE14" s="114" t="s">
        <v>67</v>
      </c>
      <c r="AF14" s="114" t="s">
        <v>67</v>
      </c>
      <c r="AG14" s="15" t="s">
        <v>1045</v>
      </c>
      <c r="AH14" t="s">
        <v>1012</v>
      </c>
      <c r="AI14" s="18" t="s">
        <v>68</v>
      </c>
      <c r="AJ14" s="15" t="s">
        <v>109</v>
      </c>
      <c r="AK14" s="15" t="s">
        <v>140</v>
      </c>
      <c r="AL14" s="15" t="s">
        <v>141</v>
      </c>
      <c r="AM14" s="29" t="s">
        <v>142</v>
      </c>
      <c r="AN14" s="13" t="s">
        <v>113</v>
      </c>
      <c r="AO14" s="118" t="s">
        <v>1135</v>
      </c>
      <c r="AP14" s="41" t="s">
        <v>143</v>
      </c>
      <c r="AQ14" s="30" t="s">
        <v>94</v>
      </c>
      <c r="AR14" s="15" t="s">
        <v>81</v>
      </c>
    </row>
    <row r="15" spans="1:44" ht="15" customHeight="1" x14ac:dyDescent="0.25">
      <c r="A15" s="15">
        <v>1</v>
      </c>
      <c r="B15" s="42" t="s">
        <v>144</v>
      </c>
      <c r="C15" s="15" t="s">
        <v>128</v>
      </c>
      <c r="D15" s="13" t="s">
        <v>40</v>
      </c>
      <c r="E15" s="13">
        <v>4</v>
      </c>
      <c r="F15" s="13">
        <v>4</v>
      </c>
      <c r="G15" s="13">
        <v>4</v>
      </c>
      <c r="H15" s="13" t="s">
        <v>40</v>
      </c>
      <c r="I15" s="13" t="s">
        <v>40</v>
      </c>
      <c r="J15" s="13" t="s">
        <v>40</v>
      </c>
      <c r="K15" s="20"/>
      <c r="L15" s="20"/>
      <c r="M15" s="20"/>
      <c r="N15" s="20"/>
      <c r="O15" s="20"/>
      <c r="P15" s="13" t="s">
        <v>55</v>
      </c>
      <c r="Q15" s="13" t="s">
        <v>56</v>
      </c>
      <c r="R15" s="103" t="s">
        <v>939</v>
      </c>
      <c r="T15" s="15" t="s">
        <v>115</v>
      </c>
      <c r="U15" s="33" t="s">
        <v>59</v>
      </c>
      <c r="V15" s="33" t="s">
        <v>59</v>
      </c>
      <c r="W15" s="38" t="s">
        <v>59</v>
      </c>
      <c r="X15" s="38" t="s">
        <v>59</v>
      </c>
      <c r="Y15" s="38" t="s">
        <v>59</v>
      </c>
      <c r="Z15" s="13" t="s">
        <v>63</v>
      </c>
      <c r="AA15" s="108" t="s">
        <v>973</v>
      </c>
      <c r="AB15" s="15" t="s">
        <v>116</v>
      </c>
      <c r="AC15" s="113" t="s">
        <v>65</v>
      </c>
      <c r="AD15" s="15" t="s">
        <v>59</v>
      </c>
      <c r="AE15" s="114" t="s">
        <v>67</v>
      </c>
      <c r="AF15" s="114" t="s">
        <v>67</v>
      </c>
      <c r="AG15" s="15" t="s">
        <v>1045</v>
      </c>
      <c r="AH15" t="s">
        <v>1012</v>
      </c>
      <c r="AI15" s="18" t="s">
        <v>68</v>
      </c>
      <c r="AJ15" s="15" t="s">
        <v>109</v>
      </c>
      <c r="AK15" s="15" t="s">
        <v>145</v>
      </c>
      <c r="AL15" s="15" t="s">
        <v>145</v>
      </c>
      <c r="AM15" s="29" t="s">
        <v>146</v>
      </c>
      <c r="AN15" s="13" t="s">
        <v>94</v>
      </c>
      <c r="AO15" s="111"/>
      <c r="AP15" s="19" t="s">
        <v>146</v>
      </c>
      <c r="AQ15" s="30" t="s">
        <v>94</v>
      </c>
    </row>
    <row r="16" spans="1:44" ht="15" hidden="1" customHeight="1" x14ac:dyDescent="0.25">
      <c r="A16" s="15">
        <v>0</v>
      </c>
      <c r="B16" s="35" t="s">
        <v>147</v>
      </c>
      <c r="C16" s="15" t="s">
        <v>103</v>
      </c>
      <c r="D16" s="15" t="s">
        <v>39</v>
      </c>
      <c r="E16" s="13">
        <v>5</v>
      </c>
      <c r="F16" s="13">
        <v>5</v>
      </c>
      <c r="G16" s="13">
        <v>5</v>
      </c>
      <c r="H16" s="13" t="s">
        <v>39</v>
      </c>
      <c r="I16" s="13" t="s">
        <v>39</v>
      </c>
      <c r="J16" s="13" t="s">
        <v>39</v>
      </c>
      <c r="K16" s="20"/>
      <c r="L16" s="20"/>
      <c r="M16" s="20"/>
      <c r="N16" s="20"/>
      <c r="O16" s="20"/>
      <c r="P16" s="13" t="s">
        <v>148</v>
      </c>
      <c r="Q16" s="15" t="s">
        <v>56</v>
      </c>
      <c r="R16" s="15"/>
      <c r="T16" s="15" t="s">
        <v>115</v>
      </c>
      <c r="U16" s="38" t="s">
        <v>59</v>
      </c>
      <c r="V16" s="38" t="s">
        <v>59</v>
      </c>
      <c r="W16" s="38" t="s">
        <v>59</v>
      </c>
      <c r="X16" s="38" t="s">
        <v>59</v>
      </c>
      <c r="Y16" s="38" t="s">
        <v>59</v>
      </c>
      <c r="Z16" s="13" t="s">
        <v>63</v>
      </c>
      <c r="AA16" s="13"/>
      <c r="AB16" s="17" t="s">
        <v>149</v>
      </c>
      <c r="AC16" s="26" t="s">
        <v>65</v>
      </c>
      <c r="AD16" s="15" t="s">
        <v>59</v>
      </c>
      <c r="AE16" s="27" t="s">
        <v>67</v>
      </c>
      <c r="AF16" s="27" t="s">
        <v>67</v>
      </c>
      <c r="AG16" t="s">
        <v>109</v>
      </c>
      <c r="AH16" t="s">
        <v>109</v>
      </c>
      <c r="AI16" s="18" t="s">
        <v>68</v>
      </c>
      <c r="AJ16" s="15" t="s">
        <v>109</v>
      </c>
      <c r="AK16" s="15" t="s">
        <v>150</v>
      </c>
      <c r="AL16" s="28" t="s">
        <v>151</v>
      </c>
      <c r="AM16" s="29" t="s">
        <v>152</v>
      </c>
      <c r="AN16" s="30" t="s">
        <v>94</v>
      </c>
      <c r="AO16" s="30"/>
      <c r="AP16" s="28" t="s">
        <v>153</v>
      </c>
      <c r="AQ16" s="30" t="s">
        <v>94</v>
      </c>
    </row>
    <row r="17" spans="1:44" ht="15" hidden="1" customHeight="1" x14ac:dyDescent="0.25">
      <c r="A17" s="15">
        <v>0</v>
      </c>
      <c r="B17" s="37" t="s">
        <v>154</v>
      </c>
      <c r="C17" s="15" t="s">
        <v>54</v>
      </c>
      <c r="D17" s="15" t="s">
        <v>41</v>
      </c>
      <c r="E17" s="13">
        <v>3</v>
      </c>
      <c r="F17" s="13">
        <v>3</v>
      </c>
      <c r="G17" s="13">
        <v>3</v>
      </c>
      <c r="H17" s="13" t="s">
        <v>41</v>
      </c>
      <c r="I17" s="13" t="s">
        <v>41</v>
      </c>
      <c r="J17" s="13" t="s">
        <v>41</v>
      </c>
      <c r="K17" s="20"/>
      <c r="L17" s="20"/>
      <c r="M17" s="20"/>
      <c r="N17" s="20"/>
      <c r="O17" s="20"/>
      <c r="P17" s="13" t="s">
        <v>55</v>
      </c>
      <c r="Q17" s="15" t="s">
        <v>56</v>
      </c>
      <c r="R17" s="15"/>
      <c r="T17" s="15" t="s">
        <v>115</v>
      </c>
      <c r="U17" s="38" t="s">
        <v>59</v>
      </c>
      <c r="V17" s="38" t="s">
        <v>59</v>
      </c>
      <c r="W17" s="38" t="s">
        <v>59</v>
      </c>
      <c r="X17" s="38" t="s">
        <v>59</v>
      </c>
      <c r="Y17" s="38" t="s">
        <v>59</v>
      </c>
      <c r="Z17" s="13" t="s">
        <v>63</v>
      </c>
      <c r="AA17" s="13"/>
      <c r="AB17" s="15" t="s">
        <v>116</v>
      </c>
      <c r="AC17" s="26" t="s">
        <v>65</v>
      </c>
      <c r="AE17" s="27" t="s">
        <v>67</v>
      </c>
      <c r="AF17" s="27" t="s">
        <v>67</v>
      </c>
      <c r="AG17" t="s">
        <v>76</v>
      </c>
      <c r="AH17" t="s">
        <v>76</v>
      </c>
      <c r="AI17" s="18" t="s">
        <v>68</v>
      </c>
      <c r="AJ17" s="15" t="s">
        <v>76</v>
      </c>
      <c r="AK17" s="15" t="s">
        <v>155</v>
      </c>
      <c r="AL17" s="28" t="s">
        <v>156</v>
      </c>
      <c r="AM17" s="29" t="s">
        <v>157</v>
      </c>
      <c r="AN17" s="30" t="s">
        <v>73</v>
      </c>
      <c r="AO17" s="30"/>
      <c r="AP17" s="28" t="s">
        <v>158</v>
      </c>
      <c r="AQ17" s="30" t="s">
        <v>73</v>
      </c>
    </row>
    <row r="18" spans="1:44" ht="15" hidden="1" customHeight="1" x14ac:dyDescent="0.25">
      <c r="A18" s="15">
        <v>0</v>
      </c>
      <c r="B18" s="37" t="s">
        <v>159</v>
      </c>
      <c r="C18" s="15" t="s">
        <v>54</v>
      </c>
      <c r="D18" s="15" t="s">
        <v>41</v>
      </c>
      <c r="E18" s="13">
        <v>3</v>
      </c>
      <c r="F18" s="13">
        <v>3</v>
      </c>
      <c r="G18" s="13">
        <v>3</v>
      </c>
      <c r="H18" s="13" t="s">
        <v>41</v>
      </c>
      <c r="I18" s="13" t="s">
        <v>41</v>
      </c>
      <c r="J18" s="13" t="s">
        <v>41</v>
      </c>
      <c r="K18" s="20"/>
      <c r="L18" s="20"/>
      <c r="M18" s="20"/>
      <c r="N18" s="20"/>
      <c r="O18" s="20"/>
      <c r="P18" s="13" t="s">
        <v>55</v>
      </c>
      <c r="Q18" s="15" t="s">
        <v>56</v>
      </c>
      <c r="R18" s="15"/>
      <c r="T18" s="15" t="s">
        <v>115</v>
      </c>
      <c r="U18" s="38" t="s">
        <v>59</v>
      </c>
      <c r="V18" s="38" t="s">
        <v>59</v>
      </c>
      <c r="W18" s="38" t="s">
        <v>59</v>
      </c>
      <c r="X18" s="38" t="s">
        <v>59</v>
      </c>
      <c r="Y18" s="38" t="s">
        <v>59</v>
      </c>
      <c r="Z18" s="13" t="s">
        <v>63</v>
      </c>
      <c r="AA18" s="13"/>
      <c r="AB18" s="15" t="s">
        <v>116</v>
      </c>
      <c r="AC18" s="26" t="s">
        <v>65</v>
      </c>
      <c r="AE18" s="27" t="s">
        <v>67</v>
      </c>
      <c r="AF18" s="27" t="s">
        <v>67</v>
      </c>
      <c r="AG18" t="s">
        <v>76</v>
      </c>
      <c r="AH18" t="s">
        <v>76</v>
      </c>
      <c r="AI18" s="18" t="s">
        <v>68</v>
      </c>
      <c r="AJ18" s="15" t="s">
        <v>76</v>
      </c>
      <c r="AK18" s="15" t="s">
        <v>124</v>
      </c>
      <c r="AL18" s="15" t="s">
        <v>125</v>
      </c>
      <c r="AM18" s="39" t="s">
        <v>126</v>
      </c>
      <c r="AN18" s="30" t="s">
        <v>94</v>
      </c>
      <c r="AO18" s="30"/>
      <c r="AP18" s="39" t="s">
        <v>127</v>
      </c>
      <c r="AQ18" s="30" t="s">
        <v>94</v>
      </c>
    </row>
    <row r="19" spans="1:44" ht="15" hidden="1" customHeight="1" x14ac:dyDescent="0.25">
      <c r="A19" s="15">
        <v>0</v>
      </c>
      <c r="B19" s="37" t="s">
        <v>160</v>
      </c>
      <c r="C19" s="15" t="s">
        <v>54</v>
      </c>
      <c r="D19" s="15" t="s">
        <v>41</v>
      </c>
      <c r="E19" s="13">
        <v>3</v>
      </c>
      <c r="F19" s="13">
        <v>3</v>
      </c>
      <c r="G19" s="13">
        <v>3</v>
      </c>
      <c r="H19" s="13" t="s">
        <v>41</v>
      </c>
      <c r="I19" s="13" t="s">
        <v>41</v>
      </c>
      <c r="J19" s="13" t="s">
        <v>41</v>
      </c>
      <c r="K19" s="20"/>
      <c r="L19" s="20"/>
      <c r="M19" s="20"/>
      <c r="N19" s="20"/>
      <c r="O19" s="20"/>
      <c r="P19" s="13" t="s">
        <v>55</v>
      </c>
      <c r="Q19" s="15" t="s">
        <v>56</v>
      </c>
      <c r="R19" s="15"/>
      <c r="T19" s="15" t="s">
        <v>115</v>
      </c>
      <c r="U19" s="38" t="s">
        <v>59</v>
      </c>
      <c r="V19" s="38" t="s">
        <v>59</v>
      </c>
      <c r="W19" s="38" t="s">
        <v>59</v>
      </c>
      <c r="X19" s="38" t="s">
        <v>59</v>
      </c>
      <c r="Y19" s="38" t="s">
        <v>59</v>
      </c>
      <c r="Z19" s="13" t="s">
        <v>63</v>
      </c>
      <c r="AA19" s="13"/>
      <c r="AB19" s="15" t="s">
        <v>116</v>
      </c>
      <c r="AC19" s="26" t="s">
        <v>65</v>
      </c>
      <c r="AE19" s="27" t="s">
        <v>67</v>
      </c>
      <c r="AF19" s="27" t="s">
        <v>67</v>
      </c>
      <c r="AG19" t="s">
        <v>76</v>
      </c>
      <c r="AH19" t="s">
        <v>76</v>
      </c>
      <c r="AI19" s="18" t="s">
        <v>68</v>
      </c>
      <c r="AJ19" s="15" t="s">
        <v>76</v>
      </c>
      <c r="AK19" s="15" t="s">
        <v>129</v>
      </c>
      <c r="AL19" s="15" t="s">
        <v>130</v>
      </c>
      <c r="AM19" s="40" t="s">
        <v>131</v>
      </c>
      <c r="AN19" s="36" t="s">
        <v>113</v>
      </c>
      <c r="AO19" s="36"/>
      <c r="AP19" s="40" t="s">
        <v>132</v>
      </c>
      <c r="AQ19" s="36" t="s">
        <v>113</v>
      </c>
      <c r="AR19" s="15" t="s">
        <v>81</v>
      </c>
    </row>
    <row r="20" spans="1:44" ht="15" hidden="1" customHeight="1" x14ac:dyDescent="0.25">
      <c r="A20" s="15">
        <v>0</v>
      </c>
      <c r="B20" s="37" t="s">
        <v>161</v>
      </c>
      <c r="C20" s="15" t="s">
        <v>54</v>
      </c>
      <c r="D20" s="15" t="s">
        <v>41</v>
      </c>
      <c r="E20" s="13">
        <v>3</v>
      </c>
      <c r="F20" s="13">
        <v>3</v>
      </c>
      <c r="G20" s="13">
        <v>3</v>
      </c>
      <c r="H20" s="13" t="s">
        <v>41</v>
      </c>
      <c r="I20" s="13" t="s">
        <v>41</v>
      </c>
      <c r="J20" s="13" t="s">
        <v>41</v>
      </c>
      <c r="K20" s="20"/>
      <c r="L20" s="20"/>
      <c r="M20" s="20"/>
      <c r="N20" s="20"/>
      <c r="O20" s="20"/>
      <c r="P20" s="13" t="s">
        <v>55</v>
      </c>
      <c r="Q20" s="15" t="s">
        <v>56</v>
      </c>
      <c r="R20" s="15"/>
      <c r="T20" s="15" t="s">
        <v>115</v>
      </c>
      <c r="U20" s="38" t="s">
        <v>59</v>
      </c>
      <c r="V20" s="38" t="s">
        <v>59</v>
      </c>
      <c r="W20" s="38" t="s">
        <v>59</v>
      </c>
      <c r="X20" s="38" t="s">
        <v>59</v>
      </c>
      <c r="Y20" s="38" t="s">
        <v>59</v>
      </c>
      <c r="Z20" s="13" t="s">
        <v>63</v>
      </c>
      <c r="AA20" s="13"/>
      <c r="AB20" s="15" t="s">
        <v>116</v>
      </c>
      <c r="AC20" s="26" t="s">
        <v>65</v>
      </c>
      <c r="AE20" s="27" t="s">
        <v>67</v>
      </c>
      <c r="AF20" s="27" t="s">
        <v>67</v>
      </c>
      <c r="AG20" t="s">
        <v>76</v>
      </c>
      <c r="AH20" t="s">
        <v>76</v>
      </c>
      <c r="AI20" s="18" t="s">
        <v>68</v>
      </c>
      <c r="AJ20" s="15" t="s">
        <v>76</v>
      </c>
      <c r="AK20" s="15" t="s">
        <v>135</v>
      </c>
      <c r="AL20" s="15" t="s">
        <v>136</v>
      </c>
      <c r="AM20" s="39" t="s">
        <v>137</v>
      </c>
      <c r="AN20" s="36" t="s">
        <v>113</v>
      </c>
      <c r="AO20" s="36"/>
      <c r="AP20" s="39" t="s">
        <v>138</v>
      </c>
      <c r="AQ20" s="36" t="s">
        <v>113</v>
      </c>
    </row>
    <row r="21" spans="1:44" ht="15" hidden="1" customHeight="1" x14ac:dyDescent="0.25">
      <c r="A21" s="15">
        <v>0</v>
      </c>
      <c r="B21" s="37" t="s">
        <v>162</v>
      </c>
      <c r="C21" s="15" t="s">
        <v>54</v>
      </c>
      <c r="D21" s="15" t="s">
        <v>41</v>
      </c>
      <c r="E21" s="13">
        <v>3</v>
      </c>
      <c r="F21" s="13">
        <v>3</v>
      </c>
      <c r="G21" s="13">
        <v>3</v>
      </c>
      <c r="H21" s="13" t="s">
        <v>41</v>
      </c>
      <c r="I21" s="13" t="s">
        <v>41</v>
      </c>
      <c r="J21" s="13" t="s">
        <v>41</v>
      </c>
      <c r="K21" s="20"/>
      <c r="L21" s="20"/>
      <c r="M21" s="20"/>
      <c r="N21" s="20"/>
      <c r="O21" s="20"/>
      <c r="P21" s="13" t="s">
        <v>55</v>
      </c>
      <c r="Q21" s="15" t="s">
        <v>56</v>
      </c>
      <c r="R21" s="15"/>
      <c r="T21" s="15" t="s">
        <v>115</v>
      </c>
      <c r="U21" s="38" t="s">
        <v>59</v>
      </c>
      <c r="V21" s="38" t="s">
        <v>59</v>
      </c>
      <c r="W21" s="38" t="s">
        <v>59</v>
      </c>
      <c r="X21" s="38" t="s">
        <v>59</v>
      </c>
      <c r="Y21" s="38" t="s">
        <v>59</v>
      </c>
      <c r="Z21" s="13" t="s">
        <v>63</v>
      </c>
      <c r="AA21" s="13"/>
      <c r="AB21" s="15" t="s">
        <v>116</v>
      </c>
      <c r="AC21" s="26" t="s">
        <v>65</v>
      </c>
      <c r="AE21" s="27" t="s">
        <v>67</v>
      </c>
      <c r="AF21" s="27" t="s">
        <v>67</v>
      </c>
      <c r="AG21" t="s">
        <v>76</v>
      </c>
      <c r="AH21" t="s">
        <v>76</v>
      </c>
      <c r="AI21" s="18" t="s">
        <v>68</v>
      </c>
      <c r="AJ21" s="15" t="s">
        <v>76</v>
      </c>
      <c r="AK21" s="15" t="s">
        <v>140</v>
      </c>
      <c r="AL21" s="15" t="s">
        <v>141</v>
      </c>
      <c r="AM21" s="40" t="s">
        <v>142</v>
      </c>
      <c r="AN21" s="36" t="s">
        <v>113</v>
      </c>
      <c r="AO21" s="36"/>
      <c r="AP21" s="41" t="s">
        <v>143</v>
      </c>
      <c r="AQ21" s="36" t="s">
        <v>113</v>
      </c>
      <c r="AR21" s="15" t="s">
        <v>81</v>
      </c>
    </row>
    <row r="22" spans="1:44" ht="15" customHeight="1" x14ac:dyDescent="0.25">
      <c r="A22" s="15">
        <v>1</v>
      </c>
      <c r="B22" s="15" t="s">
        <v>163</v>
      </c>
      <c r="C22" s="15" t="s">
        <v>128</v>
      </c>
      <c r="D22" s="13" t="s">
        <v>40</v>
      </c>
      <c r="E22" s="13">
        <v>4</v>
      </c>
      <c r="F22" s="13">
        <v>4</v>
      </c>
      <c r="G22" s="13">
        <v>4</v>
      </c>
      <c r="H22" s="13" t="s">
        <v>40</v>
      </c>
      <c r="I22" s="13" t="s">
        <v>40</v>
      </c>
      <c r="J22" s="13" t="s">
        <v>40</v>
      </c>
      <c r="K22" s="20"/>
      <c r="L22" s="20"/>
      <c r="M22" s="20"/>
      <c r="N22" s="20"/>
      <c r="O22" s="20"/>
      <c r="P22" s="13" t="s">
        <v>84</v>
      </c>
      <c r="Q22" s="13" t="s">
        <v>56</v>
      </c>
      <c r="R22" s="103" t="s">
        <v>940</v>
      </c>
      <c r="T22" s="38">
        <v>1363.95</v>
      </c>
      <c r="U22" s="21" t="s">
        <v>58</v>
      </c>
      <c r="V22" s="33" t="s">
        <v>59</v>
      </c>
      <c r="W22" s="25" t="s">
        <v>164</v>
      </c>
      <c r="X22" s="25" t="s">
        <v>165</v>
      </c>
      <c r="Y22" s="25" t="s">
        <v>166</v>
      </c>
      <c r="Z22" s="13" t="s">
        <v>884</v>
      </c>
      <c r="AA22" s="108" t="s">
        <v>975</v>
      </c>
      <c r="AB22" s="12" t="s">
        <v>167</v>
      </c>
      <c r="AC22" s="113" t="s">
        <v>65</v>
      </c>
      <c r="AD22" s="15" t="s">
        <v>59</v>
      </c>
      <c r="AE22" s="114" t="s">
        <v>67</v>
      </c>
      <c r="AF22" s="114" t="s">
        <v>67</v>
      </c>
      <c r="AG22" s="15" t="s">
        <v>1045</v>
      </c>
      <c r="AH22" t="s">
        <v>1012</v>
      </c>
      <c r="AI22" s="18" t="s">
        <v>68</v>
      </c>
      <c r="AJ22" s="15" t="s">
        <v>109</v>
      </c>
      <c r="AK22" s="15" t="s">
        <v>168</v>
      </c>
      <c r="AL22" s="28" t="s">
        <v>169</v>
      </c>
      <c r="AM22" s="29" t="s">
        <v>170</v>
      </c>
      <c r="AN22" s="13" t="s">
        <v>94</v>
      </c>
      <c r="AO22" s="111" t="s">
        <v>170</v>
      </c>
      <c r="AP22" s="28" t="s">
        <v>171</v>
      </c>
      <c r="AQ22" s="30" t="s">
        <v>94</v>
      </c>
    </row>
    <row r="23" spans="1:44" ht="15" hidden="1" customHeight="1" x14ac:dyDescent="0.25">
      <c r="A23" s="15">
        <v>0</v>
      </c>
      <c r="B23" s="15" t="s">
        <v>172</v>
      </c>
      <c r="C23" s="15" t="s">
        <v>128</v>
      </c>
      <c r="D23" s="15" t="s">
        <v>40</v>
      </c>
      <c r="E23" s="13">
        <v>4</v>
      </c>
      <c r="F23" s="13">
        <v>4</v>
      </c>
      <c r="G23" s="13">
        <v>4</v>
      </c>
      <c r="H23" s="13" t="s">
        <v>40</v>
      </c>
      <c r="I23" s="13" t="s">
        <v>40</v>
      </c>
      <c r="J23" s="13" t="s">
        <v>40</v>
      </c>
      <c r="K23" s="20"/>
      <c r="L23" s="20"/>
      <c r="M23" s="20"/>
      <c r="N23" s="20"/>
      <c r="O23" s="20"/>
      <c r="P23" s="13" t="s">
        <v>84</v>
      </c>
      <c r="Q23" s="15" t="s">
        <v>56</v>
      </c>
      <c r="R23" s="15"/>
      <c r="T23" s="15" t="s">
        <v>76</v>
      </c>
      <c r="U23" s="31" t="s">
        <v>59</v>
      </c>
      <c r="V23" s="38" t="s">
        <v>59</v>
      </c>
      <c r="W23" s="15" t="s">
        <v>76</v>
      </c>
      <c r="X23" s="15" t="s">
        <v>59</v>
      </c>
      <c r="Y23" s="15" t="s">
        <v>59</v>
      </c>
      <c r="Z23" s="13" t="s">
        <v>63</v>
      </c>
      <c r="AA23" s="13"/>
      <c r="AB23" s="17" t="s">
        <v>76</v>
      </c>
      <c r="AC23" s="26" t="s">
        <v>65</v>
      </c>
      <c r="AD23" s="15" t="s">
        <v>59</v>
      </c>
      <c r="AE23" s="27" t="s">
        <v>67</v>
      </c>
      <c r="AF23" s="27" t="s">
        <v>67</v>
      </c>
      <c r="AG23" t="s">
        <v>109</v>
      </c>
      <c r="AH23" t="s">
        <v>109</v>
      </c>
      <c r="AI23" s="18" t="s">
        <v>68</v>
      </c>
      <c r="AJ23" s="15" t="s">
        <v>109</v>
      </c>
      <c r="AK23" s="15" t="s">
        <v>168</v>
      </c>
      <c r="AL23" s="28" t="s">
        <v>169</v>
      </c>
      <c r="AM23" s="29" t="s">
        <v>170</v>
      </c>
      <c r="AN23" s="30" t="s">
        <v>94</v>
      </c>
      <c r="AO23" s="30"/>
      <c r="AP23" s="28" t="s">
        <v>171</v>
      </c>
      <c r="AQ23" s="30" t="s">
        <v>94</v>
      </c>
    </row>
    <row r="24" spans="1:44" ht="15" customHeight="1" x14ac:dyDescent="0.25">
      <c r="A24" s="15">
        <v>1</v>
      </c>
      <c r="B24" s="15" t="s">
        <v>173</v>
      </c>
      <c r="C24" s="15" t="s">
        <v>128</v>
      </c>
      <c r="D24" s="13" t="s">
        <v>40</v>
      </c>
      <c r="E24" s="13">
        <v>3</v>
      </c>
      <c r="F24" s="13">
        <v>4</v>
      </c>
      <c r="G24" s="13">
        <v>3</v>
      </c>
      <c r="H24" s="13" t="s">
        <v>41</v>
      </c>
      <c r="I24" s="13" t="s">
        <v>40</v>
      </c>
      <c r="J24" s="13" t="s">
        <v>41</v>
      </c>
      <c r="K24" s="20"/>
      <c r="L24" s="20"/>
      <c r="M24" s="20"/>
      <c r="N24" s="20"/>
      <c r="O24" s="20"/>
      <c r="P24" s="13" t="s">
        <v>84</v>
      </c>
      <c r="Q24" s="13" t="s">
        <v>174</v>
      </c>
      <c r="R24" s="103" t="s">
        <v>941</v>
      </c>
      <c r="S24" s="15" t="s">
        <v>175</v>
      </c>
      <c r="T24" s="38">
        <v>470.08</v>
      </c>
      <c r="U24" s="33" t="s">
        <v>175</v>
      </c>
      <c r="V24" s="33" t="s">
        <v>59</v>
      </c>
      <c r="W24" s="15" t="s">
        <v>176</v>
      </c>
      <c r="X24" s="15" t="s">
        <v>177</v>
      </c>
      <c r="Y24" s="15" t="s">
        <v>178</v>
      </c>
      <c r="Z24" s="13" t="s">
        <v>63</v>
      </c>
      <c r="AA24" s="108" t="s">
        <v>976</v>
      </c>
      <c r="AB24" s="12" t="s">
        <v>179</v>
      </c>
      <c r="AC24" s="113" t="s">
        <v>65</v>
      </c>
      <c r="AD24" s="15" t="s">
        <v>180</v>
      </c>
      <c r="AE24" s="114" t="s">
        <v>67</v>
      </c>
      <c r="AF24" s="114" t="s">
        <v>67</v>
      </c>
      <c r="AG24" t="s">
        <v>1013</v>
      </c>
      <c r="AH24" t="s">
        <v>1013</v>
      </c>
      <c r="AI24" s="18" t="s">
        <v>68</v>
      </c>
      <c r="AJ24" s="15" t="s">
        <v>181</v>
      </c>
      <c r="AK24" s="15" t="s">
        <v>182</v>
      </c>
      <c r="AL24" s="15" t="s">
        <v>183</v>
      </c>
      <c r="AM24" s="29" t="s">
        <v>184</v>
      </c>
      <c r="AN24" s="13" t="s">
        <v>113</v>
      </c>
      <c r="AO24" s="111" t="s">
        <v>184</v>
      </c>
      <c r="AP24" s="28" t="s">
        <v>185</v>
      </c>
      <c r="AQ24" s="30" t="s">
        <v>113</v>
      </c>
    </row>
    <row r="25" spans="1:44" ht="15" hidden="1" customHeight="1" x14ac:dyDescent="0.25">
      <c r="A25" s="15">
        <v>0</v>
      </c>
      <c r="B25" s="15" t="s">
        <v>186</v>
      </c>
      <c r="C25" s="15" t="s">
        <v>128</v>
      </c>
      <c r="D25" s="15" t="s">
        <v>40</v>
      </c>
      <c r="E25" s="13">
        <v>3</v>
      </c>
      <c r="F25" s="13">
        <v>4</v>
      </c>
      <c r="G25" s="13">
        <v>3</v>
      </c>
      <c r="H25" s="13" t="s">
        <v>41</v>
      </c>
      <c r="I25" s="13" t="s">
        <v>40</v>
      </c>
      <c r="J25" s="13" t="s">
        <v>41</v>
      </c>
      <c r="K25" s="20"/>
      <c r="L25" s="20"/>
      <c r="M25" s="20"/>
      <c r="N25" s="20"/>
      <c r="O25" s="20"/>
      <c r="P25" s="13" t="s">
        <v>84</v>
      </c>
      <c r="Q25" s="15" t="s">
        <v>174</v>
      </c>
      <c r="R25" s="15"/>
      <c r="T25" s="15" t="s">
        <v>76</v>
      </c>
      <c r="U25" s="31" t="s">
        <v>59</v>
      </c>
      <c r="V25" s="38" t="s">
        <v>59</v>
      </c>
      <c r="W25" s="15" t="s">
        <v>76</v>
      </c>
      <c r="X25" s="15" t="s">
        <v>59</v>
      </c>
      <c r="Y25" s="15" t="s">
        <v>59</v>
      </c>
      <c r="Z25" s="13" t="s">
        <v>63</v>
      </c>
      <c r="AA25" s="13"/>
      <c r="AB25" s="17" t="s">
        <v>187</v>
      </c>
      <c r="AC25" s="26" t="s">
        <v>65</v>
      </c>
      <c r="AD25" s="15" t="s">
        <v>180</v>
      </c>
      <c r="AE25" s="27" t="s">
        <v>67</v>
      </c>
      <c r="AF25" s="27" t="s">
        <v>67</v>
      </c>
      <c r="AG25" t="s">
        <v>181</v>
      </c>
      <c r="AH25" t="s">
        <v>181</v>
      </c>
      <c r="AI25" s="18" t="s">
        <v>68</v>
      </c>
      <c r="AJ25" s="15" t="s">
        <v>181</v>
      </c>
      <c r="AK25" s="15" t="s">
        <v>182</v>
      </c>
      <c r="AL25" s="15" t="s">
        <v>183</v>
      </c>
      <c r="AM25" s="29" t="s">
        <v>184</v>
      </c>
      <c r="AN25" s="36" t="s">
        <v>113</v>
      </c>
      <c r="AO25" s="36"/>
      <c r="AP25" s="28" t="s">
        <v>185</v>
      </c>
      <c r="AQ25" s="30" t="s">
        <v>113</v>
      </c>
    </row>
    <row r="26" spans="1:44" ht="15" customHeight="1" x14ac:dyDescent="0.25">
      <c r="A26" s="15">
        <v>1</v>
      </c>
      <c r="B26" s="15" t="s">
        <v>188</v>
      </c>
      <c r="C26" s="15" t="s">
        <v>128</v>
      </c>
      <c r="D26" s="13" t="s">
        <v>40</v>
      </c>
      <c r="E26" s="13">
        <v>3</v>
      </c>
      <c r="F26" s="13">
        <v>4</v>
      </c>
      <c r="G26" s="13">
        <v>3</v>
      </c>
      <c r="H26" s="13" t="s">
        <v>41</v>
      </c>
      <c r="I26" s="13" t="s">
        <v>40</v>
      </c>
      <c r="J26" s="13" t="s">
        <v>41</v>
      </c>
      <c r="K26" s="20"/>
      <c r="L26" s="20"/>
      <c r="M26" s="20"/>
      <c r="N26" s="20"/>
      <c r="O26" s="20"/>
      <c r="P26" s="13" t="s">
        <v>55</v>
      </c>
      <c r="Q26" s="13" t="s">
        <v>56</v>
      </c>
      <c r="R26" s="103" t="s">
        <v>942</v>
      </c>
      <c r="T26" s="33" t="s">
        <v>189</v>
      </c>
      <c r="U26" s="33" t="s">
        <v>58</v>
      </c>
      <c r="V26" s="33" t="s">
        <v>59</v>
      </c>
      <c r="W26" s="25" t="s">
        <v>190</v>
      </c>
      <c r="X26" s="25" t="s">
        <v>191</v>
      </c>
      <c r="Y26" s="25" t="s">
        <v>192</v>
      </c>
      <c r="Z26" s="13" t="s">
        <v>219</v>
      </c>
      <c r="AA26" s="108" t="s">
        <v>976</v>
      </c>
      <c r="AB26" s="17" t="s">
        <v>193</v>
      </c>
      <c r="AC26" s="113" t="s">
        <v>65</v>
      </c>
      <c r="AD26" s="15" t="s">
        <v>180</v>
      </c>
      <c r="AE26" s="114" t="s">
        <v>67</v>
      </c>
      <c r="AF26" s="114" t="s">
        <v>67</v>
      </c>
      <c r="AG26" t="s">
        <v>1013</v>
      </c>
      <c r="AH26" t="s">
        <v>1013</v>
      </c>
      <c r="AI26" s="18" t="s">
        <v>68</v>
      </c>
      <c r="AJ26" s="15" t="s">
        <v>181</v>
      </c>
      <c r="AK26" s="15" t="s">
        <v>194</v>
      </c>
      <c r="AM26" s="29" t="s">
        <v>195</v>
      </c>
      <c r="AN26" s="13" t="s">
        <v>73</v>
      </c>
      <c r="AO26" s="111" t="s">
        <v>195</v>
      </c>
      <c r="AP26" s="28" t="s">
        <v>196</v>
      </c>
      <c r="AQ26" s="30" t="s">
        <v>113</v>
      </c>
    </row>
    <row r="27" spans="1:44" ht="15" hidden="1" customHeight="1" x14ac:dyDescent="0.25">
      <c r="A27" s="15">
        <v>0</v>
      </c>
      <c r="B27" s="15" t="s">
        <v>197</v>
      </c>
      <c r="C27" s="15" t="s">
        <v>128</v>
      </c>
      <c r="D27" s="15" t="s">
        <v>40</v>
      </c>
      <c r="E27" s="13">
        <v>3</v>
      </c>
      <c r="F27" s="13">
        <v>4</v>
      </c>
      <c r="G27" s="13">
        <v>3</v>
      </c>
      <c r="H27" s="13" t="s">
        <v>41</v>
      </c>
      <c r="I27" s="13" t="s">
        <v>40</v>
      </c>
      <c r="J27" s="13" t="s">
        <v>41</v>
      </c>
      <c r="K27" s="20"/>
      <c r="L27" s="20"/>
      <c r="M27" s="20"/>
      <c r="N27" s="20"/>
      <c r="O27" s="20"/>
      <c r="P27" s="13" t="s">
        <v>55</v>
      </c>
      <c r="Q27" s="15" t="s">
        <v>56</v>
      </c>
      <c r="R27" s="15"/>
      <c r="T27" s="15" t="s">
        <v>76</v>
      </c>
      <c r="U27" s="38" t="s">
        <v>59</v>
      </c>
      <c r="V27" s="38" t="s">
        <v>59</v>
      </c>
      <c r="W27" s="15" t="s">
        <v>76</v>
      </c>
      <c r="X27" s="15" t="s">
        <v>59</v>
      </c>
      <c r="Y27" s="15" t="s">
        <v>59</v>
      </c>
      <c r="Z27" s="13" t="s">
        <v>63</v>
      </c>
      <c r="AA27" s="13"/>
      <c r="AB27" s="17" t="s">
        <v>193</v>
      </c>
      <c r="AC27" s="26" t="s">
        <v>65</v>
      </c>
      <c r="AD27" s="15" t="s">
        <v>180</v>
      </c>
      <c r="AE27" s="27" t="s">
        <v>67</v>
      </c>
      <c r="AF27" s="27" t="s">
        <v>67</v>
      </c>
      <c r="AG27" t="s">
        <v>181</v>
      </c>
      <c r="AH27" t="s">
        <v>181</v>
      </c>
      <c r="AI27" s="18" t="s">
        <v>68</v>
      </c>
      <c r="AJ27" s="15" t="s">
        <v>181</v>
      </c>
      <c r="AK27" s="15" t="s">
        <v>198</v>
      </c>
      <c r="AL27" s="15" t="s">
        <v>199</v>
      </c>
      <c r="AM27" s="43" t="s">
        <v>200</v>
      </c>
      <c r="AN27" s="36" t="s">
        <v>113</v>
      </c>
      <c r="AO27" s="36"/>
      <c r="AP27" s="43" t="s">
        <v>201</v>
      </c>
      <c r="AQ27" s="30" t="s">
        <v>113</v>
      </c>
      <c r="AR27" s="15" t="s">
        <v>202</v>
      </c>
    </row>
    <row r="28" spans="1:44" ht="15" customHeight="1" x14ac:dyDescent="0.25">
      <c r="A28" s="15">
        <v>1</v>
      </c>
      <c r="B28" s="15" t="s">
        <v>203</v>
      </c>
      <c r="C28" s="15" t="s">
        <v>103</v>
      </c>
      <c r="D28" s="13" t="s">
        <v>39</v>
      </c>
      <c r="E28" s="13">
        <v>5</v>
      </c>
      <c r="F28" s="13">
        <v>5</v>
      </c>
      <c r="G28" s="13">
        <v>5</v>
      </c>
      <c r="H28" s="13" t="s">
        <v>39</v>
      </c>
      <c r="I28" s="13" t="s">
        <v>39</v>
      </c>
      <c r="J28" s="13" t="s">
        <v>39</v>
      </c>
      <c r="K28" s="20"/>
      <c r="L28" s="20"/>
      <c r="M28" s="20"/>
      <c r="N28" s="20"/>
      <c r="O28" s="20"/>
      <c r="P28" s="13" t="s">
        <v>55</v>
      </c>
      <c r="Q28" s="13" t="s">
        <v>174</v>
      </c>
      <c r="R28" s="103" t="s">
        <v>943</v>
      </c>
      <c r="T28" s="38">
        <v>6036.66</v>
      </c>
      <c r="U28" s="33" t="s">
        <v>58</v>
      </c>
      <c r="V28" s="33" t="s">
        <v>59</v>
      </c>
      <c r="W28" s="25" t="s">
        <v>204</v>
      </c>
      <c r="X28" s="25" t="s">
        <v>205</v>
      </c>
      <c r="Y28" s="25" t="s">
        <v>206</v>
      </c>
      <c r="Z28" s="13" t="s">
        <v>219</v>
      </c>
      <c r="AA28" s="108" t="s">
        <v>977</v>
      </c>
      <c r="AB28" s="44" t="s">
        <v>207</v>
      </c>
      <c r="AC28" s="113" t="s">
        <v>65</v>
      </c>
      <c r="AD28" s="15" t="s">
        <v>59</v>
      </c>
      <c r="AE28" s="114" t="s">
        <v>67</v>
      </c>
      <c r="AF28" s="114" t="s">
        <v>67</v>
      </c>
      <c r="AG28" t="s">
        <v>1014</v>
      </c>
      <c r="AH28" t="s">
        <v>1014</v>
      </c>
      <c r="AI28" s="18" t="s">
        <v>208</v>
      </c>
      <c r="AJ28" s="15" t="s">
        <v>209</v>
      </c>
      <c r="AK28" s="15" t="s">
        <v>210</v>
      </c>
      <c r="AL28" s="15" t="s">
        <v>211</v>
      </c>
      <c r="AM28" s="29" t="s">
        <v>212</v>
      </c>
      <c r="AN28" s="13" t="s">
        <v>73</v>
      </c>
      <c r="AO28" s="111" t="s">
        <v>212</v>
      </c>
      <c r="AP28" s="28" t="s">
        <v>213</v>
      </c>
      <c r="AQ28" s="30" t="s">
        <v>94</v>
      </c>
    </row>
    <row r="29" spans="1:44" ht="15" hidden="1" customHeight="1" x14ac:dyDescent="0.25">
      <c r="A29" s="15">
        <v>0</v>
      </c>
      <c r="B29" s="15" t="s">
        <v>214</v>
      </c>
      <c r="C29" s="15" t="s">
        <v>103</v>
      </c>
      <c r="D29" s="15" t="s">
        <v>39</v>
      </c>
      <c r="E29" s="13">
        <v>5</v>
      </c>
      <c r="F29" s="13">
        <v>5</v>
      </c>
      <c r="G29" s="13">
        <v>5</v>
      </c>
      <c r="H29" s="13" t="s">
        <v>39</v>
      </c>
      <c r="I29" s="13" t="s">
        <v>39</v>
      </c>
      <c r="J29" s="13" t="s">
        <v>39</v>
      </c>
      <c r="K29" s="20"/>
      <c r="L29" s="20"/>
      <c r="M29" s="20"/>
      <c r="N29" s="20"/>
      <c r="O29" s="20"/>
      <c r="P29" s="13" t="s">
        <v>55</v>
      </c>
      <c r="Q29" s="15" t="s">
        <v>174</v>
      </c>
      <c r="R29" s="15"/>
      <c r="T29" s="15" t="s">
        <v>76</v>
      </c>
      <c r="U29" s="38" t="s">
        <v>59</v>
      </c>
      <c r="V29" s="38" t="s">
        <v>59</v>
      </c>
      <c r="W29" s="15" t="s">
        <v>76</v>
      </c>
      <c r="X29" s="15" t="s">
        <v>59</v>
      </c>
      <c r="Y29" s="15" t="s">
        <v>59</v>
      </c>
      <c r="Z29" s="13" t="s">
        <v>63</v>
      </c>
      <c r="AA29" s="13"/>
      <c r="AB29" s="19" t="s">
        <v>76</v>
      </c>
      <c r="AC29" s="26" t="s">
        <v>65</v>
      </c>
      <c r="AD29" s="15" t="s">
        <v>59</v>
      </c>
      <c r="AE29" s="27" t="s">
        <v>67</v>
      </c>
      <c r="AF29" s="27" t="s">
        <v>67</v>
      </c>
      <c r="AG29" t="s">
        <v>209</v>
      </c>
      <c r="AH29" t="s">
        <v>209</v>
      </c>
      <c r="AI29" s="18" t="s">
        <v>208</v>
      </c>
      <c r="AJ29" s="15" t="s">
        <v>209</v>
      </c>
      <c r="AK29" s="15" t="s">
        <v>210</v>
      </c>
      <c r="AL29" s="15" t="s">
        <v>215</v>
      </c>
      <c r="AM29" s="29" t="s">
        <v>212</v>
      </c>
      <c r="AN29" s="30" t="s">
        <v>94</v>
      </c>
      <c r="AO29" s="30"/>
      <c r="AP29" s="28" t="s">
        <v>213</v>
      </c>
      <c r="AQ29" s="30" t="s">
        <v>94</v>
      </c>
    </row>
    <row r="30" spans="1:44" ht="15" customHeight="1" x14ac:dyDescent="0.25">
      <c r="A30" s="15">
        <v>10</v>
      </c>
      <c r="B30" s="15" t="s">
        <v>216</v>
      </c>
      <c r="C30" s="15" t="s">
        <v>128</v>
      </c>
      <c r="D30" s="13" t="s">
        <v>40</v>
      </c>
      <c r="E30" s="13">
        <v>3</v>
      </c>
      <c r="F30" s="13">
        <v>4</v>
      </c>
      <c r="G30" s="13">
        <v>3</v>
      </c>
      <c r="H30" s="13" t="s">
        <v>41</v>
      </c>
      <c r="I30" s="13" t="s">
        <v>40</v>
      </c>
      <c r="J30" s="13" t="s">
        <v>41</v>
      </c>
      <c r="K30" s="20"/>
      <c r="L30" s="20"/>
      <c r="M30" s="20"/>
      <c r="N30" s="20"/>
      <c r="O30" s="20"/>
      <c r="P30" s="13" t="s">
        <v>55</v>
      </c>
      <c r="Q30" s="13" t="s">
        <v>56</v>
      </c>
      <c r="R30" s="103" t="s">
        <v>944</v>
      </c>
      <c r="T30" s="38">
        <v>11.02</v>
      </c>
      <c r="U30" s="33" t="s">
        <v>58</v>
      </c>
      <c r="V30" s="33" t="s">
        <v>59</v>
      </c>
      <c r="W30" s="45" t="s">
        <v>217</v>
      </c>
      <c r="X30" s="45" t="s">
        <v>59</v>
      </c>
      <c r="Y30" s="25" t="s">
        <v>218</v>
      </c>
      <c r="Z30" s="13" t="s">
        <v>63</v>
      </c>
      <c r="AA30" s="108" t="s">
        <v>1153</v>
      </c>
      <c r="AB30" s="12" t="s">
        <v>220</v>
      </c>
      <c r="AC30" s="113" t="s">
        <v>65</v>
      </c>
      <c r="AD30" s="15" t="s">
        <v>59</v>
      </c>
      <c r="AE30" s="114" t="s">
        <v>67</v>
      </c>
      <c r="AF30" s="114" t="s">
        <v>67</v>
      </c>
      <c r="AG30" t="s">
        <v>1015</v>
      </c>
      <c r="AH30" t="s">
        <v>1015</v>
      </c>
      <c r="AI30" s="18" t="s">
        <v>68</v>
      </c>
      <c r="AJ30" s="15" t="s">
        <v>221</v>
      </c>
      <c r="AK30" s="15" t="s">
        <v>222</v>
      </c>
      <c r="AL30" s="15" t="s">
        <v>223</v>
      </c>
      <c r="AM30" s="29" t="s">
        <v>224</v>
      </c>
      <c r="AN30" s="13" t="s">
        <v>94</v>
      </c>
      <c r="AO30" s="111" t="s">
        <v>224</v>
      </c>
      <c r="AP30" s="28" t="s">
        <v>225</v>
      </c>
      <c r="AQ30" s="30" t="s">
        <v>94</v>
      </c>
    </row>
    <row r="31" spans="1:44" ht="15" customHeight="1" x14ac:dyDescent="0.25">
      <c r="A31" s="15">
        <v>10</v>
      </c>
      <c r="B31" s="15" t="s">
        <v>226</v>
      </c>
      <c r="C31" s="15" t="s">
        <v>227</v>
      </c>
      <c r="D31" s="13" t="s">
        <v>42</v>
      </c>
      <c r="E31" s="13">
        <v>1</v>
      </c>
      <c r="F31" s="13">
        <v>2</v>
      </c>
      <c r="G31" s="13">
        <v>1</v>
      </c>
      <c r="H31" s="13" t="s">
        <v>43</v>
      </c>
      <c r="I31" s="13" t="s">
        <v>42</v>
      </c>
      <c r="J31" s="13" t="s">
        <v>43</v>
      </c>
      <c r="K31" s="20"/>
      <c r="L31" s="20"/>
      <c r="M31" s="20"/>
      <c r="N31" s="20"/>
      <c r="O31" s="20"/>
      <c r="P31" s="13" t="s">
        <v>55</v>
      </c>
      <c r="Q31" s="13" t="s">
        <v>56</v>
      </c>
      <c r="R31" s="103" t="s">
        <v>944</v>
      </c>
      <c r="T31" s="38">
        <v>11.02</v>
      </c>
      <c r="U31" s="33" t="s">
        <v>58</v>
      </c>
      <c r="V31" s="33" t="s">
        <v>59</v>
      </c>
      <c r="W31" s="25" t="s">
        <v>228</v>
      </c>
      <c r="X31" s="25" t="s">
        <v>59</v>
      </c>
      <c r="Y31" s="25" t="s">
        <v>59</v>
      </c>
      <c r="Z31" s="13" t="s">
        <v>219</v>
      </c>
      <c r="AA31" s="108" t="s">
        <v>1107</v>
      </c>
      <c r="AB31" s="46" t="s">
        <v>229</v>
      </c>
      <c r="AC31" s="113" t="s">
        <v>65</v>
      </c>
      <c r="AD31" s="15" t="s">
        <v>59</v>
      </c>
      <c r="AE31" s="114" t="s">
        <v>67</v>
      </c>
      <c r="AF31" s="114" t="s">
        <v>67</v>
      </c>
      <c r="AG31" t="s">
        <v>1015</v>
      </c>
      <c r="AH31" t="s">
        <v>1015</v>
      </c>
      <c r="AI31" s="18" t="s">
        <v>68</v>
      </c>
      <c r="AJ31" s="15" t="s">
        <v>230</v>
      </c>
      <c r="AK31" s="15" t="s">
        <v>231</v>
      </c>
      <c r="AL31" s="15" t="s">
        <v>223</v>
      </c>
      <c r="AM31" s="29" t="s">
        <v>232</v>
      </c>
      <c r="AN31" s="13" t="s">
        <v>73</v>
      </c>
      <c r="AO31" s="111" t="s">
        <v>232</v>
      </c>
      <c r="AP31" s="43" t="s">
        <v>233</v>
      </c>
      <c r="AQ31" s="30" t="s">
        <v>73</v>
      </c>
      <c r="AR31" s="15" t="s">
        <v>234</v>
      </c>
    </row>
    <row r="32" spans="1:44" ht="15" customHeight="1" x14ac:dyDescent="0.25">
      <c r="A32" s="15">
        <v>1</v>
      </c>
      <c r="B32" s="15" t="s">
        <v>235</v>
      </c>
      <c r="C32" s="15" t="s">
        <v>54</v>
      </c>
      <c r="D32" s="13" t="s">
        <v>41</v>
      </c>
      <c r="E32" s="13">
        <v>2</v>
      </c>
      <c r="F32" s="13">
        <v>2</v>
      </c>
      <c r="G32" s="13">
        <v>2</v>
      </c>
      <c r="H32" s="13" t="s">
        <v>42</v>
      </c>
      <c r="I32" s="13" t="s">
        <v>42</v>
      </c>
      <c r="J32" s="13" t="s">
        <v>42</v>
      </c>
      <c r="K32" s="20"/>
      <c r="L32" s="20"/>
      <c r="M32" s="20"/>
      <c r="N32" s="20"/>
      <c r="O32" s="20"/>
      <c r="P32" s="13" t="s">
        <v>55</v>
      </c>
      <c r="Q32" s="13" t="s">
        <v>56</v>
      </c>
      <c r="R32" s="103" t="s">
        <v>945</v>
      </c>
      <c r="T32" s="38">
        <v>1408.33</v>
      </c>
      <c r="U32" s="33" t="s">
        <v>58</v>
      </c>
      <c r="V32" s="33" t="s">
        <v>59</v>
      </c>
      <c r="W32" s="25" t="s">
        <v>236</v>
      </c>
      <c r="X32" s="25" t="s">
        <v>59</v>
      </c>
      <c r="Y32" s="25" t="s">
        <v>237</v>
      </c>
      <c r="Z32" s="13" t="s">
        <v>219</v>
      </c>
      <c r="AA32" s="108" t="s">
        <v>1107</v>
      </c>
      <c r="AB32" s="46" t="s">
        <v>238</v>
      </c>
      <c r="AC32" s="113" t="s">
        <v>87</v>
      </c>
      <c r="AD32" s="15" t="s">
        <v>59</v>
      </c>
      <c r="AE32" s="114" t="s">
        <v>67</v>
      </c>
      <c r="AF32" s="114" t="s">
        <v>67</v>
      </c>
      <c r="AG32" t="s">
        <v>1046</v>
      </c>
      <c r="AH32" t="s">
        <v>90</v>
      </c>
      <c r="AI32" s="18" t="s">
        <v>239</v>
      </c>
      <c r="AJ32" s="12" t="s">
        <v>240</v>
      </c>
      <c r="AK32" s="47" t="s">
        <v>241</v>
      </c>
      <c r="AL32" s="15" t="s">
        <v>242</v>
      </c>
      <c r="AM32" s="29" t="s">
        <v>243</v>
      </c>
      <c r="AN32" s="13" t="s">
        <v>73</v>
      </c>
      <c r="AO32" s="111" t="s">
        <v>1097</v>
      </c>
      <c r="AP32" s="48" t="s">
        <v>244</v>
      </c>
      <c r="AQ32" s="30" t="s">
        <v>73</v>
      </c>
      <c r="AR32" s="49" t="s">
        <v>245</v>
      </c>
    </row>
    <row r="33" spans="1:44" ht="15" customHeight="1" x14ac:dyDescent="0.25">
      <c r="A33" s="15">
        <v>1</v>
      </c>
      <c r="B33" s="15" t="s">
        <v>246</v>
      </c>
      <c r="C33" s="15" t="s">
        <v>227</v>
      </c>
      <c r="D33" s="13" t="s">
        <v>42</v>
      </c>
      <c r="E33" s="13">
        <v>1</v>
      </c>
      <c r="F33" s="13">
        <v>1</v>
      </c>
      <c r="G33" s="13">
        <v>1</v>
      </c>
      <c r="H33" s="13" t="s">
        <v>43</v>
      </c>
      <c r="I33" s="13" t="s">
        <v>43</v>
      </c>
      <c r="J33" s="13" t="s">
        <v>43</v>
      </c>
      <c r="K33" s="20"/>
      <c r="L33" s="20"/>
      <c r="M33" s="20"/>
      <c r="N33" s="20"/>
      <c r="O33" s="20"/>
      <c r="P33" s="13" t="s">
        <v>84</v>
      </c>
      <c r="Q33" s="13" t="s">
        <v>56</v>
      </c>
      <c r="R33" s="103" t="s">
        <v>945</v>
      </c>
      <c r="T33" s="15" t="s">
        <v>247</v>
      </c>
      <c r="U33" s="33" t="s">
        <v>59</v>
      </c>
      <c r="V33" s="33" t="s">
        <v>59</v>
      </c>
      <c r="W33" s="15" t="s">
        <v>248</v>
      </c>
      <c r="X33" s="15" t="s">
        <v>59</v>
      </c>
      <c r="Y33" s="25" t="s">
        <v>59</v>
      </c>
      <c r="Z33" s="13" t="s">
        <v>219</v>
      </c>
      <c r="AA33" s="108" t="s">
        <v>1107</v>
      </c>
      <c r="AB33" s="46" t="s">
        <v>238</v>
      </c>
      <c r="AC33" s="113" t="s">
        <v>87</v>
      </c>
      <c r="AD33" s="15" t="s">
        <v>59</v>
      </c>
      <c r="AE33" s="114" t="s">
        <v>67</v>
      </c>
      <c r="AF33" s="114" t="s">
        <v>67</v>
      </c>
      <c r="AG33" t="s">
        <v>1046</v>
      </c>
      <c r="AH33" t="s">
        <v>1016</v>
      </c>
      <c r="AI33" s="18" t="s">
        <v>239</v>
      </c>
      <c r="AJ33" s="12" t="s">
        <v>249</v>
      </c>
      <c r="AK33" s="15" t="s">
        <v>250</v>
      </c>
      <c r="AL33" s="15" t="s">
        <v>251</v>
      </c>
      <c r="AM33" s="29" t="s">
        <v>252</v>
      </c>
      <c r="AN33" s="13" t="s">
        <v>94</v>
      </c>
      <c r="AO33" s="118" t="s">
        <v>1095</v>
      </c>
      <c r="AP33" s="43" t="s">
        <v>252</v>
      </c>
      <c r="AQ33" s="30" t="s">
        <v>94</v>
      </c>
      <c r="AR33" s="17" t="s">
        <v>253</v>
      </c>
    </row>
    <row r="34" spans="1:44" ht="15" customHeight="1" x14ac:dyDescent="0.25">
      <c r="A34" s="15">
        <v>1</v>
      </c>
      <c r="B34" s="15" t="s">
        <v>254</v>
      </c>
      <c r="C34" s="15" t="s">
        <v>227</v>
      </c>
      <c r="D34" s="13" t="s">
        <v>42</v>
      </c>
      <c r="E34" s="13">
        <v>1</v>
      </c>
      <c r="F34" s="13">
        <v>1</v>
      </c>
      <c r="G34" s="13">
        <v>1</v>
      </c>
      <c r="H34" s="13" t="s">
        <v>43</v>
      </c>
      <c r="I34" s="13" t="s">
        <v>43</v>
      </c>
      <c r="J34" s="13" t="s">
        <v>43</v>
      </c>
      <c r="K34" s="20"/>
      <c r="L34" s="20"/>
      <c r="M34" s="20"/>
      <c r="N34" s="20"/>
      <c r="O34" s="20"/>
      <c r="P34" s="13" t="s">
        <v>55</v>
      </c>
      <c r="Q34" s="13" t="s">
        <v>56</v>
      </c>
      <c r="R34" s="103" t="s">
        <v>945</v>
      </c>
      <c r="T34" s="15" t="s">
        <v>247</v>
      </c>
      <c r="U34" s="33" t="s">
        <v>59</v>
      </c>
      <c r="V34" s="33" t="s">
        <v>59</v>
      </c>
      <c r="W34" s="15" t="s">
        <v>248</v>
      </c>
      <c r="X34" s="15" t="s">
        <v>59</v>
      </c>
      <c r="Y34" s="25" t="s">
        <v>59</v>
      </c>
      <c r="Z34" s="13" t="s">
        <v>219</v>
      </c>
      <c r="AA34" s="108" t="s">
        <v>1107</v>
      </c>
      <c r="AB34" s="46" t="s">
        <v>255</v>
      </c>
      <c r="AC34" s="113" t="s">
        <v>87</v>
      </c>
      <c r="AD34" s="15" t="s">
        <v>59</v>
      </c>
      <c r="AE34" s="114" t="s">
        <v>67</v>
      </c>
      <c r="AF34" s="114" t="s">
        <v>67</v>
      </c>
      <c r="AG34" t="s">
        <v>1046</v>
      </c>
      <c r="AH34" t="s">
        <v>1016</v>
      </c>
      <c r="AI34" s="18" t="s">
        <v>239</v>
      </c>
      <c r="AJ34" s="12" t="s">
        <v>256</v>
      </c>
      <c r="AK34" s="15" t="s">
        <v>257</v>
      </c>
      <c r="AL34" s="15" t="s">
        <v>242</v>
      </c>
      <c r="AM34" s="29" t="s">
        <v>258</v>
      </c>
      <c r="AN34" s="13" t="s">
        <v>73</v>
      </c>
      <c r="AO34" s="111" t="s">
        <v>1002</v>
      </c>
      <c r="AP34" s="50" t="s">
        <v>259</v>
      </c>
      <c r="AQ34" s="30" t="s">
        <v>73</v>
      </c>
      <c r="AR34" s="15" t="s">
        <v>260</v>
      </c>
    </row>
    <row r="35" spans="1:44" ht="15" customHeight="1" x14ac:dyDescent="0.25">
      <c r="A35" s="15">
        <v>1</v>
      </c>
      <c r="B35" s="15" t="s">
        <v>261</v>
      </c>
      <c r="C35" s="15" t="s">
        <v>54</v>
      </c>
      <c r="D35" s="13" t="s">
        <v>41</v>
      </c>
      <c r="E35" s="13">
        <v>2</v>
      </c>
      <c r="F35" s="13">
        <v>2</v>
      </c>
      <c r="G35" s="13">
        <v>2</v>
      </c>
      <c r="H35" s="13" t="s">
        <v>42</v>
      </c>
      <c r="I35" s="13" t="s">
        <v>42</v>
      </c>
      <c r="J35" s="13" t="s">
        <v>42</v>
      </c>
      <c r="K35" s="20"/>
      <c r="L35" s="20"/>
      <c r="M35" s="20"/>
      <c r="N35" s="20"/>
      <c r="O35" s="20"/>
      <c r="P35" s="13" t="s">
        <v>55</v>
      </c>
      <c r="Q35" s="13" t="s">
        <v>56</v>
      </c>
      <c r="R35" s="103" t="s">
        <v>946</v>
      </c>
      <c r="T35" s="15" t="s">
        <v>262</v>
      </c>
      <c r="U35" s="33" t="s">
        <v>59</v>
      </c>
      <c r="V35" s="33" t="s">
        <v>59</v>
      </c>
      <c r="W35" s="15" t="s">
        <v>263</v>
      </c>
      <c r="X35" s="25" t="s">
        <v>59</v>
      </c>
      <c r="Y35" s="25" t="s">
        <v>59</v>
      </c>
      <c r="Z35" s="13" t="s">
        <v>219</v>
      </c>
      <c r="AA35" s="108" t="s">
        <v>1107</v>
      </c>
      <c r="AB35" s="46" t="s">
        <v>264</v>
      </c>
      <c r="AC35" s="113" t="s">
        <v>87</v>
      </c>
      <c r="AD35" s="15" t="s">
        <v>59</v>
      </c>
      <c r="AE35" s="114" t="s">
        <v>67</v>
      </c>
      <c r="AF35" s="114" t="s">
        <v>67</v>
      </c>
      <c r="AG35" t="s">
        <v>90</v>
      </c>
      <c r="AH35" t="s">
        <v>90</v>
      </c>
      <c r="AI35" s="18" t="s">
        <v>265</v>
      </c>
      <c r="AJ35" s="15" t="s">
        <v>266</v>
      </c>
      <c r="AK35" s="15" t="s">
        <v>267</v>
      </c>
      <c r="AL35" s="15" t="s">
        <v>251</v>
      </c>
      <c r="AM35" s="29" t="s">
        <v>268</v>
      </c>
      <c r="AN35" s="13" t="s">
        <v>73</v>
      </c>
      <c r="AO35" s="111" t="s">
        <v>1097</v>
      </c>
      <c r="AP35" s="51" t="s">
        <v>268</v>
      </c>
      <c r="AQ35" s="30" t="s">
        <v>73</v>
      </c>
      <c r="AR35" s="52" t="s">
        <v>269</v>
      </c>
    </row>
    <row r="36" spans="1:44" ht="15" customHeight="1" x14ac:dyDescent="0.25">
      <c r="A36" s="15">
        <v>1</v>
      </c>
      <c r="B36" s="15" t="s">
        <v>270</v>
      </c>
      <c r="C36" s="15" t="s">
        <v>227</v>
      </c>
      <c r="D36" s="13" t="s">
        <v>42</v>
      </c>
      <c r="E36" s="13">
        <v>1</v>
      </c>
      <c r="F36" s="13">
        <v>1</v>
      </c>
      <c r="G36" s="13">
        <v>1</v>
      </c>
      <c r="H36" s="13" t="s">
        <v>43</v>
      </c>
      <c r="I36" s="13" t="s">
        <v>43</v>
      </c>
      <c r="J36" s="13" t="s">
        <v>43</v>
      </c>
      <c r="K36" s="20"/>
      <c r="L36" s="20"/>
      <c r="M36" s="20"/>
      <c r="N36" s="20"/>
      <c r="O36" s="20"/>
      <c r="P36" s="13" t="s">
        <v>55</v>
      </c>
      <c r="Q36" s="13" t="s">
        <v>56</v>
      </c>
      <c r="R36" s="103" t="s">
        <v>946</v>
      </c>
      <c r="T36" s="15" t="s">
        <v>262</v>
      </c>
      <c r="U36" s="33" t="s">
        <v>59</v>
      </c>
      <c r="V36" s="33" t="s">
        <v>59</v>
      </c>
      <c r="W36" s="15" t="s">
        <v>263</v>
      </c>
      <c r="X36" s="25" t="s">
        <v>59</v>
      </c>
      <c r="Y36" s="25" t="s">
        <v>59</v>
      </c>
      <c r="Z36" s="13" t="s">
        <v>219</v>
      </c>
      <c r="AA36" s="108" t="s">
        <v>1107</v>
      </c>
      <c r="AB36" s="46" t="s">
        <v>271</v>
      </c>
      <c r="AC36" s="113" t="s">
        <v>87</v>
      </c>
      <c r="AD36" s="15" t="s">
        <v>59</v>
      </c>
      <c r="AE36" s="114" t="s">
        <v>67</v>
      </c>
      <c r="AF36" s="114" t="s">
        <v>67</v>
      </c>
      <c r="AG36" t="s">
        <v>90</v>
      </c>
      <c r="AH36" t="s">
        <v>90</v>
      </c>
      <c r="AI36" s="18" t="s">
        <v>68</v>
      </c>
      <c r="AJ36" s="15" t="s">
        <v>266</v>
      </c>
      <c r="AK36" s="15" t="s">
        <v>272</v>
      </c>
      <c r="AL36" s="15" t="s">
        <v>251</v>
      </c>
      <c r="AM36" s="29" t="s">
        <v>273</v>
      </c>
      <c r="AN36" s="13" t="s">
        <v>73</v>
      </c>
      <c r="AO36" s="111" t="s">
        <v>1003</v>
      </c>
      <c r="AP36" s="28" t="s">
        <v>274</v>
      </c>
      <c r="AQ36" s="30" t="s">
        <v>94</v>
      </c>
      <c r="AR36" s="47" t="s">
        <v>275</v>
      </c>
    </row>
    <row r="37" spans="1:44" ht="15" customHeight="1" x14ac:dyDescent="0.25">
      <c r="A37" s="15">
        <v>1</v>
      </c>
      <c r="B37" s="15" t="s">
        <v>276</v>
      </c>
      <c r="C37" s="15" t="s">
        <v>54</v>
      </c>
      <c r="D37" s="13" t="s">
        <v>41</v>
      </c>
      <c r="E37" s="13">
        <v>2</v>
      </c>
      <c r="F37" s="13">
        <v>2</v>
      </c>
      <c r="G37" s="13">
        <v>2</v>
      </c>
      <c r="H37" s="13" t="s">
        <v>42</v>
      </c>
      <c r="I37" s="13" t="s">
        <v>42</v>
      </c>
      <c r="J37" s="13" t="s">
        <v>42</v>
      </c>
      <c r="K37" s="20"/>
      <c r="L37" s="20"/>
      <c r="M37" s="20"/>
      <c r="N37" s="20"/>
      <c r="O37" s="20"/>
      <c r="P37" s="13" t="s">
        <v>55</v>
      </c>
      <c r="Q37" s="13" t="s">
        <v>56</v>
      </c>
      <c r="R37" s="103" t="s">
        <v>946</v>
      </c>
      <c r="T37" s="38">
        <v>207.28</v>
      </c>
      <c r="U37" s="33" t="s">
        <v>58</v>
      </c>
      <c r="V37" s="33" t="s">
        <v>59</v>
      </c>
      <c r="W37" s="25" t="s">
        <v>277</v>
      </c>
      <c r="X37" s="25" t="s">
        <v>59</v>
      </c>
      <c r="Y37" s="25" t="s">
        <v>278</v>
      </c>
      <c r="Z37" s="13" t="s">
        <v>63</v>
      </c>
      <c r="AA37" s="119" t="s">
        <v>1099</v>
      </c>
      <c r="AB37" s="44" t="s">
        <v>279</v>
      </c>
      <c r="AC37" s="113" t="s">
        <v>87</v>
      </c>
      <c r="AD37" s="15" t="s">
        <v>59</v>
      </c>
      <c r="AE37" s="114" t="s">
        <v>67</v>
      </c>
      <c r="AF37" s="114" t="s">
        <v>67</v>
      </c>
      <c r="AG37" t="s">
        <v>90</v>
      </c>
      <c r="AH37" t="s">
        <v>90</v>
      </c>
      <c r="AI37" s="18" t="s">
        <v>68</v>
      </c>
      <c r="AJ37" s="15" t="s">
        <v>266</v>
      </c>
      <c r="AK37" s="28" t="s">
        <v>280</v>
      </c>
      <c r="AL37" s="15" t="s">
        <v>251</v>
      </c>
      <c r="AM37" s="29" t="s">
        <v>281</v>
      </c>
      <c r="AN37" s="13" t="s">
        <v>113</v>
      </c>
      <c r="AO37" s="118" t="s">
        <v>1141</v>
      </c>
      <c r="AP37" s="40" t="s">
        <v>282</v>
      </c>
      <c r="AQ37" s="30" t="s">
        <v>94</v>
      </c>
      <c r="AR37" s="12" t="s">
        <v>283</v>
      </c>
    </row>
    <row r="38" spans="1:44" s="47" customFormat="1" ht="15" customHeight="1" x14ac:dyDescent="0.25">
      <c r="A38" s="47">
        <v>10</v>
      </c>
      <c r="B38" s="47" t="s">
        <v>284</v>
      </c>
      <c r="C38" s="47" t="s">
        <v>227</v>
      </c>
      <c r="D38" s="13" t="s">
        <v>42</v>
      </c>
      <c r="E38" s="53">
        <v>1</v>
      </c>
      <c r="F38" s="53">
        <v>1</v>
      </c>
      <c r="G38" s="53">
        <v>1</v>
      </c>
      <c r="H38" s="13" t="s">
        <v>43</v>
      </c>
      <c r="I38" s="13" t="s">
        <v>43</v>
      </c>
      <c r="J38" s="13" t="s">
        <v>43</v>
      </c>
      <c r="K38" s="54"/>
      <c r="L38" s="54"/>
      <c r="M38" s="54"/>
      <c r="N38" s="54"/>
      <c r="O38" s="54"/>
      <c r="P38" s="13" t="s">
        <v>55</v>
      </c>
      <c r="Q38" s="13" t="s">
        <v>56</v>
      </c>
      <c r="R38" s="104" t="s">
        <v>937</v>
      </c>
      <c r="T38" s="55" t="s">
        <v>285</v>
      </c>
      <c r="U38" s="55" t="s">
        <v>59</v>
      </c>
      <c r="V38" s="55" t="s">
        <v>59</v>
      </c>
      <c r="W38" s="25" t="s">
        <v>286</v>
      </c>
      <c r="X38" s="25" t="s">
        <v>59</v>
      </c>
      <c r="Y38" s="25" t="s">
        <v>287</v>
      </c>
      <c r="Z38" s="13" t="s">
        <v>219</v>
      </c>
      <c r="AA38" s="108" t="s">
        <v>1107</v>
      </c>
      <c r="AB38" s="46" t="s">
        <v>288</v>
      </c>
      <c r="AC38" s="113" t="s">
        <v>87</v>
      </c>
      <c r="AD38" s="47" t="s">
        <v>59</v>
      </c>
      <c r="AE38" s="114" t="s">
        <v>67</v>
      </c>
      <c r="AF38" s="114" t="s">
        <v>67</v>
      </c>
      <c r="AG38" t="s">
        <v>90</v>
      </c>
      <c r="AH38" t="s">
        <v>90</v>
      </c>
      <c r="AI38" s="56" t="s">
        <v>68</v>
      </c>
      <c r="AJ38" s="47" t="s">
        <v>266</v>
      </c>
      <c r="AK38" s="47" t="s">
        <v>289</v>
      </c>
      <c r="AL38" s="47" t="s">
        <v>290</v>
      </c>
      <c r="AM38" s="29" t="s">
        <v>291</v>
      </c>
      <c r="AN38" s="13" t="s">
        <v>73</v>
      </c>
      <c r="AO38" s="111" t="s">
        <v>291</v>
      </c>
      <c r="AP38" s="32" t="s">
        <v>292</v>
      </c>
      <c r="AQ38" s="58" t="s">
        <v>73</v>
      </c>
      <c r="AR38" s="44" t="s">
        <v>293</v>
      </c>
    </row>
    <row r="39" spans="1:44" ht="15" customHeight="1" x14ac:dyDescent="0.25">
      <c r="A39" s="15">
        <v>10</v>
      </c>
      <c r="B39" s="15" t="s">
        <v>294</v>
      </c>
      <c r="C39" s="15" t="s">
        <v>227</v>
      </c>
      <c r="D39" s="13" t="s">
        <v>42</v>
      </c>
      <c r="E39" s="13">
        <v>1</v>
      </c>
      <c r="F39" s="13">
        <v>1</v>
      </c>
      <c r="G39" s="13">
        <v>1</v>
      </c>
      <c r="H39" s="13" t="s">
        <v>43</v>
      </c>
      <c r="I39" s="13" t="s">
        <v>43</v>
      </c>
      <c r="J39" s="13" t="s">
        <v>43</v>
      </c>
      <c r="K39" s="20"/>
      <c r="L39" s="20"/>
      <c r="M39" s="20"/>
      <c r="N39" s="20"/>
      <c r="O39" s="20"/>
      <c r="P39" s="13" t="s">
        <v>55</v>
      </c>
      <c r="Q39" s="13" t="s">
        <v>56</v>
      </c>
      <c r="R39" s="104" t="s">
        <v>937</v>
      </c>
      <c r="T39" s="59" t="s">
        <v>295</v>
      </c>
      <c r="U39" s="33" t="s">
        <v>59</v>
      </c>
      <c r="V39" s="33" t="s">
        <v>59</v>
      </c>
      <c r="W39" s="15" t="s">
        <v>295</v>
      </c>
      <c r="X39" s="15" t="s">
        <v>59</v>
      </c>
      <c r="Y39" s="15" t="s">
        <v>59</v>
      </c>
      <c r="Z39" s="13" t="s">
        <v>219</v>
      </c>
      <c r="AA39" s="108" t="s">
        <v>1107</v>
      </c>
      <c r="AB39" s="46" t="s">
        <v>296</v>
      </c>
      <c r="AC39" s="113" t="s">
        <v>87</v>
      </c>
      <c r="AD39" s="15" t="s">
        <v>59</v>
      </c>
      <c r="AE39" s="114" t="s">
        <v>67</v>
      </c>
      <c r="AF39" s="114" t="s">
        <v>67</v>
      </c>
      <c r="AG39" t="s">
        <v>90</v>
      </c>
      <c r="AH39" t="s">
        <v>90</v>
      </c>
      <c r="AI39" s="18" t="s">
        <v>68</v>
      </c>
      <c r="AJ39" s="15" t="s">
        <v>266</v>
      </c>
      <c r="AK39" s="15" t="s">
        <v>297</v>
      </c>
      <c r="AL39" s="28" t="s">
        <v>298</v>
      </c>
      <c r="AM39" s="29" t="s">
        <v>299</v>
      </c>
      <c r="AN39" s="13" t="s">
        <v>73</v>
      </c>
      <c r="AO39" s="111" t="s">
        <v>1097</v>
      </c>
      <c r="AP39" s="40" t="s">
        <v>300</v>
      </c>
      <c r="AQ39" s="30" t="s">
        <v>94</v>
      </c>
      <c r="AR39" s="47" t="s">
        <v>301</v>
      </c>
    </row>
    <row r="40" spans="1:44" ht="15" customHeight="1" x14ac:dyDescent="0.25">
      <c r="A40" s="15">
        <v>10</v>
      </c>
      <c r="B40" s="15" t="s">
        <v>302</v>
      </c>
      <c r="C40" s="15" t="s">
        <v>227</v>
      </c>
      <c r="D40" s="13" t="s">
        <v>42</v>
      </c>
      <c r="E40" s="13">
        <v>1</v>
      </c>
      <c r="F40" s="13">
        <v>1</v>
      </c>
      <c r="G40" s="13">
        <v>1</v>
      </c>
      <c r="H40" s="13" t="s">
        <v>43</v>
      </c>
      <c r="I40" s="13" t="s">
        <v>43</v>
      </c>
      <c r="J40" s="13" t="s">
        <v>43</v>
      </c>
      <c r="K40" s="20"/>
      <c r="L40" s="20"/>
      <c r="M40" s="20"/>
      <c r="N40" s="20"/>
      <c r="O40" s="20"/>
      <c r="P40" s="13" t="s">
        <v>84</v>
      </c>
      <c r="Q40" s="13" t="s">
        <v>56</v>
      </c>
      <c r="R40" s="104" t="s">
        <v>937</v>
      </c>
      <c r="T40" s="15" t="s">
        <v>295</v>
      </c>
      <c r="U40" s="33" t="s">
        <v>59</v>
      </c>
      <c r="V40" s="33" t="s">
        <v>59</v>
      </c>
      <c r="W40" s="15" t="s">
        <v>295</v>
      </c>
      <c r="X40" s="15" t="s">
        <v>59</v>
      </c>
      <c r="Y40" s="15" t="s">
        <v>59</v>
      </c>
      <c r="Z40" s="13" t="s">
        <v>219</v>
      </c>
      <c r="AA40" s="108" t="s">
        <v>1107</v>
      </c>
      <c r="AB40" s="46" t="s">
        <v>303</v>
      </c>
      <c r="AC40" s="113" t="s">
        <v>87</v>
      </c>
      <c r="AD40" s="15" t="s">
        <v>59</v>
      </c>
      <c r="AE40" s="114" t="s">
        <v>67</v>
      </c>
      <c r="AF40" s="114" t="s">
        <v>67</v>
      </c>
      <c r="AG40" t="s">
        <v>90</v>
      </c>
      <c r="AH40" t="s">
        <v>90</v>
      </c>
      <c r="AI40" s="18" t="s">
        <v>68</v>
      </c>
      <c r="AJ40" s="15" t="s">
        <v>266</v>
      </c>
      <c r="AK40" s="15" t="s">
        <v>304</v>
      </c>
      <c r="AL40" s="28" t="s">
        <v>305</v>
      </c>
      <c r="AM40" s="29" t="s">
        <v>306</v>
      </c>
      <c r="AN40" s="13" t="s">
        <v>73</v>
      </c>
      <c r="AO40" s="118" t="s">
        <v>1104</v>
      </c>
      <c r="AP40" s="40" t="s">
        <v>307</v>
      </c>
      <c r="AQ40" s="30" t="s">
        <v>73</v>
      </c>
      <c r="AR40" s="47" t="s">
        <v>308</v>
      </c>
    </row>
    <row r="41" spans="1:44" ht="15" customHeight="1" x14ac:dyDescent="0.25">
      <c r="A41" s="15">
        <v>10</v>
      </c>
      <c r="B41" s="15" t="s">
        <v>309</v>
      </c>
      <c r="C41" s="15" t="s">
        <v>310</v>
      </c>
      <c r="D41" s="13" t="s">
        <v>42</v>
      </c>
      <c r="E41" s="13">
        <v>2</v>
      </c>
      <c r="F41" s="13">
        <v>2</v>
      </c>
      <c r="G41" s="13">
        <v>2</v>
      </c>
      <c r="H41" s="13" t="s">
        <v>42</v>
      </c>
      <c r="I41" s="13" t="s">
        <v>42</v>
      </c>
      <c r="J41" s="13" t="s">
        <v>42</v>
      </c>
      <c r="K41" s="20"/>
      <c r="L41" s="20"/>
      <c r="M41" s="20"/>
      <c r="N41" s="20"/>
      <c r="O41" s="20"/>
      <c r="P41" s="13" t="s">
        <v>55</v>
      </c>
      <c r="Q41" s="13" t="s">
        <v>56</v>
      </c>
      <c r="R41" s="103" t="s">
        <v>947</v>
      </c>
      <c r="S41" s="15" t="s">
        <v>175</v>
      </c>
      <c r="T41" s="38">
        <v>21.68</v>
      </c>
      <c r="U41" s="33" t="s">
        <v>311</v>
      </c>
      <c r="V41" s="33" t="s">
        <v>59</v>
      </c>
      <c r="W41" s="25" t="s">
        <v>312</v>
      </c>
      <c r="X41" s="25" t="s">
        <v>313</v>
      </c>
      <c r="Y41" s="25" t="s">
        <v>314</v>
      </c>
      <c r="Z41" s="13" t="s">
        <v>219</v>
      </c>
      <c r="AA41" s="108" t="s">
        <v>1107</v>
      </c>
      <c r="AB41" s="59" t="s">
        <v>315</v>
      </c>
      <c r="AC41" s="113" t="s">
        <v>87</v>
      </c>
      <c r="AD41" s="15" t="s">
        <v>316</v>
      </c>
      <c r="AE41" s="114" t="s">
        <v>67</v>
      </c>
      <c r="AF41" s="114" t="s">
        <v>67</v>
      </c>
      <c r="AG41" t="s">
        <v>1017</v>
      </c>
      <c r="AH41" t="s">
        <v>1047</v>
      </c>
      <c r="AI41" s="18" t="s">
        <v>68</v>
      </c>
      <c r="AJ41" s="23" t="s">
        <v>317</v>
      </c>
      <c r="AK41" s="15" t="s">
        <v>318</v>
      </c>
      <c r="AL41" s="15" t="s">
        <v>319</v>
      </c>
      <c r="AM41" s="29" t="s">
        <v>320</v>
      </c>
      <c r="AN41" s="13" t="s">
        <v>73</v>
      </c>
      <c r="AO41" s="118" t="s">
        <v>1105</v>
      </c>
      <c r="AP41" s="40" t="s">
        <v>321</v>
      </c>
      <c r="AQ41" s="30" t="s">
        <v>73</v>
      </c>
      <c r="AR41" s="47" t="s">
        <v>308</v>
      </c>
    </row>
    <row r="42" spans="1:44" ht="15" customHeight="1" x14ac:dyDescent="0.25">
      <c r="A42" s="15">
        <v>10</v>
      </c>
      <c r="B42" s="15" t="s">
        <v>322</v>
      </c>
      <c r="C42" s="15" t="s">
        <v>227</v>
      </c>
      <c r="D42" s="13" t="s">
        <v>42</v>
      </c>
      <c r="E42" s="13">
        <v>1</v>
      </c>
      <c r="F42" s="13">
        <v>1</v>
      </c>
      <c r="G42" s="13">
        <v>1</v>
      </c>
      <c r="H42" s="13" t="s">
        <v>43</v>
      </c>
      <c r="I42" s="13" t="s">
        <v>43</v>
      </c>
      <c r="J42" s="13" t="s">
        <v>43</v>
      </c>
      <c r="K42" s="20"/>
      <c r="L42" s="20"/>
      <c r="M42" s="20"/>
      <c r="N42" s="20"/>
      <c r="O42" s="20"/>
      <c r="P42" s="13" t="s">
        <v>55</v>
      </c>
      <c r="Q42" s="13" t="s">
        <v>56</v>
      </c>
      <c r="R42" s="103" t="s">
        <v>947</v>
      </c>
      <c r="S42" s="15" t="s">
        <v>175</v>
      </c>
      <c r="T42" s="15" t="s">
        <v>323</v>
      </c>
      <c r="U42" s="33" t="s">
        <v>59</v>
      </c>
      <c r="V42" s="33" t="s">
        <v>59</v>
      </c>
      <c r="W42" s="25" t="s">
        <v>323</v>
      </c>
      <c r="X42" s="25" t="s">
        <v>59</v>
      </c>
      <c r="Y42" s="25" t="s">
        <v>59</v>
      </c>
      <c r="Z42" s="13" t="s">
        <v>219</v>
      </c>
      <c r="AA42" s="108" t="s">
        <v>1108</v>
      </c>
      <c r="AB42" s="46" t="s">
        <v>323</v>
      </c>
      <c r="AC42" s="113" t="s">
        <v>87</v>
      </c>
      <c r="AD42" s="15" t="s">
        <v>316</v>
      </c>
      <c r="AE42" s="114" t="s">
        <v>67</v>
      </c>
      <c r="AF42" s="114" t="s">
        <v>67</v>
      </c>
      <c r="AG42" t="s">
        <v>1017</v>
      </c>
      <c r="AH42" t="s">
        <v>1047</v>
      </c>
      <c r="AI42" s="18" t="s">
        <v>68</v>
      </c>
      <c r="AJ42" s="15" t="s">
        <v>324</v>
      </c>
      <c r="AK42" s="15" t="s">
        <v>325</v>
      </c>
      <c r="AL42" s="15" t="s">
        <v>326</v>
      </c>
      <c r="AM42" s="29" t="s">
        <v>327</v>
      </c>
      <c r="AN42" s="13" t="s">
        <v>113</v>
      </c>
      <c r="AO42" s="118" t="s">
        <v>1148</v>
      </c>
      <c r="AP42" s="40" t="s">
        <v>328</v>
      </c>
      <c r="AQ42" s="30" t="s">
        <v>73</v>
      </c>
      <c r="AR42" s="47" t="s">
        <v>308</v>
      </c>
    </row>
    <row r="43" spans="1:44" ht="15" customHeight="1" x14ac:dyDescent="0.25">
      <c r="A43" s="15">
        <v>1</v>
      </c>
      <c r="B43" s="15" t="s">
        <v>329</v>
      </c>
      <c r="C43" s="15" t="s">
        <v>128</v>
      </c>
      <c r="D43" s="13" t="s">
        <v>40</v>
      </c>
      <c r="E43" s="13">
        <v>3</v>
      </c>
      <c r="F43" s="13">
        <v>4</v>
      </c>
      <c r="G43" s="13">
        <v>3</v>
      </c>
      <c r="H43" s="13" t="s">
        <v>41</v>
      </c>
      <c r="I43" s="13" t="s">
        <v>40</v>
      </c>
      <c r="J43" s="13" t="s">
        <v>41</v>
      </c>
      <c r="K43" s="20"/>
      <c r="L43" s="20"/>
      <c r="M43" s="20"/>
      <c r="N43" s="20"/>
      <c r="O43" s="20"/>
      <c r="P43" s="13" t="s">
        <v>84</v>
      </c>
      <c r="Q43" s="13" t="s">
        <v>56</v>
      </c>
      <c r="R43" s="103" t="s">
        <v>948</v>
      </c>
      <c r="T43" s="33" t="s">
        <v>330</v>
      </c>
      <c r="U43" s="33" t="s">
        <v>58</v>
      </c>
      <c r="V43" s="33" t="s">
        <v>59</v>
      </c>
      <c r="W43" s="25" t="s">
        <v>331</v>
      </c>
      <c r="X43" s="25" t="s">
        <v>59</v>
      </c>
      <c r="Y43" s="25" t="s">
        <v>332</v>
      </c>
      <c r="Z43" s="13" t="s">
        <v>63</v>
      </c>
      <c r="AA43" s="108" t="s">
        <v>1157</v>
      </c>
      <c r="AB43" s="46" t="s">
        <v>333</v>
      </c>
      <c r="AC43" s="113" t="s">
        <v>87</v>
      </c>
      <c r="AD43" s="15" t="s">
        <v>59</v>
      </c>
      <c r="AE43" s="114" t="s">
        <v>67</v>
      </c>
      <c r="AF43" s="114" t="s">
        <v>67</v>
      </c>
      <c r="AG43" t="s">
        <v>1018</v>
      </c>
      <c r="AH43" t="s">
        <v>1018</v>
      </c>
      <c r="AI43" s="18" t="s">
        <v>68</v>
      </c>
      <c r="AJ43" s="44" t="s">
        <v>334</v>
      </c>
      <c r="AK43" s="15" t="s">
        <v>335</v>
      </c>
      <c r="AL43" s="28" t="s">
        <v>336</v>
      </c>
      <c r="AM43" s="29" t="s">
        <v>337</v>
      </c>
      <c r="AN43" s="13" t="s">
        <v>113</v>
      </c>
      <c r="AO43" s="111" t="s">
        <v>1151</v>
      </c>
      <c r="AP43" s="40" t="s">
        <v>338</v>
      </c>
      <c r="AQ43" s="30" t="s">
        <v>113</v>
      </c>
      <c r="AR43" s="47" t="s">
        <v>308</v>
      </c>
    </row>
    <row r="44" spans="1:44" ht="15" hidden="1" customHeight="1" x14ac:dyDescent="0.25">
      <c r="A44" s="15">
        <v>0</v>
      </c>
      <c r="B44" s="15" t="s">
        <v>339</v>
      </c>
      <c r="C44" s="15" t="s">
        <v>128</v>
      </c>
      <c r="D44" s="15" t="s">
        <v>40</v>
      </c>
      <c r="E44" s="13">
        <v>3</v>
      </c>
      <c r="F44" s="13">
        <v>4</v>
      </c>
      <c r="G44" s="13">
        <v>3</v>
      </c>
      <c r="H44" s="13" t="s">
        <v>41</v>
      </c>
      <c r="I44" s="13" t="s">
        <v>40</v>
      </c>
      <c r="J44" s="13" t="s">
        <v>41</v>
      </c>
      <c r="K44" s="20"/>
      <c r="L44" s="20"/>
      <c r="M44" s="20"/>
      <c r="N44" s="20"/>
      <c r="O44" s="20"/>
      <c r="P44" s="13" t="s">
        <v>55</v>
      </c>
      <c r="Q44" s="15" t="s">
        <v>56</v>
      </c>
      <c r="R44" s="15"/>
      <c r="T44" s="15" t="s">
        <v>76</v>
      </c>
      <c r="U44" s="38" t="s">
        <v>59</v>
      </c>
      <c r="V44" s="38" t="s">
        <v>59</v>
      </c>
      <c r="W44" s="25" t="s">
        <v>76</v>
      </c>
      <c r="X44" s="25" t="s">
        <v>59</v>
      </c>
      <c r="Y44" s="15" t="s">
        <v>59</v>
      </c>
      <c r="Z44" s="13" t="s">
        <v>219</v>
      </c>
      <c r="AA44" s="13"/>
      <c r="AB44" s="46" t="s">
        <v>76</v>
      </c>
      <c r="AC44" s="26" t="s">
        <v>87</v>
      </c>
      <c r="AD44" s="15" t="s">
        <v>59</v>
      </c>
      <c r="AE44" s="27" t="s">
        <v>67</v>
      </c>
      <c r="AF44" s="27" t="s">
        <v>67</v>
      </c>
      <c r="AG44" t="s">
        <v>334</v>
      </c>
      <c r="AH44" t="s">
        <v>334</v>
      </c>
      <c r="AI44" s="18" t="s">
        <v>68</v>
      </c>
      <c r="AJ44" s="44" t="s">
        <v>334</v>
      </c>
      <c r="AK44" s="15" t="s">
        <v>335</v>
      </c>
      <c r="AL44" s="28" t="s">
        <v>336</v>
      </c>
      <c r="AM44" s="40" t="s">
        <v>337</v>
      </c>
      <c r="AN44" s="36" t="s">
        <v>113</v>
      </c>
      <c r="AO44" s="36"/>
      <c r="AP44" s="40" t="s">
        <v>338</v>
      </c>
      <c r="AQ44" s="30" t="s">
        <v>113</v>
      </c>
      <c r="AR44" s="15" t="s">
        <v>340</v>
      </c>
    </row>
    <row r="45" spans="1:44" ht="15" hidden="1" customHeight="1" x14ac:dyDescent="0.25">
      <c r="B45" s="16" t="s">
        <v>341</v>
      </c>
      <c r="H45" s="13"/>
      <c r="I45" s="13"/>
      <c r="J45" s="13"/>
      <c r="K45" s="20"/>
      <c r="L45" s="20"/>
      <c r="M45" s="20"/>
      <c r="N45" s="20"/>
      <c r="O45" s="20"/>
      <c r="P45" s="13"/>
      <c r="R45" s="15"/>
      <c r="T45" s="38"/>
      <c r="U45" s="31"/>
      <c r="V45" s="38" t="s">
        <v>59</v>
      </c>
      <c r="Z45" s="13"/>
      <c r="AA45" s="13"/>
      <c r="AB45" s="17"/>
      <c r="AC45" s="17"/>
      <c r="AG45">
        <v>0</v>
      </c>
      <c r="AH45">
        <v>0</v>
      </c>
      <c r="AJ45" s="47"/>
      <c r="AM45" s="15"/>
      <c r="AN45" s="15"/>
      <c r="AO45" s="15"/>
      <c r="AQ45" s="15"/>
    </row>
    <row r="46" spans="1:44" ht="15" customHeight="1" x14ac:dyDescent="0.25">
      <c r="A46" s="15">
        <v>1</v>
      </c>
      <c r="B46" s="15" t="s">
        <v>342</v>
      </c>
      <c r="C46" s="15" t="s">
        <v>54</v>
      </c>
      <c r="D46" s="13" t="s">
        <v>41</v>
      </c>
      <c r="E46" s="13">
        <v>2</v>
      </c>
      <c r="F46" s="13">
        <v>2</v>
      </c>
      <c r="G46" s="13">
        <v>2</v>
      </c>
      <c r="H46" s="13" t="s">
        <v>42</v>
      </c>
      <c r="I46" s="13" t="s">
        <v>42</v>
      </c>
      <c r="J46" s="13" t="s">
        <v>42</v>
      </c>
      <c r="K46" s="20"/>
      <c r="L46" s="20"/>
      <c r="M46" s="20"/>
      <c r="N46" s="20"/>
      <c r="O46" s="20"/>
      <c r="P46" s="13" t="s">
        <v>84</v>
      </c>
      <c r="Q46" s="13" t="s">
        <v>174</v>
      </c>
      <c r="R46" s="103" t="s">
        <v>949</v>
      </c>
      <c r="S46" s="15" t="s">
        <v>175</v>
      </c>
      <c r="T46" s="38">
        <v>867.84</v>
      </c>
      <c r="U46" s="33" t="s">
        <v>175</v>
      </c>
      <c r="V46" s="33" t="s">
        <v>59</v>
      </c>
      <c r="W46" s="60" t="s">
        <v>343</v>
      </c>
      <c r="X46" s="25" t="s">
        <v>344</v>
      </c>
      <c r="Y46" s="25" t="s">
        <v>345</v>
      </c>
      <c r="Z46" s="13" t="s">
        <v>63</v>
      </c>
      <c r="AA46" s="108" t="s">
        <v>1158</v>
      </c>
      <c r="AB46" s="17" t="s">
        <v>346</v>
      </c>
      <c r="AC46" s="113" t="s">
        <v>65</v>
      </c>
      <c r="AD46" s="15" t="s">
        <v>347</v>
      </c>
      <c r="AE46" s="114" t="s">
        <v>67</v>
      </c>
      <c r="AF46" s="114" t="s">
        <v>67</v>
      </c>
      <c r="AG46" t="s">
        <v>1048</v>
      </c>
      <c r="AH46" t="s">
        <v>1049</v>
      </c>
      <c r="AI46" s="18" t="s">
        <v>68</v>
      </c>
      <c r="AJ46" s="15" t="s">
        <v>348</v>
      </c>
      <c r="AK46" s="15" t="s">
        <v>349</v>
      </c>
      <c r="AL46" s="15" t="s">
        <v>350</v>
      </c>
      <c r="AM46" s="29" t="s">
        <v>351</v>
      </c>
      <c r="AN46" s="13" t="s">
        <v>113</v>
      </c>
      <c r="AO46" s="111" t="s">
        <v>351</v>
      </c>
      <c r="AP46" s="29" t="s">
        <v>352</v>
      </c>
      <c r="AQ46" s="30" t="s">
        <v>94</v>
      </c>
    </row>
    <row r="47" spans="1:44" ht="15" hidden="1" customHeight="1" x14ac:dyDescent="0.25">
      <c r="A47" s="15">
        <v>0</v>
      </c>
      <c r="B47" s="15" t="s">
        <v>353</v>
      </c>
      <c r="C47" s="15" t="s">
        <v>54</v>
      </c>
      <c r="D47" s="15" t="s">
        <v>41</v>
      </c>
      <c r="E47" s="13">
        <v>2</v>
      </c>
      <c r="F47" s="13">
        <v>2</v>
      </c>
      <c r="G47" s="13">
        <v>2</v>
      </c>
      <c r="H47" s="13" t="s">
        <v>42</v>
      </c>
      <c r="I47" s="13" t="s">
        <v>42</v>
      </c>
      <c r="J47" s="13" t="s">
        <v>42</v>
      </c>
      <c r="K47" s="20"/>
      <c r="L47" s="20"/>
      <c r="M47" s="20"/>
      <c r="N47" s="20"/>
      <c r="O47" s="20"/>
      <c r="P47" s="13" t="s">
        <v>55</v>
      </c>
      <c r="Q47" s="15" t="s">
        <v>56</v>
      </c>
      <c r="R47" s="15"/>
      <c r="T47" s="15" t="s">
        <v>354</v>
      </c>
      <c r="U47" s="38" t="s">
        <v>59</v>
      </c>
      <c r="V47" s="38" t="s">
        <v>59</v>
      </c>
      <c r="W47" s="25" t="s">
        <v>76</v>
      </c>
      <c r="X47" s="25" t="s">
        <v>59</v>
      </c>
      <c r="Y47" s="15" t="s">
        <v>59</v>
      </c>
      <c r="Z47" s="13" t="s">
        <v>219</v>
      </c>
      <c r="AA47" s="13"/>
      <c r="AB47" s="19" t="s">
        <v>76</v>
      </c>
      <c r="AC47" s="26" t="s">
        <v>65</v>
      </c>
      <c r="AD47" s="15" t="s">
        <v>347</v>
      </c>
      <c r="AE47" s="27" t="s">
        <v>67</v>
      </c>
      <c r="AF47" s="27" t="s">
        <v>67</v>
      </c>
      <c r="AG47" t="s">
        <v>348</v>
      </c>
      <c r="AH47" t="s">
        <v>348</v>
      </c>
      <c r="AI47" s="18" t="s">
        <v>68</v>
      </c>
      <c r="AJ47" s="15" t="s">
        <v>348</v>
      </c>
      <c r="AK47" s="15" t="s">
        <v>355</v>
      </c>
      <c r="AL47" s="15" t="s">
        <v>355</v>
      </c>
      <c r="AM47" s="61" t="s">
        <v>356</v>
      </c>
      <c r="AN47" s="30" t="s">
        <v>73</v>
      </c>
      <c r="AO47" s="30"/>
      <c r="AP47" s="62" t="s">
        <v>355</v>
      </c>
      <c r="AQ47" s="30" t="s">
        <v>73</v>
      </c>
      <c r="AR47" s="47" t="s">
        <v>357</v>
      </c>
    </row>
    <row r="48" spans="1:44" ht="15" customHeight="1" x14ac:dyDescent="0.25">
      <c r="A48" s="15">
        <v>1</v>
      </c>
      <c r="B48" s="15" t="s">
        <v>358</v>
      </c>
      <c r="C48" s="15" t="s">
        <v>359</v>
      </c>
      <c r="D48" s="13" t="s">
        <v>42</v>
      </c>
      <c r="E48" s="13">
        <v>1</v>
      </c>
      <c r="F48" s="13">
        <v>1</v>
      </c>
      <c r="G48" s="13">
        <v>1</v>
      </c>
      <c r="H48" s="13" t="s">
        <v>43</v>
      </c>
      <c r="I48" s="13" t="s">
        <v>43</v>
      </c>
      <c r="J48" s="13" t="s">
        <v>43</v>
      </c>
      <c r="K48" s="20"/>
      <c r="L48" s="20"/>
      <c r="M48" s="20"/>
      <c r="N48" s="20"/>
      <c r="O48" s="20"/>
      <c r="P48" s="13" t="s">
        <v>84</v>
      </c>
      <c r="Q48" s="13" t="s">
        <v>174</v>
      </c>
      <c r="R48" s="103" t="s">
        <v>949</v>
      </c>
      <c r="S48" s="15" t="s">
        <v>175</v>
      </c>
      <c r="T48" s="15" t="s">
        <v>354</v>
      </c>
      <c r="U48" s="33" t="s">
        <v>59</v>
      </c>
      <c r="V48" s="33" t="s">
        <v>59</v>
      </c>
      <c r="W48" s="15" t="s">
        <v>354</v>
      </c>
      <c r="X48" s="25" t="s">
        <v>59</v>
      </c>
      <c r="Y48" s="15" t="s">
        <v>59</v>
      </c>
      <c r="Z48" s="13" t="s">
        <v>63</v>
      </c>
      <c r="AA48" s="108" t="s">
        <v>978</v>
      </c>
      <c r="AB48" s="12" t="s">
        <v>360</v>
      </c>
      <c r="AC48" s="113" t="s">
        <v>65</v>
      </c>
      <c r="AD48" s="15" t="s">
        <v>361</v>
      </c>
      <c r="AE48" s="114" t="s">
        <v>67</v>
      </c>
      <c r="AF48" s="114" t="s">
        <v>67</v>
      </c>
      <c r="AG48" t="s">
        <v>1019</v>
      </c>
      <c r="AH48" t="s">
        <v>1019</v>
      </c>
      <c r="AI48" s="18" t="s">
        <v>68</v>
      </c>
      <c r="AJ48" s="15" t="s">
        <v>362</v>
      </c>
      <c r="AK48" s="15" t="s">
        <v>363</v>
      </c>
      <c r="AL48" s="28" t="s">
        <v>364</v>
      </c>
      <c r="AM48" s="29" t="s">
        <v>365</v>
      </c>
      <c r="AN48" s="13" t="s">
        <v>94</v>
      </c>
      <c r="AO48" s="111" t="s">
        <v>365</v>
      </c>
      <c r="AP48" s="28" t="s">
        <v>366</v>
      </c>
      <c r="AQ48" s="30" t="s">
        <v>113</v>
      </c>
    </row>
    <row r="49" spans="1:44" ht="15" customHeight="1" x14ac:dyDescent="0.25">
      <c r="A49" s="15">
        <v>1</v>
      </c>
      <c r="B49" s="15" t="s">
        <v>1060</v>
      </c>
      <c r="C49" s="15" t="s">
        <v>359</v>
      </c>
      <c r="D49" s="13" t="s">
        <v>42</v>
      </c>
      <c r="E49" s="13">
        <v>1</v>
      </c>
      <c r="F49" s="13">
        <v>1</v>
      </c>
      <c r="G49" s="13">
        <v>1</v>
      </c>
      <c r="H49" s="13" t="s">
        <v>43</v>
      </c>
      <c r="I49" s="13" t="s">
        <v>43</v>
      </c>
      <c r="J49" s="13" t="s">
        <v>43</v>
      </c>
      <c r="K49" s="20"/>
      <c r="L49" s="20"/>
      <c r="M49" s="20"/>
      <c r="N49" s="20"/>
      <c r="O49" s="20"/>
      <c r="P49" s="13" t="s">
        <v>55</v>
      </c>
      <c r="Q49" s="13" t="s">
        <v>174</v>
      </c>
      <c r="R49" s="103" t="s">
        <v>949</v>
      </c>
      <c r="S49" s="15" t="s">
        <v>175</v>
      </c>
      <c r="T49" s="15" t="s">
        <v>354</v>
      </c>
      <c r="U49" s="33" t="s">
        <v>59</v>
      </c>
      <c r="V49" s="33" t="s">
        <v>59</v>
      </c>
      <c r="W49" s="15" t="s">
        <v>354</v>
      </c>
      <c r="X49" s="25" t="s">
        <v>59</v>
      </c>
      <c r="Y49" s="15" t="s">
        <v>59</v>
      </c>
      <c r="Z49" s="13" t="s">
        <v>884</v>
      </c>
      <c r="AA49" s="108" t="s">
        <v>991</v>
      </c>
      <c r="AB49" s="63" t="s">
        <v>367</v>
      </c>
      <c r="AC49" s="113" t="s">
        <v>65</v>
      </c>
      <c r="AD49" s="15" t="s">
        <v>361</v>
      </c>
      <c r="AE49" s="114" t="s">
        <v>67</v>
      </c>
      <c r="AF49" s="114" t="s">
        <v>67</v>
      </c>
      <c r="AG49" t="s">
        <v>1019</v>
      </c>
      <c r="AH49" t="s">
        <v>1019</v>
      </c>
      <c r="AI49" s="18" t="s">
        <v>68</v>
      </c>
      <c r="AJ49" s="15" t="s">
        <v>362</v>
      </c>
      <c r="AK49" s="15" t="s">
        <v>368</v>
      </c>
      <c r="AM49" s="29" t="s">
        <v>369</v>
      </c>
      <c r="AN49" s="13" t="s">
        <v>94</v>
      </c>
      <c r="AO49" s="111" t="s">
        <v>1160</v>
      </c>
      <c r="AP49" s="64" t="s">
        <v>370</v>
      </c>
      <c r="AQ49" s="30" t="s">
        <v>94</v>
      </c>
      <c r="AR49" s="47" t="s">
        <v>308</v>
      </c>
    </row>
    <row r="50" spans="1:44" ht="15" hidden="1" customHeight="1" x14ac:dyDescent="0.25">
      <c r="A50" s="15">
        <v>0</v>
      </c>
      <c r="B50" s="15" t="s">
        <v>371</v>
      </c>
      <c r="C50" s="15" t="s">
        <v>359</v>
      </c>
      <c r="D50" s="15" t="s">
        <v>42</v>
      </c>
      <c r="E50" s="13">
        <v>1</v>
      </c>
      <c r="F50" s="13">
        <v>1</v>
      </c>
      <c r="G50" s="13">
        <v>1</v>
      </c>
      <c r="H50" s="13" t="s">
        <v>43</v>
      </c>
      <c r="I50" s="13" t="s">
        <v>43</v>
      </c>
      <c r="J50" s="13" t="s">
        <v>43</v>
      </c>
      <c r="K50" s="20"/>
      <c r="L50" s="20"/>
      <c r="M50" s="20"/>
      <c r="N50" s="20"/>
      <c r="O50" s="20"/>
      <c r="P50" s="13" t="s">
        <v>55</v>
      </c>
      <c r="Q50" s="15" t="s">
        <v>56</v>
      </c>
      <c r="R50" s="15"/>
      <c r="T50" s="15" t="s">
        <v>354</v>
      </c>
      <c r="U50" s="38" t="s">
        <v>59</v>
      </c>
      <c r="V50" s="38" t="s">
        <v>59</v>
      </c>
      <c r="W50" s="15" t="s">
        <v>354</v>
      </c>
      <c r="X50" s="25" t="s">
        <v>59</v>
      </c>
      <c r="Y50" s="15" t="s">
        <v>59</v>
      </c>
      <c r="Z50" s="13" t="s">
        <v>219</v>
      </c>
      <c r="AA50" s="13"/>
      <c r="AB50" s="63" t="s">
        <v>367</v>
      </c>
      <c r="AC50" s="26" t="s">
        <v>65</v>
      </c>
      <c r="AD50" s="15" t="s">
        <v>361</v>
      </c>
      <c r="AE50" s="27" t="s">
        <v>67</v>
      </c>
      <c r="AF50" s="27" t="s">
        <v>67</v>
      </c>
      <c r="AG50" t="s">
        <v>362</v>
      </c>
      <c r="AH50" t="s">
        <v>362</v>
      </c>
      <c r="AI50" s="18" t="s">
        <v>68</v>
      </c>
      <c r="AJ50" s="15" t="s">
        <v>362</v>
      </c>
      <c r="AK50" s="15" t="s">
        <v>59</v>
      </c>
      <c r="AL50" s="15" t="s">
        <v>59</v>
      </c>
      <c r="AM50" s="65" t="s">
        <v>372</v>
      </c>
      <c r="AN50" s="36" t="s">
        <v>113</v>
      </c>
      <c r="AO50" s="36"/>
      <c r="AP50" s="65" t="s">
        <v>372</v>
      </c>
      <c r="AQ50" s="36" t="s">
        <v>113</v>
      </c>
    </row>
    <row r="51" spans="1:44" ht="15" customHeight="1" x14ac:dyDescent="0.25">
      <c r="A51" s="15">
        <v>1</v>
      </c>
      <c r="B51" s="15" t="s">
        <v>373</v>
      </c>
      <c r="C51" s="15" t="s">
        <v>359</v>
      </c>
      <c r="D51" s="13" t="s">
        <v>42</v>
      </c>
      <c r="E51" s="13">
        <v>1</v>
      </c>
      <c r="F51" s="13">
        <v>1</v>
      </c>
      <c r="G51" s="13">
        <v>1</v>
      </c>
      <c r="H51" s="13" t="s">
        <v>43</v>
      </c>
      <c r="I51" s="13" t="s">
        <v>43</v>
      </c>
      <c r="J51" s="13" t="s">
        <v>43</v>
      </c>
      <c r="K51" s="20"/>
      <c r="L51" s="20"/>
      <c r="M51" s="20"/>
      <c r="N51" s="20"/>
      <c r="O51" s="20"/>
      <c r="P51" s="13" t="s">
        <v>55</v>
      </c>
      <c r="Q51" s="13" t="s">
        <v>174</v>
      </c>
      <c r="R51" s="103" t="s">
        <v>949</v>
      </c>
      <c r="S51" s="15" t="s">
        <v>175</v>
      </c>
      <c r="T51" s="15" t="s">
        <v>354</v>
      </c>
      <c r="U51" s="33" t="s">
        <v>59</v>
      </c>
      <c r="V51" s="33" t="s">
        <v>59</v>
      </c>
      <c r="W51" s="15" t="s">
        <v>354</v>
      </c>
      <c r="X51" s="25" t="s">
        <v>59</v>
      </c>
      <c r="Y51" s="15" t="s">
        <v>59</v>
      </c>
      <c r="Z51" s="13" t="s">
        <v>63</v>
      </c>
      <c r="AA51" s="108" t="s">
        <v>978</v>
      </c>
      <c r="AB51" s="63" t="s">
        <v>374</v>
      </c>
      <c r="AC51" s="113" t="s">
        <v>65</v>
      </c>
      <c r="AD51" s="15" t="s">
        <v>361</v>
      </c>
      <c r="AE51" s="114" t="s">
        <v>67</v>
      </c>
      <c r="AF51" s="114" t="s">
        <v>67</v>
      </c>
      <c r="AG51" t="s">
        <v>1019</v>
      </c>
      <c r="AH51" t="s">
        <v>1019</v>
      </c>
      <c r="AI51" s="18" t="s">
        <v>68</v>
      </c>
      <c r="AJ51" s="15" t="s">
        <v>362</v>
      </c>
      <c r="AK51" s="15" t="s">
        <v>375</v>
      </c>
      <c r="AM51" s="29" t="s">
        <v>376</v>
      </c>
      <c r="AN51" s="13" t="s">
        <v>113</v>
      </c>
      <c r="AO51" s="111" t="s">
        <v>376</v>
      </c>
      <c r="AP51" s="64" t="s">
        <v>377</v>
      </c>
      <c r="AQ51" s="30" t="s">
        <v>94</v>
      </c>
      <c r="AR51" s="47" t="s">
        <v>308</v>
      </c>
    </row>
    <row r="52" spans="1:44" ht="15" hidden="1" customHeight="1" x14ac:dyDescent="0.25">
      <c r="A52" s="15">
        <v>0</v>
      </c>
      <c r="B52" s="15" t="s">
        <v>378</v>
      </c>
      <c r="C52" s="15" t="s">
        <v>359</v>
      </c>
      <c r="D52" s="15" t="s">
        <v>42</v>
      </c>
      <c r="E52" s="13">
        <v>1</v>
      </c>
      <c r="F52" s="13">
        <v>1</v>
      </c>
      <c r="G52" s="13">
        <v>1</v>
      </c>
      <c r="H52" s="13" t="s">
        <v>43</v>
      </c>
      <c r="I52" s="13" t="s">
        <v>43</v>
      </c>
      <c r="J52" s="13" t="s">
        <v>43</v>
      </c>
      <c r="K52" s="20"/>
      <c r="L52" s="20"/>
      <c r="M52" s="20"/>
      <c r="N52" s="20"/>
      <c r="O52" s="20"/>
      <c r="P52" s="13" t="s">
        <v>55</v>
      </c>
      <c r="Q52" s="15" t="s">
        <v>56</v>
      </c>
      <c r="R52" s="15"/>
      <c r="T52" s="15" t="s">
        <v>354</v>
      </c>
      <c r="U52" s="38" t="s">
        <v>59</v>
      </c>
      <c r="V52" s="38" t="s">
        <v>59</v>
      </c>
      <c r="W52" s="15" t="s">
        <v>354</v>
      </c>
      <c r="X52" s="25" t="s">
        <v>59</v>
      </c>
      <c r="Y52" s="15" t="s">
        <v>59</v>
      </c>
      <c r="Z52" s="13" t="s">
        <v>219</v>
      </c>
      <c r="AA52" s="13"/>
      <c r="AB52" s="63" t="s">
        <v>374</v>
      </c>
      <c r="AC52" s="26" t="s">
        <v>65</v>
      </c>
      <c r="AD52" s="15" t="s">
        <v>361</v>
      </c>
      <c r="AE52" s="27" t="s">
        <v>67</v>
      </c>
      <c r="AF52" s="27" t="s">
        <v>67</v>
      </c>
      <c r="AG52" t="s">
        <v>362</v>
      </c>
      <c r="AH52" t="s">
        <v>362</v>
      </c>
      <c r="AI52" s="18" t="s">
        <v>68</v>
      </c>
      <c r="AJ52" s="15" t="s">
        <v>362</v>
      </c>
      <c r="AK52" s="15" t="s">
        <v>59</v>
      </c>
      <c r="AL52" s="15" t="s">
        <v>59</v>
      </c>
      <c r="AM52" s="57" t="s">
        <v>379</v>
      </c>
      <c r="AN52" s="36" t="s">
        <v>113</v>
      </c>
      <c r="AO52" s="36"/>
      <c r="AP52" s="57" t="s">
        <v>379</v>
      </c>
      <c r="AQ52" s="30" t="s">
        <v>113</v>
      </c>
    </row>
    <row r="53" spans="1:44" ht="15" hidden="1" customHeight="1" x14ac:dyDescent="0.25">
      <c r="A53" s="15">
        <v>0</v>
      </c>
      <c r="B53" s="15" t="s">
        <v>380</v>
      </c>
      <c r="C53" s="15" t="s">
        <v>359</v>
      </c>
      <c r="D53" s="15" t="s">
        <v>42</v>
      </c>
      <c r="E53" s="13">
        <v>1</v>
      </c>
      <c r="F53" s="13">
        <v>1</v>
      </c>
      <c r="G53" s="13">
        <v>1</v>
      </c>
      <c r="H53" s="13" t="s">
        <v>43</v>
      </c>
      <c r="I53" s="13" t="s">
        <v>43</v>
      </c>
      <c r="J53" s="13" t="s">
        <v>43</v>
      </c>
      <c r="K53" s="20"/>
      <c r="L53" s="20"/>
      <c r="M53" s="20"/>
      <c r="N53" s="20"/>
      <c r="O53" s="20"/>
      <c r="P53" s="13" t="s">
        <v>55</v>
      </c>
      <c r="Q53" s="15" t="s">
        <v>56</v>
      </c>
      <c r="R53" s="15"/>
      <c r="T53" s="15" t="s">
        <v>354</v>
      </c>
      <c r="U53" s="38" t="s">
        <v>59</v>
      </c>
      <c r="V53" s="38" t="s">
        <v>59</v>
      </c>
      <c r="W53" s="15" t="s">
        <v>354</v>
      </c>
      <c r="X53" s="25" t="s">
        <v>59</v>
      </c>
      <c r="Y53" s="15" t="s">
        <v>59</v>
      </c>
      <c r="Z53" s="13" t="s">
        <v>219</v>
      </c>
      <c r="AA53" s="13"/>
      <c r="AB53" s="19" t="s">
        <v>76</v>
      </c>
      <c r="AC53" s="26" t="s">
        <v>65</v>
      </c>
      <c r="AD53" s="15" t="s">
        <v>361</v>
      </c>
      <c r="AE53" s="27" t="s">
        <v>67</v>
      </c>
      <c r="AF53" s="27" t="s">
        <v>67</v>
      </c>
      <c r="AG53" t="s">
        <v>362</v>
      </c>
      <c r="AH53" t="s">
        <v>362</v>
      </c>
      <c r="AI53" s="18" t="s">
        <v>68</v>
      </c>
      <c r="AJ53" s="15" t="s">
        <v>362</v>
      </c>
      <c r="AK53" s="15" t="s">
        <v>363</v>
      </c>
      <c r="AL53" s="28" t="s">
        <v>364</v>
      </c>
      <c r="AM53" s="29" t="s">
        <v>365</v>
      </c>
      <c r="AN53" s="30" t="s">
        <v>94</v>
      </c>
      <c r="AO53" s="30"/>
      <c r="AP53" s="28" t="s">
        <v>366</v>
      </c>
      <c r="AQ53" s="30" t="s">
        <v>113</v>
      </c>
    </row>
    <row r="54" spans="1:44" ht="15" customHeight="1" x14ac:dyDescent="0.25">
      <c r="A54" s="15">
        <v>1</v>
      </c>
      <c r="B54" s="15" t="s">
        <v>381</v>
      </c>
      <c r="C54" s="15" t="s">
        <v>128</v>
      </c>
      <c r="D54" s="13" t="s">
        <v>40</v>
      </c>
      <c r="E54" s="13">
        <v>3</v>
      </c>
      <c r="F54" s="13">
        <v>4</v>
      </c>
      <c r="G54" s="13">
        <v>3</v>
      </c>
      <c r="H54" s="13" t="s">
        <v>41</v>
      </c>
      <c r="I54" s="13" t="s">
        <v>40</v>
      </c>
      <c r="J54" s="13" t="s">
        <v>41</v>
      </c>
      <c r="K54" s="20"/>
      <c r="L54" s="20"/>
      <c r="M54" s="20"/>
      <c r="N54" s="20"/>
      <c r="O54" s="20"/>
      <c r="P54" s="13" t="s">
        <v>55</v>
      </c>
      <c r="Q54" s="13" t="s">
        <v>174</v>
      </c>
      <c r="R54" s="103" t="s">
        <v>949</v>
      </c>
      <c r="S54" s="15" t="s">
        <v>175</v>
      </c>
      <c r="T54" s="15" t="s">
        <v>354</v>
      </c>
      <c r="U54" s="33" t="s">
        <v>59</v>
      </c>
      <c r="V54" s="33" t="s">
        <v>59</v>
      </c>
      <c r="W54" s="15" t="s">
        <v>354</v>
      </c>
      <c r="X54" s="25" t="s">
        <v>59</v>
      </c>
      <c r="Y54" s="15" t="s">
        <v>59</v>
      </c>
      <c r="Z54" s="13" t="s">
        <v>63</v>
      </c>
      <c r="AA54" s="108" t="s">
        <v>979</v>
      </c>
      <c r="AB54" s="17" t="s">
        <v>382</v>
      </c>
      <c r="AC54" s="113" t="s">
        <v>65</v>
      </c>
      <c r="AD54" s="15" t="s">
        <v>383</v>
      </c>
      <c r="AE54" s="114" t="s">
        <v>67</v>
      </c>
      <c r="AF54" s="114" t="s">
        <v>67</v>
      </c>
      <c r="AG54" t="s">
        <v>69</v>
      </c>
      <c r="AH54" t="s">
        <v>69</v>
      </c>
      <c r="AI54" s="18" t="s">
        <v>68</v>
      </c>
      <c r="AJ54" s="15" t="s">
        <v>384</v>
      </c>
      <c r="AK54" s="15" t="s">
        <v>385</v>
      </c>
      <c r="AL54" s="15" t="s">
        <v>386</v>
      </c>
      <c r="AM54" s="29" t="s">
        <v>387</v>
      </c>
      <c r="AN54" s="13" t="s">
        <v>113</v>
      </c>
      <c r="AO54" s="111" t="s">
        <v>387</v>
      </c>
      <c r="AP54" s="28" t="s">
        <v>388</v>
      </c>
      <c r="AQ54" s="30" t="s">
        <v>94</v>
      </c>
      <c r="AR54" s="15" t="s">
        <v>389</v>
      </c>
    </row>
    <row r="55" spans="1:44" ht="15" hidden="1" customHeight="1" x14ac:dyDescent="0.25">
      <c r="A55" s="15">
        <v>0</v>
      </c>
      <c r="B55" s="15" t="s">
        <v>390</v>
      </c>
      <c r="C55" s="15" t="s">
        <v>128</v>
      </c>
      <c r="D55" s="15" t="s">
        <v>40</v>
      </c>
      <c r="E55" s="13">
        <v>3</v>
      </c>
      <c r="F55" s="13">
        <v>4</v>
      </c>
      <c r="G55" s="13">
        <v>3</v>
      </c>
      <c r="H55" s="13" t="s">
        <v>41</v>
      </c>
      <c r="I55" s="13" t="s">
        <v>40</v>
      </c>
      <c r="J55" s="13" t="s">
        <v>41</v>
      </c>
      <c r="K55" s="20"/>
      <c r="L55" s="20"/>
      <c r="M55" s="20"/>
      <c r="N55" s="20"/>
      <c r="O55" s="20"/>
      <c r="P55" s="13" t="s">
        <v>55</v>
      </c>
      <c r="Q55" s="15" t="s">
        <v>56</v>
      </c>
      <c r="R55" s="15"/>
      <c r="T55" s="15" t="s">
        <v>354</v>
      </c>
      <c r="U55" s="38" t="s">
        <v>59</v>
      </c>
      <c r="V55" s="38" t="s">
        <v>59</v>
      </c>
      <c r="W55" s="15" t="s">
        <v>354</v>
      </c>
      <c r="X55" s="25" t="s">
        <v>59</v>
      </c>
      <c r="Y55" s="15" t="s">
        <v>59</v>
      </c>
      <c r="Z55" s="13" t="s">
        <v>63</v>
      </c>
      <c r="AA55" s="13"/>
      <c r="AB55" s="19" t="s">
        <v>76</v>
      </c>
      <c r="AC55" s="26" t="s">
        <v>65</v>
      </c>
      <c r="AD55" s="15" t="s">
        <v>383</v>
      </c>
      <c r="AE55" s="27" t="s">
        <v>67</v>
      </c>
      <c r="AF55" s="27" t="s">
        <v>67</v>
      </c>
      <c r="AG55" t="s">
        <v>384</v>
      </c>
      <c r="AH55" t="s">
        <v>384</v>
      </c>
      <c r="AI55" s="18" t="s">
        <v>68</v>
      </c>
      <c r="AJ55" s="15" t="s">
        <v>384</v>
      </c>
      <c r="AK55" s="15" t="s">
        <v>59</v>
      </c>
      <c r="AL55" s="15" t="s">
        <v>59</v>
      </c>
      <c r="AM55" s="51" t="s">
        <v>391</v>
      </c>
      <c r="AN55" s="36" t="s">
        <v>113</v>
      </c>
      <c r="AO55" s="36"/>
      <c r="AP55" s="51" t="s">
        <v>391</v>
      </c>
      <c r="AQ55" s="30" t="s">
        <v>94</v>
      </c>
    </row>
    <row r="56" spans="1:44" ht="15" customHeight="1" x14ac:dyDescent="0.25">
      <c r="A56" s="15">
        <v>1</v>
      </c>
      <c r="B56" s="15" t="s">
        <v>392</v>
      </c>
      <c r="C56" s="15" t="s">
        <v>359</v>
      </c>
      <c r="D56" s="13" t="s">
        <v>42</v>
      </c>
      <c r="E56" s="13">
        <v>1</v>
      </c>
      <c r="F56" s="13">
        <v>1</v>
      </c>
      <c r="G56" s="13">
        <v>1</v>
      </c>
      <c r="H56" s="13" t="s">
        <v>43</v>
      </c>
      <c r="I56" s="13" t="s">
        <v>43</v>
      </c>
      <c r="J56" s="13" t="s">
        <v>43</v>
      </c>
      <c r="K56" s="20"/>
      <c r="L56" s="20"/>
      <c r="M56" s="20"/>
      <c r="N56" s="20"/>
      <c r="O56" s="20"/>
      <c r="P56" s="13" t="s">
        <v>148</v>
      </c>
      <c r="Q56" s="13" t="s">
        <v>174</v>
      </c>
      <c r="R56" s="103" t="s">
        <v>949</v>
      </c>
      <c r="S56" s="15" t="s">
        <v>175</v>
      </c>
      <c r="T56" s="15" t="s">
        <v>354</v>
      </c>
      <c r="U56" s="33" t="s">
        <v>59</v>
      </c>
      <c r="V56" s="33" t="s">
        <v>59</v>
      </c>
      <c r="W56" s="15" t="s">
        <v>354</v>
      </c>
      <c r="X56" s="25" t="s">
        <v>59</v>
      </c>
      <c r="Y56" s="15" t="s">
        <v>59</v>
      </c>
      <c r="Z56" s="13" t="s">
        <v>63</v>
      </c>
      <c r="AA56" s="108" t="s">
        <v>980</v>
      </c>
      <c r="AB56" s="17" t="s">
        <v>393</v>
      </c>
      <c r="AC56" s="113" t="s">
        <v>65</v>
      </c>
      <c r="AD56" s="15" t="s">
        <v>394</v>
      </c>
      <c r="AE56" s="114" t="s">
        <v>67</v>
      </c>
      <c r="AF56" s="114" t="s">
        <v>67</v>
      </c>
      <c r="AG56" t="s">
        <v>69</v>
      </c>
      <c r="AH56" t="s">
        <v>69</v>
      </c>
      <c r="AI56" s="18" t="s">
        <v>68</v>
      </c>
      <c r="AJ56" s="15" t="s">
        <v>395</v>
      </c>
      <c r="AK56" s="15" t="s">
        <v>396</v>
      </c>
      <c r="AL56" s="15" t="s">
        <v>223</v>
      </c>
      <c r="AM56" s="29" t="s">
        <v>397</v>
      </c>
      <c r="AN56" s="13" t="s">
        <v>113</v>
      </c>
      <c r="AO56" s="111" t="s">
        <v>397</v>
      </c>
      <c r="AP56" s="28" t="s">
        <v>398</v>
      </c>
      <c r="AQ56" s="30" t="s">
        <v>113</v>
      </c>
    </row>
    <row r="57" spans="1:44" ht="15" hidden="1" customHeight="1" x14ac:dyDescent="0.25">
      <c r="A57" s="15">
        <v>0</v>
      </c>
      <c r="B57" s="15" t="s">
        <v>399</v>
      </c>
      <c r="C57" s="15" t="s">
        <v>359</v>
      </c>
      <c r="D57" s="15" t="s">
        <v>42</v>
      </c>
      <c r="E57" s="13">
        <v>1</v>
      </c>
      <c r="F57" s="13">
        <v>1</v>
      </c>
      <c r="G57" s="13">
        <v>1</v>
      </c>
      <c r="H57" s="13" t="s">
        <v>43</v>
      </c>
      <c r="I57" s="13" t="s">
        <v>43</v>
      </c>
      <c r="J57" s="13" t="s">
        <v>43</v>
      </c>
      <c r="K57" s="20"/>
      <c r="L57" s="20"/>
      <c r="M57" s="20"/>
      <c r="N57" s="20"/>
      <c r="O57" s="20"/>
      <c r="P57" s="13" t="s">
        <v>84</v>
      </c>
      <c r="Q57" s="15" t="s">
        <v>56</v>
      </c>
      <c r="R57" s="15"/>
      <c r="T57" s="15" t="s">
        <v>354</v>
      </c>
      <c r="U57" s="38" t="s">
        <v>59</v>
      </c>
      <c r="V57" s="38" t="s">
        <v>59</v>
      </c>
      <c r="W57" s="15" t="s">
        <v>354</v>
      </c>
      <c r="X57" s="25" t="s">
        <v>59</v>
      </c>
      <c r="Y57" s="15" t="s">
        <v>59</v>
      </c>
      <c r="Z57" s="13" t="s">
        <v>63</v>
      </c>
      <c r="AA57" s="13"/>
      <c r="AB57" s="19" t="s">
        <v>76</v>
      </c>
      <c r="AC57" s="26" t="s">
        <v>65</v>
      </c>
      <c r="AD57" s="15" t="s">
        <v>394</v>
      </c>
      <c r="AE57" s="27" t="s">
        <v>67</v>
      </c>
      <c r="AF57" s="27" t="s">
        <v>67</v>
      </c>
      <c r="AG57" t="s">
        <v>395</v>
      </c>
      <c r="AH57" t="s">
        <v>395</v>
      </c>
      <c r="AI57" s="18" t="s">
        <v>68</v>
      </c>
      <c r="AJ57" s="15" t="s">
        <v>395</v>
      </c>
      <c r="AK57" s="15" t="s">
        <v>396</v>
      </c>
      <c r="AL57" s="15" t="s">
        <v>223</v>
      </c>
      <c r="AM57" s="29" t="s">
        <v>397</v>
      </c>
      <c r="AN57" s="36" t="s">
        <v>113</v>
      </c>
      <c r="AO57" s="36"/>
      <c r="AP57" s="28" t="s">
        <v>398</v>
      </c>
      <c r="AQ57" s="30" t="s">
        <v>113</v>
      </c>
    </row>
    <row r="58" spans="1:44" ht="15" customHeight="1" x14ac:dyDescent="0.25">
      <c r="A58" s="15">
        <v>1</v>
      </c>
      <c r="B58" s="15" t="s">
        <v>1061</v>
      </c>
      <c r="C58" s="15" t="s">
        <v>359</v>
      </c>
      <c r="D58" s="13" t="s">
        <v>42</v>
      </c>
      <c r="E58" s="13">
        <v>1</v>
      </c>
      <c r="F58" s="13">
        <v>1</v>
      </c>
      <c r="G58" s="13">
        <v>1</v>
      </c>
      <c r="H58" s="13" t="s">
        <v>43</v>
      </c>
      <c r="I58" s="13" t="s">
        <v>43</v>
      </c>
      <c r="J58" s="13" t="s">
        <v>43</v>
      </c>
      <c r="K58" s="20"/>
      <c r="L58" s="20"/>
      <c r="M58" s="20"/>
      <c r="N58" s="20"/>
      <c r="O58" s="20"/>
      <c r="P58" s="13" t="s">
        <v>55</v>
      </c>
      <c r="Q58" s="13" t="s">
        <v>56</v>
      </c>
      <c r="R58" s="103" t="s">
        <v>950</v>
      </c>
      <c r="T58" s="38">
        <v>1202.877</v>
      </c>
      <c r="U58" s="33" t="s">
        <v>58</v>
      </c>
      <c r="V58" s="33" t="s">
        <v>59</v>
      </c>
      <c r="W58" s="60" t="s">
        <v>400</v>
      </c>
      <c r="X58" s="60" t="s">
        <v>401</v>
      </c>
      <c r="Y58" s="15" t="s">
        <v>402</v>
      </c>
      <c r="Z58" s="13" t="s">
        <v>63</v>
      </c>
      <c r="AA58" s="109" t="s">
        <v>981</v>
      </c>
      <c r="AB58" s="44" t="s">
        <v>403</v>
      </c>
      <c r="AC58" s="113" t="s">
        <v>65</v>
      </c>
      <c r="AD58" s="15" t="s">
        <v>404</v>
      </c>
      <c r="AE58" s="114" t="s">
        <v>67</v>
      </c>
      <c r="AF58" s="114" t="s">
        <v>67</v>
      </c>
      <c r="AG58" t="s">
        <v>1020</v>
      </c>
      <c r="AH58" t="s">
        <v>1049</v>
      </c>
      <c r="AI58" s="66" t="s">
        <v>406</v>
      </c>
      <c r="AJ58" s="52" t="s">
        <v>407</v>
      </c>
      <c r="AK58" s="28" t="s">
        <v>408</v>
      </c>
      <c r="AL58" s="15" t="s">
        <v>251</v>
      </c>
      <c r="AM58" s="29" t="s">
        <v>1070</v>
      </c>
      <c r="AN58" s="13" t="s">
        <v>94</v>
      </c>
      <c r="AO58" s="111" t="s">
        <v>1078</v>
      </c>
      <c r="AP58" s="28" t="s">
        <v>409</v>
      </c>
      <c r="AQ58" s="30" t="s">
        <v>73</v>
      </c>
      <c r="AR58" s="15" t="s">
        <v>410</v>
      </c>
    </row>
    <row r="59" spans="1:44" ht="15" customHeight="1" x14ac:dyDescent="0.25">
      <c r="A59" s="15">
        <v>1</v>
      </c>
      <c r="B59" s="15" t="s">
        <v>1063</v>
      </c>
      <c r="C59" s="15" t="s">
        <v>359</v>
      </c>
      <c r="D59" s="13" t="s">
        <v>42</v>
      </c>
      <c r="E59" s="13">
        <v>1</v>
      </c>
      <c r="F59" s="13">
        <v>1</v>
      </c>
      <c r="G59" s="13">
        <v>1</v>
      </c>
      <c r="H59" s="13" t="s">
        <v>43</v>
      </c>
      <c r="I59" s="13" t="s">
        <v>43</v>
      </c>
      <c r="J59" s="13" t="s">
        <v>43</v>
      </c>
      <c r="K59" s="20"/>
      <c r="L59" s="20"/>
      <c r="M59" s="20"/>
      <c r="N59" s="20"/>
      <c r="O59" s="20"/>
      <c r="P59" s="13" t="s">
        <v>55</v>
      </c>
      <c r="Q59" s="13" t="s">
        <v>56</v>
      </c>
      <c r="R59" s="103" t="s">
        <v>950</v>
      </c>
      <c r="T59" s="15" t="s">
        <v>412</v>
      </c>
      <c r="U59" s="33" t="s">
        <v>59</v>
      </c>
      <c r="V59" s="33" t="s">
        <v>59</v>
      </c>
      <c r="W59" s="15" t="s">
        <v>1062</v>
      </c>
      <c r="X59" s="25" t="s">
        <v>59</v>
      </c>
      <c r="Y59" s="25" t="s">
        <v>59</v>
      </c>
      <c r="Z59" s="13" t="s">
        <v>884</v>
      </c>
      <c r="AA59" s="109"/>
      <c r="AB59" s="44"/>
      <c r="AC59" s="113" t="s">
        <v>65</v>
      </c>
      <c r="AD59" s="15" t="s">
        <v>404</v>
      </c>
      <c r="AE59" s="114" t="s">
        <v>67</v>
      </c>
      <c r="AF59" s="114" t="s">
        <v>67</v>
      </c>
      <c r="AG59"/>
      <c r="AH59"/>
      <c r="AI59" s="66"/>
      <c r="AJ59" s="52"/>
      <c r="AK59" s="28"/>
      <c r="AM59" s="29" t="s">
        <v>1071</v>
      </c>
      <c r="AN59" s="13" t="s">
        <v>94</v>
      </c>
      <c r="AO59" s="111" t="s">
        <v>1079</v>
      </c>
      <c r="AP59" s="28"/>
      <c r="AQ59" s="30"/>
    </row>
    <row r="60" spans="1:44" ht="15" customHeight="1" x14ac:dyDescent="0.25">
      <c r="A60" s="15">
        <v>1</v>
      </c>
      <c r="B60" s="15" t="s">
        <v>411</v>
      </c>
      <c r="C60" s="15" t="s">
        <v>359</v>
      </c>
      <c r="D60" s="13" t="s">
        <v>42</v>
      </c>
      <c r="E60" s="13">
        <v>1</v>
      </c>
      <c r="F60" s="13">
        <v>1</v>
      </c>
      <c r="G60" s="13">
        <v>1</v>
      </c>
      <c r="H60" s="13" t="s">
        <v>43</v>
      </c>
      <c r="I60" s="13" t="s">
        <v>43</v>
      </c>
      <c r="J60" s="13" t="s">
        <v>43</v>
      </c>
      <c r="K60" s="20"/>
      <c r="L60" s="20"/>
      <c r="M60" s="20"/>
      <c r="N60" s="20"/>
      <c r="O60" s="20"/>
      <c r="P60" s="13" t="s">
        <v>84</v>
      </c>
      <c r="Q60" s="13" t="s">
        <v>56</v>
      </c>
      <c r="R60" s="103" t="s">
        <v>950</v>
      </c>
      <c r="T60" s="15" t="s">
        <v>412</v>
      </c>
      <c r="U60" s="33" t="s">
        <v>59</v>
      </c>
      <c r="V60" s="33" t="s">
        <v>59</v>
      </c>
      <c r="W60" s="15" t="s">
        <v>1062</v>
      </c>
      <c r="X60" s="25" t="s">
        <v>59</v>
      </c>
      <c r="Y60" s="25" t="s">
        <v>59</v>
      </c>
      <c r="Z60" s="13" t="s">
        <v>219</v>
      </c>
      <c r="AA60" s="109" t="s">
        <v>981</v>
      </c>
      <c r="AB60" s="19" t="s">
        <v>414</v>
      </c>
      <c r="AC60" s="113" t="s">
        <v>65</v>
      </c>
      <c r="AD60" s="15" t="s">
        <v>404</v>
      </c>
      <c r="AE60" s="114" t="s">
        <v>67</v>
      </c>
      <c r="AF60" s="114" t="s">
        <v>67</v>
      </c>
      <c r="AG60" t="s">
        <v>1021</v>
      </c>
      <c r="AH60" t="s">
        <v>1021</v>
      </c>
      <c r="AI60" s="66" t="s">
        <v>68</v>
      </c>
      <c r="AJ60" s="52" t="s">
        <v>415</v>
      </c>
      <c r="AK60" s="15" t="s">
        <v>416</v>
      </c>
      <c r="AL60" s="15" t="s">
        <v>417</v>
      </c>
      <c r="AM60" s="29" t="s">
        <v>1072</v>
      </c>
      <c r="AN60" s="13" t="s">
        <v>73</v>
      </c>
      <c r="AO60" s="30" t="s">
        <v>1080</v>
      </c>
      <c r="AP60" s="67" t="s">
        <v>418</v>
      </c>
      <c r="AQ60" s="36" t="s">
        <v>73</v>
      </c>
      <c r="AR60" s="47" t="s">
        <v>419</v>
      </c>
    </row>
    <row r="61" spans="1:44" ht="15" hidden="1" customHeight="1" x14ac:dyDescent="0.25">
      <c r="A61" s="15">
        <v>0</v>
      </c>
      <c r="B61" s="15" t="s">
        <v>420</v>
      </c>
      <c r="C61" s="15" t="s">
        <v>359</v>
      </c>
      <c r="D61" s="15" t="s">
        <v>42</v>
      </c>
      <c r="E61" s="13">
        <v>1</v>
      </c>
      <c r="F61" s="13">
        <v>1</v>
      </c>
      <c r="G61" s="13">
        <v>1</v>
      </c>
      <c r="H61" s="13" t="s">
        <v>43</v>
      </c>
      <c r="I61" s="13" t="s">
        <v>43</v>
      </c>
      <c r="J61" s="13" t="s">
        <v>43</v>
      </c>
      <c r="K61" s="20"/>
      <c r="L61" s="20"/>
      <c r="M61" s="20"/>
      <c r="N61" s="20"/>
      <c r="O61" s="20"/>
      <c r="P61" s="13" t="s">
        <v>55</v>
      </c>
      <c r="Q61" s="15" t="s">
        <v>56</v>
      </c>
      <c r="R61" s="15"/>
      <c r="T61" s="15" t="s">
        <v>412</v>
      </c>
      <c r="U61" s="38" t="s">
        <v>59</v>
      </c>
      <c r="V61" s="38" t="s">
        <v>59</v>
      </c>
      <c r="W61" s="15" t="s">
        <v>413</v>
      </c>
      <c r="X61" s="25" t="s">
        <v>59</v>
      </c>
      <c r="Y61" s="15" t="s">
        <v>59</v>
      </c>
      <c r="Z61" s="53" t="s">
        <v>219</v>
      </c>
      <c r="AA61" s="53"/>
      <c r="AB61" s="19" t="s">
        <v>414</v>
      </c>
      <c r="AC61" s="26" t="s">
        <v>65</v>
      </c>
      <c r="AD61" s="15" t="s">
        <v>404</v>
      </c>
      <c r="AE61" s="27" t="s">
        <v>67</v>
      </c>
      <c r="AF61" s="27" t="s">
        <v>67</v>
      </c>
      <c r="AG61" t="s">
        <v>415</v>
      </c>
      <c r="AH61" t="s">
        <v>415</v>
      </c>
      <c r="AI61" s="18" t="s">
        <v>68</v>
      </c>
      <c r="AJ61" s="52" t="s">
        <v>415</v>
      </c>
      <c r="AK61" s="15" t="s">
        <v>421</v>
      </c>
      <c r="AL61" s="15" t="s">
        <v>422</v>
      </c>
      <c r="AM61" s="29" t="s">
        <v>365</v>
      </c>
      <c r="AN61" s="30" t="s">
        <v>94</v>
      </c>
      <c r="AO61" s="30"/>
      <c r="AP61" s="28" t="s">
        <v>366</v>
      </c>
      <c r="AQ61" s="30" t="s">
        <v>113</v>
      </c>
    </row>
    <row r="62" spans="1:44" ht="15" hidden="1" customHeight="1" x14ac:dyDescent="0.25">
      <c r="A62" s="15">
        <v>0</v>
      </c>
      <c r="B62" s="15" t="s">
        <v>423</v>
      </c>
      <c r="C62" s="15" t="s">
        <v>359</v>
      </c>
      <c r="D62" s="15" t="s">
        <v>42</v>
      </c>
      <c r="E62" s="13">
        <v>1</v>
      </c>
      <c r="F62" s="13">
        <v>1</v>
      </c>
      <c r="G62" s="13">
        <v>1</v>
      </c>
      <c r="H62" s="13" t="s">
        <v>43</v>
      </c>
      <c r="I62" s="13" t="s">
        <v>43</v>
      </c>
      <c r="J62" s="13" t="s">
        <v>43</v>
      </c>
      <c r="K62" s="20"/>
      <c r="L62" s="20"/>
      <c r="M62" s="20"/>
      <c r="N62" s="20"/>
      <c r="O62" s="20"/>
      <c r="P62" s="13" t="s">
        <v>55</v>
      </c>
      <c r="Q62" s="15" t="s">
        <v>56</v>
      </c>
      <c r="R62" s="15"/>
      <c r="T62" s="15" t="s">
        <v>412</v>
      </c>
      <c r="U62" s="38" t="s">
        <v>59</v>
      </c>
      <c r="V62" s="38" t="s">
        <v>59</v>
      </c>
      <c r="W62" s="15" t="s">
        <v>413</v>
      </c>
      <c r="X62" s="25" t="s">
        <v>59</v>
      </c>
      <c r="Y62" s="15" t="s">
        <v>59</v>
      </c>
      <c r="Z62" s="53" t="s">
        <v>219</v>
      </c>
      <c r="AA62" s="53"/>
      <c r="AB62" s="19" t="s">
        <v>414</v>
      </c>
      <c r="AC62" s="26" t="s">
        <v>65</v>
      </c>
      <c r="AD62" s="15" t="s">
        <v>404</v>
      </c>
      <c r="AE62" s="27" t="s">
        <v>405</v>
      </c>
      <c r="AF62" s="27" t="s">
        <v>67</v>
      </c>
      <c r="AG62" t="s">
        <v>425</v>
      </c>
      <c r="AH62" t="s">
        <v>425</v>
      </c>
      <c r="AI62" s="18" t="s">
        <v>424</v>
      </c>
      <c r="AJ62" s="44" t="s">
        <v>425</v>
      </c>
      <c r="AK62" s="15" t="s">
        <v>426</v>
      </c>
      <c r="AL62" s="15" t="s">
        <v>427</v>
      </c>
      <c r="AM62" s="68" t="s">
        <v>428</v>
      </c>
      <c r="AN62" s="36" t="s">
        <v>73</v>
      </c>
      <c r="AO62" s="36"/>
      <c r="AP62" s="61" t="s">
        <v>429</v>
      </c>
      <c r="AQ62" s="30" t="s">
        <v>73</v>
      </c>
      <c r="AR62" s="15" t="s">
        <v>430</v>
      </c>
    </row>
    <row r="63" spans="1:44" ht="15" hidden="1" customHeight="1" x14ac:dyDescent="0.25">
      <c r="B63" s="16" t="s">
        <v>431</v>
      </c>
      <c r="H63" s="13"/>
      <c r="I63" s="13"/>
      <c r="J63" s="13"/>
      <c r="K63" s="20"/>
      <c r="L63" s="20"/>
      <c r="M63" s="20"/>
      <c r="N63" s="20"/>
      <c r="O63" s="20"/>
      <c r="P63" s="13"/>
      <c r="R63" s="15"/>
      <c r="T63" s="38"/>
      <c r="U63" s="31"/>
      <c r="V63" s="31"/>
      <c r="Z63" s="13"/>
      <c r="AA63" s="13"/>
      <c r="AB63" s="17"/>
      <c r="AC63" s="17"/>
      <c r="AG63">
        <v>0</v>
      </c>
      <c r="AH63">
        <v>0</v>
      </c>
      <c r="AM63" s="15"/>
      <c r="AN63" s="15"/>
      <c r="AO63" s="15"/>
      <c r="AQ63" s="15"/>
    </row>
    <row r="64" spans="1:44" ht="15" customHeight="1" x14ac:dyDescent="0.25">
      <c r="A64" s="15">
        <v>10</v>
      </c>
      <c r="B64" s="15" t="s">
        <v>432</v>
      </c>
      <c r="C64" s="15" t="s">
        <v>54</v>
      </c>
      <c r="D64" s="13" t="s">
        <v>41</v>
      </c>
      <c r="E64" s="13">
        <v>2</v>
      </c>
      <c r="F64" s="13">
        <v>3</v>
      </c>
      <c r="G64" s="13">
        <v>2</v>
      </c>
      <c r="H64" s="13" t="s">
        <v>42</v>
      </c>
      <c r="I64" s="13" t="s">
        <v>41</v>
      </c>
      <c r="J64" s="13" t="s">
        <v>42</v>
      </c>
      <c r="K64" s="20"/>
      <c r="L64" s="20"/>
      <c r="M64" s="20"/>
      <c r="N64" s="20"/>
      <c r="O64" s="20"/>
      <c r="P64" s="13" t="s">
        <v>55</v>
      </c>
      <c r="Q64" s="13" t="s">
        <v>56</v>
      </c>
      <c r="R64" s="103" t="s">
        <v>951</v>
      </c>
      <c r="S64" s="15" t="s">
        <v>175</v>
      </c>
      <c r="T64" s="38">
        <v>1.71</v>
      </c>
      <c r="U64" s="33" t="s">
        <v>175</v>
      </c>
      <c r="V64" s="31" t="s">
        <v>68</v>
      </c>
      <c r="W64" s="25" t="s">
        <v>433</v>
      </c>
      <c r="X64" s="25" t="s">
        <v>434</v>
      </c>
      <c r="Y64" s="47" t="s">
        <v>435</v>
      </c>
      <c r="Z64" s="13" t="s">
        <v>884</v>
      </c>
      <c r="AA64" s="108" t="s">
        <v>982</v>
      </c>
      <c r="AB64" s="17" t="s">
        <v>436</v>
      </c>
      <c r="AC64" s="113" t="s">
        <v>437</v>
      </c>
      <c r="AD64" s="15" t="s">
        <v>59</v>
      </c>
      <c r="AE64" s="114" t="s">
        <v>67</v>
      </c>
      <c r="AF64" s="114" t="s">
        <v>67</v>
      </c>
      <c r="AG64" t="s">
        <v>1037</v>
      </c>
      <c r="AH64" t="s">
        <v>1037</v>
      </c>
      <c r="AI64" s="70" t="s">
        <v>68</v>
      </c>
      <c r="AJ64" s="23" t="s">
        <v>438</v>
      </c>
      <c r="AK64" s="15" t="s">
        <v>439</v>
      </c>
      <c r="AL64" s="15" t="s">
        <v>440</v>
      </c>
      <c r="AM64" s="29" t="s">
        <v>441</v>
      </c>
      <c r="AN64" s="13" t="s">
        <v>94</v>
      </c>
      <c r="AO64" s="111" t="s">
        <v>1171</v>
      </c>
      <c r="AP64" s="64" t="s">
        <v>442</v>
      </c>
      <c r="AQ64" s="30" t="s">
        <v>73</v>
      </c>
      <c r="AR64" s="15" t="s">
        <v>443</v>
      </c>
    </row>
    <row r="65" spans="1:44" s="47" customFormat="1" ht="15" customHeight="1" x14ac:dyDescent="0.25">
      <c r="A65" s="47">
        <v>1</v>
      </c>
      <c r="B65" s="47" t="s">
        <v>444</v>
      </c>
      <c r="C65" s="47" t="s">
        <v>128</v>
      </c>
      <c r="D65" s="13" t="s">
        <v>40</v>
      </c>
      <c r="E65" s="53">
        <v>3</v>
      </c>
      <c r="F65" s="53">
        <v>4</v>
      </c>
      <c r="G65" s="53">
        <v>3</v>
      </c>
      <c r="H65" s="13" t="s">
        <v>41</v>
      </c>
      <c r="I65" s="13" t="s">
        <v>40</v>
      </c>
      <c r="J65" s="13" t="s">
        <v>41</v>
      </c>
      <c r="K65" s="54"/>
      <c r="L65" s="54"/>
      <c r="M65" s="54"/>
      <c r="N65" s="54"/>
      <c r="O65" s="54"/>
      <c r="P65" s="13" t="s">
        <v>148</v>
      </c>
      <c r="Q65" s="13" t="s">
        <v>56</v>
      </c>
      <c r="R65" s="104" t="s">
        <v>952</v>
      </c>
      <c r="S65" s="15" t="s">
        <v>175</v>
      </c>
      <c r="T65" s="71" t="s">
        <v>445</v>
      </c>
      <c r="U65" s="55" t="s">
        <v>175</v>
      </c>
      <c r="V65" s="72" t="s">
        <v>68</v>
      </c>
      <c r="W65" s="25" t="s">
        <v>446</v>
      </c>
      <c r="X65" s="25" t="s">
        <v>447</v>
      </c>
      <c r="Y65" s="73" t="s">
        <v>448</v>
      </c>
      <c r="Z65" s="13" t="s">
        <v>884</v>
      </c>
      <c r="AA65" s="109" t="s">
        <v>983</v>
      </c>
      <c r="AB65" s="44" t="s">
        <v>449</v>
      </c>
      <c r="AC65" s="113" t="s">
        <v>437</v>
      </c>
      <c r="AD65" s="47" t="s">
        <v>59</v>
      </c>
      <c r="AE65" s="114" t="s">
        <v>405</v>
      </c>
      <c r="AF65" s="114" t="s">
        <v>450</v>
      </c>
      <c r="AG65" s="112" t="s">
        <v>1022</v>
      </c>
      <c r="AH65" s="112" t="s">
        <v>1022</v>
      </c>
      <c r="AI65" s="70" t="s">
        <v>68</v>
      </c>
      <c r="AJ65" s="52" t="s">
        <v>451</v>
      </c>
      <c r="AK65" s="25" t="s">
        <v>452</v>
      </c>
      <c r="AL65" s="25" t="s">
        <v>453</v>
      </c>
      <c r="AM65" s="29" t="s">
        <v>454</v>
      </c>
      <c r="AN65" s="13" t="s">
        <v>94</v>
      </c>
      <c r="AO65" s="111" t="s">
        <v>454</v>
      </c>
      <c r="AP65" s="74" t="s">
        <v>455</v>
      </c>
      <c r="AQ65" s="58" t="s">
        <v>94</v>
      </c>
    </row>
    <row r="66" spans="1:44" ht="15" hidden="1" customHeight="1" x14ac:dyDescent="0.25">
      <c r="A66" s="15">
        <v>0</v>
      </c>
      <c r="B66" s="15" t="s">
        <v>456</v>
      </c>
      <c r="C66" s="15" t="s">
        <v>128</v>
      </c>
      <c r="D66" s="15" t="s">
        <v>40</v>
      </c>
      <c r="E66" s="13">
        <v>3</v>
      </c>
      <c r="F66" s="13">
        <v>4</v>
      </c>
      <c r="G66" s="13">
        <v>3</v>
      </c>
      <c r="H66" s="13" t="s">
        <v>41</v>
      </c>
      <c r="I66" s="13" t="s">
        <v>40</v>
      </c>
      <c r="J66" s="13" t="s">
        <v>41</v>
      </c>
      <c r="K66" s="20"/>
      <c r="L66" s="20"/>
      <c r="M66" s="20"/>
      <c r="N66" s="20"/>
      <c r="O66" s="20"/>
      <c r="P66" s="13" t="s">
        <v>148</v>
      </c>
      <c r="Q66" s="15" t="s">
        <v>56</v>
      </c>
      <c r="R66" s="15"/>
      <c r="T66" s="15" t="s">
        <v>76</v>
      </c>
      <c r="U66" s="38" t="s">
        <v>59</v>
      </c>
      <c r="V66" s="31" t="s">
        <v>68</v>
      </c>
      <c r="W66" s="15" t="s">
        <v>76</v>
      </c>
      <c r="X66" s="15" t="s">
        <v>59</v>
      </c>
      <c r="Y66" s="15" t="s">
        <v>59</v>
      </c>
      <c r="Z66" s="13" t="s">
        <v>219</v>
      </c>
      <c r="AA66" s="13"/>
      <c r="AB66" s="19" t="s">
        <v>76</v>
      </c>
      <c r="AC66" s="26" t="s">
        <v>437</v>
      </c>
      <c r="AD66" s="15" t="s">
        <v>59</v>
      </c>
      <c r="AE66" s="69" t="s">
        <v>405</v>
      </c>
      <c r="AF66" s="69" t="s">
        <v>450</v>
      </c>
      <c r="AG66" t="s">
        <v>457</v>
      </c>
      <c r="AH66" t="s">
        <v>457</v>
      </c>
      <c r="AI66" s="66" t="s">
        <v>68</v>
      </c>
      <c r="AJ66" s="23" t="s">
        <v>457</v>
      </c>
      <c r="AK66" s="24" t="s">
        <v>458</v>
      </c>
      <c r="AL66" s="24" t="s">
        <v>459</v>
      </c>
      <c r="AM66" s="29" t="s">
        <v>460</v>
      </c>
      <c r="AN66" s="30" t="s">
        <v>94</v>
      </c>
      <c r="AO66" s="30"/>
      <c r="AP66" s="75" t="s">
        <v>461</v>
      </c>
      <c r="AQ66" s="30" t="s">
        <v>94</v>
      </c>
    </row>
    <row r="67" spans="1:44" ht="15" customHeight="1" x14ac:dyDescent="0.25">
      <c r="A67" s="15">
        <v>1</v>
      </c>
      <c r="B67" s="15" t="s">
        <v>462</v>
      </c>
      <c r="C67" s="15" t="s">
        <v>463</v>
      </c>
      <c r="D67" s="13" t="s">
        <v>43</v>
      </c>
      <c r="E67" s="13">
        <v>1</v>
      </c>
      <c r="F67" s="13">
        <v>1</v>
      </c>
      <c r="G67" s="13">
        <v>1</v>
      </c>
      <c r="H67" s="13" t="s">
        <v>43</v>
      </c>
      <c r="I67" s="13" t="s">
        <v>43</v>
      </c>
      <c r="J67" s="13" t="s">
        <v>43</v>
      </c>
      <c r="K67" s="20"/>
      <c r="L67" s="20"/>
      <c r="M67" s="20"/>
      <c r="N67" s="20"/>
      <c r="O67" s="20"/>
      <c r="P67" s="13" t="s">
        <v>84</v>
      </c>
      <c r="Q67" s="13" t="s">
        <v>56</v>
      </c>
      <c r="R67" s="103" t="s">
        <v>953</v>
      </c>
      <c r="S67" s="15" t="s">
        <v>175</v>
      </c>
      <c r="T67" s="38">
        <v>8.5500000000000007</v>
      </c>
      <c r="U67" s="33" t="s">
        <v>175</v>
      </c>
      <c r="V67" s="31" t="s">
        <v>68</v>
      </c>
      <c r="W67" s="25" t="s">
        <v>464</v>
      </c>
      <c r="X67" s="25" t="s">
        <v>465</v>
      </c>
      <c r="Y67" s="25" t="s">
        <v>466</v>
      </c>
      <c r="Z67" s="13" t="s">
        <v>884</v>
      </c>
      <c r="AA67" s="108" t="s">
        <v>984</v>
      </c>
      <c r="AB67" s="17" t="s">
        <v>467</v>
      </c>
      <c r="AC67" s="113" t="s">
        <v>437</v>
      </c>
      <c r="AE67" s="114" t="s">
        <v>405</v>
      </c>
      <c r="AF67" s="114" t="s">
        <v>450</v>
      </c>
      <c r="AG67" t="s">
        <v>1050</v>
      </c>
      <c r="AH67" t="s">
        <v>1051</v>
      </c>
      <c r="AI67" s="66" t="s">
        <v>68</v>
      </c>
      <c r="AJ67" s="15" t="s">
        <v>468</v>
      </c>
      <c r="AK67" s="24" t="s">
        <v>469</v>
      </c>
      <c r="AL67" s="24" t="s">
        <v>470</v>
      </c>
      <c r="AM67" s="29" t="s">
        <v>471</v>
      </c>
      <c r="AN67" s="13" t="s">
        <v>94</v>
      </c>
      <c r="AO67" s="111" t="s">
        <v>471</v>
      </c>
      <c r="AP67" s="64" t="s">
        <v>472</v>
      </c>
      <c r="AQ67" s="30" t="s">
        <v>73</v>
      </c>
      <c r="AR67" s="15" t="s">
        <v>308</v>
      </c>
    </row>
    <row r="68" spans="1:44" ht="15" hidden="1" customHeight="1" x14ac:dyDescent="0.25">
      <c r="A68" s="15">
        <v>0</v>
      </c>
      <c r="B68" s="15" t="s">
        <v>473</v>
      </c>
      <c r="C68" s="15" t="s">
        <v>463</v>
      </c>
      <c r="D68" s="15" t="s">
        <v>43</v>
      </c>
      <c r="E68" s="13">
        <v>1</v>
      </c>
      <c r="F68" s="13">
        <v>1</v>
      </c>
      <c r="G68" s="13">
        <v>1</v>
      </c>
      <c r="H68" s="13" t="s">
        <v>43</v>
      </c>
      <c r="I68" s="13" t="s">
        <v>43</v>
      </c>
      <c r="J68" s="13" t="s">
        <v>43</v>
      </c>
      <c r="K68" s="20"/>
      <c r="L68" s="20"/>
      <c r="M68" s="20"/>
      <c r="N68" s="20"/>
      <c r="O68" s="20"/>
      <c r="P68" s="13" t="s">
        <v>55</v>
      </c>
      <c r="Q68" s="15" t="s">
        <v>56</v>
      </c>
      <c r="R68" s="15"/>
      <c r="T68" s="15" t="s">
        <v>76</v>
      </c>
      <c r="U68" s="38" t="s">
        <v>59</v>
      </c>
      <c r="V68" s="31" t="s">
        <v>68</v>
      </c>
      <c r="W68" s="25" t="s">
        <v>76</v>
      </c>
      <c r="X68" s="25" t="s">
        <v>59</v>
      </c>
      <c r="Y68" s="15" t="s">
        <v>59</v>
      </c>
      <c r="Z68" s="13" t="s">
        <v>219</v>
      </c>
      <c r="AA68" s="13"/>
      <c r="AB68" s="19" t="s">
        <v>76</v>
      </c>
      <c r="AC68" s="26" t="s">
        <v>437</v>
      </c>
      <c r="AE68" s="69" t="s">
        <v>405</v>
      </c>
      <c r="AF68" s="27" t="s">
        <v>450</v>
      </c>
      <c r="AG68" t="s">
        <v>474</v>
      </c>
      <c r="AH68" t="s">
        <v>474</v>
      </c>
      <c r="AI68" s="66" t="s">
        <v>68</v>
      </c>
      <c r="AJ68" s="15" t="s">
        <v>474</v>
      </c>
      <c r="AK68" s="24" t="s">
        <v>475</v>
      </c>
      <c r="AL68" s="24" t="s">
        <v>476</v>
      </c>
      <c r="AM68" s="64" t="s">
        <v>477</v>
      </c>
      <c r="AN68" s="30" t="s">
        <v>94</v>
      </c>
      <c r="AO68" s="30"/>
      <c r="AP68" s="64" t="s">
        <v>478</v>
      </c>
      <c r="AQ68" s="30" t="s">
        <v>73</v>
      </c>
      <c r="AR68" s="15" t="s">
        <v>308</v>
      </c>
    </row>
    <row r="69" spans="1:44" ht="15" customHeight="1" x14ac:dyDescent="0.25">
      <c r="A69" s="15">
        <v>1</v>
      </c>
      <c r="B69" s="15" t="s">
        <v>479</v>
      </c>
      <c r="C69" s="15" t="s">
        <v>310</v>
      </c>
      <c r="D69" s="13" t="s">
        <v>41</v>
      </c>
      <c r="E69" s="13">
        <v>2</v>
      </c>
      <c r="F69" s="13">
        <v>3</v>
      </c>
      <c r="G69" s="13">
        <v>2</v>
      </c>
      <c r="H69" s="13" t="s">
        <v>42</v>
      </c>
      <c r="I69" s="13" t="s">
        <v>41</v>
      </c>
      <c r="J69" s="13" t="s">
        <v>42</v>
      </c>
      <c r="K69" s="20"/>
      <c r="L69" s="20"/>
      <c r="M69" s="20"/>
      <c r="N69" s="20"/>
      <c r="O69" s="20"/>
      <c r="P69" s="13" t="s">
        <v>148</v>
      </c>
      <c r="Q69" s="13" t="s">
        <v>56</v>
      </c>
      <c r="R69" s="103" t="s">
        <v>954</v>
      </c>
      <c r="S69" s="15" t="s">
        <v>175</v>
      </c>
      <c r="T69" s="38">
        <v>27.93</v>
      </c>
      <c r="U69" s="33" t="s">
        <v>175</v>
      </c>
      <c r="V69" s="31" t="s">
        <v>480</v>
      </c>
      <c r="W69" s="25" t="s">
        <v>481</v>
      </c>
      <c r="X69" s="25" t="s">
        <v>482</v>
      </c>
      <c r="Y69" s="76" t="s">
        <v>483</v>
      </c>
      <c r="Z69" s="13" t="s">
        <v>884</v>
      </c>
      <c r="AA69" s="108" t="s">
        <v>985</v>
      </c>
      <c r="AB69" s="17" t="s">
        <v>484</v>
      </c>
      <c r="AC69" s="113" t="s">
        <v>437</v>
      </c>
      <c r="AD69" s="15" t="s">
        <v>59</v>
      </c>
      <c r="AE69" s="114" t="s">
        <v>67</v>
      </c>
      <c r="AF69" s="114" t="s">
        <v>67</v>
      </c>
      <c r="AG69" t="s">
        <v>1023</v>
      </c>
      <c r="AH69" t="s">
        <v>1052</v>
      </c>
      <c r="AI69" s="66" t="s">
        <v>68</v>
      </c>
      <c r="AJ69" s="15" t="s">
        <v>485</v>
      </c>
      <c r="AK69" s="24" t="s">
        <v>486</v>
      </c>
      <c r="AL69" s="24" t="s">
        <v>487</v>
      </c>
      <c r="AM69" s="29" t="s">
        <v>488</v>
      </c>
      <c r="AN69" s="13" t="s">
        <v>94</v>
      </c>
      <c r="AO69" s="111" t="s">
        <v>1004</v>
      </c>
      <c r="AP69" s="28" t="s">
        <v>489</v>
      </c>
      <c r="AQ69" s="30" t="s">
        <v>73</v>
      </c>
    </row>
    <row r="70" spans="1:44" ht="15" hidden="1" customHeight="1" x14ac:dyDescent="0.25">
      <c r="A70" s="15">
        <v>0</v>
      </c>
      <c r="B70" s="15" t="s">
        <v>490</v>
      </c>
      <c r="C70" s="15" t="s">
        <v>310</v>
      </c>
      <c r="D70" s="15" t="s">
        <v>41</v>
      </c>
      <c r="E70" s="13">
        <v>2</v>
      </c>
      <c r="F70" s="13">
        <v>3</v>
      </c>
      <c r="G70" s="13">
        <v>2</v>
      </c>
      <c r="H70" s="13" t="s">
        <v>42</v>
      </c>
      <c r="I70" s="13" t="s">
        <v>41</v>
      </c>
      <c r="J70" s="13" t="s">
        <v>42</v>
      </c>
      <c r="K70" s="20"/>
      <c r="L70" s="20"/>
      <c r="M70" s="20"/>
      <c r="N70" s="20"/>
      <c r="O70" s="20"/>
      <c r="P70" s="13" t="s">
        <v>148</v>
      </c>
      <c r="Q70" s="15" t="s">
        <v>56</v>
      </c>
      <c r="R70" s="15"/>
      <c r="T70" s="15" t="s">
        <v>76</v>
      </c>
      <c r="U70" s="38" t="s">
        <v>59</v>
      </c>
      <c r="V70" s="31" t="s">
        <v>59</v>
      </c>
      <c r="W70" s="25" t="s">
        <v>76</v>
      </c>
      <c r="X70" s="25" t="s">
        <v>59</v>
      </c>
      <c r="Y70" s="15" t="s">
        <v>59</v>
      </c>
      <c r="Z70" s="13" t="s">
        <v>219</v>
      </c>
      <c r="AA70" s="13"/>
      <c r="AB70" s="19" t="s">
        <v>76</v>
      </c>
      <c r="AC70" s="26" t="s">
        <v>437</v>
      </c>
      <c r="AD70" s="15" t="s">
        <v>59</v>
      </c>
      <c r="AE70" s="27" t="s">
        <v>67</v>
      </c>
      <c r="AF70" s="27" t="s">
        <v>67</v>
      </c>
      <c r="AG70" t="s">
        <v>485</v>
      </c>
      <c r="AH70" t="s">
        <v>485</v>
      </c>
      <c r="AI70" s="66" t="s">
        <v>68</v>
      </c>
      <c r="AJ70" s="15" t="s">
        <v>485</v>
      </c>
      <c r="AK70" s="24" t="s">
        <v>486</v>
      </c>
      <c r="AL70" s="24" t="s">
        <v>487</v>
      </c>
      <c r="AM70" s="29" t="s">
        <v>488</v>
      </c>
      <c r="AN70" s="30" t="s">
        <v>94</v>
      </c>
      <c r="AO70" s="30"/>
      <c r="AP70" s="28" t="s">
        <v>489</v>
      </c>
      <c r="AQ70" s="30" t="s">
        <v>73</v>
      </c>
    </row>
    <row r="71" spans="1:44" ht="15" customHeight="1" x14ac:dyDescent="0.25">
      <c r="A71" s="15">
        <v>10</v>
      </c>
      <c r="B71" s="51" t="s">
        <v>1064</v>
      </c>
      <c r="C71" s="15" t="s">
        <v>463</v>
      </c>
      <c r="D71" s="13" t="s">
        <v>43</v>
      </c>
      <c r="E71" s="13">
        <v>1</v>
      </c>
      <c r="F71" s="13">
        <v>1</v>
      </c>
      <c r="G71" s="13">
        <v>1</v>
      </c>
      <c r="H71" s="13" t="s">
        <v>43</v>
      </c>
      <c r="I71" s="13" t="s">
        <v>43</v>
      </c>
      <c r="J71" s="13" t="s">
        <v>43</v>
      </c>
      <c r="K71" s="20"/>
      <c r="L71" s="20"/>
      <c r="M71" s="20"/>
      <c r="N71" s="20"/>
      <c r="O71" s="20"/>
      <c r="P71" s="13" t="s">
        <v>84</v>
      </c>
      <c r="Q71" s="13" t="s">
        <v>56</v>
      </c>
      <c r="R71" s="105" t="s">
        <v>955</v>
      </c>
      <c r="S71" s="15" t="s">
        <v>175</v>
      </c>
      <c r="T71" s="38">
        <v>42.98</v>
      </c>
      <c r="U71" s="33" t="s">
        <v>175</v>
      </c>
      <c r="V71" s="31" t="s">
        <v>68</v>
      </c>
      <c r="W71" s="25" t="s">
        <v>495</v>
      </c>
      <c r="X71" s="24" t="s">
        <v>496</v>
      </c>
      <c r="Y71" s="24" t="s">
        <v>497</v>
      </c>
      <c r="Z71" s="13" t="s">
        <v>63</v>
      </c>
      <c r="AA71" s="108" t="s">
        <v>986</v>
      </c>
      <c r="AB71" s="17" t="s">
        <v>493</v>
      </c>
      <c r="AC71" s="113" t="s">
        <v>437</v>
      </c>
      <c r="AD71" s="15" t="s">
        <v>59</v>
      </c>
      <c r="AE71" s="114" t="s">
        <v>405</v>
      </c>
      <c r="AF71" s="114" t="s">
        <v>450</v>
      </c>
      <c r="AG71" t="s">
        <v>1053</v>
      </c>
      <c r="AH71" t="s">
        <v>1051</v>
      </c>
      <c r="AI71" s="66" t="s">
        <v>68</v>
      </c>
      <c r="AJ71" s="15" t="s">
        <v>494</v>
      </c>
      <c r="AK71" s="24" t="s">
        <v>498</v>
      </c>
      <c r="AL71" s="24" t="s">
        <v>499</v>
      </c>
      <c r="AM71" s="29" t="s">
        <v>500</v>
      </c>
      <c r="AN71" s="13" t="s">
        <v>73</v>
      </c>
      <c r="AO71" s="111" t="s">
        <v>1005</v>
      </c>
      <c r="AP71" s="28" t="s">
        <v>501</v>
      </c>
      <c r="AQ71" s="30" t="s">
        <v>94</v>
      </c>
    </row>
    <row r="72" spans="1:44" ht="15" customHeight="1" x14ac:dyDescent="0.25">
      <c r="A72" s="15">
        <v>10</v>
      </c>
      <c r="B72" s="51" t="s">
        <v>1065</v>
      </c>
      <c r="C72" s="15" t="s">
        <v>463</v>
      </c>
      <c r="D72" s="13" t="s">
        <v>43</v>
      </c>
      <c r="E72" s="13">
        <v>1</v>
      </c>
      <c r="F72" s="13">
        <v>1</v>
      </c>
      <c r="G72" s="13">
        <v>1</v>
      </c>
      <c r="H72" s="13" t="s">
        <v>43</v>
      </c>
      <c r="I72" s="13" t="s">
        <v>43</v>
      </c>
      <c r="J72" s="13" t="s">
        <v>43</v>
      </c>
      <c r="K72" s="20"/>
      <c r="L72" s="20"/>
      <c r="M72" s="20"/>
      <c r="N72" s="20"/>
      <c r="O72" s="20"/>
      <c r="P72" s="13" t="s">
        <v>84</v>
      </c>
      <c r="Q72" s="13" t="s">
        <v>56</v>
      </c>
      <c r="R72" s="103" t="s">
        <v>956</v>
      </c>
      <c r="S72" s="15" t="s">
        <v>175</v>
      </c>
      <c r="T72" s="38">
        <v>22.8</v>
      </c>
      <c r="U72" s="33" t="s">
        <v>175</v>
      </c>
      <c r="V72" s="31" t="s">
        <v>68</v>
      </c>
      <c r="W72" s="25" t="s">
        <v>502</v>
      </c>
      <c r="X72" s="25" t="s">
        <v>491</v>
      </c>
      <c r="Y72" s="15" t="s">
        <v>492</v>
      </c>
      <c r="Z72" s="13" t="s">
        <v>63</v>
      </c>
      <c r="AA72" s="108" t="s">
        <v>986</v>
      </c>
      <c r="AB72" s="17" t="s">
        <v>493</v>
      </c>
      <c r="AC72" s="113" t="s">
        <v>437</v>
      </c>
      <c r="AD72" s="15" t="s">
        <v>59</v>
      </c>
      <c r="AE72" s="114" t="s">
        <v>405</v>
      </c>
      <c r="AF72" s="114" t="s">
        <v>450</v>
      </c>
      <c r="AG72" t="s">
        <v>1053</v>
      </c>
      <c r="AH72" t="s">
        <v>1051</v>
      </c>
      <c r="AI72" s="66" t="s">
        <v>68</v>
      </c>
      <c r="AJ72" s="15" t="s">
        <v>494</v>
      </c>
      <c r="AK72" s="24" t="s">
        <v>503</v>
      </c>
      <c r="AL72" s="24" t="s">
        <v>504</v>
      </c>
      <c r="AM72" s="29" t="s">
        <v>505</v>
      </c>
      <c r="AN72" s="13" t="s">
        <v>94</v>
      </c>
      <c r="AO72" s="111" t="s">
        <v>505</v>
      </c>
      <c r="AP72" s="28" t="s">
        <v>506</v>
      </c>
      <c r="AQ72" s="30" t="s">
        <v>94</v>
      </c>
    </row>
    <row r="73" spans="1:44" ht="15" customHeight="1" x14ac:dyDescent="0.25">
      <c r="A73" s="15">
        <v>1</v>
      </c>
      <c r="B73" s="15" t="s">
        <v>507</v>
      </c>
      <c r="C73" s="15" t="s">
        <v>227</v>
      </c>
      <c r="D73" s="13" t="s">
        <v>42</v>
      </c>
      <c r="E73" s="13">
        <v>1</v>
      </c>
      <c r="F73" s="13">
        <v>1</v>
      </c>
      <c r="G73" s="13">
        <v>1</v>
      </c>
      <c r="H73" s="13" t="s">
        <v>43</v>
      </c>
      <c r="I73" s="13" t="s">
        <v>43</v>
      </c>
      <c r="J73" s="13" t="s">
        <v>43</v>
      </c>
      <c r="K73" s="20"/>
      <c r="L73" s="20"/>
      <c r="M73" s="20"/>
      <c r="N73" s="20"/>
      <c r="O73" s="20"/>
      <c r="P73" s="13" t="s">
        <v>84</v>
      </c>
      <c r="Q73" s="13" t="s">
        <v>56</v>
      </c>
      <c r="R73" s="103" t="s">
        <v>957</v>
      </c>
      <c r="S73" s="15" t="s">
        <v>175</v>
      </c>
      <c r="T73" s="38">
        <v>9.9499999999999993</v>
      </c>
      <c r="U73" s="33" t="s">
        <v>175</v>
      </c>
      <c r="V73" s="31" t="s">
        <v>68</v>
      </c>
      <c r="W73" s="25" t="s">
        <v>508</v>
      </c>
      <c r="X73" s="25" t="s">
        <v>509</v>
      </c>
      <c r="Y73" s="25" t="s">
        <v>510</v>
      </c>
      <c r="Z73" s="13" t="s">
        <v>219</v>
      </c>
      <c r="AA73" s="108" t="s">
        <v>1107</v>
      </c>
      <c r="AB73" s="17" t="s">
        <v>511</v>
      </c>
      <c r="AC73" s="113" t="s">
        <v>437</v>
      </c>
      <c r="AD73" s="15" t="s">
        <v>59</v>
      </c>
      <c r="AE73" s="114" t="s">
        <v>450</v>
      </c>
      <c r="AF73" s="114" t="s">
        <v>67</v>
      </c>
      <c r="AG73" t="s">
        <v>1024</v>
      </c>
      <c r="AH73" t="s">
        <v>1047</v>
      </c>
      <c r="AI73" s="66" t="s">
        <v>68</v>
      </c>
      <c r="AJ73" s="15" t="s">
        <v>512</v>
      </c>
      <c r="AK73" s="24" t="s">
        <v>513</v>
      </c>
      <c r="AL73" s="24" t="s">
        <v>514</v>
      </c>
      <c r="AM73" s="29" t="s">
        <v>515</v>
      </c>
      <c r="AN73" s="13" t="s">
        <v>73</v>
      </c>
      <c r="AO73" s="111" t="s">
        <v>1009</v>
      </c>
      <c r="AP73" s="64" t="s">
        <v>516</v>
      </c>
      <c r="AQ73" s="30" t="s">
        <v>73</v>
      </c>
      <c r="AR73" s="15" t="s">
        <v>517</v>
      </c>
    </row>
    <row r="74" spans="1:44" ht="15" hidden="1" customHeight="1" x14ac:dyDescent="0.25">
      <c r="A74" s="15">
        <v>0</v>
      </c>
      <c r="B74" s="15" t="s">
        <v>518</v>
      </c>
      <c r="C74" s="15" t="s">
        <v>227</v>
      </c>
      <c r="D74" s="15" t="s">
        <v>42</v>
      </c>
      <c r="E74" s="13">
        <v>1</v>
      </c>
      <c r="F74" s="13">
        <v>1</v>
      </c>
      <c r="G74" s="13">
        <v>1</v>
      </c>
      <c r="H74" s="13" t="s">
        <v>43</v>
      </c>
      <c r="I74" s="13" t="s">
        <v>43</v>
      </c>
      <c r="J74" s="13" t="s">
        <v>43</v>
      </c>
      <c r="K74" s="20"/>
      <c r="L74" s="20"/>
      <c r="M74" s="20"/>
      <c r="N74" s="20"/>
      <c r="O74" s="20"/>
      <c r="P74" s="13" t="s">
        <v>55</v>
      </c>
      <c r="Q74" s="15" t="s">
        <v>56</v>
      </c>
      <c r="R74" s="15"/>
      <c r="T74" s="15" t="s">
        <v>76</v>
      </c>
      <c r="U74" s="38" t="s">
        <v>59</v>
      </c>
      <c r="V74" s="31" t="s">
        <v>68</v>
      </c>
      <c r="W74" s="25" t="s">
        <v>76</v>
      </c>
      <c r="X74" s="25" t="s">
        <v>59</v>
      </c>
      <c r="Y74" s="15" t="s">
        <v>59</v>
      </c>
      <c r="Z74" s="13" t="s">
        <v>219</v>
      </c>
      <c r="AA74" s="13"/>
      <c r="AB74" s="19" t="s">
        <v>76</v>
      </c>
      <c r="AC74" s="26" t="s">
        <v>437</v>
      </c>
      <c r="AD74" s="15" t="s">
        <v>59</v>
      </c>
      <c r="AE74" s="77" t="s">
        <v>450</v>
      </c>
      <c r="AF74" s="27" t="s">
        <v>67</v>
      </c>
      <c r="AG74" t="s">
        <v>512</v>
      </c>
      <c r="AH74" t="s">
        <v>512</v>
      </c>
      <c r="AI74" s="66" t="s">
        <v>68</v>
      </c>
      <c r="AJ74" s="15" t="s">
        <v>512</v>
      </c>
      <c r="AK74" s="24" t="s">
        <v>513</v>
      </c>
      <c r="AL74" s="24" t="s">
        <v>514</v>
      </c>
      <c r="AM74" s="64" t="s">
        <v>515</v>
      </c>
      <c r="AN74" s="30" t="s">
        <v>73</v>
      </c>
      <c r="AO74" s="30"/>
      <c r="AP74" s="64" t="s">
        <v>516</v>
      </c>
      <c r="AQ74" s="30" t="s">
        <v>94</v>
      </c>
      <c r="AR74" s="15" t="s">
        <v>340</v>
      </c>
    </row>
    <row r="75" spans="1:44" ht="15" customHeight="1" x14ac:dyDescent="0.25">
      <c r="A75" s="15">
        <v>1</v>
      </c>
      <c r="B75" s="15" t="s">
        <v>519</v>
      </c>
      <c r="C75" s="15" t="s">
        <v>128</v>
      </c>
      <c r="D75" s="13" t="s">
        <v>40</v>
      </c>
      <c r="E75" s="13">
        <v>3</v>
      </c>
      <c r="F75" s="13">
        <v>4</v>
      </c>
      <c r="G75" s="13">
        <v>3</v>
      </c>
      <c r="H75" s="13" t="s">
        <v>41</v>
      </c>
      <c r="I75" s="13" t="s">
        <v>40</v>
      </c>
      <c r="J75" s="13" t="s">
        <v>41</v>
      </c>
      <c r="K75" s="20"/>
      <c r="L75" s="20"/>
      <c r="M75" s="20"/>
      <c r="N75" s="20"/>
      <c r="O75" s="20"/>
      <c r="P75" s="13" t="s">
        <v>148</v>
      </c>
      <c r="Q75" s="13" t="s">
        <v>174</v>
      </c>
      <c r="R75" s="104" t="s">
        <v>958</v>
      </c>
      <c r="S75" s="15" t="s">
        <v>175</v>
      </c>
      <c r="T75" s="38">
        <v>165.69</v>
      </c>
      <c r="U75" s="33" t="s">
        <v>175</v>
      </c>
      <c r="V75" s="31" t="s">
        <v>480</v>
      </c>
      <c r="W75" s="25" t="s">
        <v>520</v>
      </c>
      <c r="X75" s="25" t="s">
        <v>521</v>
      </c>
      <c r="Y75" s="52" t="s">
        <v>522</v>
      </c>
      <c r="Z75" s="13" t="s">
        <v>884</v>
      </c>
      <c r="AA75" s="108" t="s">
        <v>987</v>
      </c>
      <c r="AB75" s="12" t="s">
        <v>523</v>
      </c>
      <c r="AC75" s="113" t="s">
        <v>87</v>
      </c>
      <c r="AD75" s="15" t="s">
        <v>59</v>
      </c>
      <c r="AE75" s="114" t="s">
        <v>67</v>
      </c>
      <c r="AF75" s="114" t="s">
        <v>67</v>
      </c>
      <c r="AG75" t="s">
        <v>1025</v>
      </c>
      <c r="AH75" t="s">
        <v>1054</v>
      </c>
      <c r="AI75" s="66" t="s">
        <v>68</v>
      </c>
      <c r="AJ75" s="15" t="s">
        <v>524</v>
      </c>
      <c r="AK75" s="24" t="s">
        <v>525</v>
      </c>
      <c r="AL75" s="24" t="s">
        <v>526</v>
      </c>
      <c r="AM75" s="29" t="s">
        <v>527</v>
      </c>
      <c r="AN75" s="13" t="s">
        <v>94</v>
      </c>
      <c r="AO75" s="111" t="s">
        <v>527</v>
      </c>
      <c r="AP75" s="28" t="s">
        <v>528</v>
      </c>
      <c r="AQ75" s="30" t="s">
        <v>94</v>
      </c>
    </row>
    <row r="76" spans="1:44" ht="15" hidden="1" customHeight="1" x14ac:dyDescent="0.25">
      <c r="A76" s="15">
        <v>0</v>
      </c>
      <c r="B76" s="15" t="s">
        <v>529</v>
      </c>
      <c r="C76" s="15" t="s">
        <v>83</v>
      </c>
      <c r="D76" s="15" t="s">
        <v>40</v>
      </c>
      <c r="E76" s="13">
        <v>3</v>
      </c>
      <c r="F76" s="13">
        <v>4</v>
      </c>
      <c r="G76" s="13">
        <v>3</v>
      </c>
      <c r="H76" s="13" t="s">
        <v>41</v>
      </c>
      <c r="I76" s="13" t="s">
        <v>40</v>
      </c>
      <c r="J76" s="13" t="s">
        <v>41</v>
      </c>
      <c r="K76" s="20"/>
      <c r="L76" s="20"/>
      <c r="M76" s="20"/>
      <c r="N76" s="20"/>
      <c r="O76" s="20"/>
      <c r="P76" s="13" t="s">
        <v>84</v>
      </c>
      <c r="Q76" s="47" t="s">
        <v>174</v>
      </c>
      <c r="R76" s="47"/>
      <c r="S76" s="47"/>
      <c r="T76" s="15" t="s">
        <v>76</v>
      </c>
      <c r="U76" s="38" t="s">
        <v>59</v>
      </c>
      <c r="V76" s="31" t="s">
        <v>59</v>
      </c>
      <c r="W76" s="25" t="s">
        <v>76</v>
      </c>
      <c r="X76" s="25" t="s">
        <v>59</v>
      </c>
      <c r="Y76" s="15" t="s">
        <v>59</v>
      </c>
      <c r="Z76" s="13" t="s">
        <v>219</v>
      </c>
      <c r="AA76" s="13"/>
      <c r="AB76" s="19" t="s">
        <v>76</v>
      </c>
      <c r="AC76" s="26" t="s">
        <v>87</v>
      </c>
      <c r="AD76" s="15" t="s">
        <v>59</v>
      </c>
      <c r="AE76" s="27" t="s">
        <v>67</v>
      </c>
      <c r="AF76" s="27" t="s">
        <v>67</v>
      </c>
      <c r="AG76" t="s">
        <v>524</v>
      </c>
      <c r="AH76" t="s">
        <v>524</v>
      </c>
      <c r="AI76" s="66" t="s">
        <v>68</v>
      </c>
      <c r="AJ76" s="15" t="s">
        <v>524</v>
      </c>
      <c r="AK76" s="24" t="s">
        <v>525</v>
      </c>
      <c r="AL76" s="24" t="s">
        <v>526</v>
      </c>
      <c r="AM76" s="29" t="s">
        <v>527</v>
      </c>
      <c r="AN76" s="30" t="s">
        <v>94</v>
      </c>
      <c r="AO76" s="30"/>
      <c r="AP76" s="28" t="s">
        <v>528</v>
      </c>
      <c r="AQ76" s="30" t="s">
        <v>94</v>
      </c>
    </row>
    <row r="77" spans="1:44" ht="15" customHeight="1" x14ac:dyDescent="0.25">
      <c r="A77" s="15">
        <v>10</v>
      </c>
      <c r="B77" s="15" t="s">
        <v>530</v>
      </c>
      <c r="C77" s="15" t="s">
        <v>463</v>
      </c>
      <c r="D77" s="13" t="s">
        <v>43</v>
      </c>
      <c r="E77" s="13">
        <v>1</v>
      </c>
      <c r="F77" s="13">
        <v>1</v>
      </c>
      <c r="G77" s="13">
        <v>1</v>
      </c>
      <c r="H77" s="13" t="s">
        <v>43</v>
      </c>
      <c r="I77" s="13" t="s">
        <v>43</v>
      </c>
      <c r="J77" s="13" t="s">
        <v>43</v>
      </c>
      <c r="K77" s="20"/>
      <c r="L77" s="20"/>
      <c r="M77" s="20"/>
      <c r="N77" s="20"/>
      <c r="O77" s="20"/>
      <c r="P77" s="13" t="s">
        <v>148</v>
      </c>
      <c r="Q77" s="13" t="s">
        <v>531</v>
      </c>
      <c r="R77" s="104" t="s">
        <v>995</v>
      </c>
      <c r="S77" s="47"/>
      <c r="T77" s="71" t="s">
        <v>59</v>
      </c>
      <c r="U77" s="55" t="s">
        <v>59</v>
      </c>
      <c r="V77" s="31" t="s">
        <v>480</v>
      </c>
      <c r="W77" s="25" t="s">
        <v>532</v>
      </c>
      <c r="X77" s="25" t="s">
        <v>533</v>
      </c>
      <c r="Y77" s="15" t="s">
        <v>59</v>
      </c>
      <c r="Z77" s="13" t="s">
        <v>219</v>
      </c>
      <c r="AA77" s="108" t="s">
        <v>1107</v>
      </c>
      <c r="AB77" s="44" t="s">
        <v>534</v>
      </c>
      <c r="AC77" s="113" t="s">
        <v>87</v>
      </c>
      <c r="AD77" s="15" t="s">
        <v>535</v>
      </c>
      <c r="AE77" s="114" t="s">
        <v>67</v>
      </c>
      <c r="AF77" s="114" t="s">
        <v>405</v>
      </c>
      <c r="AG77" s="112" t="s">
        <v>1026</v>
      </c>
      <c r="AH77" s="112" t="s">
        <v>1026</v>
      </c>
      <c r="AI77" s="18" t="s">
        <v>68</v>
      </c>
      <c r="AJ77" s="23" t="s">
        <v>536</v>
      </c>
      <c r="AK77" s="15" t="s">
        <v>537</v>
      </c>
      <c r="AL77" s="15" t="s">
        <v>538</v>
      </c>
      <c r="AM77" s="29" t="s">
        <v>539</v>
      </c>
      <c r="AN77" s="13" t="s">
        <v>73</v>
      </c>
      <c r="AO77" s="118" t="s">
        <v>1182</v>
      </c>
      <c r="AP77" s="64" t="s">
        <v>540</v>
      </c>
      <c r="AQ77" s="30" t="s">
        <v>73</v>
      </c>
      <c r="AR77" s="15" t="s">
        <v>541</v>
      </c>
    </row>
    <row r="78" spans="1:44" ht="15" customHeight="1" x14ac:dyDescent="0.25">
      <c r="A78" s="15">
        <v>10</v>
      </c>
      <c r="B78" s="15" t="s">
        <v>542</v>
      </c>
      <c r="C78" s="15" t="s">
        <v>463</v>
      </c>
      <c r="D78" s="13" t="s">
        <v>43</v>
      </c>
      <c r="E78" s="13">
        <v>1</v>
      </c>
      <c r="F78" s="13">
        <v>1</v>
      </c>
      <c r="G78" s="13">
        <v>1</v>
      </c>
      <c r="H78" s="13" t="s">
        <v>43</v>
      </c>
      <c r="I78" s="13" t="s">
        <v>43</v>
      </c>
      <c r="J78" s="13" t="s">
        <v>43</v>
      </c>
      <c r="K78" s="20"/>
      <c r="L78" s="20"/>
      <c r="M78" s="20"/>
      <c r="N78" s="20"/>
      <c r="O78" s="20"/>
      <c r="P78" s="13" t="s">
        <v>55</v>
      </c>
      <c r="Q78" s="13" t="s">
        <v>174</v>
      </c>
      <c r="R78" s="104" t="s">
        <v>995</v>
      </c>
      <c r="S78" s="47"/>
      <c r="T78" s="38" t="s">
        <v>59</v>
      </c>
      <c r="U78" s="33" t="s">
        <v>59</v>
      </c>
      <c r="V78" s="31" t="s">
        <v>480</v>
      </c>
      <c r="W78" s="52" t="s">
        <v>543</v>
      </c>
      <c r="X78" s="25" t="s">
        <v>59</v>
      </c>
      <c r="Y78" s="15" t="s">
        <v>59</v>
      </c>
      <c r="Z78" s="13" t="s">
        <v>219</v>
      </c>
      <c r="AA78" s="108" t="s">
        <v>1107</v>
      </c>
      <c r="AB78" s="63" t="s">
        <v>544</v>
      </c>
      <c r="AC78" s="113" t="s">
        <v>87</v>
      </c>
      <c r="AD78" s="15" t="s">
        <v>545</v>
      </c>
      <c r="AE78" s="114" t="s">
        <v>67</v>
      </c>
      <c r="AF78" s="114" t="s">
        <v>67</v>
      </c>
      <c r="AG78" t="s">
        <v>1027</v>
      </c>
      <c r="AH78" t="s">
        <v>1027</v>
      </c>
      <c r="AI78" s="18" t="s">
        <v>68</v>
      </c>
      <c r="AJ78" s="12" t="s">
        <v>546</v>
      </c>
      <c r="AK78" s="15" t="s">
        <v>547</v>
      </c>
      <c r="AL78" s="15" t="s">
        <v>548</v>
      </c>
      <c r="AM78" s="29" t="s">
        <v>549</v>
      </c>
      <c r="AN78" s="13" t="s">
        <v>73</v>
      </c>
      <c r="AO78" s="111" t="s">
        <v>1081</v>
      </c>
      <c r="AP78" s="64" t="s">
        <v>550</v>
      </c>
      <c r="AQ78" s="30" t="s">
        <v>73</v>
      </c>
      <c r="AR78" s="15" t="s">
        <v>541</v>
      </c>
    </row>
    <row r="79" spans="1:44" ht="15" customHeight="1" x14ac:dyDescent="0.25">
      <c r="A79" s="15">
        <v>1</v>
      </c>
      <c r="B79" s="15" t="s">
        <v>551</v>
      </c>
      <c r="C79" s="15" t="s">
        <v>463</v>
      </c>
      <c r="D79" s="13" t="s">
        <v>43</v>
      </c>
      <c r="E79" s="13">
        <v>1</v>
      </c>
      <c r="F79" s="13">
        <v>1</v>
      </c>
      <c r="G79" s="13">
        <v>1</v>
      </c>
      <c r="H79" s="13" t="s">
        <v>43</v>
      </c>
      <c r="I79" s="13" t="s">
        <v>43</v>
      </c>
      <c r="J79" s="13" t="s">
        <v>43</v>
      </c>
      <c r="K79" s="20"/>
      <c r="L79" s="20"/>
      <c r="M79" s="20"/>
      <c r="N79" s="20"/>
      <c r="O79" s="20"/>
      <c r="P79" s="13" t="s">
        <v>84</v>
      </c>
      <c r="Q79" s="13" t="s">
        <v>56</v>
      </c>
      <c r="R79" s="103" t="s">
        <v>951</v>
      </c>
      <c r="S79" s="15" t="s">
        <v>175</v>
      </c>
      <c r="T79" s="38">
        <v>2.02</v>
      </c>
      <c r="U79" s="33" t="s">
        <v>175</v>
      </c>
      <c r="V79" s="31" t="s">
        <v>68</v>
      </c>
      <c r="W79" s="25" t="s">
        <v>552</v>
      </c>
      <c r="X79" s="25" t="s">
        <v>553</v>
      </c>
      <c r="Y79" s="24" t="s">
        <v>554</v>
      </c>
      <c r="Z79" s="13" t="s">
        <v>219</v>
      </c>
      <c r="AA79" s="108" t="s">
        <v>988</v>
      </c>
      <c r="AB79" s="17" t="s">
        <v>555</v>
      </c>
      <c r="AC79" s="113" t="s">
        <v>437</v>
      </c>
      <c r="AD79" s="15" t="s">
        <v>59</v>
      </c>
      <c r="AE79" s="114" t="s">
        <v>67</v>
      </c>
      <c r="AF79" s="114" t="s">
        <v>67</v>
      </c>
      <c r="AG79" t="s">
        <v>1030</v>
      </c>
      <c r="AH79" t="s">
        <v>1047</v>
      </c>
      <c r="AI79" s="18" t="s">
        <v>556</v>
      </c>
      <c r="AJ79" s="23" t="s">
        <v>557</v>
      </c>
      <c r="AK79" s="15" t="s">
        <v>558</v>
      </c>
      <c r="AL79" s="15" t="s">
        <v>559</v>
      </c>
      <c r="AM79" s="29" t="s">
        <v>560</v>
      </c>
      <c r="AN79" s="13" t="s">
        <v>73</v>
      </c>
      <c r="AO79" s="111" t="s">
        <v>560</v>
      </c>
      <c r="AP79" s="28" t="s">
        <v>561</v>
      </c>
      <c r="AQ79" s="30" t="s">
        <v>73</v>
      </c>
    </row>
    <row r="80" spans="1:44" ht="15" hidden="1" customHeight="1" x14ac:dyDescent="0.25">
      <c r="B80" s="15" t="s">
        <v>562</v>
      </c>
      <c r="C80" s="15" t="s">
        <v>463</v>
      </c>
      <c r="D80" s="15" t="s">
        <v>43</v>
      </c>
      <c r="E80" s="13">
        <v>1</v>
      </c>
      <c r="F80" s="13">
        <v>1</v>
      </c>
      <c r="G80" s="13">
        <v>1</v>
      </c>
      <c r="H80" s="13" t="s">
        <v>43</v>
      </c>
      <c r="I80" s="13" t="s">
        <v>43</v>
      </c>
      <c r="J80" s="13" t="s">
        <v>43</v>
      </c>
      <c r="K80" s="20"/>
      <c r="L80" s="20"/>
      <c r="M80" s="20"/>
      <c r="N80" s="20"/>
      <c r="O80" s="20"/>
      <c r="P80" s="13" t="s">
        <v>55</v>
      </c>
      <c r="Q80" s="15" t="s">
        <v>56</v>
      </c>
      <c r="R80" s="15"/>
      <c r="T80" s="15" t="s">
        <v>76</v>
      </c>
      <c r="U80" s="38" t="s">
        <v>59</v>
      </c>
      <c r="V80" s="31" t="s">
        <v>68</v>
      </c>
      <c r="W80" s="25" t="s">
        <v>76</v>
      </c>
      <c r="X80" s="25" t="s">
        <v>59</v>
      </c>
      <c r="Y80" s="15" t="s">
        <v>59</v>
      </c>
      <c r="Z80" s="13" t="s">
        <v>219</v>
      </c>
      <c r="AA80" s="13"/>
      <c r="AB80" s="19" t="s">
        <v>563</v>
      </c>
      <c r="AC80" s="26" t="s">
        <v>437</v>
      </c>
      <c r="AD80" s="15" t="s">
        <v>59</v>
      </c>
      <c r="AE80" s="27" t="s">
        <v>67</v>
      </c>
      <c r="AF80" s="27" t="s">
        <v>67</v>
      </c>
      <c r="AG80" t="s">
        <v>557</v>
      </c>
      <c r="AH80" t="s">
        <v>557</v>
      </c>
      <c r="AI80" s="18" t="s">
        <v>556</v>
      </c>
      <c r="AJ80" s="23" t="s">
        <v>557</v>
      </c>
      <c r="AK80" s="15" t="s">
        <v>558</v>
      </c>
      <c r="AL80" s="15" t="s">
        <v>559</v>
      </c>
      <c r="AM80" s="29" t="s">
        <v>560</v>
      </c>
      <c r="AN80" s="30" t="s">
        <v>73</v>
      </c>
      <c r="AO80" s="30"/>
      <c r="AP80" s="28" t="s">
        <v>561</v>
      </c>
      <c r="AQ80" s="30" t="s">
        <v>73</v>
      </c>
    </row>
    <row r="81" spans="1:44" ht="15" customHeight="1" x14ac:dyDescent="0.25">
      <c r="A81" s="15">
        <v>1</v>
      </c>
      <c r="B81" s="15" t="s">
        <v>564</v>
      </c>
      <c r="C81" s="15" t="s">
        <v>227</v>
      </c>
      <c r="D81" s="13" t="s">
        <v>42</v>
      </c>
      <c r="E81" s="13">
        <v>1</v>
      </c>
      <c r="F81" s="13">
        <v>1</v>
      </c>
      <c r="G81" s="13">
        <v>1</v>
      </c>
      <c r="H81" s="13" t="s">
        <v>43</v>
      </c>
      <c r="I81" s="13" t="s">
        <v>43</v>
      </c>
      <c r="J81" s="13" t="s">
        <v>43</v>
      </c>
      <c r="K81" s="20"/>
      <c r="L81" s="20"/>
      <c r="M81" s="20"/>
      <c r="N81" s="20"/>
      <c r="O81" s="20"/>
      <c r="P81" s="13" t="s">
        <v>55</v>
      </c>
      <c r="Q81" s="13" t="s">
        <v>56</v>
      </c>
      <c r="R81" s="105" t="s">
        <v>961</v>
      </c>
      <c r="S81" s="15" t="s">
        <v>175</v>
      </c>
      <c r="T81" s="38">
        <v>45.6</v>
      </c>
      <c r="U81" s="33" t="s">
        <v>175</v>
      </c>
      <c r="V81" s="78" t="s">
        <v>68</v>
      </c>
      <c r="W81" s="25" t="s">
        <v>565</v>
      </c>
      <c r="X81" s="52" t="s">
        <v>566</v>
      </c>
      <c r="Y81" s="46" t="s">
        <v>567</v>
      </c>
      <c r="Z81" s="13" t="s">
        <v>219</v>
      </c>
      <c r="AA81" s="108" t="s">
        <v>989</v>
      </c>
      <c r="AB81" s="17" t="s">
        <v>568</v>
      </c>
      <c r="AC81" s="113" t="s">
        <v>437</v>
      </c>
      <c r="AD81" s="15" t="s">
        <v>59</v>
      </c>
      <c r="AE81" s="114" t="s">
        <v>67</v>
      </c>
      <c r="AF81" s="114" t="s">
        <v>67</v>
      </c>
      <c r="AG81" s="112" t="s">
        <v>1029</v>
      </c>
      <c r="AH81" s="112" t="s">
        <v>1047</v>
      </c>
      <c r="AI81" s="79" t="s">
        <v>569</v>
      </c>
      <c r="AJ81" s="44" t="s">
        <v>570</v>
      </c>
      <c r="AK81" s="15" t="s">
        <v>571</v>
      </c>
      <c r="AL81" s="28" t="s">
        <v>572</v>
      </c>
      <c r="AM81" s="29" t="s">
        <v>573</v>
      </c>
      <c r="AN81" s="13" t="s">
        <v>73</v>
      </c>
      <c r="AO81" s="111" t="s">
        <v>573</v>
      </c>
      <c r="AP81" s="28" t="s">
        <v>574</v>
      </c>
      <c r="AQ81" s="30" t="s">
        <v>73</v>
      </c>
    </row>
    <row r="82" spans="1:44" ht="15" hidden="1" customHeight="1" x14ac:dyDescent="0.25">
      <c r="B82" s="15" t="s">
        <v>575</v>
      </c>
      <c r="C82" s="15" t="s">
        <v>227</v>
      </c>
      <c r="D82" s="15" t="s">
        <v>42</v>
      </c>
      <c r="E82" s="13">
        <v>1</v>
      </c>
      <c r="F82" s="13">
        <v>1</v>
      </c>
      <c r="G82" s="13">
        <v>1</v>
      </c>
      <c r="H82" s="13" t="s">
        <v>43</v>
      </c>
      <c r="I82" s="13" t="s">
        <v>43</v>
      </c>
      <c r="J82" s="13" t="s">
        <v>43</v>
      </c>
      <c r="K82" s="20"/>
      <c r="L82" s="20"/>
      <c r="M82" s="20"/>
      <c r="N82" s="20"/>
      <c r="O82" s="20"/>
      <c r="P82" s="13" t="s">
        <v>55</v>
      </c>
      <c r="Q82" s="24" t="s">
        <v>56</v>
      </c>
      <c r="R82" s="24"/>
      <c r="S82" s="24"/>
      <c r="T82" s="15" t="s">
        <v>76</v>
      </c>
      <c r="U82" s="38" t="s">
        <v>59</v>
      </c>
      <c r="V82" s="31" t="s">
        <v>68</v>
      </c>
      <c r="W82" s="25" t="s">
        <v>576</v>
      </c>
      <c r="X82" s="25" t="s">
        <v>59</v>
      </c>
      <c r="Y82" s="15" t="s">
        <v>59</v>
      </c>
      <c r="Z82" s="13" t="s">
        <v>219</v>
      </c>
      <c r="AA82" s="13"/>
      <c r="AB82" s="19" t="s">
        <v>76</v>
      </c>
      <c r="AC82" s="26" t="s">
        <v>437</v>
      </c>
      <c r="AD82" s="15" t="s">
        <v>59</v>
      </c>
      <c r="AE82" s="27" t="s">
        <v>67</v>
      </c>
      <c r="AF82" s="27" t="s">
        <v>67</v>
      </c>
      <c r="AG82" t="s">
        <v>570</v>
      </c>
      <c r="AH82" t="s">
        <v>570</v>
      </c>
      <c r="AI82" s="18" t="s">
        <v>577</v>
      </c>
      <c r="AJ82" s="44" t="s">
        <v>570</v>
      </c>
      <c r="AK82" s="15" t="s">
        <v>578</v>
      </c>
      <c r="AL82" s="28" t="s">
        <v>579</v>
      </c>
      <c r="AM82" s="61" t="s">
        <v>580</v>
      </c>
      <c r="AN82" s="30" t="s">
        <v>113</v>
      </c>
      <c r="AO82" s="30"/>
      <c r="AP82" s="80" t="s">
        <v>581</v>
      </c>
      <c r="AQ82" s="30" t="s">
        <v>73</v>
      </c>
      <c r="AR82" s="15" t="s">
        <v>582</v>
      </c>
    </row>
    <row r="83" spans="1:44" ht="15" customHeight="1" x14ac:dyDescent="0.25">
      <c r="A83" s="15">
        <v>10</v>
      </c>
      <c r="B83" s="15" t="s">
        <v>583</v>
      </c>
      <c r="C83" s="15" t="s">
        <v>359</v>
      </c>
      <c r="D83" s="13" t="s">
        <v>42</v>
      </c>
      <c r="E83" s="13">
        <v>1</v>
      </c>
      <c r="F83" s="13">
        <v>1</v>
      </c>
      <c r="G83" s="13">
        <v>1</v>
      </c>
      <c r="H83" s="13" t="s">
        <v>43</v>
      </c>
      <c r="I83" s="13" t="s">
        <v>43</v>
      </c>
      <c r="J83" s="13" t="s">
        <v>43</v>
      </c>
      <c r="K83" s="20"/>
      <c r="L83" s="20"/>
      <c r="M83" s="20"/>
      <c r="N83" s="20"/>
      <c r="O83" s="20"/>
      <c r="P83" s="13" t="s">
        <v>55</v>
      </c>
      <c r="Q83" s="13" t="s">
        <v>174</v>
      </c>
      <c r="R83" s="103" t="s">
        <v>959</v>
      </c>
      <c r="S83" s="15" t="s">
        <v>175</v>
      </c>
      <c r="T83" s="31">
        <v>363</v>
      </c>
      <c r="U83" s="17" t="s">
        <v>175</v>
      </c>
      <c r="V83" s="31" t="s">
        <v>68</v>
      </c>
      <c r="W83" s="25" t="s">
        <v>584</v>
      </c>
      <c r="X83" s="52" t="s">
        <v>585</v>
      </c>
      <c r="Y83" s="15" t="s">
        <v>586</v>
      </c>
      <c r="Z83" s="13" t="s">
        <v>1069</v>
      </c>
      <c r="AA83" s="108" t="s">
        <v>1190</v>
      </c>
      <c r="AB83" s="17" t="s">
        <v>587</v>
      </c>
      <c r="AC83" s="113" t="s">
        <v>437</v>
      </c>
      <c r="AD83" s="15" t="s">
        <v>59</v>
      </c>
      <c r="AE83" s="114" t="s">
        <v>67</v>
      </c>
      <c r="AF83" s="114" t="s">
        <v>67</v>
      </c>
      <c r="AG83" t="s">
        <v>1028</v>
      </c>
      <c r="AH83" t="s">
        <v>1028</v>
      </c>
      <c r="AI83" s="18" t="s">
        <v>588</v>
      </c>
      <c r="AJ83" s="15" t="s">
        <v>589</v>
      </c>
      <c r="AK83" s="15" t="s">
        <v>590</v>
      </c>
      <c r="AL83" s="15" t="s">
        <v>591</v>
      </c>
      <c r="AM83" s="29" t="s">
        <v>592</v>
      </c>
      <c r="AN83" s="13" t="s">
        <v>73</v>
      </c>
      <c r="AO83" s="111" t="s">
        <v>1187</v>
      </c>
      <c r="AP83" s="64" t="s">
        <v>593</v>
      </c>
      <c r="AQ83" s="30" t="s">
        <v>73</v>
      </c>
      <c r="AR83" s="15" t="s">
        <v>541</v>
      </c>
    </row>
    <row r="84" spans="1:44" ht="15" customHeight="1" x14ac:dyDescent="0.25">
      <c r="A84" s="15">
        <v>10</v>
      </c>
      <c r="B84" s="15" t="s">
        <v>594</v>
      </c>
      <c r="C84" s="15" t="s">
        <v>463</v>
      </c>
      <c r="D84" s="13" t="s">
        <v>43</v>
      </c>
      <c r="E84" s="13">
        <v>1</v>
      </c>
      <c r="F84" s="13">
        <v>1</v>
      </c>
      <c r="G84" s="13">
        <v>1</v>
      </c>
      <c r="H84" s="13" t="s">
        <v>43</v>
      </c>
      <c r="I84" s="13" t="s">
        <v>43</v>
      </c>
      <c r="J84" s="13" t="s">
        <v>43</v>
      </c>
      <c r="K84" s="20"/>
      <c r="L84" s="20"/>
      <c r="M84" s="20"/>
      <c r="N84" s="20"/>
      <c r="O84" s="20"/>
      <c r="P84" s="13" t="s">
        <v>84</v>
      </c>
      <c r="Q84" s="13" t="s">
        <v>595</v>
      </c>
      <c r="R84" s="105" t="s">
        <v>962</v>
      </c>
      <c r="S84" s="15" t="s">
        <v>175</v>
      </c>
      <c r="T84" s="38">
        <f>15660/12</f>
        <v>1305</v>
      </c>
      <c r="U84" s="33" t="s">
        <v>175</v>
      </c>
      <c r="V84" s="78" t="s">
        <v>480</v>
      </c>
      <c r="W84" s="44" t="s">
        <v>596</v>
      </c>
      <c r="X84" s="25" t="s">
        <v>597</v>
      </c>
      <c r="Y84" s="15" t="s">
        <v>598</v>
      </c>
      <c r="Z84" s="13" t="s">
        <v>219</v>
      </c>
      <c r="AA84" s="108" t="s">
        <v>1107</v>
      </c>
      <c r="AB84" s="17" t="s">
        <v>599</v>
      </c>
      <c r="AC84" s="113" t="s">
        <v>87</v>
      </c>
      <c r="AD84" s="15" t="s">
        <v>600</v>
      </c>
      <c r="AE84" s="114" t="s">
        <v>67</v>
      </c>
      <c r="AF84" s="114" t="s">
        <v>67</v>
      </c>
      <c r="AG84" s="112" t="s">
        <v>1031</v>
      </c>
      <c r="AH84" s="112" t="s">
        <v>1047</v>
      </c>
      <c r="AI84" s="18" t="s">
        <v>68</v>
      </c>
      <c r="AJ84" s="23" t="s">
        <v>601</v>
      </c>
      <c r="AK84" s="15" t="s">
        <v>602</v>
      </c>
      <c r="AL84" s="15" t="s">
        <v>603</v>
      </c>
      <c r="AM84" s="29" t="s">
        <v>604</v>
      </c>
      <c r="AN84" s="13" t="s">
        <v>73</v>
      </c>
      <c r="AO84" s="111" t="s">
        <v>1193</v>
      </c>
      <c r="AP84" s="64" t="s">
        <v>605</v>
      </c>
      <c r="AQ84" s="30" t="s">
        <v>73</v>
      </c>
      <c r="AR84" s="15" t="s">
        <v>541</v>
      </c>
    </row>
    <row r="85" spans="1:44" s="47" customFormat="1" ht="15" customHeight="1" x14ac:dyDescent="0.25">
      <c r="A85" s="47">
        <v>1</v>
      </c>
      <c r="B85" s="47" t="s">
        <v>606</v>
      </c>
      <c r="C85" s="47" t="s">
        <v>227</v>
      </c>
      <c r="D85" s="13" t="s">
        <v>42</v>
      </c>
      <c r="E85" s="53">
        <v>1</v>
      </c>
      <c r="F85" s="53">
        <v>1</v>
      </c>
      <c r="G85" s="53">
        <v>1</v>
      </c>
      <c r="H85" s="13" t="s">
        <v>43</v>
      </c>
      <c r="I85" s="13" t="s">
        <v>43</v>
      </c>
      <c r="J85" s="13" t="s">
        <v>43</v>
      </c>
      <c r="K85" s="54"/>
      <c r="L85" s="54"/>
      <c r="M85" s="54"/>
      <c r="N85" s="54"/>
      <c r="O85" s="54"/>
      <c r="P85" s="13" t="s">
        <v>148</v>
      </c>
      <c r="Q85" s="13" t="s">
        <v>174</v>
      </c>
      <c r="R85" s="106" t="s">
        <v>607</v>
      </c>
      <c r="S85" s="15" t="s">
        <v>175</v>
      </c>
      <c r="T85" s="71" t="s">
        <v>607</v>
      </c>
      <c r="U85" s="55" t="s">
        <v>175</v>
      </c>
      <c r="V85" s="72" t="s">
        <v>480</v>
      </c>
      <c r="W85" s="52" t="s">
        <v>608</v>
      </c>
      <c r="X85" s="82" t="s">
        <v>59</v>
      </c>
      <c r="Y85" s="47" t="s">
        <v>59</v>
      </c>
      <c r="Z85" s="13" t="s">
        <v>884</v>
      </c>
      <c r="AA85" s="109" t="s">
        <v>990</v>
      </c>
      <c r="AB85" s="46" t="s">
        <v>609</v>
      </c>
      <c r="AC85" s="113" t="s">
        <v>87</v>
      </c>
      <c r="AD85" s="47" t="s">
        <v>610</v>
      </c>
      <c r="AE85" s="114" t="s">
        <v>405</v>
      </c>
      <c r="AF85" s="114" t="s">
        <v>450</v>
      </c>
      <c r="AG85" t="s">
        <v>1032</v>
      </c>
      <c r="AH85" t="s">
        <v>1032</v>
      </c>
      <c r="AI85" s="56" t="s">
        <v>68</v>
      </c>
      <c r="AJ85" s="52" t="s">
        <v>611</v>
      </c>
      <c r="AK85" s="47" t="s">
        <v>612</v>
      </c>
      <c r="AL85" s="47" t="s">
        <v>613</v>
      </c>
      <c r="AM85" s="29" t="s">
        <v>614</v>
      </c>
      <c r="AN85" s="13" t="s">
        <v>113</v>
      </c>
      <c r="AO85" s="111" t="s">
        <v>1008</v>
      </c>
      <c r="AP85" s="67" t="s">
        <v>615</v>
      </c>
      <c r="AQ85" s="58" t="s">
        <v>113</v>
      </c>
    </row>
    <row r="86" spans="1:44" ht="15" hidden="1" customHeight="1" x14ac:dyDescent="0.25">
      <c r="A86" s="15">
        <v>0</v>
      </c>
      <c r="B86" s="15" t="s">
        <v>616</v>
      </c>
      <c r="C86" s="15" t="s">
        <v>227</v>
      </c>
      <c r="D86" s="15" t="s">
        <v>42</v>
      </c>
      <c r="E86" s="13">
        <v>1</v>
      </c>
      <c r="F86" s="13">
        <v>1</v>
      </c>
      <c r="G86" s="13">
        <v>1</v>
      </c>
      <c r="H86" s="13" t="s">
        <v>43</v>
      </c>
      <c r="I86" s="13" t="s">
        <v>43</v>
      </c>
      <c r="J86" s="13" t="s">
        <v>43</v>
      </c>
      <c r="K86" s="20"/>
      <c r="L86" s="20"/>
      <c r="M86" s="20"/>
      <c r="N86" s="20"/>
      <c r="O86" s="20"/>
      <c r="P86" s="13" t="s">
        <v>148</v>
      </c>
      <c r="Q86" s="52" t="s">
        <v>174</v>
      </c>
      <c r="R86" s="52"/>
      <c r="S86" s="52"/>
      <c r="T86" s="47" t="s">
        <v>617</v>
      </c>
      <c r="U86" s="31" t="s">
        <v>59</v>
      </c>
      <c r="V86" s="31" t="s">
        <v>59</v>
      </c>
      <c r="W86" s="25" t="s">
        <v>617</v>
      </c>
      <c r="X86" s="25" t="s">
        <v>59</v>
      </c>
      <c r="Y86" s="15" t="s">
        <v>59</v>
      </c>
      <c r="Z86" s="13" t="s">
        <v>63</v>
      </c>
      <c r="AA86" s="13"/>
      <c r="AB86" s="19" t="s">
        <v>76</v>
      </c>
      <c r="AC86" s="26" t="s">
        <v>437</v>
      </c>
      <c r="AD86" s="15" t="s">
        <v>610</v>
      </c>
      <c r="AE86" s="27" t="s">
        <v>67</v>
      </c>
      <c r="AF86" s="27" t="s">
        <v>67</v>
      </c>
      <c r="AG86" t="s">
        <v>618</v>
      </c>
      <c r="AH86" t="s">
        <v>618</v>
      </c>
      <c r="AI86" s="18" t="s">
        <v>68</v>
      </c>
      <c r="AJ86" s="15" t="s">
        <v>618</v>
      </c>
      <c r="AK86" s="15" t="s">
        <v>619</v>
      </c>
      <c r="AL86" s="15" t="s">
        <v>620</v>
      </c>
      <c r="AM86" s="29" t="s">
        <v>621</v>
      </c>
      <c r="AN86" s="30" t="s">
        <v>94</v>
      </c>
      <c r="AO86" s="30"/>
      <c r="AP86" s="28" t="s">
        <v>622</v>
      </c>
      <c r="AQ86" s="30" t="s">
        <v>94</v>
      </c>
    </row>
    <row r="87" spans="1:44" ht="15" customHeight="1" x14ac:dyDescent="0.25">
      <c r="A87" s="15">
        <v>10</v>
      </c>
      <c r="B87" s="47" t="s">
        <v>1066</v>
      </c>
      <c r="C87" s="15" t="s">
        <v>359</v>
      </c>
      <c r="D87" s="13" t="s">
        <v>42</v>
      </c>
      <c r="E87" s="13">
        <v>1</v>
      </c>
      <c r="F87" s="13">
        <v>1</v>
      </c>
      <c r="G87" s="13">
        <v>1</v>
      </c>
      <c r="H87" s="13" t="s">
        <v>43</v>
      </c>
      <c r="I87" s="13" t="s">
        <v>43</v>
      </c>
      <c r="J87" s="13" t="s">
        <v>43</v>
      </c>
      <c r="K87" s="20"/>
      <c r="L87" s="20"/>
      <c r="M87" s="20"/>
      <c r="N87" s="20"/>
      <c r="O87" s="20"/>
      <c r="P87" s="13" t="s">
        <v>55</v>
      </c>
      <c r="Q87" s="13" t="s">
        <v>56</v>
      </c>
      <c r="R87" s="103" t="s">
        <v>963</v>
      </c>
      <c r="S87" s="15" t="s">
        <v>175</v>
      </c>
      <c r="T87" s="38">
        <v>4.84</v>
      </c>
      <c r="U87" s="33" t="s">
        <v>175</v>
      </c>
      <c r="V87" s="31" t="s">
        <v>68</v>
      </c>
      <c r="W87" s="83" t="s">
        <v>623</v>
      </c>
      <c r="X87" s="25" t="s">
        <v>624</v>
      </c>
      <c r="Y87" s="15" t="s">
        <v>625</v>
      </c>
      <c r="Z87" s="13" t="s">
        <v>219</v>
      </c>
      <c r="AA87" s="108" t="s">
        <v>1107</v>
      </c>
      <c r="AB87" s="12" t="s">
        <v>626</v>
      </c>
      <c r="AC87" s="113" t="s">
        <v>87</v>
      </c>
      <c r="AD87" s="15" t="s">
        <v>59</v>
      </c>
      <c r="AE87" s="114" t="s">
        <v>67</v>
      </c>
      <c r="AF87" s="114" t="s">
        <v>67</v>
      </c>
      <c r="AG87" t="s">
        <v>1037</v>
      </c>
      <c r="AH87" t="s">
        <v>1037</v>
      </c>
      <c r="AI87" s="18" t="s">
        <v>68</v>
      </c>
      <c r="AJ87" s="23" t="s">
        <v>627</v>
      </c>
      <c r="AK87" s="15" t="s">
        <v>628</v>
      </c>
      <c r="AL87" s="15" t="s">
        <v>629</v>
      </c>
      <c r="AM87" s="29" t="s">
        <v>630</v>
      </c>
      <c r="AN87" s="13" t="s">
        <v>73</v>
      </c>
      <c r="AO87" s="111" t="s">
        <v>1197</v>
      </c>
      <c r="AP87" s="64" t="s">
        <v>631</v>
      </c>
      <c r="AQ87" s="30" t="s">
        <v>94</v>
      </c>
      <c r="AR87" s="15" t="s">
        <v>632</v>
      </c>
    </row>
    <row r="88" spans="1:44" s="47" customFormat="1" ht="15" customHeight="1" x14ac:dyDescent="0.25">
      <c r="A88" s="47">
        <v>1</v>
      </c>
      <c r="B88" s="47" t="s">
        <v>1067</v>
      </c>
      <c r="C88" s="47" t="s">
        <v>227</v>
      </c>
      <c r="D88" s="13" t="s">
        <v>42</v>
      </c>
      <c r="E88" s="53">
        <v>1</v>
      </c>
      <c r="F88" s="53">
        <v>1</v>
      </c>
      <c r="G88" s="53">
        <v>1</v>
      </c>
      <c r="H88" s="13" t="s">
        <v>43</v>
      </c>
      <c r="I88" s="13" t="s">
        <v>43</v>
      </c>
      <c r="J88" s="13" t="s">
        <v>43</v>
      </c>
      <c r="K88" s="54"/>
      <c r="L88" s="54"/>
      <c r="M88" s="54"/>
      <c r="N88" s="54"/>
      <c r="O88" s="54"/>
      <c r="P88" s="13" t="s">
        <v>84</v>
      </c>
      <c r="Q88" s="13" t="s">
        <v>56</v>
      </c>
      <c r="R88" s="103" t="s">
        <v>960</v>
      </c>
      <c r="S88" s="15" t="s">
        <v>175</v>
      </c>
      <c r="T88" s="71">
        <v>58.44</v>
      </c>
      <c r="U88" s="55" t="s">
        <v>175</v>
      </c>
      <c r="V88" s="72" t="s">
        <v>68</v>
      </c>
      <c r="W88" s="25" t="s">
        <v>633</v>
      </c>
      <c r="X88" s="52" t="s">
        <v>634</v>
      </c>
      <c r="Y88" s="25" t="s">
        <v>635</v>
      </c>
      <c r="Z88" s="13" t="s">
        <v>219</v>
      </c>
      <c r="AA88" s="108" t="s">
        <v>1107</v>
      </c>
      <c r="AB88" s="46" t="s">
        <v>636</v>
      </c>
      <c r="AC88" s="113" t="s">
        <v>437</v>
      </c>
      <c r="AD88" s="47" t="s">
        <v>637</v>
      </c>
      <c r="AE88" s="114" t="s">
        <v>405</v>
      </c>
      <c r="AF88" s="114" t="s">
        <v>638</v>
      </c>
      <c r="AG88" t="s">
        <v>1033</v>
      </c>
      <c r="AH88" t="s">
        <v>1033</v>
      </c>
      <c r="AI88" s="56" t="s">
        <v>639</v>
      </c>
      <c r="AJ88" s="44" t="s">
        <v>640</v>
      </c>
      <c r="AK88" s="47" t="s">
        <v>641</v>
      </c>
      <c r="AL88" s="47" t="s">
        <v>642</v>
      </c>
      <c r="AM88" s="29" t="s">
        <v>643</v>
      </c>
      <c r="AN88" s="13" t="s">
        <v>73</v>
      </c>
      <c r="AO88" s="111" t="s">
        <v>1201</v>
      </c>
      <c r="AP88" s="62" t="s">
        <v>644</v>
      </c>
      <c r="AQ88" s="58" t="s">
        <v>73</v>
      </c>
      <c r="AR88" s="47" t="s">
        <v>541</v>
      </c>
    </row>
    <row r="89" spans="1:44" ht="15" hidden="1" customHeight="1" x14ac:dyDescent="0.25">
      <c r="A89" s="15">
        <v>0</v>
      </c>
      <c r="B89" s="15" t="s">
        <v>645</v>
      </c>
      <c r="C89" s="15" t="s">
        <v>227</v>
      </c>
      <c r="D89" s="15" t="s">
        <v>42</v>
      </c>
      <c r="E89" s="13">
        <v>1</v>
      </c>
      <c r="F89" s="13">
        <v>1</v>
      </c>
      <c r="G89" s="13">
        <v>1</v>
      </c>
      <c r="H89" s="13" t="s">
        <v>43</v>
      </c>
      <c r="I89" s="13" t="s">
        <v>43</v>
      </c>
      <c r="J89" s="13" t="s">
        <v>43</v>
      </c>
      <c r="K89" s="20"/>
      <c r="L89" s="20"/>
      <c r="M89" s="20"/>
      <c r="N89" s="20"/>
      <c r="O89" s="20"/>
      <c r="P89" s="13" t="s">
        <v>55</v>
      </c>
      <c r="Q89" s="15" t="s">
        <v>56</v>
      </c>
      <c r="R89" s="15"/>
      <c r="T89" s="15" t="s">
        <v>76</v>
      </c>
      <c r="U89" s="38" t="s">
        <v>59</v>
      </c>
      <c r="V89" s="31" t="s">
        <v>68</v>
      </c>
      <c r="W89" s="25" t="s">
        <v>76</v>
      </c>
      <c r="X89" s="25" t="s">
        <v>59</v>
      </c>
      <c r="Y89" s="24" t="s">
        <v>59</v>
      </c>
      <c r="Z89" s="13" t="s">
        <v>219</v>
      </c>
      <c r="AA89" s="13"/>
      <c r="AB89" s="19" t="s">
        <v>76</v>
      </c>
      <c r="AC89" s="26" t="s">
        <v>437</v>
      </c>
      <c r="AD89" s="15" t="s">
        <v>637</v>
      </c>
      <c r="AE89" s="81" t="s">
        <v>405</v>
      </c>
      <c r="AF89" s="69" t="s">
        <v>638</v>
      </c>
      <c r="AG89" t="s">
        <v>640</v>
      </c>
      <c r="AH89" t="s">
        <v>640</v>
      </c>
      <c r="AI89" s="84" t="s">
        <v>646</v>
      </c>
      <c r="AJ89" s="12" t="s">
        <v>640</v>
      </c>
      <c r="AK89" s="15" t="s">
        <v>647</v>
      </c>
      <c r="AL89" s="15" t="s">
        <v>642</v>
      </c>
      <c r="AM89" s="64" t="s">
        <v>643</v>
      </c>
      <c r="AN89" s="30" t="s">
        <v>94</v>
      </c>
      <c r="AO89" s="30"/>
      <c r="AP89" s="64" t="s">
        <v>644</v>
      </c>
      <c r="AQ89" s="30" t="s">
        <v>94</v>
      </c>
      <c r="AR89" s="15" t="s">
        <v>541</v>
      </c>
    </row>
    <row r="90" spans="1:44" ht="15" customHeight="1" x14ac:dyDescent="0.25">
      <c r="A90" s="15">
        <v>1</v>
      </c>
      <c r="B90" s="15" t="s">
        <v>648</v>
      </c>
      <c r="C90" s="15" t="s">
        <v>128</v>
      </c>
      <c r="D90" s="13" t="s">
        <v>40</v>
      </c>
      <c r="E90" s="13">
        <v>3</v>
      </c>
      <c r="F90" s="13">
        <v>4</v>
      </c>
      <c r="G90" s="13">
        <v>3</v>
      </c>
      <c r="H90" s="13" t="s">
        <v>41</v>
      </c>
      <c r="I90" s="13" t="s">
        <v>40</v>
      </c>
      <c r="J90" s="13" t="s">
        <v>41</v>
      </c>
      <c r="K90" s="20"/>
      <c r="L90" s="20"/>
      <c r="M90" s="20"/>
      <c r="N90" s="20"/>
      <c r="O90" s="20"/>
      <c r="P90" s="13" t="s">
        <v>55</v>
      </c>
      <c r="Q90" s="13" t="s">
        <v>56</v>
      </c>
      <c r="R90" s="103" t="s">
        <v>996</v>
      </c>
      <c r="S90" s="15" t="s">
        <v>649</v>
      </c>
      <c r="T90" s="38">
        <v>5.64</v>
      </c>
      <c r="U90" s="33" t="s">
        <v>649</v>
      </c>
      <c r="V90" s="31" t="s">
        <v>68</v>
      </c>
      <c r="W90" s="25" t="s">
        <v>650</v>
      </c>
      <c r="X90" s="25" t="s">
        <v>651</v>
      </c>
      <c r="Y90" s="25" t="s">
        <v>652</v>
      </c>
      <c r="Z90" s="13" t="s">
        <v>63</v>
      </c>
      <c r="AA90" s="108" t="s">
        <v>991</v>
      </c>
      <c r="AB90" s="17" t="s">
        <v>653</v>
      </c>
      <c r="AC90" s="113" t="s">
        <v>437</v>
      </c>
      <c r="AD90" s="15" t="s">
        <v>59</v>
      </c>
      <c r="AE90" s="114" t="s">
        <v>67</v>
      </c>
      <c r="AF90" s="114" t="s">
        <v>67</v>
      </c>
      <c r="AG90" t="s">
        <v>1037</v>
      </c>
      <c r="AH90" t="s">
        <v>1037</v>
      </c>
      <c r="AI90" s="18" t="s">
        <v>68</v>
      </c>
      <c r="AJ90" s="15" t="s">
        <v>654</v>
      </c>
      <c r="AK90" s="15" t="s">
        <v>655</v>
      </c>
      <c r="AL90" s="15" t="s">
        <v>656</v>
      </c>
      <c r="AM90" s="29" t="s">
        <v>1073</v>
      </c>
      <c r="AN90" s="13" t="s">
        <v>94</v>
      </c>
      <c r="AO90" s="111" t="s">
        <v>1006</v>
      </c>
      <c r="AP90" s="28" t="s">
        <v>657</v>
      </c>
      <c r="AQ90" s="30" t="s">
        <v>94</v>
      </c>
    </row>
    <row r="91" spans="1:44" ht="15" hidden="1" customHeight="1" x14ac:dyDescent="0.25">
      <c r="A91" s="15">
        <v>0</v>
      </c>
      <c r="B91" s="15" t="s">
        <v>658</v>
      </c>
      <c r="C91" s="15" t="s">
        <v>128</v>
      </c>
      <c r="D91" s="15" t="s">
        <v>40</v>
      </c>
      <c r="E91" s="13">
        <v>3</v>
      </c>
      <c r="F91" s="13">
        <v>4</v>
      </c>
      <c r="G91" s="13">
        <v>3</v>
      </c>
      <c r="H91" s="13" t="s">
        <v>41</v>
      </c>
      <c r="I91" s="13" t="s">
        <v>40</v>
      </c>
      <c r="J91" s="13" t="s">
        <v>41</v>
      </c>
      <c r="K91" s="20"/>
      <c r="L91" s="20"/>
      <c r="M91" s="20"/>
      <c r="N91" s="20"/>
      <c r="O91" s="20"/>
      <c r="P91" s="13" t="s">
        <v>55</v>
      </c>
      <c r="Q91" s="15" t="s">
        <v>56</v>
      </c>
      <c r="R91" s="15"/>
      <c r="T91" s="15" t="s">
        <v>76</v>
      </c>
      <c r="U91" s="38" t="s">
        <v>59</v>
      </c>
      <c r="V91" s="31" t="s">
        <v>68</v>
      </c>
      <c r="W91" s="25" t="s">
        <v>76</v>
      </c>
      <c r="X91" s="25" t="s">
        <v>59</v>
      </c>
      <c r="Y91" s="15" t="s">
        <v>59</v>
      </c>
      <c r="Z91" s="13" t="s">
        <v>63</v>
      </c>
      <c r="AA91" s="13"/>
      <c r="AB91" s="19" t="s">
        <v>76</v>
      </c>
      <c r="AC91" s="26" t="s">
        <v>437</v>
      </c>
      <c r="AD91" s="15" t="s">
        <v>59</v>
      </c>
      <c r="AE91" s="27" t="s">
        <v>67</v>
      </c>
      <c r="AF91" s="27" t="s">
        <v>67</v>
      </c>
      <c r="AG91" t="s">
        <v>654</v>
      </c>
      <c r="AH91" t="s">
        <v>654</v>
      </c>
      <c r="AI91" s="18" t="s">
        <v>68</v>
      </c>
      <c r="AJ91" s="15" t="s">
        <v>654</v>
      </c>
      <c r="AK91" s="15" t="s">
        <v>659</v>
      </c>
      <c r="AL91" s="15" t="s">
        <v>656</v>
      </c>
      <c r="AM91" s="29" t="s">
        <v>660</v>
      </c>
      <c r="AN91" s="30" t="s">
        <v>113</v>
      </c>
      <c r="AO91" s="30"/>
      <c r="AP91" s="28" t="s">
        <v>661</v>
      </c>
      <c r="AQ91" s="30" t="s">
        <v>113</v>
      </c>
      <c r="AR91" s="15" t="s">
        <v>662</v>
      </c>
    </row>
    <row r="92" spans="1:44" ht="15" customHeight="1" x14ac:dyDescent="0.25">
      <c r="A92" s="15">
        <v>1</v>
      </c>
      <c r="B92" s="15" t="s">
        <v>663</v>
      </c>
      <c r="C92" s="15" t="s">
        <v>359</v>
      </c>
      <c r="D92" s="13" t="s">
        <v>42</v>
      </c>
      <c r="E92" s="13">
        <v>1</v>
      </c>
      <c r="F92" s="13">
        <v>1</v>
      </c>
      <c r="G92" s="13">
        <v>1</v>
      </c>
      <c r="H92" s="13" t="s">
        <v>43</v>
      </c>
      <c r="I92" s="13" t="s">
        <v>43</v>
      </c>
      <c r="J92" s="13" t="s">
        <v>43</v>
      </c>
      <c r="K92" s="20"/>
      <c r="L92" s="20"/>
      <c r="M92" s="20"/>
      <c r="N92" s="20"/>
      <c r="O92" s="20"/>
      <c r="P92" s="13" t="s">
        <v>84</v>
      </c>
      <c r="Q92" s="13" t="s">
        <v>174</v>
      </c>
      <c r="R92" s="103" t="s">
        <v>964</v>
      </c>
      <c r="S92" s="15" t="s">
        <v>681</v>
      </c>
      <c r="T92" s="38">
        <v>650</v>
      </c>
      <c r="U92" s="33" t="s">
        <v>664</v>
      </c>
      <c r="V92" s="31" t="s">
        <v>480</v>
      </c>
      <c r="W92" s="25" t="s">
        <v>665</v>
      </c>
      <c r="X92" s="25" t="s">
        <v>666</v>
      </c>
      <c r="Y92" s="85" t="s">
        <v>667</v>
      </c>
      <c r="Z92" s="13" t="s">
        <v>884</v>
      </c>
      <c r="AA92" s="108" t="s">
        <v>977</v>
      </c>
      <c r="AB92" s="12" t="s">
        <v>668</v>
      </c>
      <c r="AC92" s="113" t="s">
        <v>87</v>
      </c>
      <c r="AD92" s="15" t="s">
        <v>59</v>
      </c>
      <c r="AE92" s="114" t="s">
        <v>669</v>
      </c>
      <c r="AF92" s="114" t="s">
        <v>638</v>
      </c>
      <c r="AG92" t="s">
        <v>1055</v>
      </c>
      <c r="AH92" t="s">
        <v>1056</v>
      </c>
      <c r="AI92" s="18" t="s">
        <v>68</v>
      </c>
      <c r="AJ92" s="15" t="s">
        <v>670</v>
      </c>
      <c r="AK92" s="15" t="s">
        <v>671</v>
      </c>
      <c r="AL92" s="15" t="s">
        <v>672</v>
      </c>
      <c r="AM92" s="29" t="s">
        <v>673</v>
      </c>
      <c r="AN92" s="13" t="s">
        <v>94</v>
      </c>
      <c r="AO92" s="111" t="s">
        <v>673</v>
      </c>
      <c r="AP92" s="28" t="s">
        <v>674</v>
      </c>
      <c r="AQ92" s="30" t="s">
        <v>94</v>
      </c>
    </row>
    <row r="93" spans="1:44" ht="15" hidden="1" customHeight="1" x14ac:dyDescent="0.25">
      <c r="A93" s="15">
        <v>0</v>
      </c>
      <c r="B93" s="15" t="s">
        <v>675</v>
      </c>
      <c r="C93" s="15" t="s">
        <v>463</v>
      </c>
      <c r="D93" s="15" t="s">
        <v>43</v>
      </c>
      <c r="E93" s="13">
        <v>1</v>
      </c>
      <c r="F93" s="13">
        <v>1</v>
      </c>
      <c r="G93" s="13">
        <v>1</v>
      </c>
      <c r="H93" s="13" t="s">
        <v>43</v>
      </c>
      <c r="I93" s="13" t="s">
        <v>43</v>
      </c>
      <c r="J93" s="13" t="s">
        <v>43</v>
      </c>
      <c r="K93" s="20"/>
      <c r="L93" s="20"/>
      <c r="M93" s="20"/>
      <c r="N93" s="20"/>
      <c r="O93" s="20"/>
      <c r="P93" s="13" t="s">
        <v>84</v>
      </c>
      <c r="Q93" s="15" t="s">
        <v>174</v>
      </c>
      <c r="R93" s="15"/>
      <c r="T93" s="15" t="s">
        <v>76</v>
      </c>
      <c r="U93" s="38" t="s">
        <v>59</v>
      </c>
      <c r="V93" s="31" t="s">
        <v>59</v>
      </c>
      <c r="W93" s="25" t="s">
        <v>76</v>
      </c>
      <c r="X93" s="25" t="s">
        <v>59</v>
      </c>
      <c r="Y93" s="15" t="s">
        <v>59</v>
      </c>
      <c r="Z93" s="13" t="s">
        <v>63</v>
      </c>
      <c r="AA93" s="13"/>
      <c r="AB93" s="19" t="s">
        <v>76</v>
      </c>
      <c r="AC93" s="26" t="s">
        <v>87</v>
      </c>
      <c r="AD93" s="15" t="s">
        <v>59</v>
      </c>
      <c r="AE93" s="69" t="s">
        <v>669</v>
      </c>
      <c r="AF93" s="69" t="s">
        <v>450</v>
      </c>
      <c r="AG93" t="s">
        <v>670</v>
      </c>
      <c r="AH93" t="s">
        <v>670</v>
      </c>
      <c r="AI93" s="18" t="s">
        <v>68</v>
      </c>
      <c r="AJ93" s="15" t="s">
        <v>670</v>
      </c>
      <c r="AK93" s="15" t="s">
        <v>676</v>
      </c>
      <c r="AL93" s="15" t="s">
        <v>677</v>
      </c>
      <c r="AM93" s="29" t="s">
        <v>678</v>
      </c>
      <c r="AN93" s="30" t="s">
        <v>73</v>
      </c>
      <c r="AO93" s="30"/>
      <c r="AP93" s="28" t="s">
        <v>679</v>
      </c>
      <c r="AQ93" s="30" t="s">
        <v>73</v>
      </c>
    </row>
    <row r="94" spans="1:44" s="47" customFormat="1" ht="15" customHeight="1" x14ac:dyDescent="0.25">
      <c r="A94" s="47">
        <v>10</v>
      </c>
      <c r="B94" s="47" t="s">
        <v>680</v>
      </c>
      <c r="C94" s="47" t="s">
        <v>54</v>
      </c>
      <c r="D94" s="13" t="s">
        <v>41</v>
      </c>
      <c r="E94" s="53">
        <v>2</v>
      </c>
      <c r="F94" s="53">
        <v>2</v>
      </c>
      <c r="G94" s="53">
        <v>2</v>
      </c>
      <c r="H94" s="13" t="s">
        <v>42</v>
      </c>
      <c r="I94" s="13" t="s">
        <v>42</v>
      </c>
      <c r="J94" s="13" t="s">
        <v>42</v>
      </c>
      <c r="K94" s="54"/>
      <c r="L94" s="54"/>
      <c r="M94" s="54"/>
      <c r="N94" s="54"/>
      <c r="O94" s="54"/>
      <c r="P94" s="13" t="s">
        <v>55</v>
      </c>
      <c r="Q94" s="13" t="s">
        <v>174</v>
      </c>
      <c r="R94" s="103" t="s">
        <v>970</v>
      </c>
      <c r="T94" s="71">
        <v>483.33</v>
      </c>
      <c r="U94" s="55" t="s">
        <v>681</v>
      </c>
      <c r="V94" s="72" t="s">
        <v>480</v>
      </c>
      <c r="W94" s="25" t="s">
        <v>682</v>
      </c>
      <c r="X94" s="25" t="s">
        <v>683</v>
      </c>
      <c r="Y94" s="25" t="s">
        <v>684</v>
      </c>
      <c r="Z94" s="13" t="s">
        <v>884</v>
      </c>
      <c r="AA94" s="108" t="s">
        <v>977</v>
      </c>
      <c r="AB94" s="44" t="s">
        <v>685</v>
      </c>
      <c r="AC94" s="113" t="s">
        <v>87</v>
      </c>
      <c r="AD94" s="47" t="s">
        <v>686</v>
      </c>
      <c r="AE94" s="114" t="s">
        <v>450</v>
      </c>
      <c r="AF94" s="114" t="s">
        <v>638</v>
      </c>
      <c r="AG94" t="s">
        <v>1034</v>
      </c>
      <c r="AH94" t="s">
        <v>1034</v>
      </c>
      <c r="AI94" s="56" t="s">
        <v>687</v>
      </c>
      <c r="AJ94" s="52" t="s">
        <v>688</v>
      </c>
      <c r="AK94" s="47" t="s">
        <v>689</v>
      </c>
      <c r="AL94" s="67" t="s">
        <v>690</v>
      </c>
      <c r="AM94" s="29" t="s">
        <v>691</v>
      </c>
      <c r="AN94" s="13" t="s">
        <v>113</v>
      </c>
      <c r="AO94" s="111" t="s">
        <v>691</v>
      </c>
      <c r="AP94" s="62" t="s">
        <v>692</v>
      </c>
      <c r="AQ94" s="58" t="s">
        <v>94</v>
      </c>
      <c r="AR94" s="47" t="s">
        <v>541</v>
      </c>
    </row>
    <row r="95" spans="1:44" ht="15" customHeight="1" x14ac:dyDescent="0.25">
      <c r="A95" s="15">
        <v>10</v>
      </c>
      <c r="B95" s="15" t="s">
        <v>693</v>
      </c>
      <c r="C95" s="15" t="s">
        <v>694</v>
      </c>
      <c r="D95" s="13" t="s">
        <v>43</v>
      </c>
      <c r="E95" s="13">
        <v>1</v>
      </c>
      <c r="F95" s="13">
        <v>1</v>
      </c>
      <c r="G95" s="13">
        <v>1</v>
      </c>
      <c r="H95" s="13" t="s">
        <v>43</v>
      </c>
      <c r="I95" s="13" t="s">
        <v>43</v>
      </c>
      <c r="J95" s="13" t="s">
        <v>43</v>
      </c>
      <c r="K95" s="20"/>
      <c r="L95" s="20"/>
      <c r="M95" s="20"/>
      <c r="N95" s="20"/>
      <c r="O95" s="20"/>
      <c r="P95" s="13" t="s">
        <v>55</v>
      </c>
      <c r="Q95" s="13" t="s">
        <v>174</v>
      </c>
      <c r="R95" s="103" t="s">
        <v>968</v>
      </c>
      <c r="T95" s="38">
        <v>10000</v>
      </c>
      <c r="U95" s="33" t="s">
        <v>695</v>
      </c>
      <c r="V95" s="31" t="s">
        <v>480</v>
      </c>
      <c r="W95" s="86" t="s">
        <v>696</v>
      </c>
      <c r="X95" s="86" t="s">
        <v>59</v>
      </c>
      <c r="Y95" s="52" t="s">
        <v>697</v>
      </c>
      <c r="Z95" s="13" t="s">
        <v>884</v>
      </c>
      <c r="AA95" s="108" t="s">
        <v>977</v>
      </c>
      <c r="AB95" s="17" t="s">
        <v>698</v>
      </c>
      <c r="AC95" s="113" t="s">
        <v>87</v>
      </c>
      <c r="AD95" s="15" t="s">
        <v>59</v>
      </c>
      <c r="AE95" s="114" t="s">
        <v>450</v>
      </c>
      <c r="AF95" s="114" t="s">
        <v>67</v>
      </c>
      <c r="AG95" t="s">
        <v>1057</v>
      </c>
      <c r="AH95" t="s">
        <v>1047</v>
      </c>
      <c r="AI95" s="18" t="s">
        <v>687</v>
      </c>
      <c r="AJ95" s="23" t="s">
        <v>699</v>
      </c>
      <c r="AK95" s="15" t="s">
        <v>355</v>
      </c>
      <c r="AL95" s="15" t="s">
        <v>355</v>
      </c>
      <c r="AM95" s="29" t="s">
        <v>700</v>
      </c>
      <c r="AN95" s="13" t="s">
        <v>94</v>
      </c>
      <c r="AO95" s="111" t="s">
        <v>1206</v>
      </c>
      <c r="AP95" s="28" t="s">
        <v>701</v>
      </c>
      <c r="AQ95" s="30" t="s">
        <v>113</v>
      </c>
      <c r="AR95" s="15" t="s">
        <v>541</v>
      </c>
    </row>
    <row r="96" spans="1:44" ht="15" customHeight="1" x14ac:dyDescent="0.25">
      <c r="A96" s="15">
        <v>1</v>
      </c>
      <c r="B96" s="15" t="s">
        <v>702</v>
      </c>
      <c r="C96" s="15" t="s">
        <v>227</v>
      </c>
      <c r="D96" s="13" t="s">
        <v>42</v>
      </c>
      <c r="E96" s="13">
        <v>1</v>
      </c>
      <c r="F96" s="13">
        <v>1</v>
      </c>
      <c r="G96" s="13">
        <v>1</v>
      </c>
      <c r="H96" s="13" t="s">
        <v>43</v>
      </c>
      <c r="I96" s="13" t="s">
        <v>43</v>
      </c>
      <c r="J96" s="13" t="s">
        <v>43</v>
      </c>
      <c r="K96" s="20"/>
      <c r="L96" s="20"/>
      <c r="M96" s="20"/>
      <c r="N96" s="20"/>
      <c r="O96" s="20"/>
      <c r="P96" s="13" t="s">
        <v>84</v>
      </c>
      <c r="Q96" s="13" t="s">
        <v>56</v>
      </c>
      <c r="R96" s="103" t="s">
        <v>965</v>
      </c>
      <c r="T96" s="38">
        <v>496</v>
      </c>
      <c r="U96" s="33" t="s">
        <v>695</v>
      </c>
      <c r="V96" s="31" t="s">
        <v>480</v>
      </c>
      <c r="W96" s="25" t="s">
        <v>703</v>
      </c>
      <c r="X96" s="25" t="s">
        <v>704</v>
      </c>
      <c r="Y96" s="25" t="s">
        <v>705</v>
      </c>
      <c r="Z96" s="13" t="s">
        <v>884</v>
      </c>
      <c r="AA96" s="108" t="s">
        <v>977</v>
      </c>
      <c r="AB96" s="17" t="s">
        <v>706</v>
      </c>
      <c r="AC96" s="113" t="s">
        <v>87</v>
      </c>
      <c r="AD96" s="15" t="s">
        <v>707</v>
      </c>
      <c r="AE96" s="114" t="s">
        <v>67</v>
      </c>
      <c r="AF96" s="114" t="s">
        <v>67</v>
      </c>
      <c r="AG96" t="s">
        <v>1035</v>
      </c>
      <c r="AH96" t="s">
        <v>1035</v>
      </c>
      <c r="AI96" s="18" t="s">
        <v>68</v>
      </c>
      <c r="AJ96" s="15" t="s">
        <v>708</v>
      </c>
      <c r="AK96" s="15" t="s">
        <v>709</v>
      </c>
      <c r="AL96" s="15" t="s">
        <v>710</v>
      </c>
      <c r="AM96" s="29" t="s">
        <v>711</v>
      </c>
      <c r="AN96" s="13" t="s">
        <v>113</v>
      </c>
      <c r="AO96" s="111" t="s">
        <v>1209</v>
      </c>
      <c r="AP96" s="64" t="s">
        <v>712</v>
      </c>
      <c r="AQ96" s="30" t="s">
        <v>94</v>
      </c>
      <c r="AR96" s="15" t="s">
        <v>713</v>
      </c>
    </row>
    <row r="97" spans="1:45" ht="15" hidden="1" customHeight="1" x14ac:dyDescent="0.25">
      <c r="A97" s="15">
        <v>0</v>
      </c>
      <c r="B97" s="15" t="s">
        <v>714</v>
      </c>
      <c r="C97" s="15" t="s">
        <v>227</v>
      </c>
      <c r="D97" s="15" t="s">
        <v>42</v>
      </c>
      <c r="E97" s="13">
        <v>1</v>
      </c>
      <c r="F97" s="13">
        <v>1</v>
      </c>
      <c r="G97" s="13">
        <v>1</v>
      </c>
      <c r="H97" s="13" t="s">
        <v>43</v>
      </c>
      <c r="I97" s="13" t="s">
        <v>43</v>
      </c>
      <c r="J97" s="13" t="s">
        <v>43</v>
      </c>
      <c r="K97" s="20"/>
      <c r="L97" s="20"/>
      <c r="M97" s="20"/>
      <c r="N97" s="20"/>
      <c r="O97" s="20"/>
      <c r="P97" s="13" t="s">
        <v>55</v>
      </c>
      <c r="Q97" s="15" t="s">
        <v>56</v>
      </c>
      <c r="R97" s="15"/>
      <c r="T97" s="15" t="s">
        <v>76</v>
      </c>
      <c r="U97" s="38" t="s">
        <v>59</v>
      </c>
      <c r="V97" s="31" t="s">
        <v>59</v>
      </c>
      <c r="W97" s="25" t="s">
        <v>76</v>
      </c>
      <c r="X97" s="25" t="s">
        <v>59</v>
      </c>
      <c r="Y97" s="25" t="s">
        <v>59</v>
      </c>
      <c r="Z97" s="13" t="s">
        <v>63</v>
      </c>
      <c r="AA97" s="13"/>
      <c r="AB97" s="19" t="s">
        <v>563</v>
      </c>
      <c r="AC97" s="26" t="s">
        <v>87</v>
      </c>
      <c r="AD97" s="15" t="s">
        <v>707</v>
      </c>
      <c r="AE97" s="27" t="s">
        <v>67</v>
      </c>
      <c r="AF97" s="27" t="s">
        <v>67</v>
      </c>
      <c r="AG97" t="s">
        <v>708</v>
      </c>
      <c r="AH97" t="s">
        <v>708</v>
      </c>
      <c r="AI97" s="18" t="s">
        <v>68</v>
      </c>
      <c r="AJ97" s="15" t="s">
        <v>708</v>
      </c>
      <c r="AK97" s="15" t="s">
        <v>709</v>
      </c>
      <c r="AL97" s="15" t="s">
        <v>710</v>
      </c>
      <c r="AM97" s="64" t="s">
        <v>715</v>
      </c>
      <c r="AN97" s="30" t="s">
        <v>94</v>
      </c>
      <c r="AO97" s="30"/>
      <c r="AP97" s="64" t="s">
        <v>716</v>
      </c>
      <c r="AQ97" s="30" t="s">
        <v>113</v>
      </c>
      <c r="AR97" s="15" t="s">
        <v>717</v>
      </c>
    </row>
    <row r="98" spans="1:45" ht="15" hidden="1" customHeight="1" x14ac:dyDescent="0.25">
      <c r="B98" s="16" t="s">
        <v>718</v>
      </c>
      <c r="H98" s="13"/>
      <c r="I98" s="13"/>
      <c r="J98" s="13"/>
      <c r="K98" s="20"/>
      <c r="L98" s="20"/>
      <c r="M98" s="20"/>
      <c r="N98" s="20"/>
      <c r="O98" s="20"/>
      <c r="P98" s="13"/>
      <c r="R98" s="15"/>
      <c r="T98" s="38"/>
      <c r="U98" s="31"/>
      <c r="V98" s="31"/>
      <c r="Z98" s="13"/>
      <c r="AA98" s="13"/>
      <c r="AB98" s="17"/>
      <c r="AC98" s="17"/>
      <c r="AG98">
        <v>0</v>
      </c>
      <c r="AH98">
        <v>0</v>
      </c>
      <c r="AO98" s="13"/>
    </row>
    <row r="99" spans="1:45" ht="15" customHeight="1" x14ac:dyDescent="0.25">
      <c r="A99" s="15">
        <v>10</v>
      </c>
      <c r="B99" s="15" t="s">
        <v>719</v>
      </c>
      <c r="C99" s="15" t="s">
        <v>54</v>
      </c>
      <c r="D99" s="13" t="s">
        <v>41</v>
      </c>
      <c r="E99" s="13">
        <v>2</v>
      </c>
      <c r="F99" s="13">
        <v>2</v>
      </c>
      <c r="G99" s="13">
        <v>2</v>
      </c>
      <c r="H99" s="13" t="s">
        <v>42</v>
      </c>
      <c r="I99" s="13" t="s">
        <v>42</v>
      </c>
      <c r="J99" s="13" t="s">
        <v>42</v>
      </c>
      <c r="K99" s="20"/>
      <c r="L99" s="20"/>
      <c r="M99" s="20"/>
      <c r="N99" s="20"/>
      <c r="O99" s="20"/>
      <c r="P99" s="13" t="s">
        <v>55</v>
      </c>
      <c r="Q99" s="13" t="s">
        <v>56</v>
      </c>
      <c r="R99" s="103" t="s">
        <v>966</v>
      </c>
      <c r="S99" s="15" t="s">
        <v>175</v>
      </c>
      <c r="T99" s="38">
        <v>27.05</v>
      </c>
      <c r="U99" s="33" t="s">
        <v>175</v>
      </c>
      <c r="V99" s="31" t="s">
        <v>59</v>
      </c>
      <c r="W99" s="25" t="s">
        <v>720</v>
      </c>
      <c r="X99" s="25" t="s">
        <v>721</v>
      </c>
      <c r="Y99" s="15" t="s">
        <v>722</v>
      </c>
      <c r="Z99" s="13" t="s">
        <v>884</v>
      </c>
      <c r="AA99" s="108" t="s">
        <v>977</v>
      </c>
      <c r="AB99" s="17" t="s">
        <v>723</v>
      </c>
      <c r="AC99" s="113" t="s">
        <v>437</v>
      </c>
      <c r="AD99" s="15" t="s">
        <v>59</v>
      </c>
      <c r="AE99" s="114" t="s">
        <v>67</v>
      </c>
      <c r="AF99" s="114" t="s">
        <v>67</v>
      </c>
      <c r="AG99" t="s">
        <v>1037</v>
      </c>
      <c r="AH99" t="s">
        <v>1037</v>
      </c>
      <c r="AI99" s="18" t="s">
        <v>68</v>
      </c>
      <c r="AJ99" s="15" t="s">
        <v>724</v>
      </c>
      <c r="AK99" s="15" t="s">
        <v>725</v>
      </c>
      <c r="AL99" s="28" t="s">
        <v>298</v>
      </c>
      <c r="AM99" s="29" t="s">
        <v>726</v>
      </c>
      <c r="AN99" s="13" t="s">
        <v>94</v>
      </c>
      <c r="AO99" s="30" t="s">
        <v>1219</v>
      </c>
      <c r="AP99" s="28" t="s">
        <v>727</v>
      </c>
      <c r="AQ99" s="30" t="s">
        <v>94</v>
      </c>
    </row>
    <row r="100" spans="1:45" ht="15" customHeight="1" x14ac:dyDescent="0.25">
      <c r="A100" s="15">
        <v>10</v>
      </c>
      <c r="B100" s="15" t="s">
        <v>728</v>
      </c>
      <c r="C100" s="15" t="s">
        <v>54</v>
      </c>
      <c r="D100" s="13" t="s">
        <v>41</v>
      </c>
      <c r="E100" s="13">
        <v>2</v>
      </c>
      <c r="F100" s="13">
        <v>2</v>
      </c>
      <c r="G100" s="13">
        <v>2</v>
      </c>
      <c r="H100" s="13" t="s">
        <v>42</v>
      </c>
      <c r="I100" s="13" t="s">
        <v>42</v>
      </c>
      <c r="J100" s="13" t="s">
        <v>42</v>
      </c>
      <c r="K100" s="20"/>
      <c r="L100" s="20"/>
      <c r="M100" s="20"/>
      <c r="N100" s="20"/>
      <c r="O100" s="20"/>
      <c r="P100" s="13" t="s">
        <v>55</v>
      </c>
      <c r="Q100" s="13" t="s">
        <v>56</v>
      </c>
      <c r="R100" s="103" t="s">
        <v>944</v>
      </c>
      <c r="S100" s="15" t="s">
        <v>175</v>
      </c>
      <c r="T100" s="38">
        <v>11.4</v>
      </c>
      <c r="U100" s="33" t="s">
        <v>175</v>
      </c>
      <c r="V100" s="31" t="s">
        <v>59</v>
      </c>
      <c r="W100" s="25" t="s">
        <v>729</v>
      </c>
      <c r="X100" s="25" t="s">
        <v>721</v>
      </c>
      <c r="Y100" s="25" t="s">
        <v>730</v>
      </c>
      <c r="Z100" s="13" t="s">
        <v>63</v>
      </c>
      <c r="AA100" s="108" t="s">
        <v>991</v>
      </c>
      <c r="AB100" s="17" t="s">
        <v>731</v>
      </c>
      <c r="AC100" s="113" t="s">
        <v>437</v>
      </c>
      <c r="AD100" s="15" t="s">
        <v>59</v>
      </c>
      <c r="AE100" s="114" t="s">
        <v>67</v>
      </c>
      <c r="AF100" s="114" t="s">
        <v>67</v>
      </c>
      <c r="AG100" t="s">
        <v>1037</v>
      </c>
      <c r="AH100" t="s">
        <v>1037</v>
      </c>
      <c r="AI100" s="18" t="s">
        <v>68</v>
      </c>
      <c r="AJ100" s="15" t="s">
        <v>732</v>
      </c>
      <c r="AK100" s="15" t="s">
        <v>733</v>
      </c>
      <c r="AL100" s="28" t="s">
        <v>734</v>
      </c>
      <c r="AM100" s="29" t="s">
        <v>735</v>
      </c>
      <c r="AN100" s="13" t="s">
        <v>113</v>
      </c>
      <c r="AO100" s="111" t="s">
        <v>1007</v>
      </c>
      <c r="AP100" s="28" t="s">
        <v>736</v>
      </c>
      <c r="AQ100" s="30" t="s">
        <v>113</v>
      </c>
      <c r="AS100" s="28"/>
    </row>
    <row r="101" spans="1:45" ht="15" customHeight="1" x14ac:dyDescent="0.25">
      <c r="A101" s="15">
        <v>10</v>
      </c>
      <c r="B101" s="15" t="s">
        <v>737</v>
      </c>
      <c r="C101" s="15" t="s">
        <v>54</v>
      </c>
      <c r="D101" s="13" t="s">
        <v>41</v>
      </c>
      <c r="E101" s="13">
        <v>2</v>
      </c>
      <c r="F101" s="13">
        <v>2</v>
      </c>
      <c r="G101" s="13">
        <v>2</v>
      </c>
      <c r="H101" s="13" t="s">
        <v>42</v>
      </c>
      <c r="I101" s="13" t="s">
        <v>42</v>
      </c>
      <c r="J101" s="13" t="s">
        <v>42</v>
      </c>
      <c r="K101" s="20"/>
      <c r="L101" s="20"/>
      <c r="M101" s="20"/>
      <c r="N101" s="20"/>
      <c r="O101" s="20"/>
      <c r="P101" s="13" t="s">
        <v>84</v>
      </c>
      <c r="Q101" s="13" t="s">
        <v>56</v>
      </c>
      <c r="R101" s="103" t="s">
        <v>967</v>
      </c>
      <c r="S101" s="15" t="s">
        <v>175</v>
      </c>
      <c r="T101" s="38">
        <v>24.3</v>
      </c>
      <c r="U101" s="33" t="s">
        <v>175</v>
      </c>
      <c r="V101" s="31" t="s">
        <v>59</v>
      </c>
      <c r="W101" s="25" t="s">
        <v>738</v>
      </c>
      <c r="X101" s="25" t="s">
        <v>739</v>
      </c>
      <c r="Y101" s="25" t="s">
        <v>740</v>
      </c>
      <c r="Z101" s="13" t="s">
        <v>63</v>
      </c>
      <c r="AA101" s="108" t="s">
        <v>1157</v>
      </c>
      <c r="AB101" s="17" t="s">
        <v>731</v>
      </c>
      <c r="AC101" s="113" t="s">
        <v>437</v>
      </c>
      <c r="AD101" s="15" t="s">
        <v>59</v>
      </c>
      <c r="AE101" s="114" t="s">
        <v>67</v>
      </c>
      <c r="AF101" s="114" t="s">
        <v>67</v>
      </c>
      <c r="AG101" t="s">
        <v>1037</v>
      </c>
      <c r="AH101" t="s">
        <v>1037</v>
      </c>
      <c r="AI101" s="18" t="s">
        <v>68</v>
      </c>
      <c r="AJ101" s="15" t="s">
        <v>741</v>
      </c>
      <c r="AK101" s="15" t="s">
        <v>742</v>
      </c>
      <c r="AL101" s="15" t="s">
        <v>743</v>
      </c>
      <c r="AM101" s="29" t="s">
        <v>744</v>
      </c>
      <c r="AN101" s="13" t="s">
        <v>113</v>
      </c>
      <c r="AO101" s="111" t="s">
        <v>1010</v>
      </c>
      <c r="AP101" s="28" t="s">
        <v>745</v>
      </c>
      <c r="AQ101" s="30" t="s">
        <v>113</v>
      </c>
    </row>
    <row r="102" spans="1:45" ht="15" customHeight="1" x14ac:dyDescent="0.25">
      <c r="A102" s="15">
        <v>1</v>
      </c>
      <c r="B102" s="15" t="s">
        <v>746</v>
      </c>
      <c r="C102" s="15" t="s">
        <v>54</v>
      </c>
      <c r="D102" s="13" t="s">
        <v>41</v>
      </c>
      <c r="E102" s="13">
        <v>2</v>
      </c>
      <c r="F102" s="13">
        <v>2</v>
      </c>
      <c r="G102" s="13">
        <v>2</v>
      </c>
      <c r="H102" s="13" t="s">
        <v>42</v>
      </c>
      <c r="I102" s="13" t="s">
        <v>42</v>
      </c>
      <c r="J102" s="13" t="s">
        <v>42</v>
      </c>
      <c r="K102" s="20"/>
      <c r="L102" s="20"/>
      <c r="M102" s="20"/>
      <c r="N102" s="20"/>
      <c r="O102" s="20"/>
      <c r="P102" s="13" t="s">
        <v>84</v>
      </c>
      <c r="Q102" s="13" t="s">
        <v>56</v>
      </c>
      <c r="R102" s="103" t="s">
        <v>997</v>
      </c>
      <c r="S102" s="15" t="s">
        <v>175</v>
      </c>
      <c r="T102" s="38">
        <v>31.5</v>
      </c>
      <c r="U102" s="33" t="s">
        <v>175</v>
      </c>
      <c r="V102" s="31" t="s">
        <v>59</v>
      </c>
      <c r="W102" s="25" t="s">
        <v>747</v>
      </c>
      <c r="X102" s="25" t="s">
        <v>739</v>
      </c>
      <c r="Y102" s="25" t="s">
        <v>748</v>
      </c>
      <c r="Z102" s="13" t="s">
        <v>219</v>
      </c>
      <c r="AA102" s="108" t="s">
        <v>1107</v>
      </c>
      <c r="AB102" s="17" t="s">
        <v>731</v>
      </c>
      <c r="AC102" s="113" t="s">
        <v>437</v>
      </c>
      <c r="AD102" s="15" t="s">
        <v>59</v>
      </c>
      <c r="AE102" s="114" t="s">
        <v>67</v>
      </c>
      <c r="AF102" s="114" t="s">
        <v>67</v>
      </c>
      <c r="AG102" t="s">
        <v>1037</v>
      </c>
      <c r="AH102" t="s">
        <v>1037</v>
      </c>
      <c r="AI102" s="18" t="s">
        <v>68</v>
      </c>
      <c r="AJ102" s="15" t="s">
        <v>749</v>
      </c>
      <c r="AK102" s="15" t="s">
        <v>750</v>
      </c>
      <c r="AL102" s="15" t="s">
        <v>751</v>
      </c>
      <c r="AM102" s="29" t="s">
        <v>1074</v>
      </c>
      <c r="AN102" s="13" t="s">
        <v>73</v>
      </c>
      <c r="AO102" s="111" t="s">
        <v>1097</v>
      </c>
      <c r="AP102" s="64" t="s">
        <v>753</v>
      </c>
      <c r="AQ102" s="30" t="s">
        <v>94</v>
      </c>
      <c r="AR102" s="17" t="s">
        <v>754</v>
      </c>
    </row>
    <row r="103" spans="1:45" ht="15" hidden="1" customHeight="1" x14ac:dyDescent="0.25">
      <c r="A103" s="15">
        <v>0</v>
      </c>
      <c r="B103" s="15" t="s">
        <v>755</v>
      </c>
      <c r="C103" s="15" t="s">
        <v>54</v>
      </c>
      <c r="D103" s="15" t="s">
        <v>41</v>
      </c>
      <c r="E103" s="13">
        <v>2</v>
      </c>
      <c r="F103" s="13">
        <v>2</v>
      </c>
      <c r="G103" s="13">
        <v>2</v>
      </c>
      <c r="H103" s="13" t="s">
        <v>42</v>
      </c>
      <c r="I103" s="13" t="s">
        <v>42</v>
      </c>
      <c r="J103" s="13" t="s">
        <v>42</v>
      </c>
      <c r="K103" s="20"/>
      <c r="L103" s="20"/>
      <c r="M103" s="20"/>
      <c r="N103" s="20"/>
      <c r="O103" s="20"/>
      <c r="P103" s="13" t="s">
        <v>55</v>
      </c>
      <c r="Q103" s="15" t="s">
        <v>56</v>
      </c>
      <c r="R103" s="15"/>
      <c r="T103" s="15" t="s">
        <v>76</v>
      </c>
      <c r="U103" s="38" t="s">
        <v>59</v>
      </c>
      <c r="V103" s="31" t="s">
        <v>59</v>
      </c>
      <c r="W103" s="25" t="s">
        <v>76</v>
      </c>
      <c r="X103" s="25" t="s">
        <v>59</v>
      </c>
      <c r="Y103" s="25" t="s">
        <v>59</v>
      </c>
      <c r="Z103" s="13" t="s">
        <v>219</v>
      </c>
      <c r="AA103" s="13"/>
      <c r="AB103" s="19" t="s">
        <v>76</v>
      </c>
      <c r="AC103" s="26" t="s">
        <v>437</v>
      </c>
      <c r="AD103" s="15" t="s">
        <v>59</v>
      </c>
      <c r="AE103" s="27" t="s">
        <v>67</v>
      </c>
      <c r="AF103" s="27" t="s">
        <v>67</v>
      </c>
      <c r="AG103" t="s">
        <v>749</v>
      </c>
      <c r="AH103" t="s">
        <v>749</v>
      </c>
      <c r="AI103" s="18" t="s">
        <v>68</v>
      </c>
      <c r="AJ103" s="15" t="s">
        <v>749</v>
      </c>
      <c r="AK103" s="15" t="s">
        <v>750</v>
      </c>
      <c r="AL103" s="15" t="s">
        <v>751</v>
      </c>
      <c r="AM103" s="64" t="s">
        <v>752</v>
      </c>
      <c r="AN103" s="30" t="s">
        <v>113</v>
      </c>
      <c r="AO103" s="30"/>
      <c r="AP103" s="64" t="s">
        <v>753</v>
      </c>
      <c r="AQ103" s="30" t="s">
        <v>113</v>
      </c>
      <c r="AR103" s="15" t="s">
        <v>340</v>
      </c>
    </row>
    <row r="104" spans="1:45" ht="15" hidden="1" customHeight="1" x14ac:dyDescent="0.25">
      <c r="B104" s="16" t="s">
        <v>756</v>
      </c>
      <c r="H104" s="13"/>
      <c r="I104" s="13"/>
      <c r="J104" s="13"/>
      <c r="K104" s="20"/>
      <c r="L104" s="20"/>
      <c r="M104" s="20"/>
      <c r="N104" s="20"/>
      <c r="O104" s="20"/>
      <c r="P104" s="13"/>
      <c r="R104" s="15"/>
      <c r="T104" s="38"/>
      <c r="U104" s="31"/>
      <c r="V104" s="31"/>
      <c r="Z104" s="13"/>
      <c r="AA104" s="13"/>
      <c r="AB104" s="17"/>
      <c r="AC104" s="17"/>
      <c r="AG104">
        <v>0</v>
      </c>
      <c r="AH104">
        <v>0</v>
      </c>
      <c r="AO104" s="13"/>
    </row>
    <row r="105" spans="1:45" ht="15" customHeight="1" x14ac:dyDescent="0.25">
      <c r="A105" s="15">
        <v>1</v>
      </c>
      <c r="B105" s="15" t="s">
        <v>757</v>
      </c>
      <c r="C105" s="15" t="s">
        <v>227</v>
      </c>
      <c r="D105" s="13" t="s">
        <v>42</v>
      </c>
      <c r="E105" s="13">
        <v>1</v>
      </c>
      <c r="F105" s="13">
        <v>1</v>
      </c>
      <c r="G105" s="13">
        <v>1</v>
      </c>
      <c r="H105" s="13" t="s">
        <v>43</v>
      </c>
      <c r="I105" s="13" t="s">
        <v>43</v>
      </c>
      <c r="J105" s="13" t="s">
        <v>43</v>
      </c>
      <c r="K105" s="20"/>
      <c r="L105" s="20"/>
      <c r="M105" s="20"/>
      <c r="N105" s="20"/>
      <c r="O105" s="20"/>
      <c r="P105" s="13" t="s">
        <v>55</v>
      </c>
      <c r="Q105" s="13" t="s">
        <v>56</v>
      </c>
      <c r="R105" s="103" t="s">
        <v>944</v>
      </c>
      <c r="S105" s="15" t="s">
        <v>175</v>
      </c>
      <c r="T105" s="15" t="s">
        <v>758</v>
      </c>
      <c r="U105" s="33" t="s">
        <v>59</v>
      </c>
      <c r="V105" s="31" t="s">
        <v>59</v>
      </c>
      <c r="W105" s="25" t="s">
        <v>759</v>
      </c>
      <c r="X105" s="25" t="s">
        <v>59</v>
      </c>
      <c r="Y105" s="25" t="s">
        <v>59</v>
      </c>
      <c r="Z105" s="13" t="s">
        <v>63</v>
      </c>
      <c r="AA105" s="108" t="s">
        <v>991</v>
      </c>
      <c r="AB105" s="17" t="s">
        <v>723</v>
      </c>
      <c r="AC105" s="113" t="s">
        <v>437</v>
      </c>
      <c r="AD105" s="15" t="s">
        <v>59</v>
      </c>
      <c r="AE105" s="114" t="s">
        <v>67</v>
      </c>
      <c r="AF105" s="114" t="s">
        <v>67</v>
      </c>
      <c r="AG105" t="s">
        <v>1036</v>
      </c>
      <c r="AH105" t="s">
        <v>1036</v>
      </c>
      <c r="AI105" s="18" t="s">
        <v>68</v>
      </c>
      <c r="AJ105" s="23" t="s">
        <v>760</v>
      </c>
      <c r="AK105" s="15" t="s">
        <v>761</v>
      </c>
      <c r="AL105" s="15" t="s">
        <v>762</v>
      </c>
      <c r="AM105" s="29" t="s">
        <v>1075</v>
      </c>
      <c r="AN105" s="13" t="s">
        <v>113</v>
      </c>
      <c r="AO105" s="111" t="s">
        <v>1218</v>
      </c>
      <c r="AP105" s="28" t="s">
        <v>763</v>
      </c>
      <c r="AQ105" s="30" t="s">
        <v>113</v>
      </c>
    </row>
    <row r="106" spans="1:45" ht="15" hidden="1" customHeight="1" x14ac:dyDescent="0.25">
      <c r="A106" s="15">
        <v>0</v>
      </c>
      <c r="B106" s="15" t="s">
        <v>764</v>
      </c>
      <c r="C106" s="15" t="s">
        <v>227</v>
      </c>
      <c r="D106" s="15" t="s">
        <v>42</v>
      </c>
      <c r="E106" s="13">
        <v>1</v>
      </c>
      <c r="F106" s="13">
        <v>1</v>
      </c>
      <c r="G106" s="13">
        <v>1</v>
      </c>
      <c r="H106" s="13" t="s">
        <v>43</v>
      </c>
      <c r="I106" s="13" t="s">
        <v>43</v>
      </c>
      <c r="J106" s="13" t="s">
        <v>43</v>
      </c>
      <c r="K106" s="20"/>
      <c r="L106" s="20"/>
      <c r="M106" s="20"/>
      <c r="N106" s="20"/>
      <c r="O106" s="20"/>
      <c r="P106" s="13" t="s">
        <v>148</v>
      </c>
      <c r="Q106" s="15" t="s">
        <v>56</v>
      </c>
      <c r="R106" s="15"/>
      <c r="T106" s="15" t="s">
        <v>758</v>
      </c>
      <c r="U106" s="38" t="s">
        <v>59</v>
      </c>
      <c r="V106" s="31" t="s">
        <v>59</v>
      </c>
      <c r="W106" s="25" t="s">
        <v>759</v>
      </c>
      <c r="X106" s="25" t="s">
        <v>59</v>
      </c>
      <c r="Y106" s="25" t="s">
        <v>59</v>
      </c>
      <c r="Z106" s="13" t="s">
        <v>219</v>
      </c>
      <c r="AA106" s="13"/>
      <c r="AB106" s="19" t="s">
        <v>76</v>
      </c>
      <c r="AC106" s="26" t="s">
        <v>437</v>
      </c>
      <c r="AD106" s="15" t="s">
        <v>59</v>
      </c>
      <c r="AE106" s="27" t="s">
        <v>67</v>
      </c>
      <c r="AF106" s="27" t="s">
        <v>67</v>
      </c>
      <c r="AG106" t="s">
        <v>760</v>
      </c>
      <c r="AH106" t="s">
        <v>760</v>
      </c>
      <c r="AI106" s="18" t="s">
        <v>68</v>
      </c>
      <c r="AJ106" s="23" t="s">
        <v>760</v>
      </c>
      <c r="AK106" s="15" t="s">
        <v>765</v>
      </c>
      <c r="AL106" s="15" t="s">
        <v>766</v>
      </c>
      <c r="AM106" s="64" t="s">
        <v>767</v>
      </c>
      <c r="AN106" s="30" t="s">
        <v>73</v>
      </c>
      <c r="AO106" s="30"/>
      <c r="AP106" s="64" t="s">
        <v>768</v>
      </c>
      <c r="AQ106" s="30" t="s">
        <v>73</v>
      </c>
      <c r="AR106" s="15" t="s">
        <v>308</v>
      </c>
    </row>
    <row r="107" spans="1:45" ht="15" customHeight="1" x14ac:dyDescent="0.25">
      <c r="A107" s="15">
        <v>10</v>
      </c>
      <c r="B107" s="15" t="s">
        <v>769</v>
      </c>
      <c r="C107" s="15" t="s">
        <v>227</v>
      </c>
      <c r="D107" s="13" t="s">
        <v>42</v>
      </c>
      <c r="E107" s="13">
        <v>1</v>
      </c>
      <c r="F107" s="13">
        <v>1</v>
      </c>
      <c r="G107" s="13">
        <v>1</v>
      </c>
      <c r="H107" s="13" t="s">
        <v>43</v>
      </c>
      <c r="I107" s="13" t="s">
        <v>43</v>
      </c>
      <c r="J107" s="13" t="s">
        <v>43</v>
      </c>
      <c r="K107" s="20"/>
      <c r="L107" s="20"/>
      <c r="M107" s="20"/>
      <c r="N107" s="20"/>
      <c r="O107" s="20"/>
      <c r="P107" s="13" t="s">
        <v>55</v>
      </c>
      <c r="Q107" s="13" t="s">
        <v>56</v>
      </c>
      <c r="R107" s="103" t="s">
        <v>944</v>
      </c>
      <c r="S107" s="15" t="s">
        <v>175</v>
      </c>
      <c r="T107" s="15" t="s">
        <v>758</v>
      </c>
      <c r="U107" s="33" t="s">
        <v>59</v>
      </c>
      <c r="V107" s="31" t="s">
        <v>59</v>
      </c>
      <c r="W107" s="25" t="s">
        <v>759</v>
      </c>
      <c r="X107" s="25" t="s">
        <v>59</v>
      </c>
      <c r="Y107" s="25" t="s">
        <v>59</v>
      </c>
      <c r="Z107" s="13" t="s">
        <v>63</v>
      </c>
      <c r="AA107" s="108" t="s">
        <v>991</v>
      </c>
      <c r="AB107" s="17" t="s">
        <v>723</v>
      </c>
      <c r="AC107" s="113" t="s">
        <v>437</v>
      </c>
      <c r="AD107" s="15" t="s">
        <v>59</v>
      </c>
      <c r="AE107" s="114" t="s">
        <v>67</v>
      </c>
      <c r="AF107" s="114" t="s">
        <v>67</v>
      </c>
      <c r="AG107" t="s">
        <v>1037</v>
      </c>
      <c r="AH107" t="s">
        <v>1037</v>
      </c>
      <c r="AI107" s="18" t="s">
        <v>68</v>
      </c>
      <c r="AJ107" s="15" t="s">
        <v>770</v>
      </c>
      <c r="AK107" s="15" t="s">
        <v>771</v>
      </c>
      <c r="AL107" s="15" t="s">
        <v>772</v>
      </c>
      <c r="AM107" s="29" t="s">
        <v>1076</v>
      </c>
      <c r="AN107" s="13" t="s">
        <v>113</v>
      </c>
      <c r="AO107" s="111" t="s">
        <v>1221</v>
      </c>
      <c r="AP107" s="28" t="s">
        <v>773</v>
      </c>
      <c r="AQ107" s="30" t="s">
        <v>113</v>
      </c>
    </row>
    <row r="108" spans="1:45" ht="15" customHeight="1" x14ac:dyDescent="0.25">
      <c r="A108" s="15">
        <v>10</v>
      </c>
      <c r="B108" s="15" t="s">
        <v>774</v>
      </c>
      <c r="C108" s="15" t="s">
        <v>227</v>
      </c>
      <c r="D108" s="13" t="s">
        <v>42</v>
      </c>
      <c r="E108" s="13">
        <v>1</v>
      </c>
      <c r="F108" s="13">
        <v>1</v>
      </c>
      <c r="G108" s="13">
        <v>1</v>
      </c>
      <c r="H108" s="13" t="s">
        <v>43</v>
      </c>
      <c r="I108" s="13" t="s">
        <v>43</v>
      </c>
      <c r="J108" s="13" t="s">
        <v>43</v>
      </c>
      <c r="K108" s="20"/>
      <c r="L108" s="20"/>
      <c r="M108" s="20"/>
      <c r="N108" s="20"/>
      <c r="O108" s="20"/>
      <c r="P108" s="13" t="s">
        <v>55</v>
      </c>
      <c r="Q108" s="13" t="s">
        <v>56</v>
      </c>
      <c r="R108" s="103" t="s">
        <v>944</v>
      </c>
      <c r="S108" s="15" t="s">
        <v>175</v>
      </c>
      <c r="T108" s="38">
        <v>10.8</v>
      </c>
      <c r="U108" s="33" t="s">
        <v>175</v>
      </c>
      <c r="V108" s="31" t="s">
        <v>59</v>
      </c>
      <c r="W108" s="25" t="s">
        <v>775</v>
      </c>
      <c r="X108" s="25" t="s">
        <v>739</v>
      </c>
      <c r="Y108" s="25" t="s">
        <v>776</v>
      </c>
      <c r="Z108" s="13" t="s">
        <v>219</v>
      </c>
      <c r="AA108" s="108" t="s">
        <v>1107</v>
      </c>
      <c r="AB108" s="17" t="s">
        <v>723</v>
      </c>
      <c r="AC108" s="113" t="s">
        <v>437</v>
      </c>
      <c r="AD108" s="15" t="s">
        <v>59</v>
      </c>
      <c r="AE108" s="114" t="s">
        <v>67</v>
      </c>
      <c r="AF108" s="114" t="s">
        <v>67</v>
      </c>
      <c r="AG108" t="s">
        <v>1037</v>
      </c>
      <c r="AH108" t="s">
        <v>1037</v>
      </c>
      <c r="AI108" s="18" t="s">
        <v>68</v>
      </c>
      <c r="AJ108" s="23" t="s">
        <v>777</v>
      </c>
      <c r="AK108" s="15" t="s">
        <v>778</v>
      </c>
      <c r="AL108" s="15" t="s">
        <v>779</v>
      </c>
      <c r="AM108" s="29" t="s">
        <v>1077</v>
      </c>
      <c r="AN108" s="13" t="s">
        <v>73</v>
      </c>
      <c r="AO108" s="111" t="s">
        <v>1224</v>
      </c>
      <c r="AP108" s="28" t="s">
        <v>780</v>
      </c>
      <c r="AQ108" s="30" t="s">
        <v>73</v>
      </c>
    </row>
    <row r="109" spans="1:45" ht="15" customHeight="1" x14ac:dyDescent="0.25">
      <c r="A109" s="15">
        <v>1</v>
      </c>
      <c r="B109" s="15" t="s">
        <v>781</v>
      </c>
      <c r="C109" s="15" t="s">
        <v>227</v>
      </c>
      <c r="D109" s="13" t="s">
        <v>42</v>
      </c>
      <c r="E109" s="13">
        <v>1</v>
      </c>
      <c r="F109" s="13">
        <v>1</v>
      </c>
      <c r="G109" s="13">
        <v>1</v>
      </c>
      <c r="H109" s="13" t="s">
        <v>43</v>
      </c>
      <c r="I109" s="13" t="s">
        <v>43</v>
      </c>
      <c r="J109" s="13" t="s">
        <v>43</v>
      </c>
      <c r="K109" s="20"/>
      <c r="L109" s="20"/>
      <c r="M109" s="20"/>
      <c r="N109" s="20"/>
      <c r="O109" s="20"/>
      <c r="P109" s="13" t="s">
        <v>84</v>
      </c>
      <c r="Q109" s="13" t="s">
        <v>56</v>
      </c>
      <c r="R109" s="103" t="s">
        <v>953</v>
      </c>
      <c r="S109" s="15" t="s">
        <v>175</v>
      </c>
      <c r="T109" s="38">
        <v>9.3000000000000007</v>
      </c>
      <c r="U109" s="33" t="s">
        <v>175</v>
      </c>
      <c r="V109" s="31" t="s">
        <v>59</v>
      </c>
      <c r="W109" s="25" t="s">
        <v>782</v>
      </c>
      <c r="X109" s="25" t="s">
        <v>739</v>
      </c>
      <c r="Y109" s="25" t="s">
        <v>783</v>
      </c>
      <c r="Z109" s="13" t="s">
        <v>1069</v>
      </c>
      <c r="AA109" s="108" t="s">
        <v>976</v>
      </c>
      <c r="AB109" s="17" t="s">
        <v>723</v>
      </c>
      <c r="AC109" s="113" t="s">
        <v>437</v>
      </c>
      <c r="AD109" s="15" t="s">
        <v>59</v>
      </c>
      <c r="AE109" s="114" t="s">
        <v>67</v>
      </c>
      <c r="AF109" s="114" t="s">
        <v>67</v>
      </c>
      <c r="AG109" t="s">
        <v>1038</v>
      </c>
      <c r="AH109" t="s">
        <v>1038</v>
      </c>
      <c r="AI109" s="18" t="s">
        <v>68</v>
      </c>
      <c r="AJ109" s="15" t="s">
        <v>784</v>
      </c>
      <c r="AK109" s="15" t="s">
        <v>785</v>
      </c>
      <c r="AL109" s="15" t="s">
        <v>786</v>
      </c>
      <c r="AM109" s="29" t="s">
        <v>787</v>
      </c>
      <c r="AN109" s="13" t="s">
        <v>94</v>
      </c>
      <c r="AO109" s="111" t="s">
        <v>787</v>
      </c>
      <c r="AP109" s="28" t="s">
        <v>788</v>
      </c>
      <c r="AQ109" s="30" t="s">
        <v>94</v>
      </c>
    </row>
    <row r="110" spans="1:45" ht="15" hidden="1" customHeight="1" x14ac:dyDescent="0.25">
      <c r="A110" s="15">
        <v>0</v>
      </c>
      <c r="B110" s="15" t="s">
        <v>789</v>
      </c>
      <c r="C110" s="15" t="s">
        <v>227</v>
      </c>
      <c r="D110" s="15" t="s">
        <v>42</v>
      </c>
      <c r="E110" s="13">
        <v>1</v>
      </c>
      <c r="F110" s="13">
        <v>1</v>
      </c>
      <c r="G110" s="13">
        <v>1</v>
      </c>
      <c r="H110" s="13" t="s">
        <v>43</v>
      </c>
      <c r="I110" s="13" t="s">
        <v>43</v>
      </c>
      <c r="J110" s="13" t="s">
        <v>43</v>
      </c>
      <c r="K110" s="20"/>
      <c r="L110" s="20"/>
      <c r="M110" s="20"/>
      <c r="N110" s="20"/>
      <c r="O110" s="20"/>
      <c r="P110" s="13" t="s">
        <v>55</v>
      </c>
      <c r="Q110" s="15" t="s">
        <v>56</v>
      </c>
      <c r="R110" s="15"/>
      <c r="T110" s="15" t="s">
        <v>76</v>
      </c>
      <c r="U110" s="38" t="s">
        <v>59</v>
      </c>
      <c r="V110" s="31" t="s">
        <v>59</v>
      </c>
      <c r="W110" s="25" t="s">
        <v>76</v>
      </c>
      <c r="X110" s="25" t="s">
        <v>59</v>
      </c>
      <c r="Y110" s="25" t="s">
        <v>59</v>
      </c>
      <c r="Z110" s="13" t="s">
        <v>219</v>
      </c>
      <c r="AA110" s="13"/>
      <c r="AB110" s="19" t="s">
        <v>76</v>
      </c>
      <c r="AC110" s="26" t="s">
        <v>437</v>
      </c>
      <c r="AD110" s="15" t="s">
        <v>59</v>
      </c>
      <c r="AE110" s="27" t="s">
        <v>67</v>
      </c>
      <c r="AF110" s="27" t="s">
        <v>67</v>
      </c>
      <c r="AG110" t="s">
        <v>784</v>
      </c>
      <c r="AH110" t="s">
        <v>784</v>
      </c>
      <c r="AI110" s="18" t="s">
        <v>68</v>
      </c>
      <c r="AJ110" s="15" t="s">
        <v>784</v>
      </c>
      <c r="AK110" s="15" t="s">
        <v>785</v>
      </c>
      <c r="AL110" s="15" t="s">
        <v>786</v>
      </c>
      <c r="AM110" s="29" t="s">
        <v>787</v>
      </c>
      <c r="AN110" s="30" t="s">
        <v>94</v>
      </c>
      <c r="AO110" s="30"/>
      <c r="AP110" s="28" t="s">
        <v>788</v>
      </c>
      <c r="AQ110" s="30" t="s">
        <v>94</v>
      </c>
    </row>
    <row r="111" spans="1:45" ht="15" customHeight="1" x14ac:dyDescent="0.25">
      <c r="A111" s="15">
        <v>10</v>
      </c>
      <c r="B111" s="15" t="s">
        <v>790</v>
      </c>
      <c r="C111" s="15" t="s">
        <v>227</v>
      </c>
      <c r="D111" s="13" t="s">
        <v>42</v>
      </c>
      <c r="E111" s="13">
        <v>1</v>
      </c>
      <c r="F111" s="13">
        <v>1</v>
      </c>
      <c r="G111" s="13">
        <v>1</v>
      </c>
      <c r="H111" s="13" t="s">
        <v>43</v>
      </c>
      <c r="I111" s="13" t="s">
        <v>43</v>
      </c>
      <c r="J111" s="13" t="s">
        <v>43</v>
      </c>
      <c r="K111" s="20"/>
      <c r="L111" s="20"/>
      <c r="M111" s="20"/>
      <c r="N111" s="20"/>
      <c r="O111" s="20"/>
      <c r="P111" s="13" t="s">
        <v>55</v>
      </c>
      <c r="Q111" s="13" t="s">
        <v>56</v>
      </c>
      <c r="R111" s="103" t="s">
        <v>953</v>
      </c>
      <c r="S111" s="15" t="s">
        <v>175</v>
      </c>
      <c r="T111" s="38">
        <v>8.6999999999999993</v>
      </c>
      <c r="U111" s="33" t="s">
        <v>175</v>
      </c>
      <c r="V111" s="31" t="s">
        <v>59</v>
      </c>
      <c r="W111" s="25" t="s">
        <v>791</v>
      </c>
      <c r="X111" s="25" t="s">
        <v>739</v>
      </c>
      <c r="Y111" s="25" t="s">
        <v>792</v>
      </c>
      <c r="Z111" s="13" t="s">
        <v>219</v>
      </c>
      <c r="AA111" s="108" t="s">
        <v>1107</v>
      </c>
      <c r="AB111" s="17" t="s">
        <v>723</v>
      </c>
      <c r="AC111" s="113" t="s">
        <v>437</v>
      </c>
      <c r="AD111" s="15" t="s">
        <v>59</v>
      </c>
      <c r="AE111" s="114" t="s">
        <v>67</v>
      </c>
      <c r="AF111" s="114" t="s">
        <v>67</v>
      </c>
      <c r="AG111" t="s">
        <v>1039</v>
      </c>
      <c r="AH111" t="s">
        <v>1039</v>
      </c>
      <c r="AI111" s="18" t="s">
        <v>68</v>
      </c>
      <c r="AJ111" s="15" t="s">
        <v>793</v>
      </c>
      <c r="AK111" s="15" t="s">
        <v>794</v>
      </c>
      <c r="AL111" s="15" t="s">
        <v>795</v>
      </c>
      <c r="AM111" s="29" t="s">
        <v>796</v>
      </c>
      <c r="AN111" s="13" t="s">
        <v>73</v>
      </c>
      <c r="AO111" s="111" t="s">
        <v>796</v>
      </c>
      <c r="AP111" s="28" t="s">
        <v>797</v>
      </c>
      <c r="AQ111" s="30" t="s">
        <v>73</v>
      </c>
    </row>
    <row r="112" spans="1:45" ht="15" customHeight="1" x14ac:dyDescent="0.25">
      <c r="A112" s="15">
        <v>1</v>
      </c>
      <c r="B112" s="15" t="s">
        <v>798</v>
      </c>
      <c r="C112" s="15" t="s">
        <v>54</v>
      </c>
      <c r="D112" s="13" t="s">
        <v>41</v>
      </c>
      <c r="E112" s="13">
        <v>2</v>
      </c>
      <c r="F112" s="13">
        <v>2</v>
      </c>
      <c r="G112" s="13">
        <v>2</v>
      </c>
      <c r="H112" s="13" t="s">
        <v>42</v>
      </c>
      <c r="I112" s="13" t="s">
        <v>42</v>
      </c>
      <c r="J112" s="13" t="s">
        <v>42</v>
      </c>
      <c r="K112" s="20"/>
      <c r="L112" s="20"/>
      <c r="M112" s="20"/>
      <c r="N112" s="20"/>
      <c r="O112" s="20"/>
      <c r="P112" s="13" t="s">
        <v>84</v>
      </c>
      <c r="Q112" s="13" t="s">
        <v>56</v>
      </c>
      <c r="R112" s="103" t="s">
        <v>957</v>
      </c>
      <c r="S112" s="15" t="s">
        <v>175</v>
      </c>
      <c r="T112" s="38">
        <v>9.6</v>
      </c>
      <c r="U112" s="33" t="s">
        <v>175</v>
      </c>
      <c r="V112" s="31" t="s">
        <v>59</v>
      </c>
      <c r="W112" s="25" t="s">
        <v>799</v>
      </c>
      <c r="X112" s="25" t="s">
        <v>739</v>
      </c>
      <c r="Y112" s="25" t="s">
        <v>800</v>
      </c>
      <c r="Z112" s="13" t="s">
        <v>884</v>
      </c>
      <c r="AA112" s="108" t="s">
        <v>973</v>
      </c>
      <c r="AB112" s="17" t="s">
        <v>723</v>
      </c>
      <c r="AC112" s="113" t="s">
        <v>437</v>
      </c>
      <c r="AD112" s="15" t="s">
        <v>59</v>
      </c>
      <c r="AE112" s="114" t="s">
        <v>67</v>
      </c>
      <c r="AF112" s="114" t="s">
        <v>67</v>
      </c>
      <c r="AG112" t="s">
        <v>1037</v>
      </c>
      <c r="AH112" t="s">
        <v>1037</v>
      </c>
      <c r="AI112" s="18" t="s">
        <v>68</v>
      </c>
      <c r="AJ112" s="15" t="s">
        <v>801</v>
      </c>
      <c r="AK112" s="15" t="s">
        <v>802</v>
      </c>
      <c r="AL112" s="15" t="s">
        <v>803</v>
      </c>
      <c r="AM112" s="29" t="s">
        <v>804</v>
      </c>
      <c r="AN112" s="13" t="s">
        <v>113</v>
      </c>
      <c r="AO112" s="111" t="s">
        <v>804</v>
      </c>
      <c r="AP112" s="28" t="s">
        <v>805</v>
      </c>
      <c r="AQ112" s="30" t="s">
        <v>73</v>
      </c>
    </row>
    <row r="113" spans="1:44" ht="15" hidden="1" customHeight="1" x14ac:dyDescent="0.25">
      <c r="A113" s="15">
        <v>0</v>
      </c>
      <c r="B113" s="15" t="s">
        <v>806</v>
      </c>
      <c r="C113" s="15" t="s">
        <v>54</v>
      </c>
      <c r="D113" s="15" t="s">
        <v>41</v>
      </c>
      <c r="E113" s="13">
        <v>2</v>
      </c>
      <c r="F113" s="13">
        <v>2</v>
      </c>
      <c r="G113" s="13">
        <v>2</v>
      </c>
      <c r="H113" s="13" t="s">
        <v>42</v>
      </c>
      <c r="I113" s="13" t="s">
        <v>42</v>
      </c>
      <c r="J113" s="13" t="s">
        <v>42</v>
      </c>
      <c r="K113" s="20"/>
      <c r="L113" s="20"/>
      <c r="M113" s="20"/>
      <c r="N113" s="20"/>
      <c r="O113" s="20"/>
      <c r="P113" s="13" t="s">
        <v>55</v>
      </c>
      <c r="Q113" s="15" t="s">
        <v>56</v>
      </c>
      <c r="R113" s="15"/>
      <c r="T113" s="15" t="s">
        <v>76</v>
      </c>
      <c r="U113" s="38" t="s">
        <v>59</v>
      </c>
      <c r="V113" s="31" t="s">
        <v>59</v>
      </c>
      <c r="W113" s="25" t="s">
        <v>76</v>
      </c>
      <c r="X113" s="25" t="s">
        <v>59</v>
      </c>
      <c r="Y113" s="25" t="s">
        <v>59</v>
      </c>
      <c r="Z113" s="13" t="s">
        <v>219</v>
      </c>
      <c r="AA113" s="13"/>
      <c r="AB113" s="19" t="s">
        <v>76</v>
      </c>
      <c r="AC113" s="26" t="s">
        <v>437</v>
      </c>
      <c r="AD113" s="15" t="s">
        <v>59</v>
      </c>
      <c r="AE113" s="27" t="s">
        <v>67</v>
      </c>
      <c r="AF113" s="27" t="s">
        <v>67</v>
      </c>
      <c r="AG113" t="s">
        <v>801</v>
      </c>
      <c r="AH113" t="s">
        <v>801</v>
      </c>
      <c r="AI113" s="18" t="s">
        <v>68</v>
      </c>
      <c r="AJ113" s="15" t="s">
        <v>801</v>
      </c>
      <c r="AK113" s="15" t="s">
        <v>807</v>
      </c>
      <c r="AL113" s="15" t="s">
        <v>808</v>
      </c>
      <c r="AM113" s="61" t="s">
        <v>809</v>
      </c>
      <c r="AN113" s="30" t="s">
        <v>94</v>
      </c>
      <c r="AO113" s="30"/>
      <c r="AP113" s="61" t="s">
        <v>810</v>
      </c>
      <c r="AQ113" s="30" t="s">
        <v>113</v>
      </c>
      <c r="AR113" s="15" t="s">
        <v>308</v>
      </c>
    </row>
    <row r="114" spans="1:44" ht="15" customHeight="1" x14ac:dyDescent="0.25">
      <c r="A114" s="15">
        <v>10</v>
      </c>
      <c r="B114" s="15" t="s">
        <v>811</v>
      </c>
      <c r="C114" s="15" t="s">
        <v>54</v>
      </c>
      <c r="D114" s="13" t="s">
        <v>41</v>
      </c>
      <c r="E114" s="13">
        <v>2</v>
      </c>
      <c r="F114" s="13">
        <v>2</v>
      </c>
      <c r="G114" s="13">
        <v>2</v>
      </c>
      <c r="H114" s="13" t="s">
        <v>42</v>
      </c>
      <c r="I114" s="13" t="s">
        <v>42</v>
      </c>
      <c r="J114" s="13" t="s">
        <v>42</v>
      </c>
      <c r="K114" s="20"/>
      <c r="L114" s="20"/>
      <c r="M114" s="20"/>
      <c r="N114" s="20"/>
      <c r="O114" s="20"/>
      <c r="P114" s="13" t="s">
        <v>55</v>
      </c>
      <c r="Q114" s="13" t="s">
        <v>56</v>
      </c>
      <c r="R114" s="103" t="s">
        <v>998</v>
      </c>
      <c r="S114" s="15" t="s">
        <v>175</v>
      </c>
      <c r="T114" s="38">
        <v>12.13</v>
      </c>
      <c r="U114" s="33" t="s">
        <v>175</v>
      </c>
      <c r="V114" s="31" t="s">
        <v>59</v>
      </c>
      <c r="W114" s="25" t="s">
        <v>812</v>
      </c>
      <c r="X114" s="25" t="s">
        <v>813</v>
      </c>
      <c r="Y114" s="25" t="s">
        <v>814</v>
      </c>
      <c r="Z114" s="13" t="s">
        <v>219</v>
      </c>
      <c r="AA114" s="108"/>
      <c r="AB114" s="17" t="s">
        <v>723</v>
      </c>
      <c r="AC114" s="113" t="s">
        <v>437</v>
      </c>
      <c r="AD114" s="15" t="s">
        <v>59</v>
      </c>
      <c r="AE114" s="114" t="s">
        <v>67</v>
      </c>
      <c r="AF114" s="114" t="s">
        <v>67</v>
      </c>
      <c r="AG114" t="s">
        <v>1037</v>
      </c>
      <c r="AH114" t="s">
        <v>1037</v>
      </c>
      <c r="AI114" s="18" t="s">
        <v>68</v>
      </c>
      <c r="AJ114" s="15" t="s">
        <v>815</v>
      </c>
      <c r="AK114" s="15" t="s">
        <v>816</v>
      </c>
      <c r="AL114" s="15" t="s">
        <v>817</v>
      </c>
      <c r="AM114" s="29" t="s">
        <v>818</v>
      </c>
      <c r="AN114" s="13" t="s">
        <v>94</v>
      </c>
      <c r="AO114" s="111" t="s">
        <v>818</v>
      </c>
      <c r="AP114" s="28" t="s">
        <v>819</v>
      </c>
      <c r="AQ114" s="30" t="s">
        <v>113</v>
      </c>
    </row>
    <row r="115" spans="1:44" ht="15" customHeight="1" x14ac:dyDescent="0.25">
      <c r="A115" s="15">
        <v>1</v>
      </c>
      <c r="B115" s="15" t="s">
        <v>820</v>
      </c>
      <c r="C115" s="15" t="s">
        <v>227</v>
      </c>
      <c r="D115" s="13" t="s">
        <v>42</v>
      </c>
      <c r="E115" s="13">
        <v>1</v>
      </c>
      <c r="F115" s="13">
        <v>1</v>
      </c>
      <c r="G115" s="13">
        <v>1</v>
      </c>
      <c r="H115" s="13" t="s">
        <v>43</v>
      </c>
      <c r="I115" s="13" t="s">
        <v>43</v>
      </c>
      <c r="J115" s="13" t="s">
        <v>43</v>
      </c>
      <c r="K115" s="20"/>
      <c r="L115" s="20"/>
      <c r="M115" s="20"/>
      <c r="N115" s="20"/>
      <c r="O115" s="20"/>
      <c r="P115" s="13" t="s">
        <v>55</v>
      </c>
      <c r="Q115" s="13" t="s">
        <v>56</v>
      </c>
      <c r="R115" s="103" t="s">
        <v>999</v>
      </c>
      <c r="S115" s="15" t="s">
        <v>175</v>
      </c>
      <c r="T115" s="38">
        <v>81.7</v>
      </c>
      <c r="U115" s="33" t="s">
        <v>175</v>
      </c>
      <c r="V115" s="31" t="s">
        <v>59</v>
      </c>
      <c r="W115" s="25" t="s">
        <v>821</v>
      </c>
      <c r="X115" s="25" t="s">
        <v>822</v>
      </c>
      <c r="Y115" s="52" t="s">
        <v>823</v>
      </c>
      <c r="Z115" s="13" t="s">
        <v>884</v>
      </c>
      <c r="AA115" s="108" t="s">
        <v>1231</v>
      </c>
      <c r="AB115" s="17" t="s">
        <v>723</v>
      </c>
      <c r="AC115" s="113" t="s">
        <v>87</v>
      </c>
      <c r="AD115" s="15" t="s">
        <v>59</v>
      </c>
      <c r="AE115" s="114" t="s">
        <v>67</v>
      </c>
      <c r="AF115" s="114" t="s">
        <v>450</v>
      </c>
      <c r="AG115" t="s">
        <v>1058</v>
      </c>
      <c r="AH115" t="s">
        <v>1040</v>
      </c>
      <c r="AI115" s="88" t="s">
        <v>824</v>
      </c>
      <c r="AJ115" s="12" t="s">
        <v>825</v>
      </c>
      <c r="AK115" s="24" t="s">
        <v>826</v>
      </c>
      <c r="AL115" s="24" t="s">
        <v>827</v>
      </c>
      <c r="AM115" s="29" t="s">
        <v>828</v>
      </c>
      <c r="AN115" s="13" t="s">
        <v>94</v>
      </c>
      <c r="AO115" s="111" t="s">
        <v>828</v>
      </c>
      <c r="AP115" s="75" t="s">
        <v>829</v>
      </c>
      <c r="AQ115" s="30" t="s">
        <v>94</v>
      </c>
    </row>
    <row r="116" spans="1:44" ht="15" hidden="1" customHeight="1" x14ac:dyDescent="0.25">
      <c r="A116" s="15">
        <v>0</v>
      </c>
      <c r="B116" s="15" t="s">
        <v>830</v>
      </c>
      <c r="C116" s="15" t="s">
        <v>227</v>
      </c>
      <c r="D116" s="15" t="s">
        <v>42</v>
      </c>
      <c r="E116" s="13">
        <v>1</v>
      </c>
      <c r="F116" s="13">
        <v>1</v>
      </c>
      <c r="G116" s="13">
        <v>1</v>
      </c>
      <c r="H116" s="13" t="s">
        <v>43</v>
      </c>
      <c r="I116" s="13" t="s">
        <v>43</v>
      </c>
      <c r="J116" s="13" t="s">
        <v>43</v>
      </c>
      <c r="K116" s="20"/>
      <c r="L116" s="20"/>
      <c r="M116" s="20"/>
      <c r="N116" s="20"/>
      <c r="O116" s="20"/>
      <c r="P116" s="13" t="s">
        <v>55</v>
      </c>
      <c r="Q116" s="15" t="s">
        <v>56</v>
      </c>
      <c r="R116" s="15"/>
      <c r="T116" s="15" t="s">
        <v>76</v>
      </c>
      <c r="U116" s="38" t="s">
        <v>59</v>
      </c>
      <c r="V116" s="31" t="s">
        <v>59</v>
      </c>
      <c r="W116" s="25" t="s">
        <v>76</v>
      </c>
      <c r="X116" s="25" t="s">
        <v>59</v>
      </c>
      <c r="Y116" s="25" t="s">
        <v>59</v>
      </c>
      <c r="Z116" s="13" t="s">
        <v>219</v>
      </c>
      <c r="AA116" s="13"/>
      <c r="AB116" s="19" t="s">
        <v>76</v>
      </c>
      <c r="AC116" s="87" t="s">
        <v>87</v>
      </c>
      <c r="AD116" s="15" t="s">
        <v>59</v>
      </c>
      <c r="AE116" s="27" t="s">
        <v>67</v>
      </c>
      <c r="AF116" s="27" t="s">
        <v>450</v>
      </c>
      <c r="AG116" t="s">
        <v>831</v>
      </c>
      <c r="AH116" t="s">
        <v>831</v>
      </c>
      <c r="AI116" s="88" t="s">
        <v>824</v>
      </c>
      <c r="AJ116" s="12" t="s">
        <v>831</v>
      </c>
      <c r="AK116" s="24" t="s">
        <v>832</v>
      </c>
      <c r="AL116" s="24" t="s">
        <v>833</v>
      </c>
      <c r="AM116" s="61" t="s">
        <v>834</v>
      </c>
      <c r="AN116" s="30" t="s">
        <v>94</v>
      </c>
      <c r="AO116" s="30"/>
      <c r="AP116" s="61" t="s">
        <v>835</v>
      </c>
      <c r="AQ116" s="30" t="s">
        <v>73</v>
      </c>
      <c r="AR116" s="15" t="s">
        <v>308</v>
      </c>
    </row>
    <row r="117" spans="1:44" ht="15" hidden="1" customHeight="1" x14ac:dyDescent="0.25">
      <c r="B117" s="16" t="s">
        <v>836</v>
      </c>
      <c r="H117" s="13"/>
      <c r="I117" s="13"/>
      <c r="J117" s="13"/>
      <c r="K117" s="20"/>
      <c r="L117" s="20"/>
      <c r="M117" s="20"/>
      <c r="N117" s="20"/>
      <c r="O117" s="20"/>
      <c r="P117" s="13"/>
      <c r="R117" s="15"/>
      <c r="T117" s="33"/>
      <c r="U117" s="31"/>
      <c r="V117" s="31"/>
      <c r="Z117" s="13"/>
      <c r="AA117" s="13"/>
      <c r="AB117" s="17"/>
      <c r="AC117" s="17"/>
      <c r="AG117">
        <v>0</v>
      </c>
      <c r="AH117">
        <v>0</v>
      </c>
      <c r="AM117" s="15"/>
      <c r="AN117" s="15"/>
      <c r="AO117" s="15"/>
      <c r="AQ117" s="15"/>
    </row>
    <row r="118" spans="1:44" ht="15" customHeight="1" x14ac:dyDescent="0.25">
      <c r="A118" s="15">
        <v>1</v>
      </c>
      <c r="B118" s="15" t="s">
        <v>837</v>
      </c>
      <c r="C118" s="15" t="s">
        <v>463</v>
      </c>
      <c r="D118" s="13" t="s">
        <v>43</v>
      </c>
      <c r="E118" s="13">
        <v>1</v>
      </c>
      <c r="F118" s="13">
        <v>1</v>
      </c>
      <c r="G118" s="13">
        <v>1</v>
      </c>
      <c r="H118" s="13" t="s">
        <v>43</v>
      </c>
      <c r="I118" s="13" t="s">
        <v>43</v>
      </c>
      <c r="J118" s="13" t="s">
        <v>43</v>
      </c>
      <c r="K118" s="20"/>
      <c r="L118" s="20"/>
      <c r="M118" s="20"/>
      <c r="N118" s="20"/>
      <c r="O118" s="20"/>
      <c r="P118" s="13" t="s">
        <v>55</v>
      </c>
      <c r="Q118" s="13" t="s">
        <v>174</v>
      </c>
      <c r="R118" s="103" t="s">
        <v>969</v>
      </c>
      <c r="T118" s="33" t="s">
        <v>838</v>
      </c>
      <c r="U118" s="33" t="s">
        <v>695</v>
      </c>
      <c r="V118" s="31" t="s">
        <v>59</v>
      </c>
      <c r="W118" s="25" t="s">
        <v>839</v>
      </c>
      <c r="X118" s="25" t="s">
        <v>840</v>
      </c>
      <c r="Y118" s="25" t="s">
        <v>841</v>
      </c>
      <c r="Z118" s="13" t="s">
        <v>219</v>
      </c>
      <c r="AA118" s="108" t="s">
        <v>1107</v>
      </c>
      <c r="AB118" s="17" t="s">
        <v>842</v>
      </c>
      <c r="AC118" s="113" t="s">
        <v>87</v>
      </c>
      <c r="AD118" s="15" t="s">
        <v>59</v>
      </c>
      <c r="AE118" s="114" t="s">
        <v>67</v>
      </c>
      <c r="AF118" s="114" t="s">
        <v>450</v>
      </c>
      <c r="AG118"/>
      <c r="AH118" t="s">
        <v>1041</v>
      </c>
      <c r="AI118" s="66" t="s">
        <v>68</v>
      </c>
      <c r="AJ118" s="23" t="s">
        <v>843</v>
      </c>
      <c r="AK118" s="24" t="s">
        <v>355</v>
      </c>
      <c r="AL118" s="15" t="s">
        <v>844</v>
      </c>
      <c r="AM118" s="29" t="s">
        <v>845</v>
      </c>
      <c r="AN118" s="13" t="s">
        <v>73</v>
      </c>
      <c r="AO118" s="111" t="s">
        <v>1236</v>
      </c>
      <c r="AP118" s="89" t="s">
        <v>846</v>
      </c>
      <c r="AQ118" s="30" t="s">
        <v>73</v>
      </c>
    </row>
    <row r="119" spans="1:44" ht="15" hidden="1" customHeight="1" x14ac:dyDescent="0.25">
      <c r="A119" s="15">
        <v>0</v>
      </c>
      <c r="B119" s="15" t="s">
        <v>847</v>
      </c>
      <c r="C119" s="15" t="s">
        <v>463</v>
      </c>
      <c r="D119" s="15" t="s">
        <v>43</v>
      </c>
      <c r="E119" s="13">
        <v>1</v>
      </c>
      <c r="F119" s="13">
        <v>1</v>
      </c>
      <c r="G119" s="13">
        <v>1</v>
      </c>
      <c r="H119" s="13" t="s">
        <v>43</v>
      </c>
      <c r="I119" s="13" t="s">
        <v>43</v>
      </c>
      <c r="J119" s="13" t="s">
        <v>43</v>
      </c>
      <c r="K119" s="20"/>
      <c r="L119" s="20"/>
      <c r="M119" s="20"/>
      <c r="N119" s="20"/>
      <c r="O119" s="20"/>
      <c r="P119" s="13" t="s">
        <v>55</v>
      </c>
      <c r="Q119" s="15" t="s">
        <v>174</v>
      </c>
      <c r="R119" s="15"/>
      <c r="T119" s="15" t="s">
        <v>76</v>
      </c>
      <c r="U119" s="38" t="s">
        <v>59</v>
      </c>
      <c r="V119" s="31" t="s">
        <v>59</v>
      </c>
      <c r="W119" s="25" t="s">
        <v>76</v>
      </c>
      <c r="X119" s="25" t="s">
        <v>59</v>
      </c>
      <c r="Y119" s="25" t="s">
        <v>59</v>
      </c>
      <c r="Z119" s="13" t="s">
        <v>63</v>
      </c>
      <c r="AA119" s="13"/>
      <c r="AB119" s="17" t="s">
        <v>848</v>
      </c>
      <c r="AC119" s="87" t="s">
        <v>87</v>
      </c>
      <c r="AD119" s="15" t="s">
        <v>59</v>
      </c>
      <c r="AE119" s="27" t="s">
        <v>67</v>
      </c>
      <c r="AF119" s="27" t="s">
        <v>450</v>
      </c>
      <c r="AG119" t="s">
        <v>849</v>
      </c>
      <c r="AH119" t="s">
        <v>849</v>
      </c>
      <c r="AI119" s="66"/>
      <c r="AJ119" s="23" t="s">
        <v>849</v>
      </c>
      <c r="AK119" s="24" t="s">
        <v>355</v>
      </c>
      <c r="AL119" s="15" t="s">
        <v>59</v>
      </c>
      <c r="AM119" s="62" t="s">
        <v>850</v>
      </c>
      <c r="AN119" s="90" t="s">
        <v>113</v>
      </c>
      <c r="AO119" s="90"/>
      <c r="AP119" s="62" t="s">
        <v>851</v>
      </c>
      <c r="AQ119" s="30" t="s">
        <v>113</v>
      </c>
      <c r="AR119" s="15" t="s">
        <v>852</v>
      </c>
    </row>
    <row r="120" spans="1:44" ht="15" customHeight="1" x14ac:dyDescent="0.25">
      <c r="A120" s="15">
        <v>1</v>
      </c>
      <c r="B120" s="15" t="s">
        <v>853</v>
      </c>
      <c r="C120" s="15" t="s">
        <v>463</v>
      </c>
      <c r="D120" s="13" t="s">
        <v>43</v>
      </c>
      <c r="E120" s="13">
        <v>1</v>
      </c>
      <c r="F120" s="13">
        <v>1</v>
      </c>
      <c r="G120" s="13">
        <v>1</v>
      </c>
      <c r="H120" s="13" t="s">
        <v>43</v>
      </c>
      <c r="I120" s="13" t="s">
        <v>43</v>
      </c>
      <c r="J120" s="13" t="s">
        <v>43</v>
      </c>
      <c r="K120" s="20"/>
      <c r="L120" s="20"/>
      <c r="M120" s="20"/>
      <c r="N120" s="20"/>
      <c r="O120" s="20"/>
      <c r="P120" s="13" t="s">
        <v>84</v>
      </c>
      <c r="Q120" s="13" t="s">
        <v>174</v>
      </c>
      <c r="R120" s="103" t="s">
        <v>969</v>
      </c>
      <c r="T120" s="33" t="s">
        <v>838</v>
      </c>
      <c r="U120" s="33" t="s">
        <v>695</v>
      </c>
      <c r="V120" s="31" t="s">
        <v>59</v>
      </c>
      <c r="W120" s="25" t="s">
        <v>839</v>
      </c>
      <c r="X120" s="25" t="s">
        <v>854</v>
      </c>
      <c r="Y120" s="25" t="s">
        <v>855</v>
      </c>
      <c r="Z120" s="13" t="s">
        <v>219</v>
      </c>
      <c r="AA120" s="108" t="s">
        <v>1107</v>
      </c>
      <c r="AB120" s="12" t="s">
        <v>856</v>
      </c>
      <c r="AC120" s="113" t="s">
        <v>87</v>
      </c>
      <c r="AD120" s="15" t="s">
        <v>59</v>
      </c>
      <c r="AE120" s="114" t="s">
        <v>67</v>
      </c>
      <c r="AF120" s="114" t="s">
        <v>450</v>
      </c>
      <c r="AG120"/>
      <c r="AH120" t="s">
        <v>1041</v>
      </c>
      <c r="AI120" s="66" t="s">
        <v>68</v>
      </c>
      <c r="AJ120" s="23" t="s">
        <v>857</v>
      </c>
      <c r="AK120" s="24" t="s">
        <v>858</v>
      </c>
      <c r="AM120" s="29" t="s">
        <v>859</v>
      </c>
      <c r="AN120" s="13" t="s">
        <v>73</v>
      </c>
      <c r="AO120" s="111" t="s">
        <v>1240</v>
      </c>
      <c r="AP120" s="39" t="s">
        <v>860</v>
      </c>
      <c r="AQ120" s="30" t="s">
        <v>73</v>
      </c>
      <c r="AR120" s="15" t="s">
        <v>861</v>
      </c>
    </row>
    <row r="121" spans="1:44" ht="15" customHeight="1" x14ac:dyDescent="0.25">
      <c r="A121" s="15">
        <v>1</v>
      </c>
      <c r="B121" s="15" t="s">
        <v>862</v>
      </c>
      <c r="C121" s="15" t="s">
        <v>463</v>
      </c>
      <c r="D121" s="13" t="s">
        <v>43</v>
      </c>
      <c r="E121" s="13">
        <v>1</v>
      </c>
      <c r="F121" s="13">
        <v>1</v>
      </c>
      <c r="G121" s="13">
        <v>1</v>
      </c>
      <c r="H121" s="13" t="s">
        <v>43</v>
      </c>
      <c r="I121" s="13" t="s">
        <v>43</v>
      </c>
      <c r="J121" s="13" t="s">
        <v>43</v>
      </c>
      <c r="K121" s="20"/>
      <c r="L121" s="20"/>
      <c r="M121" s="20"/>
      <c r="N121" s="20"/>
      <c r="O121" s="20"/>
      <c r="P121" s="13" t="s">
        <v>55</v>
      </c>
      <c r="Q121" s="13" t="s">
        <v>174</v>
      </c>
      <c r="R121" s="103" t="s">
        <v>969</v>
      </c>
      <c r="T121" s="15" t="s">
        <v>863</v>
      </c>
      <c r="U121" s="33" t="s">
        <v>59</v>
      </c>
      <c r="V121" s="31" t="s">
        <v>59</v>
      </c>
      <c r="W121" s="25" t="s">
        <v>864</v>
      </c>
      <c r="X121" s="25" t="s">
        <v>59</v>
      </c>
      <c r="Y121" s="25" t="s">
        <v>59</v>
      </c>
      <c r="Z121" s="13" t="s">
        <v>219</v>
      </c>
      <c r="AA121" s="108" t="s">
        <v>1107</v>
      </c>
      <c r="AB121" s="17" t="s">
        <v>865</v>
      </c>
      <c r="AC121" s="113" t="s">
        <v>87</v>
      </c>
      <c r="AD121" s="15" t="s">
        <v>59</v>
      </c>
      <c r="AE121" s="114" t="s">
        <v>67</v>
      </c>
      <c r="AF121" s="114" t="s">
        <v>450</v>
      </c>
      <c r="AG121"/>
      <c r="AH121" t="s">
        <v>1041</v>
      </c>
      <c r="AI121" s="66" t="s">
        <v>866</v>
      </c>
      <c r="AJ121" s="23" t="s">
        <v>867</v>
      </c>
      <c r="AK121" s="15" t="s">
        <v>355</v>
      </c>
      <c r="AL121" s="15" t="s">
        <v>868</v>
      </c>
      <c r="AM121" s="29" t="s">
        <v>869</v>
      </c>
      <c r="AN121" s="13" t="s">
        <v>73</v>
      </c>
      <c r="AO121" s="111" t="s">
        <v>1097</v>
      </c>
      <c r="AP121" s="51" t="s">
        <v>870</v>
      </c>
      <c r="AQ121" s="30" t="s">
        <v>73</v>
      </c>
      <c r="AR121" s="15" t="s">
        <v>871</v>
      </c>
    </row>
    <row r="122" spans="1:44" ht="15" hidden="1" customHeight="1" x14ac:dyDescent="0.25">
      <c r="A122" s="15">
        <v>0</v>
      </c>
      <c r="B122" s="15" t="s">
        <v>872</v>
      </c>
      <c r="C122" s="15" t="s">
        <v>463</v>
      </c>
      <c r="D122" s="15" t="s">
        <v>43</v>
      </c>
      <c r="E122" s="13">
        <v>1</v>
      </c>
      <c r="F122" s="13">
        <v>1</v>
      </c>
      <c r="G122" s="13">
        <v>1</v>
      </c>
      <c r="H122" s="13" t="s">
        <v>43</v>
      </c>
      <c r="I122" s="13" t="s">
        <v>43</v>
      </c>
      <c r="J122" s="13" t="s">
        <v>43</v>
      </c>
      <c r="K122" s="20"/>
      <c r="L122" s="20"/>
      <c r="M122" s="20"/>
      <c r="N122" s="20"/>
      <c r="O122" s="20"/>
      <c r="P122" s="13" t="s">
        <v>55</v>
      </c>
      <c r="Q122" s="15" t="s">
        <v>174</v>
      </c>
      <c r="R122" s="15"/>
      <c r="T122" s="15" t="s">
        <v>863</v>
      </c>
      <c r="U122" s="38" t="s">
        <v>59</v>
      </c>
      <c r="V122" s="31" t="s">
        <v>59</v>
      </c>
      <c r="W122" s="25" t="s">
        <v>76</v>
      </c>
      <c r="X122" s="25" t="s">
        <v>59</v>
      </c>
      <c r="Y122" s="25" t="s">
        <v>59</v>
      </c>
      <c r="Z122" s="13" t="s">
        <v>63</v>
      </c>
      <c r="AA122" s="13"/>
      <c r="AB122" s="17" t="s">
        <v>873</v>
      </c>
      <c r="AC122" s="87" t="s">
        <v>87</v>
      </c>
      <c r="AD122" s="15" t="s">
        <v>59</v>
      </c>
      <c r="AE122" s="27" t="s">
        <v>67</v>
      </c>
      <c r="AF122" s="27" t="s">
        <v>450</v>
      </c>
      <c r="AG122" t="s">
        <v>874</v>
      </c>
      <c r="AH122" t="s">
        <v>874</v>
      </c>
      <c r="AI122" s="18"/>
      <c r="AJ122" s="23" t="s">
        <v>874</v>
      </c>
      <c r="AK122" s="15" t="s">
        <v>355</v>
      </c>
      <c r="AM122" s="62" t="s">
        <v>875</v>
      </c>
      <c r="AN122" s="30" t="s">
        <v>73</v>
      </c>
      <c r="AO122" s="30"/>
      <c r="AP122" s="62" t="s">
        <v>875</v>
      </c>
      <c r="AQ122" s="30" t="s">
        <v>73</v>
      </c>
      <c r="AR122" s="15" t="s">
        <v>876</v>
      </c>
    </row>
    <row r="123" spans="1:44" ht="15" customHeight="1" x14ac:dyDescent="0.25">
      <c r="A123" s="15">
        <v>1</v>
      </c>
      <c r="B123" s="15" t="s">
        <v>877</v>
      </c>
      <c r="C123" s="44" t="s">
        <v>878</v>
      </c>
      <c r="D123" s="13" t="s">
        <v>42</v>
      </c>
      <c r="E123" s="53">
        <v>2</v>
      </c>
      <c r="F123" s="53">
        <v>3</v>
      </c>
      <c r="G123" s="53">
        <v>5</v>
      </c>
      <c r="H123" s="13" t="s">
        <v>42</v>
      </c>
      <c r="I123" s="13" t="s">
        <v>41</v>
      </c>
      <c r="J123" s="13" t="s">
        <v>39</v>
      </c>
      <c r="K123" s="20"/>
      <c r="L123" s="20"/>
      <c r="M123" s="20"/>
      <c r="N123" s="20"/>
      <c r="O123" s="20"/>
      <c r="P123" s="13" t="s">
        <v>879</v>
      </c>
      <c r="Q123" s="13" t="s">
        <v>595</v>
      </c>
      <c r="R123" s="103" t="s">
        <v>1000</v>
      </c>
      <c r="T123" s="91" t="s">
        <v>880</v>
      </c>
      <c r="U123" s="33" t="s">
        <v>695</v>
      </c>
      <c r="V123" s="31" t="s">
        <v>59</v>
      </c>
      <c r="W123" s="52" t="s">
        <v>881</v>
      </c>
      <c r="X123" s="52" t="s">
        <v>882</v>
      </c>
      <c r="Y123" s="52" t="s">
        <v>883</v>
      </c>
      <c r="Z123" s="13" t="s">
        <v>1069</v>
      </c>
      <c r="AA123" s="108" t="s">
        <v>992</v>
      </c>
      <c r="AB123" s="12" t="s">
        <v>885</v>
      </c>
      <c r="AC123" s="113" t="s">
        <v>87</v>
      </c>
      <c r="AD123" s="15" t="s">
        <v>59</v>
      </c>
      <c r="AE123" s="114" t="s">
        <v>67</v>
      </c>
      <c r="AF123" s="114" t="s">
        <v>450</v>
      </c>
      <c r="AG123" s="112"/>
      <c r="AH123" s="112" t="s">
        <v>1042</v>
      </c>
      <c r="AI123" s="66" t="s">
        <v>886</v>
      </c>
      <c r="AJ123" s="44" t="s">
        <v>887</v>
      </c>
      <c r="AK123" s="15" t="s">
        <v>355</v>
      </c>
      <c r="AL123" s="15" t="s">
        <v>355</v>
      </c>
      <c r="AM123" s="29" t="s">
        <v>888</v>
      </c>
      <c r="AN123" s="13" t="s">
        <v>113</v>
      </c>
      <c r="AO123" s="111" t="s">
        <v>994</v>
      </c>
      <c r="AP123" s="89" t="s">
        <v>889</v>
      </c>
      <c r="AQ123" s="30" t="s">
        <v>113</v>
      </c>
      <c r="AR123" s="15" t="s">
        <v>890</v>
      </c>
    </row>
    <row r="124" spans="1:44" ht="15" hidden="1" customHeight="1" x14ac:dyDescent="0.25">
      <c r="A124" s="15">
        <v>0</v>
      </c>
      <c r="B124" s="15" t="s">
        <v>891</v>
      </c>
      <c r="C124" s="44" t="s">
        <v>878</v>
      </c>
      <c r="D124" s="15" t="s">
        <v>42</v>
      </c>
      <c r="E124" s="53">
        <v>2</v>
      </c>
      <c r="F124" s="53">
        <v>3</v>
      </c>
      <c r="G124" s="53">
        <v>5</v>
      </c>
      <c r="H124" s="13" t="s">
        <v>42</v>
      </c>
      <c r="I124" s="13" t="s">
        <v>41</v>
      </c>
      <c r="J124" s="13" t="s">
        <v>39</v>
      </c>
      <c r="K124" s="20"/>
      <c r="L124" s="20"/>
      <c r="M124" s="20"/>
      <c r="N124" s="20"/>
      <c r="O124" s="20"/>
      <c r="P124" s="92" t="s">
        <v>879</v>
      </c>
      <c r="Q124" s="15" t="s">
        <v>595</v>
      </c>
      <c r="R124" s="15"/>
      <c r="T124" s="91" t="s">
        <v>892</v>
      </c>
      <c r="U124" s="31" t="s">
        <v>695</v>
      </c>
      <c r="V124" s="31" t="s">
        <v>59</v>
      </c>
      <c r="W124" s="52" t="s">
        <v>893</v>
      </c>
      <c r="X124" s="52" t="s">
        <v>882</v>
      </c>
      <c r="Y124" s="52" t="s">
        <v>883</v>
      </c>
      <c r="Z124" s="13" t="s">
        <v>884</v>
      </c>
      <c r="AA124" s="13"/>
      <c r="AB124" s="12" t="s">
        <v>885</v>
      </c>
      <c r="AC124" s="87" t="s">
        <v>87</v>
      </c>
      <c r="AD124" s="15" t="s">
        <v>59</v>
      </c>
      <c r="AE124" s="27" t="s">
        <v>405</v>
      </c>
      <c r="AF124" s="27" t="s">
        <v>450</v>
      </c>
      <c r="AG124" t="s">
        <v>1011</v>
      </c>
      <c r="AH124" t="s">
        <v>1011</v>
      </c>
      <c r="AI124" s="66"/>
      <c r="AJ124" s="44" t="s">
        <v>894</v>
      </c>
      <c r="AK124" s="15" t="s">
        <v>59</v>
      </c>
      <c r="AL124" s="15" t="s">
        <v>59</v>
      </c>
      <c r="AM124" s="89" t="s">
        <v>895</v>
      </c>
      <c r="AN124" s="30" t="s">
        <v>113</v>
      </c>
      <c r="AO124" s="30"/>
      <c r="AP124" s="89" t="s">
        <v>896</v>
      </c>
      <c r="AQ124" s="30" t="s">
        <v>113</v>
      </c>
      <c r="AR124" s="15" t="s">
        <v>897</v>
      </c>
    </row>
    <row r="125" spans="1:44" x14ac:dyDescent="0.25">
      <c r="AI125" s="18"/>
    </row>
    <row r="126" spans="1:44" x14ac:dyDescent="0.25">
      <c r="AI126" s="94"/>
      <c r="AM126" s="15"/>
    </row>
    <row r="127" spans="1:44" x14ac:dyDescent="0.25">
      <c r="AI127" s="94"/>
    </row>
    <row r="128" spans="1:44" x14ac:dyDescent="0.25">
      <c r="AI128" s="94"/>
    </row>
    <row r="129" spans="2:44" x14ac:dyDescent="0.25">
      <c r="AI129" s="94"/>
    </row>
    <row r="130" spans="2:44" x14ac:dyDescent="0.25">
      <c r="AI130" s="94"/>
    </row>
    <row r="131" spans="2:44" x14ac:dyDescent="0.25">
      <c r="AI131" s="94"/>
    </row>
    <row r="134" spans="2:44" hidden="1" x14ac:dyDescent="0.25">
      <c r="R134" s="15"/>
      <c r="U134" s="15"/>
      <c r="AA134" s="15"/>
      <c r="AO134" s="13"/>
    </row>
    <row r="135" spans="2:44" ht="15" hidden="1" customHeight="1" x14ac:dyDescent="0.25">
      <c r="B135" s="15" t="s">
        <v>898</v>
      </c>
      <c r="C135" s="47" t="s">
        <v>899</v>
      </c>
      <c r="D135" s="47" t="s">
        <v>900</v>
      </c>
      <c r="E135" s="13" t="s">
        <v>480</v>
      </c>
      <c r="F135" s="13" t="s">
        <v>480</v>
      </c>
      <c r="G135" s="13" t="s">
        <v>68</v>
      </c>
      <c r="P135" s="47" t="s">
        <v>55</v>
      </c>
      <c r="Q135" s="15" t="s">
        <v>595</v>
      </c>
      <c r="R135" s="15"/>
      <c r="T135" s="95" t="s">
        <v>901</v>
      </c>
      <c r="U135" s="31" t="s">
        <v>695</v>
      </c>
      <c r="V135" s="31" t="s">
        <v>59</v>
      </c>
      <c r="W135" s="96" t="s">
        <v>902</v>
      </c>
      <c r="X135" s="96" t="s">
        <v>903</v>
      </c>
      <c r="Y135" s="44" t="s">
        <v>904</v>
      </c>
      <c r="Z135" s="53" t="s">
        <v>63</v>
      </c>
      <c r="AA135" s="53"/>
      <c r="AB135" s="44" t="s">
        <v>905</v>
      </c>
      <c r="AC135" s="87" t="s">
        <v>87</v>
      </c>
      <c r="AD135" s="15" t="s">
        <v>59</v>
      </c>
      <c r="AE135" s="27" t="s">
        <v>450</v>
      </c>
      <c r="AF135" s="27" t="s">
        <v>450</v>
      </c>
      <c r="AG135" s="27"/>
      <c r="AH135" s="27"/>
      <c r="AI135" s="18"/>
      <c r="AJ135" s="44" t="s">
        <v>906</v>
      </c>
      <c r="AL135" s="15" t="s">
        <v>907</v>
      </c>
      <c r="AM135" s="97"/>
      <c r="AN135" s="98"/>
      <c r="AO135" s="98"/>
      <c r="AP135" s="97"/>
      <c r="AQ135" s="98"/>
    </row>
    <row r="136" spans="2:44" ht="15" hidden="1" customHeight="1" x14ac:dyDescent="0.25">
      <c r="B136" s="15" t="s">
        <v>908</v>
      </c>
      <c r="C136" s="15" t="s">
        <v>128</v>
      </c>
      <c r="D136" s="15" t="s">
        <v>909</v>
      </c>
      <c r="E136" s="13" t="s">
        <v>68</v>
      </c>
      <c r="F136" s="13" t="s">
        <v>480</v>
      </c>
      <c r="G136" s="13" t="s">
        <v>480</v>
      </c>
      <c r="P136" s="15" t="s">
        <v>55</v>
      </c>
      <c r="Q136" s="15" t="s">
        <v>174</v>
      </c>
      <c r="R136" s="15"/>
      <c r="T136" s="38">
        <v>11487.304</v>
      </c>
      <c r="U136" s="31" t="s">
        <v>58</v>
      </c>
      <c r="V136" s="38" t="s">
        <v>59</v>
      </c>
      <c r="W136" s="25" t="s">
        <v>910</v>
      </c>
      <c r="X136" s="25" t="s">
        <v>911</v>
      </c>
      <c r="Y136" s="25" t="s">
        <v>206</v>
      </c>
      <c r="Z136" s="13" t="s">
        <v>63</v>
      </c>
      <c r="AA136" s="13"/>
      <c r="AB136" s="17" t="s">
        <v>912</v>
      </c>
      <c r="AC136" s="26" t="s">
        <v>65</v>
      </c>
      <c r="AD136" s="15" t="s">
        <v>59</v>
      </c>
      <c r="AE136" s="27" t="s">
        <v>67</v>
      </c>
      <c r="AF136" s="27" t="s">
        <v>67</v>
      </c>
      <c r="AG136" s="27"/>
      <c r="AH136" s="27"/>
      <c r="AI136" s="18" t="s">
        <v>913</v>
      </c>
      <c r="AJ136" s="15" t="s">
        <v>209</v>
      </c>
      <c r="AK136" s="18" t="s">
        <v>914</v>
      </c>
      <c r="AM136" s="61" t="s">
        <v>915</v>
      </c>
      <c r="AN136" s="36" t="s">
        <v>113</v>
      </c>
      <c r="AO136" s="36"/>
      <c r="AP136" s="61" t="s">
        <v>916</v>
      </c>
      <c r="AQ136" s="30" t="s">
        <v>94</v>
      </c>
      <c r="AR136" s="51" t="s">
        <v>81</v>
      </c>
    </row>
    <row r="137" spans="2:44" ht="15" hidden="1" customHeight="1" x14ac:dyDescent="0.25">
      <c r="B137" s="15" t="s">
        <v>917</v>
      </c>
      <c r="C137" s="15" t="s">
        <v>128</v>
      </c>
      <c r="D137" s="15" t="s">
        <v>909</v>
      </c>
      <c r="E137" s="13" t="s">
        <v>68</v>
      </c>
      <c r="F137" s="13" t="s">
        <v>480</v>
      </c>
      <c r="G137" s="13" t="s">
        <v>480</v>
      </c>
      <c r="P137" s="15" t="s">
        <v>55</v>
      </c>
      <c r="Q137" s="15" t="s">
        <v>174</v>
      </c>
      <c r="R137" s="15"/>
      <c r="T137" s="15" t="s">
        <v>76</v>
      </c>
      <c r="U137" s="31" t="s">
        <v>59</v>
      </c>
      <c r="V137" s="38" t="s">
        <v>59</v>
      </c>
      <c r="W137" s="25" t="s">
        <v>59</v>
      </c>
      <c r="X137" s="25" t="s">
        <v>59</v>
      </c>
      <c r="Y137" s="25" t="s">
        <v>59</v>
      </c>
      <c r="Z137" s="13" t="s">
        <v>63</v>
      </c>
      <c r="AA137" s="13"/>
      <c r="AB137" s="17" t="s">
        <v>912</v>
      </c>
      <c r="AC137" s="26" t="s">
        <v>65</v>
      </c>
      <c r="AD137" s="15" t="s">
        <v>59</v>
      </c>
      <c r="AE137" s="27" t="s">
        <v>67</v>
      </c>
      <c r="AF137" s="27" t="s">
        <v>67</v>
      </c>
      <c r="AG137" s="27"/>
      <c r="AH137" s="27"/>
      <c r="AI137" s="18" t="s">
        <v>913</v>
      </c>
      <c r="AJ137" s="15" t="s">
        <v>209</v>
      </c>
      <c r="AK137" s="18" t="s">
        <v>918</v>
      </c>
      <c r="AM137" s="50" t="s">
        <v>919</v>
      </c>
      <c r="AN137" s="36" t="s">
        <v>113</v>
      </c>
      <c r="AO137" s="36"/>
      <c r="AP137" s="50" t="s">
        <v>920</v>
      </c>
      <c r="AQ137" s="30" t="s">
        <v>94</v>
      </c>
      <c r="AR137" s="51" t="s">
        <v>81</v>
      </c>
    </row>
    <row r="138" spans="2:44" hidden="1" x14ac:dyDescent="0.25">
      <c r="B138" s="15" t="s">
        <v>921</v>
      </c>
      <c r="R138" s="15"/>
      <c r="U138" s="15"/>
      <c r="AA138" s="15"/>
      <c r="AM138" s="99" t="s">
        <v>922</v>
      </c>
      <c r="AO138" s="13"/>
      <c r="AP138" s="99" t="s">
        <v>923</v>
      </c>
    </row>
    <row r="139" spans="2:44" hidden="1" x14ac:dyDescent="0.25">
      <c r="B139" s="15" t="s">
        <v>924</v>
      </c>
      <c r="R139" s="15"/>
      <c r="U139" s="15"/>
      <c r="AA139" s="15"/>
      <c r="AM139" s="99" t="s">
        <v>925</v>
      </c>
      <c r="AO139" s="13"/>
      <c r="AP139" s="99" t="s">
        <v>926</v>
      </c>
    </row>
    <row r="140" spans="2:44" hidden="1" x14ac:dyDescent="0.25">
      <c r="B140" s="15" t="s">
        <v>927</v>
      </c>
      <c r="R140" s="15"/>
      <c r="U140" s="15"/>
      <c r="AA140" s="15"/>
      <c r="AO140" s="13"/>
    </row>
    <row r="141" spans="2:44" ht="15" hidden="1" customHeight="1" x14ac:dyDescent="0.25">
      <c r="B141" s="15" t="s">
        <v>928</v>
      </c>
      <c r="C141" s="100" t="s">
        <v>929</v>
      </c>
      <c r="D141" s="15" t="s">
        <v>41</v>
      </c>
      <c r="E141" s="101">
        <v>2</v>
      </c>
      <c r="F141" s="101">
        <v>2</v>
      </c>
      <c r="G141" s="101">
        <v>3</v>
      </c>
      <c r="P141" s="47" t="s">
        <v>930</v>
      </c>
      <c r="Q141" s="15" t="s">
        <v>595</v>
      </c>
      <c r="R141" s="15"/>
      <c r="T141" s="95" t="s">
        <v>901</v>
      </c>
      <c r="U141" s="31" t="s">
        <v>695</v>
      </c>
      <c r="V141" s="31" t="s">
        <v>59</v>
      </c>
      <c r="W141" s="96" t="s">
        <v>902</v>
      </c>
      <c r="X141" s="96" t="s">
        <v>903</v>
      </c>
      <c r="Y141" s="44" t="s">
        <v>904</v>
      </c>
      <c r="Z141" s="53" t="s">
        <v>63</v>
      </c>
      <c r="AA141" s="53"/>
      <c r="AB141" s="44" t="s">
        <v>931</v>
      </c>
      <c r="AC141" s="87" t="s">
        <v>87</v>
      </c>
      <c r="AD141" s="15" t="s">
        <v>59</v>
      </c>
      <c r="AE141" s="27" t="s">
        <v>405</v>
      </c>
      <c r="AF141" s="27" t="s">
        <v>450</v>
      </c>
      <c r="AG141" s="27"/>
      <c r="AH141" s="27"/>
      <c r="AI141" s="18"/>
      <c r="AJ141" s="44" t="s">
        <v>932</v>
      </c>
      <c r="AL141" s="15" t="s">
        <v>907</v>
      </c>
      <c r="AM141" s="89" t="s">
        <v>933</v>
      </c>
      <c r="AN141" s="30" t="s">
        <v>73</v>
      </c>
      <c r="AO141" s="30"/>
      <c r="AP141" s="89" t="s">
        <v>934</v>
      </c>
      <c r="AQ141" s="30" t="s">
        <v>73</v>
      </c>
    </row>
  </sheetData>
  <autoFilter ref="A3:AS124">
    <filterColumn colId="0">
      <filters>
        <filter val="1"/>
        <filter val="10"/>
      </filters>
    </filterColumn>
  </autoFilter>
  <mergeCells count="1">
    <mergeCell ref="K1:O1"/>
  </mergeCells>
  <conditionalFormatting sqref="AJ28 AJ51 AJ90 AJ46:AJ49 AJ64:AJ65 AJ67:AJ69 AJ92:AJ96 AR91 AK25:AL25 AJ24:AM24 AJ62:AM62 AK46:AK52 AL46:AL47 AK55:AK57 AK61:AM61 AJ83:AJ85 AJ87:AJ88 AM74 AP105:AP116 AP99:AP103 AP64:AP97 AP36:AP44 AP118:AP122 AJ118 AJ120:AJ121 AJ30:AJ43 AK22:AK23 AJ6:AJ22 AJ56:AJ60 AK30:AL44 AI118:AI122 AI105:AI114 AI46:AI62 AJ105:AJ115 AI81:AI97 AR136:AR137 AP46:AP62 AP23:AP34 AP136:AP137 AI4:AI44 AI136:AL137 AK118:AK123 AL122:AL123 AK5:AQ5 AO24 AO26 AO28 AO30:AO32 AO46 AO48:AO49 AO51 AO54 AO56 AO64:AO65 AO67 AO69 AO75 AO78:AO79 AO81 AO83:AO85 AO87:AO88 AO90 AO92 AO94:AO96 AO100:AO102 AO105 AO107:AO109 AO111:AO112 AO114:AO115 AO118 AO123 AK64:AK74 AJ71:AJ73 AI64:AI74 AO71:AO73 AJ4:AM4 AO4:AQ4 AK7:AQ7 AO6:AQ6 AK16:AQ21 AO8:AQ11 AO22:AQ22 AK6:AM6 AK8:AM15 AM22:AM24 AJ26:AM26 AK27:AM29 AM30:AM43 AM46 AL48:AM52 AJ53:AM54 AL55:AM60 AL64:AM73 AI75:AM80 AK81:AM97 AI99:AM103 AK105:AM116 AL118:AM121 AM123 AO58:AO60 AO13:AQ13 AP12:AQ12 AO15:AQ15 AP14:AQ14 AO34:AO36 AO38:AO39 AO43 AO120:AO121">
    <cfRule type="cellIs" dxfId="288" priority="297" operator="equal">
      <formula>$AR$1</formula>
    </cfRule>
  </conditionalFormatting>
  <conditionalFormatting sqref="AJ5">
    <cfRule type="cellIs" dxfId="287" priority="296" operator="equal">
      <formula>$AR$1</formula>
    </cfRule>
  </conditionalFormatting>
  <conditionalFormatting sqref="AJ25">
    <cfRule type="cellIs" dxfId="286" priority="295" operator="equal">
      <formula>$AR$1</formula>
    </cfRule>
  </conditionalFormatting>
  <conditionalFormatting sqref="AJ23">
    <cfRule type="cellIs" dxfId="285" priority="294" operator="equal">
      <formula>$AR$1</formula>
    </cfRule>
  </conditionalFormatting>
  <conditionalFormatting sqref="AL22">
    <cfRule type="cellIs" dxfId="284" priority="293" operator="equal">
      <formula>$AR$1</formula>
    </cfRule>
  </conditionalFormatting>
  <conditionalFormatting sqref="AL23">
    <cfRule type="cellIs" dxfId="283" priority="292" operator="equal">
      <formula>$AR$1</formula>
    </cfRule>
  </conditionalFormatting>
  <conditionalFormatting sqref="AM25">
    <cfRule type="cellIs" dxfId="282" priority="291" operator="equal">
      <formula>$AR$1</formula>
    </cfRule>
  </conditionalFormatting>
  <conditionalFormatting sqref="AJ27">
    <cfRule type="cellIs" dxfId="281" priority="290" operator="equal">
      <formula>$AR$1</formula>
    </cfRule>
  </conditionalFormatting>
  <conditionalFormatting sqref="AJ29">
    <cfRule type="cellIs" dxfId="280" priority="289" operator="equal">
      <formula>$AR$1</formula>
    </cfRule>
  </conditionalFormatting>
  <conditionalFormatting sqref="AJ50">
    <cfRule type="cellIs" dxfId="279" priority="288" operator="equal">
      <formula>$AR$1</formula>
    </cfRule>
  </conditionalFormatting>
  <conditionalFormatting sqref="AJ55">
    <cfRule type="cellIs" dxfId="278" priority="287" operator="equal">
      <formula>$AR$1</formula>
    </cfRule>
  </conditionalFormatting>
  <conditionalFormatting sqref="AJ52">
    <cfRule type="cellIs" dxfId="277" priority="286" operator="equal">
      <formula>$AR$1</formula>
    </cfRule>
  </conditionalFormatting>
  <conditionalFormatting sqref="AJ66">
    <cfRule type="cellIs" dxfId="276" priority="285" operator="equal">
      <formula>$AR$1</formula>
    </cfRule>
  </conditionalFormatting>
  <conditionalFormatting sqref="AJ70">
    <cfRule type="cellIs" dxfId="275" priority="284" operator="equal">
      <formula>$AR$1</formula>
    </cfRule>
  </conditionalFormatting>
  <conditionalFormatting sqref="AJ74">
    <cfRule type="cellIs" dxfId="274" priority="283" operator="equal">
      <formula>$AR$1</formula>
    </cfRule>
  </conditionalFormatting>
  <conditionalFormatting sqref="AL74">
    <cfRule type="cellIs" dxfId="273" priority="282" operator="equal">
      <formula>$AR$1</formula>
    </cfRule>
  </conditionalFormatting>
  <conditionalFormatting sqref="AJ116">
    <cfRule type="cellIs" dxfId="272" priority="281" operator="equal">
      <formula>$AR$1</formula>
    </cfRule>
  </conditionalFormatting>
  <conditionalFormatting sqref="AJ86">
    <cfRule type="cellIs" dxfId="271" priority="280" operator="equal">
      <formula>$AR$1</formula>
    </cfRule>
  </conditionalFormatting>
  <conditionalFormatting sqref="AJ91">
    <cfRule type="cellIs" dxfId="270" priority="279" operator="equal">
      <formula>$AR$1</formula>
    </cfRule>
  </conditionalFormatting>
  <conditionalFormatting sqref="AJ97">
    <cfRule type="cellIs" dxfId="269" priority="278" operator="equal">
      <formula>$AR$1</formula>
    </cfRule>
  </conditionalFormatting>
  <conditionalFormatting sqref="AJ119">
    <cfRule type="cellIs" dxfId="268" priority="277" operator="equal">
      <formula>$AR$1</formula>
    </cfRule>
  </conditionalFormatting>
  <conditionalFormatting sqref="AJ122">
    <cfRule type="cellIs" dxfId="267" priority="276" operator="equal">
      <formula>$AR$1</formula>
    </cfRule>
  </conditionalFormatting>
  <conditionalFormatting sqref="D1:O2 D136:J136 D141:J141 H123:J123 D46:J62 D64:J97 D99:J103 D105:J116 D118:J122 D123 D4:J44">
    <cfRule type="cellIs" dxfId="266" priority="275" operator="equal">
      <formula>$B$125</formula>
    </cfRule>
  </conditionalFormatting>
  <conditionalFormatting sqref="AK99:AL103 AI99:AI103 AK105:AL116 AK46:AL62 AI105:AI114 AI46:AI62 AI4:AI44 AI136:AI137 AK4:AL44 AK136:AL136 AK141:AL141 AI118:AI124 AI141 AK118:AL124 AK64:AL97 AI64:AI97">
    <cfRule type="cellIs" dxfId="265" priority="298" operator="equal">
      <formula>#REF!</formula>
    </cfRule>
  </conditionalFormatting>
  <conditionalFormatting sqref="AE141:AF141 AE124:AF124 AF119 AF116 AE106:AF106 AE103:AF103 AE66:AF66 AE5:AF5 AH141 AE135:AH137 AE47:AF47 AE7:AF7 AE16:AF21 AE23:AF23 AE25:AF25 AE27:AF27 AE29:AF29 AE44:AF44 AE50:AF50 AE52:AF53 AE55:AF55 AE57:AF57 AE61:AF62 AE68:AF68 AE70:AF70 AE74:AF74 AE76:AF76 AE80:AF80 AE82:AF82 AE86:AF86 AE89:AF89 AE91:AF91 AE93:AF93 AE97:AF97 AE110:AF110 AE113:AF113 AF122">
    <cfRule type="cellIs" dxfId="264" priority="274" operator="equal">
      <formula>$AE$127</formula>
    </cfRule>
  </conditionalFormatting>
  <conditionalFormatting sqref="AE116">
    <cfRule type="cellIs" dxfId="263" priority="273" operator="equal">
      <formula>$AE$127</formula>
    </cfRule>
  </conditionalFormatting>
  <conditionalFormatting sqref="AF124">
    <cfRule type="cellIs" dxfId="262" priority="272" operator="equal">
      <formula>$AE$127</formula>
    </cfRule>
  </conditionalFormatting>
  <conditionalFormatting sqref="AE124">
    <cfRule type="cellIs" dxfId="261" priority="271" operator="equal">
      <formula>$AE$127</formula>
    </cfRule>
  </conditionalFormatting>
  <conditionalFormatting sqref="AP119:AP122">
    <cfRule type="cellIs" dxfId="260" priority="270" operator="equal">
      <formula>$AR$1</formula>
    </cfRule>
  </conditionalFormatting>
  <conditionalFormatting sqref="AM44">
    <cfRule type="cellIs" dxfId="259" priority="269" operator="equal">
      <formula>$AR$1</formula>
    </cfRule>
  </conditionalFormatting>
  <conditionalFormatting sqref="AM47">
    <cfRule type="cellIs" dxfId="258" priority="268" operator="equal">
      <formula>$AR$1</formula>
    </cfRule>
  </conditionalFormatting>
  <conditionalFormatting sqref="AN23:AO23">
    <cfRule type="cellIs" dxfId="257" priority="267" operator="equal">
      <formula>$AR$1</formula>
    </cfRule>
  </conditionalFormatting>
  <conditionalFormatting sqref="AQ23">
    <cfRule type="cellIs" dxfId="256" priority="266" operator="equal">
      <formula>$AR$1</formula>
    </cfRule>
  </conditionalFormatting>
  <conditionalFormatting sqref="AN25:AO25">
    <cfRule type="cellIs" dxfId="255" priority="264" operator="equal">
      <formula>$AR$1</formula>
    </cfRule>
  </conditionalFormatting>
  <conditionalFormatting sqref="AN27:AO27">
    <cfRule type="cellIs" dxfId="254" priority="262" operator="equal">
      <formula>$AR$1</formula>
    </cfRule>
  </conditionalFormatting>
  <conditionalFormatting sqref="AN29:AO29">
    <cfRule type="cellIs" dxfId="253" priority="260" operator="equal">
      <formula>$AR$1</formula>
    </cfRule>
  </conditionalFormatting>
  <conditionalFormatting sqref="AN66:AO66">
    <cfRule type="cellIs" dxfId="252" priority="240" operator="equal">
      <formula>$AR$1</formula>
    </cfRule>
  </conditionalFormatting>
  <conditionalFormatting sqref="AN44:AO44">
    <cfRule type="cellIs" dxfId="251" priority="252" operator="equal">
      <formula>$AR$1</formula>
    </cfRule>
  </conditionalFormatting>
  <conditionalFormatting sqref="AN47:AO47">
    <cfRule type="cellIs" dxfId="250" priority="250" operator="equal">
      <formula>$AR$1</formula>
    </cfRule>
  </conditionalFormatting>
  <conditionalFormatting sqref="AN53:AO53">
    <cfRule type="cellIs" dxfId="249" priority="247" operator="equal">
      <formula>$AR$1</formula>
    </cfRule>
  </conditionalFormatting>
  <conditionalFormatting sqref="AN57:AO57">
    <cfRule type="cellIs" dxfId="248" priority="244" operator="equal">
      <formula>$AR$1</formula>
    </cfRule>
  </conditionalFormatting>
  <conditionalFormatting sqref="AN61:AO61">
    <cfRule type="cellIs" dxfId="247" priority="242" operator="equal">
      <formula>$AR$1</formula>
    </cfRule>
  </conditionalFormatting>
  <conditionalFormatting sqref="AN68:AO68">
    <cfRule type="cellIs" dxfId="246" priority="237" operator="equal">
      <formula>$AR$1</formula>
    </cfRule>
  </conditionalFormatting>
  <conditionalFormatting sqref="AN70:AO70">
    <cfRule type="cellIs" dxfId="245" priority="235" operator="equal">
      <formula>$AR$1</formula>
    </cfRule>
  </conditionalFormatting>
  <conditionalFormatting sqref="AN74:AO74">
    <cfRule type="cellIs" dxfId="244" priority="231" operator="equal">
      <formula>$AR$1</formula>
    </cfRule>
  </conditionalFormatting>
  <conditionalFormatting sqref="AN76:AO76">
    <cfRule type="cellIs" dxfId="243" priority="229" operator="equal">
      <formula>$AR$1</formula>
    </cfRule>
  </conditionalFormatting>
  <conditionalFormatting sqref="AN80:AO80">
    <cfRule type="cellIs" dxfId="242" priority="225" operator="equal">
      <formula>$AR$1</formula>
    </cfRule>
  </conditionalFormatting>
  <conditionalFormatting sqref="AN82:AO82">
    <cfRule type="cellIs" dxfId="241" priority="222" operator="equal">
      <formula>$AR$1</formula>
    </cfRule>
  </conditionalFormatting>
  <conditionalFormatting sqref="AN86:AO86">
    <cfRule type="cellIs" dxfId="240" priority="219" operator="equal">
      <formula>$AR$1</formula>
    </cfRule>
  </conditionalFormatting>
  <conditionalFormatting sqref="AN89:AO89">
    <cfRule type="cellIs" dxfId="239" priority="218" operator="equal">
      <formula>$AR$1</formula>
    </cfRule>
  </conditionalFormatting>
  <conditionalFormatting sqref="AN91:AO91">
    <cfRule type="cellIs" dxfId="238" priority="216" operator="equal">
      <formula>$AR$1</formula>
    </cfRule>
  </conditionalFormatting>
  <conditionalFormatting sqref="AN93:AO93">
    <cfRule type="cellIs" dxfId="237" priority="214" operator="equal">
      <formula>$AR$1</formula>
    </cfRule>
  </conditionalFormatting>
  <conditionalFormatting sqref="AN97:AO97">
    <cfRule type="cellIs" dxfId="236" priority="212" operator="equal">
      <formula>$AR$1</formula>
    </cfRule>
  </conditionalFormatting>
  <conditionalFormatting sqref="AN103:AO103">
    <cfRule type="cellIs" dxfId="235" priority="208" operator="equal">
      <formula>$AR$1</formula>
    </cfRule>
  </conditionalFormatting>
  <conditionalFormatting sqref="AN106:AO106">
    <cfRule type="cellIs" dxfId="234" priority="206" operator="equal">
      <formula>$AR$1</formula>
    </cfRule>
  </conditionalFormatting>
  <conditionalFormatting sqref="AN110:AO110">
    <cfRule type="cellIs" dxfId="233" priority="202" operator="equal">
      <formula>$AR$1</formula>
    </cfRule>
  </conditionalFormatting>
  <conditionalFormatting sqref="AN113:AO113">
    <cfRule type="cellIs" dxfId="232" priority="199" operator="equal">
      <formula>$AR$1</formula>
    </cfRule>
  </conditionalFormatting>
  <conditionalFormatting sqref="AN116:AO116">
    <cfRule type="cellIs" dxfId="231" priority="196" operator="equal">
      <formula>$AR$1</formula>
    </cfRule>
  </conditionalFormatting>
  <conditionalFormatting sqref="AN124:AO124">
    <cfRule type="cellIs" dxfId="230" priority="193" operator="equal">
      <formula>$AR$1</formula>
    </cfRule>
  </conditionalFormatting>
  <conditionalFormatting sqref="AQ124">
    <cfRule type="cellIs" dxfId="229" priority="192" operator="equal">
      <formula>$AR$1</formula>
    </cfRule>
  </conditionalFormatting>
  <conditionalFormatting sqref="AQ123">
    <cfRule type="cellIs" dxfId="228" priority="191" operator="equal">
      <formula>$AR$1</formula>
    </cfRule>
  </conditionalFormatting>
  <conditionalFormatting sqref="AN141:AO141">
    <cfRule type="cellIs" dxfId="227" priority="190" operator="equal">
      <formula>$AR$1</formula>
    </cfRule>
  </conditionalFormatting>
  <conditionalFormatting sqref="AQ141">
    <cfRule type="cellIs" dxfId="226" priority="189" operator="equal">
      <formula>$AR$1</formula>
    </cfRule>
  </conditionalFormatting>
  <conditionalFormatting sqref="AQ118">
    <cfRule type="cellIs" dxfId="225" priority="187" operator="equal">
      <formula>$AR$1</formula>
    </cfRule>
  </conditionalFormatting>
  <conditionalFormatting sqref="AN122:AO122">
    <cfRule type="cellIs" dxfId="224" priority="185" operator="equal">
      <formula>$AR$1</formula>
    </cfRule>
  </conditionalFormatting>
  <conditionalFormatting sqref="AQ122">
    <cfRule type="cellIs" dxfId="223" priority="184" operator="equal">
      <formula>$AR$1</formula>
    </cfRule>
  </conditionalFormatting>
  <conditionalFormatting sqref="AQ121">
    <cfRule type="cellIs" dxfId="222" priority="183" operator="equal">
      <formula>$AR$1</formula>
    </cfRule>
  </conditionalFormatting>
  <conditionalFormatting sqref="AQ120">
    <cfRule type="cellIs" dxfId="221" priority="182" operator="equal">
      <formula>$AR$1</formula>
    </cfRule>
  </conditionalFormatting>
  <conditionalFormatting sqref="AQ116">
    <cfRule type="cellIs" dxfId="220" priority="181" operator="equal">
      <formula>$AR$1</formula>
    </cfRule>
  </conditionalFormatting>
  <conditionalFormatting sqref="AQ115">
    <cfRule type="cellIs" dxfId="219" priority="180" operator="equal">
      <formula>$AR$1</formula>
    </cfRule>
  </conditionalFormatting>
  <conditionalFormatting sqref="AQ113">
    <cfRule type="cellIs" dxfId="218" priority="179" operator="equal">
      <formula>$AR$1</formula>
    </cfRule>
  </conditionalFormatting>
  <conditionalFormatting sqref="AQ112">
    <cfRule type="cellIs" dxfId="217" priority="178" operator="equal">
      <formula>$AR$1</formula>
    </cfRule>
  </conditionalFormatting>
  <conditionalFormatting sqref="AQ111">
    <cfRule type="cellIs" dxfId="216" priority="177" operator="equal">
      <formula>$AR$1</formula>
    </cfRule>
  </conditionalFormatting>
  <conditionalFormatting sqref="AQ110">
    <cfRule type="cellIs" dxfId="215" priority="176" operator="equal">
      <formula>$AR$1</formula>
    </cfRule>
  </conditionalFormatting>
  <conditionalFormatting sqref="AQ109">
    <cfRule type="cellIs" dxfId="214" priority="175" operator="equal">
      <formula>$AR$1</formula>
    </cfRule>
  </conditionalFormatting>
  <conditionalFormatting sqref="AQ108">
    <cfRule type="cellIs" dxfId="213" priority="174" operator="equal">
      <formula>$AR$1</formula>
    </cfRule>
  </conditionalFormatting>
  <conditionalFormatting sqref="AQ114">
    <cfRule type="cellIs" dxfId="212" priority="173" operator="equal">
      <formula>$AR$1</formula>
    </cfRule>
  </conditionalFormatting>
  <conditionalFormatting sqref="AQ107">
    <cfRule type="cellIs" dxfId="211" priority="172" operator="equal">
      <formula>$AR$1</formula>
    </cfRule>
  </conditionalFormatting>
  <conditionalFormatting sqref="AQ106">
    <cfRule type="cellIs" dxfId="210" priority="171" operator="equal">
      <formula>$AR$1</formula>
    </cfRule>
  </conditionalFormatting>
  <conditionalFormatting sqref="AQ105">
    <cfRule type="cellIs" dxfId="209" priority="170" operator="equal">
      <formula>$AR$1</formula>
    </cfRule>
  </conditionalFormatting>
  <conditionalFormatting sqref="AQ103">
    <cfRule type="cellIs" dxfId="208" priority="169" operator="equal">
      <formula>$AR$1</formula>
    </cfRule>
  </conditionalFormatting>
  <conditionalFormatting sqref="AQ101">
    <cfRule type="cellIs" dxfId="207" priority="168" operator="equal">
      <formula>$AR$1</formula>
    </cfRule>
  </conditionalFormatting>
  <conditionalFormatting sqref="AQ100">
    <cfRule type="cellIs" dxfId="206" priority="167" operator="equal">
      <formula>$AR$1</formula>
    </cfRule>
  </conditionalFormatting>
  <conditionalFormatting sqref="AQ99">
    <cfRule type="cellIs" dxfId="205" priority="166" operator="equal">
      <formula>$AR$1</formula>
    </cfRule>
  </conditionalFormatting>
  <conditionalFormatting sqref="AQ97">
    <cfRule type="cellIs" dxfId="204" priority="165" operator="equal">
      <formula>$AR$1</formula>
    </cfRule>
  </conditionalFormatting>
  <conditionalFormatting sqref="AQ93">
    <cfRule type="cellIs" dxfId="203" priority="163" operator="equal">
      <formula>$AR$1</formula>
    </cfRule>
  </conditionalFormatting>
  <conditionalFormatting sqref="AQ95">
    <cfRule type="cellIs" dxfId="202" priority="164" operator="equal">
      <formula>$AR$1</formula>
    </cfRule>
  </conditionalFormatting>
  <conditionalFormatting sqref="AQ92">
    <cfRule type="cellIs" dxfId="201" priority="162" operator="equal">
      <formula>$AR$1</formula>
    </cfRule>
  </conditionalFormatting>
  <conditionalFormatting sqref="AQ91">
    <cfRule type="cellIs" dxfId="200" priority="161" operator="equal">
      <formula>$AR$1</formula>
    </cfRule>
  </conditionalFormatting>
  <conditionalFormatting sqref="AQ90">
    <cfRule type="cellIs" dxfId="199" priority="160" operator="equal">
      <formula>$AR$1</formula>
    </cfRule>
  </conditionalFormatting>
  <conditionalFormatting sqref="AQ89">
    <cfRule type="cellIs" dxfId="198" priority="159" operator="equal">
      <formula>$AR$1</formula>
    </cfRule>
  </conditionalFormatting>
  <conditionalFormatting sqref="AQ76">
    <cfRule type="cellIs" dxfId="197" priority="150" operator="equal">
      <formula>$AR$1</formula>
    </cfRule>
  </conditionalFormatting>
  <conditionalFormatting sqref="AQ86">
    <cfRule type="cellIs" dxfId="196" priority="158" operator="equal">
      <formula>$AR$1</formula>
    </cfRule>
  </conditionalFormatting>
  <conditionalFormatting sqref="AQ85">
    <cfRule type="cellIs" dxfId="195" priority="157" operator="equal">
      <formula>$AR$1</formula>
    </cfRule>
  </conditionalFormatting>
  <conditionalFormatting sqref="AQ84">
    <cfRule type="cellIs" dxfId="194" priority="156" operator="equal">
      <formula>$AR$1</formula>
    </cfRule>
  </conditionalFormatting>
  <conditionalFormatting sqref="AQ83">
    <cfRule type="cellIs" dxfId="193" priority="155" operator="equal">
      <formula>$AR$1</formula>
    </cfRule>
  </conditionalFormatting>
  <conditionalFormatting sqref="AQ81">
    <cfRule type="cellIs" dxfId="192" priority="154" operator="equal">
      <formula>$AR$1</formula>
    </cfRule>
  </conditionalFormatting>
  <conditionalFormatting sqref="AQ80">
    <cfRule type="cellIs" dxfId="191" priority="153" operator="equal">
      <formula>$AR$1</formula>
    </cfRule>
  </conditionalFormatting>
  <conditionalFormatting sqref="AQ79">
    <cfRule type="cellIs" dxfId="190" priority="152" operator="equal">
      <formula>$AR$1</formula>
    </cfRule>
  </conditionalFormatting>
  <conditionalFormatting sqref="AQ67">
    <cfRule type="cellIs" dxfId="189" priority="142" operator="equal">
      <formula>$AR$1</formula>
    </cfRule>
  </conditionalFormatting>
  <conditionalFormatting sqref="AQ77">
    <cfRule type="cellIs" dxfId="188" priority="151" operator="equal">
      <formula>$AR$1</formula>
    </cfRule>
  </conditionalFormatting>
  <conditionalFormatting sqref="AQ75">
    <cfRule type="cellIs" dxfId="187" priority="149" operator="equal">
      <formula>$AR$1</formula>
    </cfRule>
  </conditionalFormatting>
  <conditionalFormatting sqref="AQ74">
    <cfRule type="cellIs" dxfId="186" priority="148" operator="equal">
      <formula>$AR$1</formula>
    </cfRule>
  </conditionalFormatting>
  <conditionalFormatting sqref="AQ58:AQ59">
    <cfRule type="cellIs" dxfId="185" priority="136" operator="equal">
      <formula>$AR$1</formula>
    </cfRule>
  </conditionalFormatting>
  <conditionalFormatting sqref="AQ72">
    <cfRule type="cellIs" dxfId="184" priority="147" operator="equal">
      <formula>$AR$1</formula>
    </cfRule>
  </conditionalFormatting>
  <conditionalFormatting sqref="AQ71">
    <cfRule type="cellIs" dxfId="183" priority="146" operator="equal">
      <formula>$AR$1</formula>
    </cfRule>
  </conditionalFormatting>
  <conditionalFormatting sqref="AQ70">
    <cfRule type="cellIs" dxfId="182" priority="145" operator="equal">
      <formula>$AR$1</formula>
    </cfRule>
  </conditionalFormatting>
  <conditionalFormatting sqref="AQ69">
    <cfRule type="cellIs" dxfId="181" priority="144" operator="equal">
      <formula>$AR$1</formula>
    </cfRule>
  </conditionalFormatting>
  <conditionalFormatting sqref="AQ68">
    <cfRule type="cellIs" dxfId="180" priority="143" operator="equal">
      <formula>$AR$1</formula>
    </cfRule>
  </conditionalFormatting>
  <conditionalFormatting sqref="AQ66">
    <cfRule type="cellIs" dxfId="179" priority="141" operator="equal">
      <formula>$AR$1</formula>
    </cfRule>
  </conditionalFormatting>
  <conditionalFormatting sqref="AQ65">
    <cfRule type="cellIs" dxfId="178" priority="140" operator="equal">
      <formula>$AR$1</formula>
    </cfRule>
  </conditionalFormatting>
  <conditionalFormatting sqref="AQ64">
    <cfRule type="cellIs" dxfId="177" priority="139" operator="equal">
      <formula>$AR$1</formula>
    </cfRule>
  </conditionalFormatting>
  <conditionalFormatting sqref="AQ62">
    <cfRule type="cellIs" dxfId="176" priority="138" operator="equal">
      <formula>$AR$1</formula>
    </cfRule>
  </conditionalFormatting>
  <conditionalFormatting sqref="AQ61">
    <cfRule type="cellIs" dxfId="175" priority="137" operator="equal">
      <formula>$AR$1</formula>
    </cfRule>
  </conditionalFormatting>
  <conditionalFormatting sqref="AQ57">
    <cfRule type="cellIs" dxfId="174" priority="135" operator="equal">
      <formula>$AR$1</formula>
    </cfRule>
  </conditionalFormatting>
  <conditionalFormatting sqref="AQ56">
    <cfRule type="cellIs" dxfId="173" priority="134" operator="equal">
      <formula>$AR$1</formula>
    </cfRule>
  </conditionalFormatting>
  <conditionalFormatting sqref="AQ54">
    <cfRule type="cellIs" dxfId="172" priority="133" operator="equal">
      <formula>$AR$1</formula>
    </cfRule>
  </conditionalFormatting>
  <conditionalFormatting sqref="AQ53">
    <cfRule type="cellIs" dxfId="171" priority="132" operator="equal">
      <formula>$AR$1</formula>
    </cfRule>
  </conditionalFormatting>
  <conditionalFormatting sqref="AQ34">
    <cfRule type="cellIs" dxfId="170" priority="122" operator="equal">
      <formula>$AR$1</formula>
    </cfRule>
  </conditionalFormatting>
  <conditionalFormatting sqref="AQ48">
    <cfRule type="cellIs" dxfId="169" priority="131" operator="equal">
      <formula>$AR$1</formula>
    </cfRule>
  </conditionalFormatting>
  <conditionalFormatting sqref="AQ46">
    <cfRule type="cellIs" dxfId="168" priority="130" operator="equal">
      <formula>$AR$1</formula>
    </cfRule>
  </conditionalFormatting>
  <conditionalFormatting sqref="AQ44">
    <cfRule type="cellIs" dxfId="167" priority="129" operator="equal">
      <formula>$AR$1</formula>
    </cfRule>
  </conditionalFormatting>
  <conditionalFormatting sqref="AQ43">
    <cfRule type="cellIs" dxfId="166" priority="128" operator="equal">
      <formula>$AR$1</formula>
    </cfRule>
  </conditionalFormatting>
  <conditionalFormatting sqref="AQ42">
    <cfRule type="cellIs" dxfId="165" priority="127" operator="equal">
      <formula>$AR$1</formula>
    </cfRule>
  </conditionalFormatting>
  <conditionalFormatting sqref="AQ41">
    <cfRule type="cellIs" dxfId="164" priority="126" operator="equal">
      <formula>$AR$1</formula>
    </cfRule>
  </conditionalFormatting>
  <conditionalFormatting sqref="AQ40">
    <cfRule type="cellIs" dxfId="163" priority="125" operator="equal">
      <formula>$AR$1</formula>
    </cfRule>
  </conditionalFormatting>
  <conditionalFormatting sqref="AQ82">
    <cfRule type="cellIs" dxfId="162" priority="110" operator="equal">
      <formula>$AR$1</formula>
    </cfRule>
  </conditionalFormatting>
  <conditionalFormatting sqref="AQ38">
    <cfRule type="cellIs" dxfId="161" priority="124" operator="equal">
      <formula>$AR$1</formula>
    </cfRule>
  </conditionalFormatting>
  <conditionalFormatting sqref="AQ36">
    <cfRule type="cellIs" dxfId="160" priority="123" operator="equal">
      <formula>$AR$1</formula>
    </cfRule>
  </conditionalFormatting>
  <conditionalFormatting sqref="AQ33">
    <cfRule type="cellIs" dxfId="159" priority="121" operator="equal">
      <formula>$AR$1</formula>
    </cfRule>
  </conditionalFormatting>
  <conditionalFormatting sqref="AQ47">
    <cfRule type="cellIs" dxfId="158" priority="99" operator="equal">
      <formula>$AR$1</formula>
    </cfRule>
  </conditionalFormatting>
  <conditionalFormatting sqref="AQ30">
    <cfRule type="cellIs" dxfId="157" priority="120" operator="equal">
      <formula>$AR$1</formula>
    </cfRule>
  </conditionalFormatting>
  <conditionalFormatting sqref="AQ29">
    <cfRule type="cellIs" dxfId="156" priority="119" operator="equal">
      <formula>$AR$1</formula>
    </cfRule>
  </conditionalFormatting>
  <conditionalFormatting sqref="AQ28">
    <cfRule type="cellIs" dxfId="155" priority="118" operator="equal">
      <formula>$AR$1</formula>
    </cfRule>
  </conditionalFormatting>
  <conditionalFormatting sqref="AQ27">
    <cfRule type="cellIs" dxfId="154" priority="117" operator="equal">
      <formula>$AR$1</formula>
    </cfRule>
  </conditionalFormatting>
  <conditionalFormatting sqref="AQ26">
    <cfRule type="cellIs" dxfId="153" priority="116" operator="equal">
      <formula>$AR$1</formula>
    </cfRule>
  </conditionalFormatting>
  <conditionalFormatting sqref="AQ25">
    <cfRule type="cellIs" dxfId="152" priority="115" operator="equal">
      <formula>$AR$1</formula>
    </cfRule>
  </conditionalFormatting>
  <conditionalFormatting sqref="AQ24">
    <cfRule type="cellIs" dxfId="151" priority="114" operator="equal">
      <formula>$AR$1</formula>
    </cfRule>
  </conditionalFormatting>
  <conditionalFormatting sqref="AN119:AO119">
    <cfRule type="cellIs" dxfId="150" priority="113" operator="equal">
      <formula>$AR$1</formula>
    </cfRule>
  </conditionalFormatting>
  <conditionalFormatting sqref="AM122">
    <cfRule type="cellIs" dxfId="149" priority="112" operator="equal">
      <formula>$AR$1</formula>
    </cfRule>
  </conditionalFormatting>
  <conditionalFormatting sqref="AM122">
    <cfRule type="cellIs" dxfId="148" priority="111" operator="equal">
      <formula>$AR$1</formula>
    </cfRule>
  </conditionalFormatting>
  <conditionalFormatting sqref="AQ119">
    <cfRule type="cellIs" dxfId="147" priority="109" operator="equal">
      <formula>$AR$1</formula>
    </cfRule>
  </conditionalFormatting>
  <conditionalFormatting sqref="AN136:AO136">
    <cfRule type="cellIs" dxfId="146" priority="108" operator="equal">
      <formula>$AR$1</formula>
    </cfRule>
  </conditionalFormatting>
  <conditionalFormatting sqref="AQ136">
    <cfRule type="cellIs" dxfId="145" priority="107" operator="equal">
      <formula>$AR$1</formula>
    </cfRule>
  </conditionalFormatting>
  <conditionalFormatting sqref="D137:J137">
    <cfRule type="cellIs" dxfId="144" priority="105" operator="equal">
      <formula>$B$125</formula>
    </cfRule>
  </conditionalFormatting>
  <conditionalFormatting sqref="AK137:AL137 Q66:AC66 AC74 AC76 AC80 AC82 AC86 AC89 AC91 AC93 AC97 Q68:AC68 R67:Y67 AA67:AB67 Q70:AC70 R69:Y69 AA69:AB69 R71:Y73 AA71:AB72 AB73">
    <cfRule type="cellIs" dxfId="143" priority="106" operator="equal">
      <formula>#REF!</formula>
    </cfRule>
  </conditionalFormatting>
  <conditionalFormatting sqref="AN137:AO137">
    <cfRule type="cellIs" dxfId="142" priority="103" operator="equal">
      <formula>$AR$1</formula>
    </cfRule>
  </conditionalFormatting>
  <conditionalFormatting sqref="AQ137">
    <cfRule type="cellIs" dxfId="141" priority="102" operator="equal">
      <formula>$AR$1</formula>
    </cfRule>
  </conditionalFormatting>
  <conditionalFormatting sqref="AQ32">
    <cfRule type="cellIs" dxfId="140" priority="100" operator="equal">
      <formula>$AR$1</formula>
    </cfRule>
  </conditionalFormatting>
  <conditionalFormatting sqref="AJ81">
    <cfRule type="cellIs" dxfId="139" priority="98" operator="equal">
      <formula>$AR$1</formula>
    </cfRule>
  </conditionalFormatting>
  <conditionalFormatting sqref="AJ44">
    <cfRule type="cellIs" dxfId="138" priority="97" operator="equal">
      <formula>$AR$1</formula>
    </cfRule>
  </conditionalFormatting>
  <conditionalFormatting sqref="AQ60">
    <cfRule type="cellIs" dxfId="137" priority="95" operator="equal">
      <formula>$AR$1</formula>
    </cfRule>
  </conditionalFormatting>
  <conditionalFormatting sqref="AJ61">
    <cfRule type="cellIs" dxfId="136" priority="94" operator="equal">
      <formula>$AR$1</formula>
    </cfRule>
  </conditionalFormatting>
  <conditionalFormatting sqref="AJ89">
    <cfRule type="cellIs" dxfId="135" priority="92" operator="equal">
      <formula>$AR$1</formula>
    </cfRule>
  </conditionalFormatting>
  <conditionalFormatting sqref="AN62:AO62">
    <cfRule type="cellIs" dxfId="134" priority="91" operator="equal">
      <formula>$AR$1</formula>
    </cfRule>
  </conditionalFormatting>
  <conditionalFormatting sqref="AI137">
    <cfRule type="cellIs" dxfId="133" priority="90" operator="equal">
      <formula>$AR$1</formula>
    </cfRule>
  </conditionalFormatting>
  <conditionalFormatting sqref="AJ82">
    <cfRule type="cellIs" dxfId="132" priority="89" operator="equal">
      <formula>$AR$1</formula>
    </cfRule>
  </conditionalFormatting>
  <conditionalFormatting sqref="AQ35">
    <cfRule type="cellIs" dxfId="131" priority="87" operator="equal">
      <formula>$AR$1</formula>
    </cfRule>
  </conditionalFormatting>
  <conditionalFormatting sqref="AN50:AO50">
    <cfRule type="cellIs" dxfId="130" priority="86" operator="equal">
      <formula>$AR$1</formula>
    </cfRule>
  </conditionalFormatting>
  <conditionalFormatting sqref="AQ50">
    <cfRule type="cellIs" dxfId="129" priority="85" operator="equal">
      <formula>$AR$1</formula>
    </cfRule>
  </conditionalFormatting>
  <conditionalFormatting sqref="AN52:AO52">
    <cfRule type="cellIs" dxfId="128" priority="84" operator="equal">
      <formula>$AR$1</formula>
    </cfRule>
  </conditionalFormatting>
  <conditionalFormatting sqref="AQ52">
    <cfRule type="cellIs" dxfId="127" priority="83" operator="equal">
      <formula>$AR$1</formula>
    </cfRule>
  </conditionalFormatting>
  <conditionalFormatting sqref="AN55:AO55">
    <cfRule type="cellIs" dxfId="126" priority="82" operator="equal">
      <formula>$AR$1</formula>
    </cfRule>
  </conditionalFormatting>
  <conditionalFormatting sqref="AQ55">
    <cfRule type="cellIs" dxfId="125" priority="81" operator="equal">
      <formula>$AR$1</formula>
    </cfRule>
  </conditionalFormatting>
  <conditionalFormatting sqref="AK99:AK103 AI99:AI103 AK105:AK116 AK46:AK62 AK64:AK97 AI105:AI114 AI46:AI62 AI64:AI97 AI4:AI44 AK4:AK44 AI135:AI137 AL15 AK135:AK137 AK141 AI118:AI124 AI141 AK118:AK124 AL123">
    <cfRule type="cellIs" dxfId="124" priority="79" operator="equal">
      <formula>$AK$135</formula>
    </cfRule>
  </conditionalFormatting>
  <conditionalFormatting sqref="C99:C103 C105:C116 C64:C97 T40:U40 T39:V39 C4:C44 W22:Y44 AB9:AB12 AB14:AB15 AB17:AB21 C135:C137 P1:Y2 P135:Y137 C141 P141:Y141 P119:Y119 C118:C124 P5:Y5 P23:V23 P44:U44 P103:Y103 P106:Y106 P66:Y66 C46:C62 V40:V62 P47:U47 W46:Y62 R4:Y4 P7:Y7 R6:Y6 P16:Y21 R8:Y15 R22:V22 P25:V25 R24:V24 P27:V27 R26:V26 P29:V29 R28:V28 R30:V38 R41:U43 R39:S40 R46:U46 P50:U50 R48:U49 P52:U53 R51:U51 P55:U55 R54:U54 P57:U57 R56:U56 P61:U62 R58:U60 R64:Y65 P68:Y68 R67:Y67 P70:Y70 R69:Y69 P74:Y74 R71:Y73 P76:Y76 R75:Y75 P80:Y80 R77:Y79 P82:Y82 R81:Y81 P86:Y86 R83:Y85 P89:Y89 R87:Y88 P91:Y91 R90:Y90 P93:Y93 R92:Y92 P97:Y97 R94:Y96 R99:Y102 R105:Y105 P110:Y110 R107:Y109 P113:Y113 R111:Y112 P116:Y116 R114:Y115 R118:Y118 P122:Y122 R120:Y121 P124:Y124 R123:Y123">
    <cfRule type="cellIs" dxfId="123" priority="78" operator="equal">
      <formula>$B$135</formula>
    </cfRule>
  </conditionalFormatting>
  <conditionalFormatting sqref="D135:J135">
    <cfRule type="cellIs" dxfId="122" priority="77" operator="equal">
      <formula>$B$125</formula>
    </cfRule>
  </conditionalFormatting>
  <conditionalFormatting sqref="AK135:AL135 AI135">
    <cfRule type="cellIs" dxfId="121" priority="80" operator="equal">
      <formula>#REF!</formula>
    </cfRule>
  </conditionalFormatting>
  <conditionalFormatting sqref="Q135:AB135 Q2:AC2 R77:Y79 R64:Y65 W44:AC44 T40:U40 AB74:AB75 Q76:AB76 T39:Y39 Q136:AC137 Q89:AA89 Q119:AB119 Q141:AB141 R39:S40 Q44:U44 Q91:Y91 Q74:AA74 Q80:AB80 Q103:AC103 Q106:AC106 Q5:AC5 Q16:AC21 W50:AA50 V40:V62 Q47:U47 W53:AB53 W47:AC47 R4:Y4 AA4:AB4 W40:Y43 AC50 AC52:AC53 R99:Y102 Q7:AC7 R6:Y6 AA6:AB6 R8:Y15 AA8:AB15 AA22:AB22 AA24:AB24 AA26:AB26 AA28:AB28 AA42:AB43 AA41 W46:Y46 AA46:AB46 AA49 W48:Y49 AA48:AB48 W52:AA52 W51:Y51 AA51 W55:AC55 W54:Y54 AA54:AB54 W57:AC57 W56:Y56 AA56:AB56 W61:AC62 W58:Y60 AA58:AB60 AA64:AB65 AA79:AB79 AB77 Q82:AB82 R81:Y81 AA81:AB81 Q86:AB86 R83:Y85 AA83:AB83 R87:Y88 AA100:AB101 R105:Y105 Q110:AC110 R107:Y109 AA107:AB107 Q113:AC113 R111:Y112 AA112:AB112 Q116:AB116 R114:Y115 AA114:AB115 R118:Y118 AB118 Q122:AB122 R120:Y121 Q124:AB124 R123:Y123 AA123:AB123 Q1:Y1 AA1:AC1 Q23:AC23 R22:Y22 Q25:AC25 R24:Y24 Q27:AC27 R26:Y26 Q29:AC29 R28:Y28 R30:Y38 R41:U43 R46:U46 Q50:U50 R48:U49 Q52:U53 R51:U51 Q55:U55 R54:U54 Q57:U57 R56:U56 Q61:U62 R58:U60 R75:Y75 R90:Y90 Q93:Y93 R92:Y92 Q97:Y97 R94:Y96 AB37 AA30:AB36 AA38:AB40 AA85:AB85 AB84 AB87:AB97 AB99 AB102 AA105:AB105 AA109:AB109 AB108 AB111 AB120:AB121">
    <cfRule type="cellIs" dxfId="120" priority="76" operator="equal">
      <formula>#REF!</formula>
    </cfRule>
  </conditionalFormatting>
  <conditionalFormatting sqref="AN135:AO135">
    <cfRule type="cellIs" dxfId="119" priority="74" operator="equal">
      <formula>$AR$1</formula>
    </cfRule>
  </conditionalFormatting>
  <conditionalFormatting sqref="AQ135">
    <cfRule type="cellIs" dxfId="118" priority="73" operator="equal">
      <formula>$AR$1</formula>
    </cfRule>
  </conditionalFormatting>
  <conditionalFormatting sqref="AK137">
    <cfRule type="cellIs" dxfId="117" priority="72" operator="equal">
      <formula>#REF!</formula>
    </cfRule>
  </conditionalFormatting>
  <conditionalFormatting sqref="AK137">
    <cfRule type="cellIs" dxfId="116" priority="71" operator="equal">
      <formula>#REF!</formula>
    </cfRule>
  </conditionalFormatting>
  <conditionalFormatting sqref="AA75">
    <cfRule type="cellIs" dxfId="115" priority="70" operator="equal">
      <formula>#REF!</formula>
    </cfRule>
  </conditionalFormatting>
  <conditionalFormatting sqref="AE119 AE122">
    <cfRule type="cellIs" dxfId="114" priority="69" operator="equal">
      <formula>$AE$127</formula>
    </cfRule>
  </conditionalFormatting>
  <conditionalFormatting sqref="E123:G123">
    <cfRule type="cellIs" dxfId="113" priority="68" operator="equal">
      <formula>$B$135</formula>
    </cfRule>
  </conditionalFormatting>
  <conditionalFormatting sqref="E124:J124">
    <cfRule type="cellIs" dxfId="112" priority="67" operator="equal">
      <formula>$B$135</formula>
    </cfRule>
  </conditionalFormatting>
  <conditionalFormatting sqref="AQ31">
    <cfRule type="cellIs" dxfId="111" priority="65" operator="equal">
      <formula>$AR$1</formula>
    </cfRule>
  </conditionalFormatting>
  <conditionalFormatting sqref="AQ37">
    <cfRule type="cellIs" dxfId="110" priority="62" operator="equal">
      <formula>$AR$1</formula>
    </cfRule>
  </conditionalFormatting>
  <conditionalFormatting sqref="AQ39">
    <cfRule type="cellIs" dxfId="109" priority="60" operator="equal">
      <formula>$AR$1</formula>
    </cfRule>
  </conditionalFormatting>
  <conditionalFormatting sqref="AQ49">
    <cfRule type="cellIs" dxfId="108" priority="57" operator="equal">
      <formula>$AR$1</formula>
    </cfRule>
  </conditionalFormatting>
  <conditionalFormatting sqref="AQ51">
    <cfRule type="cellIs" dxfId="107" priority="56" operator="equal">
      <formula>$AR$1</formula>
    </cfRule>
  </conditionalFormatting>
  <conditionalFormatting sqref="AQ73">
    <cfRule type="cellIs" dxfId="106" priority="55" operator="equal">
      <formula>$AR$1</formula>
    </cfRule>
  </conditionalFormatting>
  <conditionalFormatting sqref="AQ78">
    <cfRule type="cellIs" dxfId="105" priority="54" operator="equal">
      <formula>$AR$1</formula>
    </cfRule>
  </conditionalFormatting>
  <conditionalFormatting sqref="AQ87">
    <cfRule type="cellIs" dxfId="104" priority="53" operator="equal">
      <formula>$AR$1</formula>
    </cfRule>
  </conditionalFormatting>
  <conditionalFormatting sqref="AQ88">
    <cfRule type="cellIs" dxfId="103" priority="52" operator="equal">
      <formula>$AR$1</formula>
    </cfRule>
  </conditionalFormatting>
  <conditionalFormatting sqref="AQ94">
    <cfRule type="cellIs" dxfId="102" priority="49" operator="equal">
      <formula>$AR$1</formula>
    </cfRule>
  </conditionalFormatting>
  <conditionalFormatting sqref="AQ96">
    <cfRule type="cellIs" dxfId="101" priority="46" operator="equal">
      <formula>$AR$1</formula>
    </cfRule>
  </conditionalFormatting>
  <conditionalFormatting sqref="AQ102">
    <cfRule type="cellIs" dxfId="100" priority="44" operator="equal">
      <formula>$AR$1</formula>
    </cfRule>
  </conditionalFormatting>
  <conditionalFormatting sqref="K2:O2">
    <cfRule type="cellIs" dxfId="99" priority="43" operator="equal">
      <formula>$A$73</formula>
    </cfRule>
  </conditionalFormatting>
  <conditionalFormatting sqref="D124">
    <cfRule type="cellIs" dxfId="98" priority="41" operator="equal">
      <formula>$B$125</formula>
    </cfRule>
  </conditionalFormatting>
  <conditionalFormatting sqref="AG141">
    <cfRule type="cellIs" dxfId="97" priority="36" operator="equal">
      <formula>$AE$127</formula>
    </cfRule>
  </conditionalFormatting>
  <conditionalFormatting sqref="AG8">
    <cfRule type="cellIs" dxfId="96" priority="35" operator="equal">
      <formula>$AR$1</formula>
    </cfRule>
  </conditionalFormatting>
  <conditionalFormatting sqref="AG9">
    <cfRule type="cellIs" dxfId="95" priority="34" operator="equal">
      <formula>$AR$1</formula>
    </cfRule>
  </conditionalFormatting>
  <conditionalFormatting sqref="AG10">
    <cfRule type="cellIs" dxfId="94" priority="33" operator="equal">
      <formula>$AR$1</formula>
    </cfRule>
  </conditionalFormatting>
  <conditionalFormatting sqref="AG11">
    <cfRule type="cellIs" dxfId="93" priority="32" operator="equal">
      <formula>$AR$1</formula>
    </cfRule>
  </conditionalFormatting>
  <conditionalFormatting sqref="AG12">
    <cfRule type="cellIs" dxfId="92" priority="31" operator="equal">
      <formula>$AR$1</formula>
    </cfRule>
  </conditionalFormatting>
  <conditionalFormatting sqref="AG13">
    <cfRule type="cellIs" dxfId="91" priority="30" operator="equal">
      <formula>$AR$1</formula>
    </cfRule>
  </conditionalFormatting>
  <conditionalFormatting sqref="AG14">
    <cfRule type="cellIs" dxfId="90" priority="29" operator="equal">
      <formula>$AR$1</formula>
    </cfRule>
  </conditionalFormatting>
  <conditionalFormatting sqref="AG15">
    <cfRule type="cellIs" dxfId="89" priority="28" operator="equal">
      <formula>$AR$1</formula>
    </cfRule>
  </conditionalFormatting>
  <conditionalFormatting sqref="AG22">
    <cfRule type="cellIs" dxfId="88" priority="27" operator="equal">
      <formula>$AR$1</formula>
    </cfRule>
  </conditionalFormatting>
  <conditionalFormatting sqref="P4:Q4 P6:Q6 P8:Q15 P22:Q22 P24:Q24 P26:Q26 P28:Q28 P30:Q43 P46:Q46 P48:Q49 P51:Q51 P54:Q54 P56:Q56 P58:Q60 P64:Q65 P67:Q67 P69:Q69 P71:Q73 P75:Q75 P77:Q79 P81:Q81 P83:Q85 P87:Q88 P90:Q90 P92:Q92 P94:Q96 P99:Q102 P105:Q105 P107:Q109 P111:Q112 P114:Q115 P118:Q118 P120:Q121 P123:Q123">
    <cfRule type="cellIs" dxfId="87" priority="25" operator="equal">
      <formula>$B$125</formula>
    </cfRule>
  </conditionalFormatting>
  <conditionalFormatting sqref="Z4 Z6 Z22 Z24 Z26 Z28 Z30:Z36 Z46 Z48:Z49 Z51 Z54 Z56 Z58:Z60 Z64:Z65 Z67 Z69 Z71:Z73 Z75 Z77:Z79 Z81 Z87:Z88 Z90 Z92 Z94:Z95 Z100:Z102 Z111:Z112 Z114:Z115 Z118 Z120:Z121 Z123 Z8:Z15 Z38:Z43 Z83:Z85 Z105 Z107:Z109">
    <cfRule type="cellIs" dxfId="86" priority="24" operator="equal">
      <formula>$B$125</formula>
    </cfRule>
  </conditionalFormatting>
  <conditionalFormatting sqref="AC4 AC6 AC8:AC15 AC22 AC24 AC26 AC28 AC30:AC43 AC46 AC48:AC49 AC51 AC54 AC56 AC58:AC60 AC64:AC65 AC67 AC69 AC71:AC73 AC75 AC77:AC79 AC81 AC83:AC85 AC87:AC88 AC90 AC92 AC94:AC96 AC99:AC102 AC105 AC107:AC109 AC111:AC112 AC114:AC115 AC118 AC120:AC121 AC123">
    <cfRule type="cellIs" dxfId="85" priority="23" operator="equal">
      <formula>$B$125</formula>
    </cfRule>
  </conditionalFormatting>
  <conditionalFormatting sqref="AE4:AF4 AE6:AF6 AE8:AF15 AE22:AF22 AE24:AF24 AE26:AF26 AE28:AF28 AE30:AF43 AE46:AF46 AE48:AF49 AE51:AF51 AE54:AF54 AE56:AF56 AE58:AF60 AE64:AF65 AE67:AF67 AE69:AF69 AE71:AF73 AE75:AF75 AE77:AF79 AE81:AF81 AE83:AF85 AE87:AF88 AE90:AF90 AE92:AF92 AE94:AF96 AE99:AF102 AE105:AF105 AE107:AF109 AE111:AF112 AE114:AF115 AE118:AF118 AE120:AF121 AE123:AF123">
    <cfRule type="cellIs" dxfId="84" priority="22" operator="equal">
      <formula>$B$125</formula>
    </cfRule>
  </conditionalFormatting>
  <conditionalFormatting sqref="AN4 AN6 AN22 AN24 AN26 AN28 AN46 AN48:AN49 AN51 AN54 AN56 AN58:AN60 AN67 AN69 AN71:AN73 AN75 AN77:AN79 AN81 AN83:AN85 AN87:AN88 AN90 AN92 AN107:AN109 AN115 AN118 AN120:AN121 AN123 AN30:AN36 AN38:AN41 AN8:AN15 AN64:AN65 AN94:AN96 AN99:AN102 AN105 AN111:AN112">
    <cfRule type="cellIs" dxfId="83" priority="21" operator="equal">
      <formula>$B$125</formula>
    </cfRule>
  </conditionalFormatting>
  <conditionalFormatting sqref="Z37">
    <cfRule type="cellIs" dxfId="82" priority="20" operator="equal">
      <formula>$B$125</formula>
    </cfRule>
  </conditionalFormatting>
  <conditionalFormatting sqref="AN37">
    <cfRule type="cellIs" dxfId="81" priority="19" operator="equal">
      <formula>$B$125</formula>
    </cfRule>
  </conditionalFormatting>
  <conditionalFormatting sqref="AN42">
    <cfRule type="cellIs" dxfId="80" priority="18" operator="equal">
      <formula>$B$126</formula>
    </cfRule>
  </conditionalFormatting>
  <conditionalFormatting sqref="AN43">
    <cfRule type="cellIs" dxfId="79" priority="17" operator="equal">
      <formula>$B$126</formula>
    </cfRule>
  </conditionalFormatting>
  <conditionalFormatting sqref="AA73">
    <cfRule type="cellIs" dxfId="78" priority="16" operator="equal">
      <formula>#REF!</formula>
    </cfRule>
  </conditionalFormatting>
  <conditionalFormatting sqref="AA77">
    <cfRule type="cellIs" dxfId="77" priority="15" operator="equal">
      <formula>#REF!</formula>
    </cfRule>
  </conditionalFormatting>
  <conditionalFormatting sqref="AA78">
    <cfRule type="cellIs" dxfId="76" priority="14" operator="equal">
      <formula>#REF!</formula>
    </cfRule>
  </conditionalFormatting>
  <conditionalFormatting sqref="AA84">
    <cfRule type="cellIs" dxfId="75" priority="13" operator="equal">
      <formula>#REF!</formula>
    </cfRule>
  </conditionalFormatting>
  <conditionalFormatting sqref="AA87">
    <cfRule type="cellIs" dxfId="74" priority="12" operator="equal">
      <formula>#REF!</formula>
    </cfRule>
  </conditionalFormatting>
  <conditionalFormatting sqref="AA88">
    <cfRule type="cellIs" dxfId="73" priority="11" operator="equal">
      <formula>#REF!</formula>
    </cfRule>
  </conditionalFormatting>
  <conditionalFormatting sqref="Z96">
    <cfRule type="cellIs" dxfId="72" priority="10" operator="equal">
      <formula>$B$125</formula>
    </cfRule>
  </conditionalFormatting>
  <conditionalFormatting sqref="Z99">
    <cfRule type="cellIs" dxfId="71" priority="9" operator="equal">
      <formula>$B$125</formula>
    </cfRule>
  </conditionalFormatting>
  <conditionalFormatting sqref="AA102">
    <cfRule type="cellIs" dxfId="36" priority="8" operator="equal">
      <formula>#REF!</formula>
    </cfRule>
  </conditionalFormatting>
  <conditionalFormatting sqref="AO99">
    <cfRule type="cellIs" dxfId="34" priority="7" operator="equal">
      <formula>$B$126</formula>
    </cfRule>
  </conditionalFormatting>
  <conditionalFormatting sqref="AA108">
    <cfRule type="cellIs" dxfId="26" priority="6" operator="equal">
      <formula>#REF!</formula>
    </cfRule>
  </conditionalFormatting>
  <conditionalFormatting sqref="AA111">
    <cfRule type="cellIs" dxfId="21" priority="5" operator="equal">
      <formula>#REF!</formula>
    </cfRule>
  </conditionalFormatting>
  <conditionalFormatting sqref="AN114">
    <cfRule type="cellIs" dxfId="16" priority="4" operator="equal">
      <formula>$B$126</formula>
    </cfRule>
  </conditionalFormatting>
  <conditionalFormatting sqref="AA118">
    <cfRule type="cellIs" dxfId="14" priority="3" operator="equal">
      <formula>#REF!</formula>
    </cfRule>
  </conditionalFormatting>
  <conditionalFormatting sqref="AA120">
    <cfRule type="cellIs" dxfId="10" priority="2" operator="equal">
      <formula>#REF!</formula>
    </cfRule>
  </conditionalFormatting>
  <conditionalFormatting sqref="AA121">
    <cfRule type="cellIs" dxfId="5" priority="1" operator="equal">
      <formula>#REF!</formula>
    </cfRule>
  </conditionalFormatting>
  <hyperlinks>
    <hyperlink ref="Y65" display="http://www.pharmac.govt.nz/2018/01/01/Schedule.pdf#page=121_x000a__x000a_Wielage, R. C., et al. (2013). &quot;The Cost-Effectiveness of Duloxetine in Chronic Low Back Pain: A US Private Payer Perspective.&quot; Value in Health 16(2): 334-344._x000a__x000a_Annual cost of Celecoxib is $3,70"/>
    <hyperlink ref="Y69" r:id="rId1" display="http://www.pharmacydirect.co.nz/Anti-Inflammatory-Topical-Rubs-Creams/_x000a__x000a_1. Voltaren $25.90 100g_x000a_2. "/>
    <hyperlink ref="Y73" r:id="rId2" display="http://www.pharmac.govt.nz/Schedule?osq=capsaicin_x000a_"/>
    <hyperlink ref="Y92" r:id="rId3"/>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topLeftCell="A73" zoomScale="90" zoomScaleNormal="90" workbookViewId="0">
      <selection activeCell="D102" sqref="D102"/>
    </sheetView>
  </sheetViews>
  <sheetFormatPr defaultRowHeight="15" x14ac:dyDescent="0.25"/>
  <cols>
    <col min="1" max="1" width="81.28515625" style="115" bestFit="1" customWidth="1"/>
    <col min="2" max="2" width="18.42578125" style="115" bestFit="1" customWidth="1"/>
    <col min="3" max="3" width="19.28515625" style="115" customWidth="1"/>
    <col min="4" max="4" width="92.5703125" style="116" customWidth="1"/>
  </cols>
  <sheetData>
    <row r="1" spans="1:4" x14ac:dyDescent="0.25">
      <c r="A1" s="117" t="s">
        <v>1082</v>
      </c>
      <c r="B1" s="117" t="s">
        <v>1083</v>
      </c>
      <c r="C1" s="117" t="s">
        <v>1086</v>
      </c>
      <c r="D1" s="120" t="s">
        <v>1084</v>
      </c>
    </row>
    <row r="2" spans="1:4" s="133" customFormat="1" ht="60" x14ac:dyDescent="0.25">
      <c r="A2" s="134"/>
      <c r="B2" s="134" t="s">
        <v>1172</v>
      </c>
      <c r="C2" s="134"/>
      <c r="D2" s="135" t="s">
        <v>1173</v>
      </c>
    </row>
    <row r="3" spans="1:4" ht="30" x14ac:dyDescent="0.25">
      <c r="A3" s="115" t="s">
        <v>82</v>
      </c>
      <c r="B3" s="115" t="s">
        <v>37</v>
      </c>
      <c r="C3" s="130" t="s">
        <v>1087</v>
      </c>
      <c r="D3" s="116" t="s">
        <v>1088</v>
      </c>
    </row>
    <row r="4" spans="1:4" x14ac:dyDescent="0.25">
      <c r="A4" s="115" t="s">
        <v>1085</v>
      </c>
      <c r="B4" s="115" t="s">
        <v>993</v>
      </c>
      <c r="C4" s="131" t="s">
        <v>1127</v>
      </c>
      <c r="D4" s="116" t="s">
        <v>1091</v>
      </c>
    </row>
    <row r="5" spans="1:4" x14ac:dyDescent="0.25">
      <c r="A5" s="115" t="s">
        <v>1085</v>
      </c>
      <c r="B5" s="115" t="s">
        <v>50</v>
      </c>
      <c r="C5" s="13" t="s">
        <v>113</v>
      </c>
      <c r="D5" s="116" t="s">
        <v>1089</v>
      </c>
    </row>
    <row r="6" spans="1:4" x14ac:dyDescent="0.25">
      <c r="A6" s="115" t="s">
        <v>1085</v>
      </c>
      <c r="B6" s="115" t="s">
        <v>1090</v>
      </c>
      <c r="C6" s="13" t="s">
        <v>884</v>
      </c>
      <c r="D6" s="116" t="s">
        <v>991</v>
      </c>
    </row>
    <row r="7" spans="1:4" x14ac:dyDescent="0.25">
      <c r="A7" s="115" t="s">
        <v>1092</v>
      </c>
      <c r="B7" s="115" t="s">
        <v>993</v>
      </c>
      <c r="C7" s="131" t="s">
        <v>1135</v>
      </c>
      <c r="D7" s="116" t="s">
        <v>1093</v>
      </c>
    </row>
    <row r="8" spans="1:4" x14ac:dyDescent="0.25">
      <c r="A8" s="115" t="s">
        <v>1092</v>
      </c>
      <c r="B8" s="115" t="s">
        <v>50</v>
      </c>
      <c r="C8" s="13" t="s">
        <v>113</v>
      </c>
      <c r="D8" s="116" t="s">
        <v>1089</v>
      </c>
    </row>
    <row r="9" spans="1:4" x14ac:dyDescent="0.25">
      <c r="A9" s="115" t="s">
        <v>1154</v>
      </c>
      <c r="B9" s="115" t="s">
        <v>971</v>
      </c>
      <c r="C9" s="24" t="s">
        <v>1153</v>
      </c>
    </row>
    <row r="10" spans="1:4" x14ac:dyDescent="0.25">
      <c r="A10" s="115" t="s">
        <v>1155</v>
      </c>
      <c r="B10" s="115" t="s">
        <v>971</v>
      </c>
      <c r="C10" s="24" t="s">
        <v>1107</v>
      </c>
    </row>
    <row r="11" spans="1:4" x14ac:dyDescent="0.25">
      <c r="A11" s="115" t="s">
        <v>235</v>
      </c>
      <c r="B11" s="115" t="s">
        <v>971</v>
      </c>
      <c r="C11" s="24" t="s">
        <v>1107</v>
      </c>
    </row>
    <row r="12" spans="1:4" x14ac:dyDescent="0.25">
      <c r="A12" s="115" t="s">
        <v>246</v>
      </c>
      <c r="B12" s="115" t="s">
        <v>993</v>
      </c>
      <c r="C12" s="131" t="s">
        <v>1095</v>
      </c>
      <c r="D12" s="116" t="s">
        <v>1144</v>
      </c>
    </row>
    <row r="13" spans="1:4" x14ac:dyDescent="0.25">
      <c r="A13" s="115" t="s">
        <v>246</v>
      </c>
      <c r="B13" s="115" t="s">
        <v>50</v>
      </c>
      <c r="C13" s="13" t="s">
        <v>94</v>
      </c>
      <c r="D13" s="116" t="s">
        <v>1096</v>
      </c>
    </row>
    <row r="14" spans="1:4" x14ac:dyDescent="0.25">
      <c r="A14" s="115" t="s">
        <v>246</v>
      </c>
      <c r="B14" s="115" t="s">
        <v>971</v>
      </c>
      <c r="C14" s="24" t="s">
        <v>1107</v>
      </c>
    </row>
    <row r="15" spans="1:4" x14ac:dyDescent="0.25">
      <c r="A15" s="115" t="s">
        <v>254</v>
      </c>
      <c r="B15" s="115" t="s">
        <v>971</v>
      </c>
      <c r="C15" s="24" t="s">
        <v>1107</v>
      </c>
    </row>
    <row r="16" spans="1:4" x14ac:dyDescent="0.25">
      <c r="A16" s="115" t="s">
        <v>261</v>
      </c>
      <c r="B16" s="115" t="s">
        <v>971</v>
      </c>
      <c r="C16" s="24" t="s">
        <v>1107</v>
      </c>
    </row>
    <row r="17" spans="1:4" x14ac:dyDescent="0.25">
      <c r="A17" s="115" t="s">
        <v>270</v>
      </c>
      <c r="B17" s="115" t="s">
        <v>971</v>
      </c>
      <c r="C17" s="24" t="s">
        <v>1107</v>
      </c>
    </row>
    <row r="18" spans="1:4" x14ac:dyDescent="0.25">
      <c r="A18" s="115" t="s">
        <v>1098</v>
      </c>
      <c r="B18" s="115" t="s">
        <v>993</v>
      </c>
      <c r="C18" s="131" t="s">
        <v>1141</v>
      </c>
      <c r="D18" s="116" t="s">
        <v>1094</v>
      </c>
    </row>
    <row r="19" spans="1:4" x14ac:dyDescent="0.25">
      <c r="A19" s="115" t="s">
        <v>1098</v>
      </c>
      <c r="B19" s="115" t="s">
        <v>50</v>
      </c>
      <c r="C19" s="13" t="s">
        <v>113</v>
      </c>
      <c r="D19" s="116" t="s">
        <v>1089</v>
      </c>
    </row>
    <row r="20" spans="1:4" x14ac:dyDescent="0.25">
      <c r="A20" s="115" t="s">
        <v>1098</v>
      </c>
      <c r="B20" s="115" t="s">
        <v>1090</v>
      </c>
      <c r="C20" s="13" t="s">
        <v>63</v>
      </c>
    </row>
    <row r="21" spans="1:4" x14ac:dyDescent="0.25">
      <c r="A21" s="115" t="s">
        <v>1098</v>
      </c>
      <c r="B21" s="115" t="s">
        <v>971</v>
      </c>
      <c r="C21" s="132" t="s">
        <v>1099</v>
      </c>
    </row>
    <row r="22" spans="1:4" x14ac:dyDescent="0.25">
      <c r="A22" s="115" t="s">
        <v>1156</v>
      </c>
      <c r="B22" s="115" t="s">
        <v>971</v>
      </c>
      <c r="C22" s="24" t="s">
        <v>1107</v>
      </c>
    </row>
    <row r="23" spans="1:4" x14ac:dyDescent="0.25">
      <c r="A23" s="115" t="s">
        <v>1100</v>
      </c>
      <c r="B23" s="115" t="s">
        <v>993</v>
      </c>
      <c r="C23" s="130" t="s">
        <v>1097</v>
      </c>
      <c r="D23" s="116" t="s">
        <v>1101</v>
      </c>
    </row>
    <row r="24" spans="1:4" x14ac:dyDescent="0.25">
      <c r="A24" s="115" t="s">
        <v>1100</v>
      </c>
      <c r="B24" s="115" t="s">
        <v>971</v>
      </c>
      <c r="C24" s="24" t="s">
        <v>1107</v>
      </c>
    </row>
    <row r="25" spans="1:4" x14ac:dyDescent="0.25">
      <c r="A25" s="115" t="s">
        <v>1102</v>
      </c>
      <c r="B25" s="115" t="s">
        <v>993</v>
      </c>
      <c r="C25" s="131" t="s">
        <v>1104</v>
      </c>
      <c r="D25" s="116" t="s">
        <v>1094</v>
      </c>
    </row>
    <row r="26" spans="1:4" x14ac:dyDescent="0.25">
      <c r="A26" s="115" t="s">
        <v>1102</v>
      </c>
      <c r="B26" s="115" t="s">
        <v>971</v>
      </c>
      <c r="C26" s="105" t="s">
        <v>1107</v>
      </c>
    </row>
    <row r="27" spans="1:4" x14ac:dyDescent="0.25">
      <c r="A27" s="115" t="s">
        <v>1103</v>
      </c>
      <c r="B27" s="115" t="s">
        <v>993</v>
      </c>
      <c r="C27" s="131" t="s">
        <v>1105</v>
      </c>
      <c r="D27" s="116" t="s">
        <v>1145</v>
      </c>
    </row>
    <row r="28" spans="1:4" x14ac:dyDescent="0.25">
      <c r="A28" s="115" t="s">
        <v>1103</v>
      </c>
      <c r="B28" s="115" t="s">
        <v>50</v>
      </c>
      <c r="C28" s="13" t="s">
        <v>73</v>
      </c>
      <c r="D28" s="116" t="s">
        <v>1089</v>
      </c>
    </row>
    <row r="29" spans="1:4" x14ac:dyDescent="0.25">
      <c r="A29" s="115" t="s">
        <v>1103</v>
      </c>
      <c r="B29" s="115" t="s">
        <v>971</v>
      </c>
      <c r="C29" s="105" t="s">
        <v>1107</v>
      </c>
    </row>
    <row r="30" spans="1:4" ht="30" x14ac:dyDescent="0.25">
      <c r="A30" s="115" t="s">
        <v>1106</v>
      </c>
      <c r="B30" s="115" t="s">
        <v>993</v>
      </c>
      <c r="C30" s="131" t="s">
        <v>1148</v>
      </c>
      <c r="D30" s="116" t="s">
        <v>1109</v>
      </c>
    </row>
    <row r="31" spans="1:4" x14ac:dyDescent="0.25">
      <c r="A31" s="115" t="s">
        <v>1106</v>
      </c>
      <c r="B31" s="115" t="s">
        <v>50</v>
      </c>
      <c r="C31" s="13" t="s">
        <v>113</v>
      </c>
      <c r="D31" s="116" t="s">
        <v>1110</v>
      </c>
    </row>
    <row r="32" spans="1:4" x14ac:dyDescent="0.25">
      <c r="A32" s="115" t="s">
        <v>1106</v>
      </c>
      <c r="B32" s="115" t="s">
        <v>971</v>
      </c>
      <c r="C32" s="105" t="s">
        <v>1108</v>
      </c>
    </row>
    <row r="33" spans="1:4" x14ac:dyDescent="0.25">
      <c r="A33" s="115" t="s">
        <v>1149</v>
      </c>
      <c r="B33" s="115" t="s">
        <v>993</v>
      </c>
      <c r="C33" s="130" t="s">
        <v>1151</v>
      </c>
      <c r="D33" s="116" t="s">
        <v>1152</v>
      </c>
    </row>
    <row r="34" spans="1:4" x14ac:dyDescent="0.25">
      <c r="A34" s="115" t="s">
        <v>1149</v>
      </c>
      <c r="B34" s="115" t="s">
        <v>50</v>
      </c>
      <c r="C34" s="13" t="s">
        <v>113</v>
      </c>
      <c r="D34" s="116" t="s">
        <v>1089</v>
      </c>
    </row>
    <row r="35" spans="1:4" x14ac:dyDescent="0.25">
      <c r="A35" s="115" t="s">
        <v>1149</v>
      </c>
      <c r="B35" s="115" t="s">
        <v>971</v>
      </c>
      <c r="C35" s="130" t="s">
        <v>1157</v>
      </c>
    </row>
    <row r="36" spans="1:4" x14ac:dyDescent="0.25">
      <c r="A36" s="115" t="s">
        <v>1060</v>
      </c>
      <c r="B36" s="115" t="s">
        <v>993</v>
      </c>
      <c r="C36" s="130" t="s">
        <v>1160</v>
      </c>
      <c r="D36" s="116" t="s">
        <v>1094</v>
      </c>
    </row>
    <row r="37" spans="1:4" x14ac:dyDescent="0.25">
      <c r="A37" s="115" t="s">
        <v>1060</v>
      </c>
      <c r="B37" s="115" t="s">
        <v>50</v>
      </c>
      <c r="C37" s="13" t="s">
        <v>113</v>
      </c>
      <c r="D37" s="116" t="s">
        <v>1089</v>
      </c>
    </row>
    <row r="38" spans="1:4" x14ac:dyDescent="0.25">
      <c r="A38" s="115" t="s">
        <v>1060</v>
      </c>
      <c r="B38" s="115" t="s">
        <v>971</v>
      </c>
      <c r="C38" s="105" t="s">
        <v>991</v>
      </c>
    </row>
    <row r="39" spans="1:4" ht="30" x14ac:dyDescent="0.25">
      <c r="A39" s="115" t="s">
        <v>1161</v>
      </c>
      <c r="B39" s="115" t="s">
        <v>993</v>
      </c>
      <c r="C39" s="130" t="s">
        <v>1171</v>
      </c>
      <c r="D39" s="116" t="s">
        <v>1170</v>
      </c>
    </row>
    <row r="40" spans="1:4" x14ac:dyDescent="0.25">
      <c r="A40" s="115" t="s">
        <v>1161</v>
      </c>
      <c r="B40" s="115" t="s">
        <v>50</v>
      </c>
      <c r="C40" s="119" t="s">
        <v>94</v>
      </c>
      <c r="D40" s="116" t="s">
        <v>1089</v>
      </c>
    </row>
    <row r="41" spans="1:4" x14ac:dyDescent="0.25">
      <c r="A41" s="115" t="s">
        <v>1174</v>
      </c>
      <c r="B41" s="115" t="s">
        <v>993</v>
      </c>
      <c r="C41" s="137" t="s">
        <v>1177</v>
      </c>
      <c r="D41" s="116" t="s">
        <v>1094</v>
      </c>
    </row>
    <row r="42" spans="1:4" x14ac:dyDescent="0.25">
      <c r="A42" s="115" t="s">
        <v>1174</v>
      </c>
      <c r="B42" s="115" t="s">
        <v>971</v>
      </c>
      <c r="C42" s="105" t="s">
        <v>1107</v>
      </c>
    </row>
    <row r="43" spans="1:4" x14ac:dyDescent="0.25">
      <c r="A43" s="115" t="s">
        <v>1178</v>
      </c>
      <c r="B43" s="115" t="s">
        <v>993</v>
      </c>
      <c r="C43" s="131" t="s">
        <v>1182</v>
      </c>
      <c r="D43" s="116" t="s">
        <v>1094</v>
      </c>
    </row>
    <row r="44" spans="1:4" x14ac:dyDescent="0.25">
      <c r="A44" s="115" t="s">
        <v>1178</v>
      </c>
      <c r="B44" s="115" t="s">
        <v>971</v>
      </c>
      <c r="C44" s="105" t="s">
        <v>1107</v>
      </c>
    </row>
    <row r="45" spans="1:4" x14ac:dyDescent="0.25">
      <c r="A45" s="115" t="s">
        <v>1180</v>
      </c>
      <c r="B45" s="115" t="s">
        <v>993</v>
      </c>
      <c r="C45" s="131" t="s">
        <v>1183</v>
      </c>
      <c r="D45" s="116" t="s">
        <v>1094</v>
      </c>
    </row>
    <row r="46" spans="1:4" x14ac:dyDescent="0.25">
      <c r="A46" s="115" t="s">
        <v>1180</v>
      </c>
      <c r="B46" s="115" t="s">
        <v>971</v>
      </c>
      <c r="C46" s="105" t="s">
        <v>1107</v>
      </c>
    </row>
    <row r="47" spans="1:4" x14ac:dyDescent="0.25">
      <c r="A47" s="115" t="s">
        <v>1184</v>
      </c>
      <c r="B47" s="115" t="s">
        <v>993</v>
      </c>
      <c r="C47" s="130" t="s">
        <v>1187</v>
      </c>
      <c r="D47" s="116" t="s">
        <v>1188</v>
      </c>
    </row>
    <row r="48" spans="1:4" x14ac:dyDescent="0.25">
      <c r="A48" s="115" t="s">
        <v>1184</v>
      </c>
      <c r="B48" s="115" t="s">
        <v>1090</v>
      </c>
      <c r="C48" s="13" t="s">
        <v>1069</v>
      </c>
      <c r="D48" s="116" t="s">
        <v>1189</v>
      </c>
    </row>
    <row r="49" spans="1:4" x14ac:dyDescent="0.25">
      <c r="A49" s="115" t="s">
        <v>1184</v>
      </c>
      <c r="B49" s="115" t="s">
        <v>971</v>
      </c>
      <c r="C49" s="130" t="s">
        <v>1190</v>
      </c>
    </row>
    <row r="50" spans="1:4" x14ac:dyDescent="0.25">
      <c r="A50" s="115" t="s">
        <v>1191</v>
      </c>
      <c r="B50" s="115" t="s">
        <v>993</v>
      </c>
      <c r="C50" s="131" t="s">
        <v>1193</v>
      </c>
      <c r="D50" s="116" t="s">
        <v>1194</v>
      </c>
    </row>
    <row r="51" spans="1:4" x14ac:dyDescent="0.25">
      <c r="A51" s="115" t="s">
        <v>1191</v>
      </c>
      <c r="B51" s="115" t="s">
        <v>971</v>
      </c>
      <c r="C51" s="105" t="s">
        <v>1107</v>
      </c>
    </row>
    <row r="52" spans="1:4" ht="30" customHeight="1" x14ac:dyDescent="0.25">
      <c r="A52" s="115" t="s">
        <v>1195</v>
      </c>
      <c r="B52" s="115" t="s">
        <v>993</v>
      </c>
      <c r="C52" s="131" t="s">
        <v>1197</v>
      </c>
      <c r="D52" s="116" t="s">
        <v>1198</v>
      </c>
    </row>
    <row r="53" spans="1:4" x14ac:dyDescent="0.25">
      <c r="A53" s="115" t="s">
        <v>1195</v>
      </c>
      <c r="B53" s="115" t="s">
        <v>50</v>
      </c>
      <c r="C53" s="13" t="s">
        <v>94</v>
      </c>
      <c r="D53" s="116" t="s">
        <v>1089</v>
      </c>
    </row>
    <row r="54" spans="1:4" x14ac:dyDescent="0.25">
      <c r="A54" s="115" t="s">
        <v>1195</v>
      </c>
      <c r="B54" s="115" t="s">
        <v>971</v>
      </c>
      <c r="C54" s="105" t="s">
        <v>1107</v>
      </c>
    </row>
    <row r="55" spans="1:4" x14ac:dyDescent="0.25">
      <c r="A55" s="115" t="s">
        <v>1199</v>
      </c>
      <c r="B55" s="115" t="s">
        <v>993</v>
      </c>
      <c r="C55" s="131" t="s">
        <v>1201</v>
      </c>
      <c r="D55" s="116" t="s">
        <v>1094</v>
      </c>
    </row>
    <row r="56" spans="1:4" x14ac:dyDescent="0.25">
      <c r="A56" s="115" t="s">
        <v>1199</v>
      </c>
      <c r="B56" s="115" t="s">
        <v>971</v>
      </c>
      <c r="C56" s="105" t="s">
        <v>1107</v>
      </c>
    </row>
    <row r="57" spans="1:4" x14ac:dyDescent="0.25">
      <c r="A57" s="115" t="s">
        <v>1202</v>
      </c>
      <c r="B57" s="115" t="s">
        <v>50</v>
      </c>
      <c r="C57" s="13" t="s">
        <v>113</v>
      </c>
      <c r="D57" s="116" t="s">
        <v>1203</v>
      </c>
    </row>
    <row r="58" spans="1:4" x14ac:dyDescent="0.25">
      <c r="A58" s="115" t="s">
        <v>1202</v>
      </c>
      <c r="B58" s="115" t="s">
        <v>971</v>
      </c>
      <c r="C58" s="105" t="s">
        <v>977</v>
      </c>
    </row>
    <row r="59" spans="1:4" x14ac:dyDescent="0.25">
      <c r="A59" s="115" t="s">
        <v>1204</v>
      </c>
      <c r="B59" s="115" t="s">
        <v>993</v>
      </c>
      <c r="C59" s="130" t="s">
        <v>1206</v>
      </c>
    </row>
    <row r="60" spans="1:4" x14ac:dyDescent="0.25">
      <c r="A60" s="115" t="s">
        <v>1204</v>
      </c>
      <c r="B60" s="115" t="s">
        <v>50</v>
      </c>
      <c r="C60" s="13" t="s">
        <v>113</v>
      </c>
      <c r="D60" s="116" t="s">
        <v>1203</v>
      </c>
    </row>
    <row r="61" spans="1:4" x14ac:dyDescent="0.25">
      <c r="A61" s="115" t="s">
        <v>1204</v>
      </c>
      <c r="B61" s="115" t="s">
        <v>971</v>
      </c>
      <c r="C61" s="105" t="s">
        <v>977</v>
      </c>
    </row>
    <row r="62" spans="1:4" x14ac:dyDescent="0.25">
      <c r="A62" s="115" t="s">
        <v>1207</v>
      </c>
      <c r="B62" s="115" t="s">
        <v>993</v>
      </c>
      <c r="C62" s="130" t="s">
        <v>1209</v>
      </c>
      <c r="D62" s="116" t="s">
        <v>1210</v>
      </c>
    </row>
    <row r="63" spans="1:4" x14ac:dyDescent="0.25">
      <c r="A63" s="115" t="s">
        <v>1207</v>
      </c>
      <c r="B63" s="115" t="s">
        <v>50</v>
      </c>
      <c r="C63" s="13" t="s">
        <v>113</v>
      </c>
      <c r="D63" s="116" t="s">
        <v>1089</v>
      </c>
    </row>
    <row r="64" spans="1:4" x14ac:dyDescent="0.25">
      <c r="A64" s="115" t="s">
        <v>1207</v>
      </c>
      <c r="B64" s="115" t="s">
        <v>1090</v>
      </c>
      <c r="C64" s="13" t="s">
        <v>884</v>
      </c>
    </row>
    <row r="65" spans="1:4" x14ac:dyDescent="0.25">
      <c r="A65" s="115" t="s">
        <v>1207</v>
      </c>
      <c r="B65" s="115" t="s">
        <v>971</v>
      </c>
      <c r="C65" s="105" t="s">
        <v>977</v>
      </c>
    </row>
    <row r="66" spans="1:4" x14ac:dyDescent="0.25">
      <c r="A66" s="115" t="s">
        <v>1211</v>
      </c>
      <c r="B66" s="115" t="s">
        <v>1090</v>
      </c>
      <c r="C66" s="13" t="s">
        <v>884</v>
      </c>
    </row>
    <row r="67" spans="1:4" x14ac:dyDescent="0.25">
      <c r="A67" s="115" t="s">
        <v>1211</v>
      </c>
      <c r="B67" s="115" t="s">
        <v>971</v>
      </c>
      <c r="C67" s="105" t="s">
        <v>977</v>
      </c>
    </row>
    <row r="68" spans="1:4" x14ac:dyDescent="0.25">
      <c r="A68" s="115" t="s">
        <v>1211</v>
      </c>
      <c r="B68" s="115" t="s">
        <v>993</v>
      </c>
      <c r="C68" s="75" t="s">
        <v>1219</v>
      </c>
      <c r="D68" s="116" t="s">
        <v>1223</v>
      </c>
    </row>
    <row r="69" spans="1:4" x14ac:dyDescent="0.25">
      <c r="A69" s="115" t="s">
        <v>1212</v>
      </c>
      <c r="B69" s="115" t="s">
        <v>50</v>
      </c>
      <c r="C69" s="13" t="s">
        <v>113</v>
      </c>
      <c r="D69" s="116" t="s">
        <v>1214</v>
      </c>
    </row>
    <row r="70" spans="1:4" x14ac:dyDescent="0.25">
      <c r="A70" s="115" t="s">
        <v>1212</v>
      </c>
      <c r="B70" s="115" t="s">
        <v>971</v>
      </c>
      <c r="C70" s="105" t="s">
        <v>991</v>
      </c>
    </row>
    <row r="71" spans="1:4" x14ac:dyDescent="0.25">
      <c r="A71" s="115" t="s">
        <v>1213</v>
      </c>
      <c r="B71" s="115" t="s">
        <v>50</v>
      </c>
      <c r="C71" s="13" t="s">
        <v>113</v>
      </c>
      <c r="D71" s="116" t="s">
        <v>1214</v>
      </c>
    </row>
    <row r="72" spans="1:4" x14ac:dyDescent="0.25">
      <c r="A72" s="115" t="s">
        <v>1213</v>
      </c>
      <c r="B72" s="115" t="s">
        <v>971</v>
      </c>
      <c r="C72" s="105" t="s">
        <v>1157</v>
      </c>
    </row>
    <row r="73" spans="1:4" x14ac:dyDescent="0.25">
      <c r="A73" s="115" t="s">
        <v>1215</v>
      </c>
      <c r="B73" s="115" t="s">
        <v>993</v>
      </c>
      <c r="C73" s="137" t="s">
        <v>1097</v>
      </c>
      <c r="D73" s="116" t="s">
        <v>1216</v>
      </c>
    </row>
    <row r="74" spans="1:4" x14ac:dyDescent="0.25">
      <c r="A74" s="115" t="s">
        <v>1215</v>
      </c>
      <c r="B74" s="115" t="s">
        <v>971</v>
      </c>
      <c r="C74" s="105" t="s">
        <v>1107</v>
      </c>
    </row>
    <row r="75" spans="1:4" x14ac:dyDescent="0.25">
      <c r="A75" s="115" t="s">
        <v>1217</v>
      </c>
      <c r="B75" s="115" t="s">
        <v>993</v>
      </c>
      <c r="C75" s="131" t="s">
        <v>1218</v>
      </c>
    </row>
    <row r="76" spans="1:4" x14ac:dyDescent="0.25">
      <c r="A76" s="115" t="s">
        <v>1217</v>
      </c>
      <c r="B76" s="115" t="s">
        <v>50</v>
      </c>
      <c r="C76" s="13" t="s">
        <v>113</v>
      </c>
      <c r="D76" s="116" t="s">
        <v>1214</v>
      </c>
    </row>
    <row r="77" spans="1:4" x14ac:dyDescent="0.25">
      <c r="A77" s="115" t="s">
        <v>1217</v>
      </c>
      <c r="B77" s="115" t="s">
        <v>1090</v>
      </c>
      <c r="C77" s="13" t="s">
        <v>63</v>
      </c>
    </row>
    <row r="78" spans="1:4" x14ac:dyDescent="0.25">
      <c r="A78" s="115" t="s">
        <v>1217</v>
      </c>
      <c r="B78" s="115" t="s">
        <v>971</v>
      </c>
      <c r="C78" s="105" t="s">
        <v>991</v>
      </c>
    </row>
    <row r="79" spans="1:4" x14ac:dyDescent="0.25">
      <c r="A79" s="15" t="s">
        <v>1220</v>
      </c>
      <c r="B79" s="115" t="s">
        <v>993</v>
      </c>
      <c r="C79" s="131" t="s">
        <v>1221</v>
      </c>
    </row>
    <row r="80" spans="1:4" x14ac:dyDescent="0.25">
      <c r="A80" s="15" t="s">
        <v>1220</v>
      </c>
      <c r="B80" s="115" t="s">
        <v>50</v>
      </c>
      <c r="C80" s="13" t="s">
        <v>113</v>
      </c>
      <c r="D80" s="116" t="s">
        <v>1214</v>
      </c>
    </row>
    <row r="81" spans="1:4" x14ac:dyDescent="0.25">
      <c r="A81" s="15" t="s">
        <v>1220</v>
      </c>
      <c r="B81" s="115" t="s">
        <v>1090</v>
      </c>
      <c r="C81" s="13" t="s">
        <v>63</v>
      </c>
      <c r="D81" s="116" t="s">
        <v>1222</v>
      </c>
    </row>
    <row r="82" spans="1:4" x14ac:dyDescent="0.25">
      <c r="A82" s="15" t="s">
        <v>1220</v>
      </c>
      <c r="B82" s="115" t="s">
        <v>971</v>
      </c>
      <c r="C82" s="105" t="s">
        <v>991</v>
      </c>
    </row>
    <row r="83" spans="1:4" x14ac:dyDescent="0.25">
      <c r="A83" s="15" t="s">
        <v>1226</v>
      </c>
      <c r="B83" s="115" t="s">
        <v>993</v>
      </c>
      <c r="C83" s="131" t="s">
        <v>1224</v>
      </c>
      <c r="D83" s="116" t="s">
        <v>1225</v>
      </c>
    </row>
    <row r="84" spans="1:4" x14ac:dyDescent="0.25">
      <c r="A84" s="15" t="s">
        <v>1226</v>
      </c>
      <c r="B84" s="115" t="s">
        <v>971</v>
      </c>
      <c r="C84" s="105" t="s">
        <v>1107</v>
      </c>
    </row>
    <row r="85" spans="1:4" x14ac:dyDescent="0.25">
      <c r="A85" s="15" t="s">
        <v>1227</v>
      </c>
      <c r="B85" s="115" t="s">
        <v>50</v>
      </c>
      <c r="C85" s="13" t="s">
        <v>94</v>
      </c>
      <c r="D85" s="116" t="s">
        <v>1214</v>
      </c>
    </row>
    <row r="86" spans="1:4" x14ac:dyDescent="0.25">
      <c r="A86" s="15" t="s">
        <v>1227</v>
      </c>
      <c r="B86" s="115" t="s">
        <v>1090</v>
      </c>
      <c r="C86" s="13" t="s">
        <v>1069</v>
      </c>
    </row>
    <row r="87" spans="1:4" x14ac:dyDescent="0.25">
      <c r="A87" s="15" t="s">
        <v>1227</v>
      </c>
      <c r="B87" s="115" t="s">
        <v>971</v>
      </c>
      <c r="C87" s="105" t="s">
        <v>976</v>
      </c>
    </row>
    <row r="88" spans="1:4" x14ac:dyDescent="0.25">
      <c r="A88" s="15" t="s">
        <v>1228</v>
      </c>
      <c r="B88" s="115" t="s">
        <v>971</v>
      </c>
      <c r="C88" s="105" t="s">
        <v>1107</v>
      </c>
    </row>
    <row r="89" spans="1:4" x14ac:dyDescent="0.25">
      <c r="A89" s="15" t="s">
        <v>1229</v>
      </c>
      <c r="B89" s="115" t="s">
        <v>50</v>
      </c>
      <c r="C89" s="13" t="s">
        <v>113</v>
      </c>
      <c r="D89" s="116" t="s">
        <v>1214</v>
      </c>
    </row>
    <row r="90" spans="1:4" x14ac:dyDescent="0.25">
      <c r="A90" s="15" t="s">
        <v>1229</v>
      </c>
      <c r="B90" s="115" t="s">
        <v>971</v>
      </c>
      <c r="C90" s="105" t="s">
        <v>973</v>
      </c>
    </row>
    <row r="91" spans="1:4" x14ac:dyDescent="0.25">
      <c r="A91" s="47" t="s">
        <v>1230</v>
      </c>
      <c r="B91" s="115" t="s">
        <v>50</v>
      </c>
      <c r="C91" s="13" t="s">
        <v>94</v>
      </c>
      <c r="D91" s="116" t="s">
        <v>1214</v>
      </c>
    </row>
    <row r="92" spans="1:4" x14ac:dyDescent="0.25">
      <c r="A92" s="15" t="s">
        <v>1232</v>
      </c>
      <c r="B92" s="115" t="s">
        <v>971</v>
      </c>
      <c r="C92" s="105" t="s">
        <v>1231</v>
      </c>
    </row>
    <row r="93" spans="1:4" ht="30" x14ac:dyDescent="0.25">
      <c r="A93" s="15" t="s">
        <v>1233</v>
      </c>
      <c r="B93" s="115" t="s">
        <v>993</v>
      </c>
      <c r="C93" s="131" t="s">
        <v>1236</v>
      </c>
      <c r="D93" s="116" t="s">
        <v>1237</v>
      </c>
    </row>
    <row r="94" spans="1:4" x14ac:dyDescent="0.25">
      <c r="A94" s="15" t="s">
        <v>1233</v>
      </c>
      <c r="B94" s="115" t="s">
        <v>971</v>
      </c>
      <c r="C94" s="105" t="s">
        <v>1107</v>
      </c>
    </row>
    <row r="95" spans="1:4" x14ac:dyDescent="0.25">
      <c r="A95" s="115" t="s">
        <v>1238</v>
      </c>
      <c r="B95" s="115" t="s">
        <v>993</v>
      </c>
      <c r="C95" s="131" t="s">
        <v>1240</v>
      </c>
    </row>
    <row r="96" spans="1:4" x14ac:dyDescent="0.25">
      <c r="A96" s="115" t="s">
        <v>1238</v>
      </c>
      <c r="B96" s="115" t="s">
        <v>971</v>
      </c>
      <c r="C96" s="105" t="s">
        <v>1107</v>
      </c>
    </row>
    <row r="97" spans="1:3" x14ac:dyDescent="0.25">
      <c r="A97" s="115" t="s">
        <v>1241</v>
      </c>
      <c r="B97" s="115" t="s">
        <v>993</v>
      </c>
      <c r="C97" s="137" t="s">
        <v>1097</v>
      </c>
    </row>
    <row r="98" spans="1:3" x14ac:dyDescent="0.25">
      <c r="A98" s="115" t="s">
        <v>1241</v>
      </c>
      <c r="B98" s="115" t="s">
        <v>971</v>
      </c>
      <c r="C98" s="105" t="s">
        <v>1107</v>
      </c>
    </row>
  </sheetData>
  <conditionalFormatting sqref="C5">
    <cfRule type="cellIs" dxfId="70" priority="58" operator="equal">
      <formula>$B$138</formula>
    </cfRule>
  </conditionalFormatting>
  <conditionalFormatting sqref="C6">
    <cfRule type="cellIs" dxfId="69" priority="57" operator="equal">
      <formula>$B$138</formula>
    </cfRule>
  </conditionalFormatting>
  <conditionalFormatting sqref="C8:C11">
    <cfRule type="cellIs" dxfId="68" priority="56" operator="equal">
      <formula>$B$138</formula>
    </cfRule>
  </conditionalFormatting>
  <conditionalFormatting sqref="C13">
    <cfRule type="cellIs" dxfId="67" priority="55" operator="equal">
      <formula>$B$138</formula>
    </cfRule>
  </conditionalFormatting>
  <conditionalFormatting sqref="C19">
    <cfRule type="cellIs" dxfId="66" priority="54" operator="equal">
      <formula>$B$138</formula>
    </cfRule>
  </conditionalFormatting>
  <conditionalFormatting sqref="C28">
    <cfRule type="cellIs" dxfId="65" priority="52" operator="equal">
      <formula>$B$138</formula>
    </cfRule>
  </conditionalFormatting>
  <conditionalFormatting sqref="C29">
    <cfRule type="cellIs" dxfId="64" priority="51" operator="equal">
      <formula>#REF!</formula>
    </cfRule>
  </conditionalFormatting>
  <conditionalFormatting sqref="C26">
    <cfRule type="cellIs" dxfId="63" priority="50" operator="equal">
      <formula>#REF!</formula>
    </cfRule>
  </conditionalFormatting>
  <conditionalFormatting sqref="C31">
    <cfRule type="cellIs" dxfId="62" priority="49" operator="equal">
      <formula>$B$138</formula>
    </cfRule>
  </conditionalFormatting>
  <conditionalFormatting sqref="C32">
    <cfRule type="cellIs" dxfId="61" priority="48" operator="equal">
      <formula>#REF!</formula>
    </cfRule>
  </conditionalFormatting>
  <conditionalFormatting sqref="C34">
    <cfRule type="cellIs" dxfId="60" priority="47" operator="equal">
      <formula>$B$138</formula>
    </cfRule>
  </conditionalFormatting>
  <conditionalFormatting sqref="C38">
    <cfRule type="cellIs" dxfId="59" priority="41" operator="equal">
      <formula>#REF!</formula>
    </cfRule>
  </conditionalFormatting>
  <conditionalFormatting sqref="C14:C17">
    <cfRule type="cellIs" dxfId="58" priority="46" operator="equal">
      <formula>$B$138</formula>
    </cfRule>
  </conditionalFormatting>
  <conditionalFormatting sqref="C20">
    <cfRule type="cellIs" dxfId="57" priority="45" operator="equal">
      <formula>$B$138</formula>
    </cfRule>
  </conditionalFormatting>
  <conditionalFormatting sqref="C22">
    <cfRule type="cellIs" dxfId="56" priority="44" operator="equal">
      <formula>$B$138</formula>
    </cfRule>
  </conditionalFormatting>
  <conditionalFormatting sqref="C24">
    <cfRule type="cellIs" dxfId="55" priority="43" operator="equal">
      <formula>$B$138</formula>
    </cfRule>
  </conditionalFormatting>
  <conditionalFormatting sqref="C37">
    <cfRule type="cellIs" dxfId="54" priority="42" operator="equal">
      <formula>$B$138</formula>
    </cfRule>
  </conditionalFormatting>
  <conditionalFormatting sqref="C41">
    <cfRule type="cellIs" dxfId="53" priority="40" operator="equal">
      <formula>#REF!</formula>
    </cfRule>
  </conditionalFormatting>
  <conditionalFormatting sqref="C42">
    <cfRule type="cellIs" dxfId="52" priority="39" operator="equal">
      <formula>#REF!</formula>
    </cfRule>
  </conditionalFormatting>
  <conditionalFormatting sqref="C44">
    <cfRule type="cellIs" dxfId="51" priority="38" operator="equal">
      <formula>#REF!</formula>
    </cfRule>
  </conditionalFormatting>
  <conditionalFormatting sqref="C46">
    <cfRule type="cellIs" dxfId="50" priority="37" operator="equal">
      <formula>#REF!</formula>
    </cfRule>
  </conditionalFormatting>
  <conditionalFormatting sqref="C51">
    <cfRule type="cellIs" dxfId="49" priority="35" operator="equal">
      <formula>#REF!</formula>
    </cfRule>
  </conditionalFormatting>
  <conditionalFormatting sqref="C53 C68:C69 C71">
    <cfRule type="cellIs" dxfId="48" priority="34" operator="equal">
      <formula>$B$126</formula>
    </cfRule>
  </conditionalFormatting>
  <conditionalFormatting sqref="C54">
    <cfRule type="cellIs" dxfId="47" priority="33" operator="equal">
      <formula>#REF!</formula>
    </cfRule>
  </conditionalFormatting>
  <conditionalFormatting sqref="C56">
    <cfRule type="cellIs" dxfId="46" priority="32" operator="equal">
      <formula>#REF!</formula>
    </cfRule>
  </conditionalFormatting>
  <conditionalFormatting sqref="C57">
    <cfRule type="cellIs" dxfId="45" priority="31" operator="equal">
      <formula>$B$126</formula>
    </cfRule>
  </conditionalFormatting>
  <conditionalFormatting sqref="C60">
    <cfRule type="cellIs" dxfId="44" priority="30" operator="equal">
      <formula>$B$126</formula>
    </cfRule>
  </conditionalFormatting>
  <conditionalFormatting sqref="C63">
    <cfRule type="cellIs" dxfId="43" priority="29" operator="equal">
      <formula>$B$126</formula>
    </cfRule>
  </conditionalFormatting>
  <conditionalFormatting sqref="C48">
    <cfRule type="cellIs" dxfId="42" priority="28" operator="equal">
      <formula>$B$126</formula>
    </cfRule>
  </conditionalFormatting>
  <conditionalFormatting sqref="C64">
    <cfRule type="cellIs" dxfId="41" priority="27" operator="equal">
      <formula>$B$126</formula>
    </cfRule>
  </conditionalFormatting>
  <conditionalFormatting sqref="C66">
    <cfRule type="cellIs" dxfId="40" priority="25" operator="equal">
      <formula>$B$125</formula>
    </cfRule>
  </conditionalFormatting>
  <conditionalFormatting sqref="C70">
    <cfRule type="cellIs" dxfId="39" priority="24" operator="equal">
      <formula>#REF!</formula>
    </cfRule>
  </conditionalFormatting>
  <conditionalFormatting sqref="C72">
    <cfRule type="cellIs" dxfId="38" priority="23" operator="equal">
      <formula>#REF!</formula>
    </cfRule>
  </conditionalFormatting>
  <conditionalFormatting sqref="C73">
    <cfRule type="cellIs" dxfId="37" priority="22" operator="equal">
      <formula>$AR$1</formula>
    </cfRule>
  </conditionalFormatting>
  <conditionalFormatting sqref="C74">
    <cfRule type="cellIs" dxfId="35" priority="21" operator="equal">
      <formula>#REF!</formula>
    </cfRule>
  </conditionalFormatting>
  <conditionalFormatting sqref="C76">
    <cfRule type="cellIs" dxfId="33" priority="20" operator="equal">
      <formula>$B$126</formula>
    </cfRule>
  </conditionalFormatting>
  <conditionalFormatting sqref="C77">
    <cfRule type="cellIs" dxfId="31" priority="18" operator="equal">
      <formula>$B$125</formula>
    </cfRule>
  </conditionalFormatting>
  <conditionalFormatting sqref="C78">
    <cfRule type="cellIs" dxfId="30" priority="17" operator="equal">
      <formula>#REF!</formula>
    </cfRule>
  </conditionalFormatting>
  <conditionalFormatting sqref="C80">
    <cfRule type="cellIs" dxfId="29" priority="16" operator="equal">
      <formula>$B$126</formula>
    </cfRule>
  </conditionalFormatting>
  <conditionalFormatting sqref="C81">
    <cfRule type="cellIs" dxfId="28" priority="15" operator="equal">
      <formula>$B$125</formula>
    </cfRule>
  </conditionalFormatting>
  <conditionalFormatting sqref="C82">
    <cfRule type="cellIs" dxfId="27" priority="14" operator="equal">
      <formula>#REF!</formula>
    </cfRule>
  </conditionalFormatting>
  <conditionalFormatting sqref="C84">
    <cfRule type="cellIs" dxfId="25" priority="13" operator="equal">
      <formula>#REF!</formula>
    </cfRule>
  </conditionalFormatting>
  <conditionalFormatting sqref="C85">
    <cfRule type="cellIs" dxfId="24" priority="12" operator="equal">
      <formula>$B$126</formula>
    </cfRule>
  </conditionalFormatting>
  <conditionalFormatting sqref="C87">
    <cfRule type="cellIs" dxfId="23" priority="11" operator="equal">
      <formula>#REF!</formula>
    </cfRule>
  </conditionalFormatting>
  <conditionalFormatting sqref="C86">
    <cfRule type="cellIs" dxfId="22" priority="10" operator="equal">
      <formula>$B$125</formula>
    </cfRule>
  </conditionalFormatting>
  <conditionalFormatting sqref="C88">
    <cfRule type="cellIs" dxfId="20" priority="9" operator="equal">
      <formula>#REF!</formula>
    </cfRule>
  </conditionalFormatting>
  <conditionalFormatting sqref="C89">
    <cfRule type="cellIs" dxfId="19" priority="8" operator="equal">
      <formula>$B$125</formula>
    </cfRule>
  </conditionalFormatting>
  <conditionalFormatting sqref="C90">
    <cfRule type="cellIs" dxfId="18" priority="7" operator="equal">
      <formula>#REF!</formula>
    </cfRule>
  </conditionalFormatting>
  <conditionalFormatting sqref="C91">
    <cfRule type="cellIs" dxfId="17" priority="6" operator="equal">
      <formula>$B$126</formula>
    </cfRule>
  </conditionalFormatting>
  <conditionalFormatting sqref="C92">
    <cfRule type="cellIs" dxfId="15" priority="5" operator="equal">
      <formula>#REF!</formula>
    </cfRule>
  </conditionalFormatting>
  <conditionalFormatting sqref="C94">
    <cfRule type="cellIs" dxfId="12" priority="4" operator="equal">
      <formula>#REF!</formula>
    </cfRule>
  </conditionalFormatting>
  <conditionalFormatting sqref="C96">
    <cfRule type="cellIs" dxfId="8" priority="3" operator="equal">
      <formula>#REF!</formula>
    </cfRule>
  </conditionalFormatting>
  <conditionalFormatting sqref="C97">
    <cfRule type="cellIs" dxfId="3" priority="2" operator="equal">
      <formula>$AR$1</formula>
    </cfRule>
  </conditionalFormatting>
  <conditionalFormatting sqref="C98">
    <cfRule type="cellIs" dxfId="1" priority="1" operator="equal">
      <formula>#REF!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7"/>
  <sheetViews>
    <sheetView zoomScale="90" zoomScaleNormal="90" workbookViewId="0">
      <pane ySplit="1" topLeftCell="A38" activePane="bottomLeft" state="frozen"/>
      <selection pane="bottomLeft" activeCell="A67" sqref="A67"/>
    </sheetView>
  </sheetViews>
  <sheetFormatPr defaultRowHeight="15" x14ac:dyDescent="0.25"/>
  <cols>
    <col min="1" max="1" width="81.28515625" style="122" bestFit="1" customWidth="1"/>
    <col min="2" max="2" width="22.5703125" style="122" bestFit="1" customWidth="1"/>
    <col min="3" max="3" width="9.140625" style="122"/>
    <col min="4" max="4" width="12.7109375" style="122" bestFit="1" customWidth="1"/>
    <col min="5" max="7" width="9.140625" style="122"/>
    <col min="9" max="12" width="9.140625" style="122"/>
    <col min="16" max="16" width="16.85546875" bestFit="1" customWidth="1"/>
    <col min="17" max="17" width="7.7109375" customWidth="1"/>
    <col min="18" max="18" width="11.85546875" bestFit="1" customWidth="1"/>
    <col min="19" max="19" width="15.42578125" bestFit="1" customWidth="1"/>
    <col min="20" max="20" width="16.85546875" bestFit="1" customWidth="1"/>
  </cols>
  <sheetData>
    <row r="1" spans="1:20" x14ac:dyDescent="0.25">
      <c r="A1" s="124" t="s">
        <v>1082</v>
      </c>
      <c r="B1" s="124" t="s">
        <v>1111</v>
      </c>
      <c r="C1" s="124" t="s">
        <v>1113</v>
      </c>
      <c r="D1" s="124" t="s">
        <v>1114</v>
      </c>
      <c r="E1" s="124" t="s">
        <v>1116</v>
      </c>
      <c r="F1" s="124" t="s">
        <v>1117</v>
      </c>
      <c r="G1" s="124" t="s">
        <v>1118</v>
      </c>
      <c r="H1" s="123" t="s">
        <v>480</v>
      </c>
      <c r="I1" s="124" t="s">
        <v>1125</v>
      </c>
      <c r="J1" s="124" t="s">
        <v>1126</v>
      </c>
      <c r="K1" s="124" t="s">
        <v>1119</v>
      </c>
      <c r="L1" s="124" t="s">
        <v>1120</v>
      </c>
      <c r="M1" s="123" t="s">
        <v>1121</v>
      </c>
      <c r="N1" s="123" t="s">
        <v>1122</v>
      </c>
      <c r="O1" s="123" t="s">
        <v>1123</v>
      </c>
      <c r="P1" s="123" t="s">
        <v>1124</v>
      </c>
      <c r="Q1" s="123" t="s">
        <v>1132</v>
      </c>
      <c r="R1" s="126" t="s">
        <v>1130</v>
      </c>
      <c r="S1" s="126" t="s">
        <v>1131</v>
      </c>
      <c r="T1" s="123" t="s">
        <v>1133</v>
      </c>
    </row>
    <row r="2" spans="1:20" x14ac:dyDescent="0.25">
      <c r="A2" s="125" t="s">
        <v>1085</v>
      </c>
      <c r="B2" s="122" t="s">
        <v>1112</v>
      </c>
      <c r="C2" s="122">
        <v>12</v>
      </c>
      <c r="D2" s="122" t="s">
        <v>1115</v>
      </c>
      <c r="E2" s="122">
        <v>-14.9</v>
      </c>
      <c r="F2" s="122">
        <v>13</v>
      </c>
      <c r="G2" s="122">
        <v>15</v>
      </c>
      <c r="H2">
        <f>F2+G2</f>
        <v>28</v>
      </c>
      <c r="I2" s="122">
        <v>70.8</v>
      </c>
      <c r="J2" s="122">
        <v>70</v>
      </c>
      <c r="K2" s="122">
        <v>13</v>
      </c>
      <c r="L2" s="122">
        <v>16.7</v>
      </c>
      <c r="M2">
        <f>SQRT(((F2-1)*K2^2+(G2-1)*L2^2+F2*G2/H2*(I2-J2)^2)/(H2-1))</f>
        <v>14.828547471206345</v>
      </c>
      <c r="N2">
        <f>E2/M2*(1-3/(4*H2-9))</f>
        <v>-0.97555201853488593</v>
      </c>
      <c r="O2">
        <f>SQRT(H2/(F2*G2)+N2^2/(2*(H2-3.94)))</f>
        <v>0.40418735631216551</v>
      </c>
      <c r="P2" t="str">
        <f>CONCATENATE(FIXED(N2,2), " [", FIXED(N2-_xlfn.NORM.S.INV(0.975)*O2,2), ", ", FIXED(N2+_xlfn.NORM.S.INV(0.975)*O2,2), "]")</f>
        <v>-0.98 [-1.77, -0.18]</v>
      </c>
      <c r="Q2">
        <f>1/O2^2</f>
        <v>6.1211715659410535</v>
      </c>
      <c r="R2">
        <f>SUMPRODUCT(N2,Q2)/SUM(Q2)</f>
        <v>-0.97555201853488593</v>
      </c>
      <c r="S2">
        <f>1/SQRT(SUM(Q2))</f>
        <v>0.40418735631216551</v>
      </c>
      <c r="T2" t="str">
        <f>CONCATENATE(FIXED(R2,2), " [", FIXED(R2-_xlfn.NORM.S.INV(0.975)*S2,2), ", ", FIXED(R2+_xlfn.NORM.S.INV(0.975)*S2,2), "]")</f>
        <v>-0.98 [-1.77, -0.18]</v>
      </c>
    </row>
    <row r="3" spans="1:20" x14ac:dyDescent="0.25">
      <c r="A3" s="125" t="s">
        <v>1092</v>
      </c>
      <c r="B3" s="122" t="s">
        <v>1128</v>
      </c>
      <c r="C3" s="122">
        <v>8</v>
      </c>
      <c r="D3" s="122" t="s">
        <v>1115</v>
      </c>
      <c r="E3" s="122">
        <v>-2.5</v>
      </c>
      <c r="F3" s="122">
        <v>18</v>
      </c>
      <c r="G3" s="122">
        <v>18</v>
      </c>
      <c r="H3">
        <f>F3+G3</f>
        <v>36</v>
      </c>
      <c r="I3" s="122">
        <v>9.3000000000000007</v>
      </c>
      <c r="J3" s="122">
        <v>7.7</v>
      </c>
      <c r="K3" s="122">
        <v>4</v>
      </c>
      <c r="L3" s="122">
        <v>4.2</v>
      </c>
      <c r="M3">
        <f>SQRT(((F3-1)*K3^2+(G3-1)*L3^2+F3*G3/H3*(I3-J3)^2)/(H3-1))</f>
        <v>4.1228284327284692</v>
      </c>
      <c r="N3">
        <f>E3/M3*(1-3/(4*H3-9))</f>
        <v>-0.59290472168077157</v>
      </c>
      <c r="O3">
        <f>SQRT(H3/(F3*G3)+N3^2/(2*(H3-3.94)))</f>
        <v>0.34145802321720009</v>
      </c>
      <c r="P3" t="str">
        <f>CONCATENATE(FIXED(N3,2), " [", FIXED(N3-_xlfn.NORM.S.INV(0.975)*O3,2), ", ", FIXED(N3+_xlfn.NORM.S.INV(0.975)*O3,2), "]")</f>
        <v>-0.59 [-1.26, 0.08]</v>
      </c>
      <c r="Q3">
        <f>1/O3^2</f>
        <v>8.5768014509096062</v>
      </c>
      <c r="R3">
        <f>SUMPRODUCT(N3:N4,Q3:Q4)/SUM(Q3:Q4)</f>
        <v>-0.5318736938022629</v>
      </c>
      <c r="S3">
        <f>1/SQRT(SUM(Q3:Q4))</f>
        <v>0.21542531991500757</v>
      </c>
      <c r="T3" t="str">
        <f>CONCATENATE(FIXED(R3,2), " [", FIXED(R3-_xlfn.NORM.S.INV(0.975)*S3,2), ", ", FIXED(R3+_xlfn.NORM.S.INV(0.975)*S3,2), "]")</f>
        <v>-0.53 [-0.95, -0.11]</v>
      </c>
    </row>
    <row r="4" spans="1:20" x14ac:dyDescent="0.25">
      <c r="A4" s="125" t="s">
        <v>1092</v>
      </c>
      <c r="B4" s="122" t="s">
        <v>1129</v>
      </c>
      <c r="C4" s="122">
        <v>8</v>
      </c>
      <c r="D4" s="122" t="s">
        <v>1115</v>
      </c>
      <c r="E4" s="122">
        <v>-1.5</v>
      </c>
      <c r="F4" s="122">
        <v>32</v>
      </c>
      <c r="G4" s="122">
        <v>23</v>
      </c>
      <c r="H4">
        <f>F4+G4</f>
        <v>55</v>
      </c>
      <c r="I4" s="122">
        <v>7.9</v>
      </c>
      <c r="J4" s="122">
        <v>6.3</v>
      </c>
      <c r="K4" s="122">
        <v>2.8</v>
      </c>
      <c r="L4" s="122">
        <v>3.1</v>
      </c>
      <c r="M4">
        <f>SQRT(((F4-1)*K4^2+(G4-1)*L4^2+F4*G4/H4*(I4-J4)^2)/(H4-1))</f>
        <v>3.0083755138485007</v>
      </c>
      <c r="N4">
        <f>E4/M4*(1-3/(4*H4-9))</f>
        <v>-0.49151875454882299</v>
      </c>
      <c r="O4">
        <f>SQRT(H4/(F4*G4)+N4^2/(2*(H4-3.94)))</f>
        <v>0.27765808788658219</v>
      </c>
      <c r="P4" t="str">
        <f>CONCATENATE(FIXED(N4,2), " [", FIXED(N4-_xlfn.NORM.S.INV(0.975)*O4,2), ", ", FIXED(N4+_xlfn.NORM.S.INV(0.975)*O4,2), "]")</f>
        <v>-0.49 [-1.04, 0.05]</v>
      </c>
      <c r="Q4">
        <f>1/O4^2</f>
        <v>12.971175725763972</v>
      </c>
      <c r="R4" s="127" t="s">
        <v>1134</v>
      </c>
      <c r="S4" s="127" t="s">
        <v>1134</v>
      </c>
      <c r="T4" s="127" t="s">
        <v>1134</v>
      </c>
    </row>
    <row r="5" spans="1:20" x14ac:dyDescent="0.25">
      <c r="A5" s="122" t="s">
        <v>246</v>
      </c>
      <c r="B5" s="122" t="s">
        <v>1136</v>
      </c>
      <c r="C5" s="122">
        <v>12</v>
      </c>
      <c r="D5" s="122" t="s">
        <v>1138</v>
      </c>
      <c r="E5" s="122">
        <v>-0.73</v>
      </c>
      <c r="F5" s="122">
        <v>60</v>
      </c>
      <c r="G5" s="122">
        <v>57</v>
      </c>
      <c r="H5">
        <f>F5+G5</f>
        <v>117</v>
      </c>
      <c r="I5" s="129" t="s">
        <v>1139</v>
      </c>
      <c r="J5" s="129"/>
      <c r="K5" s="129"/>
      <c r="L5" s="129"/>
      <c r="M5">
        <v>2.2000000000000002</v>
      </c>
      <c r="N5">
        <f>E5/M5*(1-3/(4*H5-9))</f>
        <v>-0.32964943553178844</v>
      </c>
      <c r="O5">
        <f>SQRT(H5/(F5*G5)+N5^2/(2*(H5-3.94)))</f>
        <v>0.1862554866818438</v>
      </c>
      <c r="P5" t="str">
        <f>CONCATENATE(FIXED(N5,2), " [", FIXED(N5-_xlfn.NORM.S.INV(0.975)*O5,2), ", ", FIXED(N5+_xlfn.NORM.S.INV(0.975)*O5,2), "]")</f>
        <v>-0.33 [-0.69, 0.04]</v>
      </c>
      <c r="Q5">
        <f>1/O5^2</f>
        <v>28.82583192366225</v>
      </c>
      <c r="R5">
        <f>SUMPRODUCT(N5,Q5)/SUM(Q5)</f>
        <v>-0.32964943553178844</v>
      </c>
      <c r="S5">
        <f>1/SQRT(SUM(Q5))</f>
        <v>0.1862554866818438</v>
      </c>
      <c r="T5" t="str">
        <f>CONCATENATE(FIXED(R5,2), " [", FIXED(R5-_xlfn.NORM.S.INV(0.975)*S5,2), ", ", FIXED(R5+_xlfn.NORM.S.INV(0.975)*S5,2), "]")</f>
        <v>-0.33 [-0.69, 0.04]</v>
      </c>
    </row>
    <row r="6" spans="1:20" x14ac:dyDescent="0.25">
      <c r="A6" s="122" t="s">
        <v>246</v>
      </c>
      <c r="B6" s="122" t="s">
        <v>1136</v>
      </c>
      <c r="C6" s="122">
        <v>26</v>
      </c>
      <c r="D6" s="122" t="s">
        <v>1138</v>
      </c>
      <c r="E6" s="122">
        <v>-0.57999999999999996</v>
      </c>
      <c r="F6" s="122">
        <v>60</v>
      </c>
      <c r="G6" s="122">
        <v>57</v>
      </c>
      <c r="H6">
        <f t="shared" ref="H6:H11" si="0">F6+G6</f>
        <v>117</v>
      </c>
      <c r="I6" s="129" t="s">
        <v>1139</v>
      </c>
      <c r="J6" s="129"/>
      <c r="K6" s="129"/>
      <c r="L6" s="129"/>
      <c r="M6">
        <v>2.2000000000000002</v>
      </c>
      <c r="N6">
        <f t="shared" ref="N6:N8" si="1">E6/M6*(1-3/(4*H6-9))</f>
        <v>-0.26191325014854427</v>
      </c>
      <c r="O6">
        <f t="shared" ref="O6:O8" si="2">SQRT(H6/(F6*G6)+N6^2/(2*(H6-3.94)))</f>
        <v>0.18577916633166208</v>
      </c>
      <c r="P6" t="str">
        <f t="shared" ref="P6:P8" si="3">CONCATENATE(FIXED(N6,2), " [", FIXED(N6-_xlfn.NORM.S.INV(0.975)*O6,2), ", ", FIXED(N6+_xlfn.NORM.S.INV(0.975)*O6,2), "]")</f>
        <v>-0.26 [-0.63, 0.10]</v>
      </c>
      <c r="Q6">
        <f t="shared" ref="Q6:Q8" si="4">1/O6^2</f>
        <v>28.973834870030835</v>
      </c>
      <c r="R6">
        <f t="shared" ref="R6:R8" si="5">SUMPRODUCT(N6,Q6)/SUM(Q6)</f>
        <v>-0.26191325014854427</v>
      </c>
      <c r="S6">
        <f t="shared" ref="S6:S8" si="6">1/SQRT(SUM(Q6))</f>
        <v>0.18577916633166208</v>
      </c>
      <c r="T6" t="str">
        <f t="shared" ref="T6:T8" si="7">CONCATENATE(FIXED(R6,2), " [", FIXED(R6-_xlfn.NORM.S.INV(0.975)*S6,2), ", ", FIXED(R6+_xlfn.NORM.S.INV(0.975)*S6,2), "]")</f>
        <v>-0.26 [-0.63, 0.10]</v>
      </c>
    </row>
    <row r="7" spans="1:20" x14ac:dyDescent="0.25">
      <c r="A7" s="122" t="s">
        <v>246</v>
      </c>
      <c r="B7" s="122" t="s">
        <v>1136</v>
      </c>
      <c r="C7" s="122">
        <v>52</v>
      </c>
      <c r="D7" s="122" t="s">
        <v>1138</v>
      </c>
      <c r="E7" s="122">
        <v>-0.81</v>
      </c>
      <c r="F7" s="122">
        <v>60</v>
      </c>
      <c r="G7" s="122">
        <v>57</v>
      </c>
      <c r="H7">
        <f t="shared" si="0"/>
        <v>117</v>
      </c>
      <c r="I7" s="129" t="s">
        <v>1139</v>
      </c>
      <c r="J7" s="129"/>
      <c r="K7" s="129"/>
      <c r="L7" s="129"/>
      <c r="M7">
        <v>2.2000000000000002</v>
      </c>
      <c r="N7">
        <f t="shared" si="1"/>
        <v>-0.36577540106951872</v>
      </c>
      <c r="O7">
        <f t="shared" si="2"/>
        <v>0.18655350592272066</v>
      </c>
      <c r="P7" t="str">
        <f t="shared" si="3"/>
        <v>-0.37 [-0.73, 0.00]</v>
      </c>
      <c r="Q7">
        <f t="shared" si="4"/>
        <v>28.733806949690244</v>
      </c>
      <c r="R7">
        <f t="shared" si="5"/>
        <v>-0.36577540106951872</v>
      </c>
      <c r="S7">
        <f t="shared" si="6"/>
        <v>0.18655350592272066</v>
      </c>
      <c r="T7" t="str">
        <f t="shared" si="7"/>
        <v>-0.37 [-0.73, 0.00]</v>
      </c>
    </row>
    <row r="8" spans="1:20" x14ac:dyDescent="0.25">
      <c r="A8" s="122" t="s">
        <v>246</v>
      </c>
      <c r="B8" s="122" t="s">
        <v>1136</v>
      </c>
      <c r="C8" s="128" t="s">
        <v>1137</v>
      </c>
      <c r="D8" s="122" t="s">
        <v>1138</v>
      </c>
      <c r="E8" s="122">
        <v>-0.63</v>
      </c>
      <c r="F8" s="122">
        <v>60</v>
      </c>
      <c r="G8" s="122">
        <v>57</v>
      </c>
      <c r="H8">
        <f t="shared" si="0"/>
        <v>117</v>
      </c>
      <c r="I8" s="129" t="s">
        <v>1139</v>
      </c>
      <c r="J8" s="129"/>
      <c r="K8" s="129"/>
      <c r="L8" s="129"/>
      <c r="M8">
        <v>2.2000000000000002</v>
      </c>
      <c r="N8">
        <f t="shared" si="1"/>
        <v>-0.28449197860962561</v>
      </c>
      <c r="O8">
        <f t="shared" si="2"/>
        <v>0.18592594968726864</v>
      </c>
      <c r="P8" t="str">
        <f t="shared" si="3"/>
        <v>-0.28 [-0.65, 0.08]</v>
      </c>
      <c r="Q8">
        <f t="shared" si="4"/>
        <v>28.928104858159479</v>
      </c>
      <c r="R8">
        <f t="shared" si="5"/>
        <v>-0.28449197860962561</v>
      </c>
      <c r="S8">
        <f t="shared" si="6"/>
        <v>0.18592594968726864</v>
      </c>
      <c r="T8" t="str">
        <f t="shared" si="7"/>
        <v>-0.28 [-0.65, 0.08]</v>
      </c>
    </row>
    <row r="9" spans="1:20" x14ac:dyDescent="0.25">
      <c r="A9" s="122" t="s">
        <v>1098</v>
      </c>
      <c r="B9" s="122" t="s">
        <v>1140</v>
      </c>
      <c r="C9" s="122">
        <v>8</v>
      </c>
      <c r="D9" s="122" t="s">
        <v>1115</v>
      </c>
      <c r="E9" s="122">
        <v>-15.5</v>
      </c>
      <c r="F9" s="122">
        <v>16</v>
      </c>
      <c r="G9" s="122">
        <v>14</v>
      </c>
      <c r="H9">
        <f t="shared" si="0"/>
        <v>30</v>
      </c>
      <c r="I9" s="122">
        <v>74.099999999999994</v>
      </c>
      <c r="J9" s="122">
        <v>65.3</v>
      </c>
      <c r="K9" s="122">
        <v>14.2</v>
      </c>
      <c r="L9" s="122">
        <v>14.3</v>
      </c>
      <c r="M9">
        <f>SQRT(((F9-1)*K9^2+(G9-1)*L9^2+F9*G9/H9*(I9-J9)^2)/(H9-1))</f>
        <v>14.693640034765529</v>
      </c>
      <c r="N9">
        <f t="shared" ref="N9" si="8">E9/M9*(1-3/(4*H9-9))</f>
        <v>-1.0263679418713714</v>
      </c>
      <c r="O9">
        <f t="shared" ref="O9" si="9">SQRT(H9/(F9*G9)+N9^2/(2*(H9-3.94)))</f>
        <v>0.39260695427862186</v>
      </c>
      <c r="P9" t="str">
        <f t="shared" ref="P9" si="10">CONCATENATE(FIXED(N9,2), " [", FIXED(N9-_xlfn.NORM.S.INV(0.975)*O9,2), ", ", FIXED(N9+_xlfn.NORM.S.INV(0.975)*O9,2), "]")</f>
        <v>-1.03 [-1.80, -0.26]</v>
      </c>
      <c r="Q9">
        <f t="shared" ref="Q9" si="11">1/O9^2</f>
        <v>6.4875993848017828</v>
      </c>
      <c r="R9">
        <f t="shared" ref="R9" si="12">SUMPRODUCT(N9,Q9)/SUM(Q9)</f>
        <v>-1.0263679418713714</v>
      </c>
      <c r="S9">
        <f t="shared" ref="S9" si="13">1/SQRT(SUM(Q9))</f>
        <v>0.39260695427862186</v>
      </c>
      <c r="T9" t="str">
        <f t="shared" ref="T9" si="14">CONCATENATE(FIXED(R9,2), " [", FIXED(R9-_xlfn.NORM.S.INV(0.975)*S9,2), ", ", FIXED(R9+_xlfn.NORM.S.INV(0.975)*S9,2), "]")</f>
        <v>-1.03 [-1.80, -0.26]</v>
      </c>
    </row>
    <row r="10" spans="1:20" x14ac:dyDescent="0.25">
      <c r="A10" s="122" t="s">
        <v>1102</v>
      </c>
      <c r="B10" s="122" t="s">
        <v>1142</v>
      </c>
      <c r="C10" s="122">
        <v>12</v>
      </c>
      <c r="D10" s="122" t="s">
        <v>1115</v>
      </c>
      <c r="E10" s="122">
        <v>4.2</v>
      </c>
      <c r="F10" s="122">
        <v>57</v>
      </c>
      <c r="G10" s="122">
        <v>66</v>
      </c>
      <c r="H10">
        <f t="shared" si="0"/>
        <v>123</v>
      </c>
      <c r="I10" s="122">
        <v>164.8</v>
      </c>
      <c r="J10" s="122">
        <v>170</v>
      </c>
      <c r="K10" s="122">
        <f>(190.7-139)/2/_xlfn.NORM.S.INV(0.975)*SQRT(F10)</f>
        <v>99.574901218171092</v>
      </c>
      <c r="L10" s="122">
        <f>(170-147.5)/_xlfn.NORM.S.INV(0.975)*SQRT(G10)</f>
        <v>93.262358668904213</v>
      </c>
      <c r="M10">
        <f>SQRT(((F10-1)*K10^2+(G10-1)*L10^2+F10*G10/H10*(I10-J10)^2)/(H10-1))</f>
        <v>95.87549269031237</v>
      </c>
      <c r="N10">
        <f t="shared" ref="N10" si="15">E10/M10*(1-3/(4*H10-9))</f>
        <v>4.3534723278663368E-2</v>
      </c>
      <c r="O10">
        <f t="shared" ref="O10" si="16">SQRT(H10/(F10*G10)+N10^2/(2*(H10-3.94)))</f>
        <v>0.18084063181657811</v>
      </c>
      <c r="P10" t="str">
        <f t="shared" ref="P10" si="17">CONCATENATE(FIXED(N10,2), " [", FIXED(N10-_xlfn.NORM.S.INV(0.975)*O10,2), ", ", FIXED(N10+_xlfn.NORM.S.INV(0.975)*O10,2), "]")</f>
        <v>0.04 [-0.31, 0.40]</v>
      </c>
      <c r="Q10">
        <f t="shared" ref="Q10" si="18">1/O10^2</f>
        <v>30.577922008150317</v>
      </c>
      <c r="R10">
        <f t="shared" ref="R10" si="19">SUMPRODUCT(N10,Q10)/SUM(Q10)</f>
        <v>4.3534723278663368E-2</v>
      </c>
      <c r="S10">
        <f t="shared" ref="S10" si="20">1/SQRT(SUM(Q10))</f>
        <v>0.18084063181657811</v>
      </c>
      <c r="T10" t="str">
        <f t="shared" ref="T10" si="21">CONCATENATE(FIXED(R10,2), " [", FIXED(R10-_xlfn.NORM.S.INV(0.975)*S10,2), ", ", FIXED(R10+_xlfn.NORM.S.INV(0.975)*S10,2), "]")</f>
        <v>0.04 [-0.31, 0.40]</v>
      </c>
    </row>
    <row r="11" spans="1:20" x14ac:dyDescent="0.25">
      <c r="A11" s="122" t="s">
        <v>1103</v>
      </c>
      <c r="B11" s="122" t="s">
        <v>1143</v>
      </c>
      <c r="C11" s="122">
        <v>3</v>
      </c>
      <c r="D11" s="122" t="s">
        <v>1138</v>
      </c>
      <c r="E11" s="122">
        <v>-1.3</v>
      </c>
      <c r="F11" s="122">
        <v>29</v>
      </c>
      <c r="G11" s="122">
        <v>29</v>
      </c>
      <c r="H11">
        <f t="shared" si="0"/>
        <v>58</v>
      </c>
      <c r="I11" s="122">
        <v>5.7</v>
      </c>
      <c r="J11" s="122">
        <v>5.0999999999999996</v>
      </c>
      <c r="K11" s="122">
        <f>(6.5-4.9)/2/_xlfn.NORM.S.INV(0.975)*SQRT(F11)</f>
        <v>2.1980668418856659</v>
      </c>
      <c r="L11" s="122">
        <f>(5.9-4.4)/2/_xlfn.NORM.S.INV(0.975)*SQRT(G11)</f>
        <v>2.0606876642678125</v>
      </c>
      <c r="M11">
        <f>SQRT(((F11-1)*K11^2+(G11-1)*L11^2+F11*G11/H11*(I11-J11)^2)/(H11-1))</f>
        <v>2.133287068096561</v>
      </c>
      <c r="N11">
        <f t="shared" ref="N11" si="22">E11/M11*(1-3/(4*H11-9))</f>
        <v>-0.6011901679536551</v>
      </c>
      <c r="O11">
        <f t="shared" ref="O11" si="23">SQRT(H11/(F11*G11)+N11^2/(2*(H11-3.94)))</f>
        <v>0.26890216342398554</v>
      </c>
      <c r="P11" t="str">
        <f t="shared" ref="P11" si="24">CONCATENATE(FIXED(N11,2), " [", FIXED(N11-_xlfn.NORM.S.INV(0.975)*O11,2), ", ", FIXED(N11+_xlfn.NORM.S.INV(0.975)*O11,2), "]")</f>
        <v>-0.60 [-1.13, -0.07]</v>
      </c>
      <c r="Q11">
        <f t="shared" ref="Q11" si="25">1/O11^2</f>
        <v>13.829656949503883</v>
      </c>
      <c r="R11">
        <f t="shared" ref="R11" si="26">SUMPRODUCT(N11,Q11)/SUM(Q11)</f>
        <v>-0.6011901679536551</v>
      </c>
      <c r="S11">
        <f t="shared" ref="S11" si="27">1/SQRT(SUM(Q11))</f>
        <v>0.26890216342398554</v>
      </c>
      <c r="T11" t="str">
        <f t="shared" ref="T11" si="28">CONCATENATE(FIXED(R11,2), " [", FIXED(R11-_xlfn.NORM.S.INV(0.975)*S11,2), ", ", FIXED(R11+_xlfn.NORM.S.INV(0.975)*S11,2), "]")</f>
        <v>-0.60 [-1.13, -0.07]</v>
      </c>
    </row>
    <row r="12" spans="1:20" x14ac:dyDescent="0.25">
      <c r="A12" s="122" t="s">
        <v>1103</v>
      </c>
      <c r="B12" s="122" t="s">
        <v>1143</v>
      </c>
      <c r="C12" s="122">
        <v>6</v>
      </c>
      <c r="D12" s="122" t="s">
        <v>1138</v>
      </c>
      <c r="E12" s="122">
        <v>-0.7</v>
      </c>
      <c r="F12" s="122">
        <v>29</v>
      </c>
      <c r="G12" s="122">
        <v>29</v>
      </c>
      <c r="H12">
        <f t="shared" ref="H12:H13" si="29">F12+G12</f>
        <v>58</v>
      </c>
      <c r="I12" s="122">
        <v>5.7</v>
      </c>
      <c r="J12" s="122">
        <v>5.0999999999999996</v>
      </c>
      <c r="K12" s="122">
        <f>(6.5-4.9)/2/_xlfn.NORM.S.INV(0.975)*SQRT(F12)</f>
        <v>2.1980668418856659</v>
      </c>
      <c r="L12" s="122">
        <f>(5.9-4.4)/2/_xlfn.NORM.S.INV(0.975)*SQRT(G12)</f>
        <v>2.0606876642678125</v>
      </c>
      <c r="M12">
        <f>SQRT(((F12-1)*K12^2+(G12-1)*L12^2+F12*G12/H12*(I12-J12)^2)/(H12-1))</f>
        <v>2.133287068096561</v>
      </c>
      <c r="N12">
        <f t="shared" ref="N12:N13" si="30">E12/M12*(1-3/(4*H12-9))</f>
        <v>-0.32371778274427571</v>
      </c>
      <c r="O12">
        <f t="shared" ref="O12:O13" si="31">SQRT(H12/(F12*G12)+N12^2/(2*(H12-3.94)))</f>
        <v>0.26445178719858015</v>
      </c>
      <c r="P12" t="str">
        <f t="shared" ref="P12:P13" si="32">CONCATENATE(FIXED(N12,2), " [", FIXED(N12-_xlfn.NORM.S.INV(0.975)*O12,2), ", ", FIXED(N12+_xlfn.NORM.S.INV(0.975)*O12,2), "]")</f>
        <v>-0.32 [-0.84, 0.19]</v>
      </c>
      <c r="Q12">
        <f t="shared" ref="Q12:Q13" si="33">1/O12^2</f>
        <v>14.299043496069832</v>
      </c>
      <c r="R12">
        <f t="shared" ref="R12:R13" si="34">SUMPRODUCT(N12,Q12)/SUM(Q12)</f>
        <v>-0.32371778274427565</v>
      </c>
      <c r="S12">
        <f t="shared" ref="S12:S13" si="35">1/SQRT(SUM(Q12))</f>
        <v>0.26445178719858015</v>
      </c>
      <c r="T12" t="str">
        <f t="shared" ref="T12:T13" si="36">CONCATENATE(FIXED(R12,2), " [", FIXED(R12-_xlfn.NORM.S.INV(0.975)*S12,2), ", ", FIXED(R12+_xlfn.NORM.S.INV(0.975)*S12,2), "]")</f>
        <v>-0.32 [-0.84, 0.19]</v>
      </c>
    </row>
    <row r="13" spans="1:20" x14ac:dyDescent="0.25">
      <c r="A13" s="122" t="s">
        <v>1103</v>
      </c>
      <c r="B13" s="122" t="s">
        <v>1143</v>
      </c>
      <c r="C13" s="122">
        <v>3</v>
      </c>
      <c r="D13" s="122" t="s">
        <v>1115</v>
      </c>
      <c r="E13" s="122">
        <v>-0.4</v>
      </c>
      <c r="F13" s="122">
        <v>29</v>
      </c>
      <c r="G13" s="122">
        <v>29</v>
      </c>
      <c r="H13">
        <f t="shared" si="29"/>
        <v>58</v>
      </c>
      <c r="I13" s="122">
        <v>9</v>
      </c>
      <c r="J13" s="122">
        <v>7.8</v>
      </c>
      <c r="K13" s="122">
        <f>(10.3-7.7)/2/_xlfn.NORM.S.INV(0.975)*SQRT(F13)</f>
        <v>3.5718586180642085</v>
      </c>
      <c r="L13" s="122">
        <f>(8.9-6.6)/2/_xlfn.NORM.S.INV(0.975)*SQRT(G13)</f>
        <v>3.1597210852106463</v>
      </c>
      <c r="M13">
        <f>SQRT(((F13-1)*K13^2+(G13-1)*L13^2+F13*G13/H13*(I13-J13)^2)/(H13-1))</f>
        <v>3.3967381594633395</v>
      </c>
      <c r="N13">
        <f t="shared" si="30"/>
        <v>-0.11617581796268467</v>
      </c>
      <c r="O13">
        <f t="shared" si="31"/>
        <v>0.26285043104617167</v>
      </c>
      <c r="P13" t="str">
        <f t="shared" si="32"/>
        <v>-0.12 [-0.63, 0.40]</v>
      </c>
      <c r="Q13">
        <f t="shared" si="33"/>
        <v>14.473801522349463</v>
      </c>
      <c r="R13">
        <f t="shared" si="34"/>
        <v>-0.11617581796268467</v>
      </c>
      <c r="S13">
        <f t="shared" si="35"/>
        <v>0.26285043104617167</v>
      </c>
      <c r="T13" t="str">
        <f t="shared" si="36"/>
        <v>-0.12 [-0.63, 0.40]</v>
      </c>
    </row>
    <row r="14" spans="1:20" x14ac:dyDescent="0.25">
      <c r="A14" s="122" t="s">
        <v>1103</v>
      </c>
      <c r="B14" s="122" t="s">
        <v>1143</v>
      </c>
      <c r="C14" s="122">
        <v>6</v>
      </c>
      <c r="D14" s="122" t="s">
        <v>1115</v>
      </c>
      <c r="E14" s="122">
        <v>0</v>
      </c>
      <c r="F14" s="122">
        <v>29</v>
      </c>
      <c r="G14" s="122">
        <v>29</v>
      </c>
      <c r="H14">
        <f t="shared" ref="H14:H17" si="37">F14+G14</f>
        <v>58</v>
      </c>
      <c r="I14" s="122">
        <v>9</v>
      </c>
      <c r="J14" s="122">
        <v>7.8</v>
      </c>
      <c r="K14" s="122">
        <f>(10.3-7.7)/2/_xlfn.NORM.S.INV(0.975)*SQRT(F14)</f>
        <v>3.5718586180642085</v>
      </c>
      <c r="L14" s="122">
        <f>(8.9-6.6)/2/_xlfn.NORM.S.INV(0.975)*SQRT(G14)</f>
        <v>3.1597210852106463</v>
      </c>
      <c r="M14">
        <f>SQRT(((F14-1)*K14^2+(G14-1)*L14^2+F14*G14/H14*(I14-J14)^2)/(H14-1))</f>
        <v>3.3967381594633395</v>
      </c>
      <c r="N14">
        <f t="shared" ref="N14" si="38">E14/M14*(1-3/(4*H14-9))</f>
        <v>0</v>
      </c>
      <c r="O14">
        <f t="shared" ref="O14" si="39">SQRT(H14/(F14*G14)+N14^2/(2*(H14-3.94)))</f>
        <v>0.26261286571944509</v>
      </c>
      <c r="P14" t="str">
        <f t="shared" ref="P14" si="40">CONCATENATE(FIXED(N14,2), " [", FIXED(N14-_xlfn.NORM.S.INV(0.975)*O14,2), ", ", FIXED(N14+_xlfn.NORM.S.INV(0.975)*O14,2), "]")</f>
        <v>0.00 [-0.51, 0.51]</v>
      </c>
      <c r="Q14">
        <f t="shared" ref="Q14" si="41">1/O14^2</f>
        <v>14.500000000000004</v>
      </c>
      <c r="R14">
        <f t="shared" ref="R14" si="42">SUMPRODUCT(N14,Q14)/SUM(Q14)</f>
        <v>0</v>
      </c>
      <c r="S14">
        <f t="shared" ref="S14" si="43">1/SQRT(SUM(Q14))</f>
        <v>0.26261286571944509</v>
      </c>
      <c r="T14" t="str">
        <f t="shared" ref="T14" si="44">CONCATENATE(FIXED(R14,2), " [", FIXED(R14-_xlfn.NORM.S.INV(0.975)*S14,2), ", ", FIXED(R14+_xlfn.NORM.S.INV(0.975)*S14,2), "]")</f>
        <v>0.00 [-0.51, 0.51]</v>
      </c>
    </row>
    <row r="15" spans="1:20" x14ac:dyDescent="0.25">
      <c r="A15" s="122" t="s">
        <v>1106</v>
      </c>
      <c r="B15" s="122" t="s">
        <v>1146</v>
      </c>
      <c r="C15" s="122">
        <v>0</v>
      </c>
      <c r="D15" s="122" t="s">
        <v>1138</v>
      </c>
      <c r="E15" s="122">
        <v>-2.7</v>
      </c>
      <c r="F15" s="122">
        <v>19</v>
      </c>
      <c r="G15" s="122">
        <v>19</v>
      </c>
      <c r="H15">
        <f t="shared" si="37"/>
        <v>38</v>
      </c>
      <c r="I15" s="122">
        <v>7.4</v>
      </c>
      <c r="J15" s="122">
        <v>7.3</v>
      </c>
      <c r="K15" s="122">
        <v>1.1000000000000001</v>
      </c>
      <c r="L15" s="122">
        <v>1.3</v>
      </c>
      <c r="M15">
        <f t="shared" ref="M15:M16" si="45">SQRT(((F15-1)*K15^2+(G15-1)*L15^2+F15*G15/H15*(I15-J15)^2)/(H15-1))</f>
        <v>1.1888559115293906</v>
      </c>
      <c r="N15">
        <f t="shared" ref="N15:N16" si="46">E15/M15*(1-3/(4*H15-9))</f>
        <v>-2.2234457664058938</v>
      </c>
      <c r="O15">
        <f t="shared" ref="O15:O16" si="47">SQRT(H15/(F15*G15)+N15^2/(2*(H15-3.94)))</f>
        <v>0.42170691288487766</v>
      </c>
      <c r="P15" t="str">
        <f t="shared" ref="P15:P16" si="48">CONCATENATE(FIXED(N15,2), " [", FIXED(N15-_xlfn.NORM.S.INV(0.975)*O15,2), ", ", FIXED(N15+_xlfn.NORM.S.INV(0.975)*O15,2), "]")</f>
        <v>-2.22 [-3.05, -1.40]</v>
      </c>
      <c r="Q15">
        <f t="shared" ref="Q15:Q16" si="49">1/O15^2</f>
        <v>5.6231356375214379</v>
      </c>
      <c r="R15">
        <f>SUMPRODUCT(N15:N16,Q15:Q16)/SUM(Q15:Q16)</f>
        <v>-2.0624582607632584</v>
      </c>
      <c r="S15">
        <f>1/SQRT(SUM(Q15:Q16))</f>
        <v>0.27515718754163637</v>
      </c>
      <c r="T15" t="str">
        <f>CONCATENATE(FIXED(R15,2), " [", FIXED(R15-_xlfn.NORM.S.INV(0.975)*S15,2), ", ", FIXED(R15+_xlfn.NORM.S.INV(0.975)*S15,2), "]")</f>
        <v>-2.06 [-2.60, -1.52]</v>
      </c>
    </row>
    <row r="16" spans="1:20" x14ac:dyDescent="0.25">
      <c r="A16" s="122" t="s">
        <v>1106</v>
      </c>
      <c r="B16" s="122" t="s">
        <v>1147</v>
      </c>
      <c r="C16" s="122">
        <v>0</v>
      </c>
      <c r="D16" s="122" t="s">
        <v>1138</v>
      </c>
      <c r="E16" s="122">
        <v>-16</v>
      </c>
      <c r="F16" s="122">
        <v>23</v>
      </c>
      <c r="G16" s="122">
        <v>23</v>
      </c>
      <c r="H16">
        <f t="shared" si="37"/>
        <v>46</v>
      </c>
      <c r="I16" s="122">
        <v>67.2</v>
      </c>
      <c r="J16" s="122">
        <v>68.400000000000006</v>
      </c>
      <c r="K16" s="122">
        <v>9.1</v>
      </c>
      <c r="L16" s="122">
        <v>7.1</v>
      </c>
      <c r="M16">
        <f t="shared" si="45"/>
        <v>8.0930697376074647</v>
      </c>
      <c r="N16">
        <f t="shared" si="46"/>
        <v>-1.9431087085088237</v>
      </c>
      <c r="O16">
        <f t="shared" si="47"/>
        <v>0.36309898226221771</v>
      </c>
      <c r="P16" t="str">
        <f t="shared" si="48"/>
        <v>-1.94 [-2.65, -1.23]</v>
      </c>
      <c r="Q16">
        <f t="shared" si="49"/>
        <v>7.5849013513257724</v>
      </c>
      <c r="R16" s="127" t="s">
        <v>1134</v>
      </c>
      <c r="S16" s="127" t="s">
        <v>1134</v>
      </c>
      <c r="T16" s="127" t="s">
        <v>1134</v>
      </c>
    </row>
    <row r="17" spans="1:23" x14ac:dyDescent="0.25">
      <c r="A17" s="122" t="s">
        <v>1149</v>
      </c>
      <c r="B17" s="122" t="s">
        <v>1150</v>
      </c>
      <c r="C17" s="122">
        <v>4</v>
      </c>
      <c r="D17" s="122" t="s">
        <v>1138</v>
      </c>
      <c r="E17" s="122">
        <f>(5.28-5.63)-(6.05-5.48)</f>
        <v>-0.91999999999999904</v>
      </c>
      <c r="F17" s="122">
        <v>32</v>
      </c>
      <c r="G17" s="122">
        <v>32</v>
      </c>
      <c r="H17">
        <f t="shared" si="37"/>
        <v>64</v>
      </c>
      <c r="I17" s="122">
        <v>5.63</v>
      </c>
      <c r="J17" s="122">
        <v>5.48</v>
      </c>
      <c r="K17" s="122">
        <v>1.02</v>
      </c>
      <c r="L17" s="122">
        <v>1.23</v>
      </c>
      <c r="M17">
        <f t="shared" ref="M17" si="50">SQRT(((F17-1)*K17^2+(G17-1)*L17^2+F17*G17/H17*(I17-J17)^2)/(H17-1))</f>
        <v>1.1234322409473567</v>
      </c>
      <c r="N17">
        <f t="shared" ref="N17" si="51">E17/M17*(1-3/(4*H17-9))</f>
        <v>-0.80897260894416512</v>
      </c>
      <c r="O17">
        <f t="shared" ref="O17" si="52">SQRT(H17/(F17*G17)+N17^2/(2*(H17-3.94)))</f>
        <v>0.26066873772284888</v>
      </c>
      <c r="P17" t="str">
        <f t="shared" ref="P17" si="53">CONCATENATE(FIXED(N17,2), " [", FIXED(N17-_xlfn.NORM.S.INV(0.975)*O17,2), ", ", FIXED(N17+_xlfn.NORM.S.INV(0.975)*O17,2), "]")</f>
        <v>-0.81 [-1.32, -0.30]</v>
      </c>
      <c r="Q17">
        <f t="shared" ref="Q17" si="54">1/O17^2</f>
        <v>14.717095302219754</v>
      </c>
      <c r="R17">
        <f t="shared" ref="R17" si="55">SUMPRODUCT(N17,Q17)/SUM(Q17)</f>
        <v>-0.80897260894416523</v>
      </c>
      <c r="S17">
        <f t="shared" ref="S17" si="56">1/SQRT(SUM(Q17))</f>
        <v>0.26066873772284888</v>
      </c>
      <c r="T17" t="str">
        <f t="shared" ref="T17" si="57">CONCATENATE(FIXED(R17,2), " [", FIXED(R17-_xlfn.NORM.S.INV(0.975)*S17,2), ", ", FIXED(R17+_xlfn.NORM.S.INV(0.975)*S17,2), "]")</f>
        <v>-0.81 [-1.32, -0.30]</v>
      </c>
    </row>
    <row r="18" spans="1:23" x14ac:dyDescent="0.25">
      <c r="A18" s="122" t="s">
        <v>1149</v>
      </c>
      <c r="B18" s="122" t="s">
        <v>1150</v>
      </c>
      <c r="C18" s="122">
        <v>8</v>
      </c>
      <c r="D18" s="122" t="s">
        <v>1138</v>
      </c>
      <c r="E18" s="122">
        <f>(3.84-5.63)-(5.95-5.48)</f>
        <v>-2.2599999999999998</v>
      </c>
      <c r="F18" s="122">
        <v>32</v>
      </c>
      <c r="G18" s="122">
        <v>32</v>
      </c>
      <c r="H18">
        <f t="shared" ref="H18:H27" si="58">F18+G18</f>
        <v>64</v>
      </c>
      <c r="I18" s="122">
        <v>5.63</v>
      </c>
      <c r="J18" s="122">
        <v>5.48</v>
      </c>
      <c r="K18" s="122">
        <v>1.02</v>
      </c>
      <c r="L18" s="122">
        <v>1.23</v>
      </c>
      <c r="M18">
        <f t="shared" ref="M18:M19" si="59">SQRT(((F18-1)*K18^2+(G18-1)*L18^2+F18*G18/H18*(I18-J18)^2)/(H18-1))</f>
        <v>1.1234322409473567</v>
      </c>
      <c r="N18">
        <f t="shared" ref="N18" si="60">E18/M18*(1-3/(4*H18-9))</f>
        <v>-1.9872588002324079</v>
      </c>
      <c r="O18">
        <f t="shared" ref="O18" si="61">SQRT(H18/(F18*G18)+N18^2/(2*(H18-3.94)))</f>
        <v>0.30883183513057627</v>
      </c>
      <c r="P18" t="str">
        <f t="shared" ref="P18" si="62">CONCATENATE(FIXED(N18,2), " [", FIXED(N18-_xlfn.NORM.S.INV(0.975)*O18,2), ", ", FIXED(N18+_xlfn.NORM.S.INV(0.975)*O18,2), "]")</f>
        <v>-1.99 [-2.59, -1.38]</v>
      </c>
      <c r="Q18">
        <f t="shared" ref="Q18" si="63">1/O18^2</f>
        <v>10.484696797662357</v>
      </c>
      <c r="R18">
        <f t="shared" ref="R18" si="64">SUMPRODUCT(N18,Q18)/SUM(Q18)</f>
        <v>-1.9872588002324081</v>
      </c>
      <c r="S18">
        <f t="shared" ref="S18" si="65">1/SQRT(SUM(Q18))</f>
        <v>0.30883183513057627</v>
      </c>
      <c r="T18" t="str">
        <f t="shared" ref="T18" si="66">CONCATENATE(FIXED(R18,2), " [", FIXED(R18-_xlfn.NORM.S.INV(0.975)*S18,2), ", ", FIXED(R18+_xlfn.NORM.S.INV(0.975)*S18,2), "]")</f>
        <v>-1.99 [-2.59, -1.38]</v>
      </c>
    </row>
    <row r="19" spans="1:23" x14ac:dyDescent="0.25">
      <c r="A19" s="122" t="s">
        <v>1060</v>
      </c>
      <c r="B19" s="122" t="s">
        <v>1159</v>
      </c>
      <c r="C19" s="122">
        <v>12</v>
      </c>
      <c r="D19" s="122" t="s">
        <v>1115</v>
      </c>
      <c r="E19" s="122">
        <v>-2.2999999999999998</v>
      </c>
      <c r="F19" s="122">
        <v>34</v>
      </c>
      <c r="G19" s="122">
        <v>36</v>
      </c>
      <c r="H19">
        <f t="shared" si="58"/>
        <v>70</v>
      </c>
      <c r="I19" s="122">
        <v>8.1</v>
      </c>
      <c r="J19" s="122">
        <v>8</v>
      </c>
      <c r="K19" s="122">
        <v>2.4</v>
      </c>
      <c r="L19" s="122">
        <v>2.4</v>
      </c>
      <c r="M19">
        <f t="shared" si="59"/>
        <v>2.3830769816816906</v>
      </c>
      <c r="N19">
        <f t="shared" ref="N19" si="67">E19/M19*(1-3/(4*H19-9))</f>
        <v>-0.95445458240394587</v>
      </c>
      <c r="O19">
        <f t="shared" ref="O19" si="68">SQRT(H19/(F19*G19)+N19^2/(2*(H19-3.94)))</f>
        <v>0.25314949085481186</v>
      </c>
      <c r="P19" t="str">
        <f t="shared" ref="P19" si="69">CONCATENATE(FIXED(N19,2), " [", FIXED(N19-_xlfn.NORM.S.INV(0.975)*O19,2), ", ", FIXED(N19+_xlfn.NORM.S.INV(0.975)*O19,2), "]")</f>
        <v>-0.95 [-1.45, -0.46]</v>
      </c>
      <c r="Q19">
        <f t="shared" ref="Q19" si="70">1/O19^2</f>
        <v>15.604357210393974</v>
      </c>
      <c r="R19">
        <f t="shared" ref="R19" si="71">SUMPRODUCT(N19,Q19)/SUM(Q19)</f>
        <v>-0.95445458240394587</v>
      </c>
      <c r="S19">
        <f t="shared" ref="S19" si="72">1/SQRT(SUM(Q19))</f>
        <v>0.25314949085481186</v>
      </c>
      <c r="T19" t="str">
        <f t="shared" ref="T19" si="73">CONCATENATE(FIXED(R19,2), " [", FIXED(R19-_xlfn.NORM.S.INV(0.975)*S19,2), ", ", FIXED(R19+_xlfn.NORM.S.INV(0.975)*S19,2), "]")</f>
        <v>-0.95 [-1.45, -0.46]</v>
      </c>
    </row>
    <row r="20" spans="1:23" x14ac:dyDescent="0.25">
      <c r="A20" s="122" t="s">
        <v>1161</v>
      </c>
      <c r="B20" s="122" t="s">
        <v>1162</v>
      </c>
      <c r="C20" s="122">
        <v>12</v>
      </c>
      <c r="D20" s="122" t="s">
        <v>1115</v>
      </c>
      <c r="E20" s="122">
        <f>-23.8--15.3</f>
        <v>-8.5</v>
      </c>
      <c r="F20" s="122">
        <v>29</v>
      </c>
      <c r="G20" s="122">
        <v>28</v>
      </c>
      <c r="H20">
        <f t="shared" si="58"/>
        <v>57</v>
      </c>
      <c r="I20" s="122">
        <v>210.8</v>
      </c>
      <c r="J20" s="122">
        <v>198.6</v>
      </c>
      <c r="K20" s="122">
        <v>86.3</v>
      </c>
      <c r="L20" s="122">
        <v>110.9</v>
      </c>
      <c r="M20">
        <f t="shared" ref="M20" si="74">SQRT(((F20-1)*K20^2+(G20-1)*L20^2+F20*G20/H20*(I20-J20)^2)/(H20-1))</f>
        <v>98.445371652885171</v>
      </c>
      <c r="N20">
        <f t="shared" ref="N20" si="75">E20/M20*(1-3/(4*H20-9))</f>
        <v>-8.515953064198642E-2</v>
      </c>
      <c r="O20">
        <f t="shared" ref="O20" si="76">SQRT(H20/(F20*G20)+N20^2/(2*(H20-3.94)))</f>
        <v>0.26507618421585005</v>
      </c>
      <c r="P20" t="str">
        <f t="shared" ref="P20" si="77">CONCATENATE(FIXED(N20,2), " [", FIXED(N20-_xlfn.NORM.S.INV(0.975)*O20,2), ", ", FIXED(N20+_xlfn.NORM.S.INV(0.975)*O20,2), "]")</f>
        <v>-0.09 [-0.60, 0.43]</v>
      </c>
      <c r="Q20">
        <f t="shared" ref="Q20" si="78">1/O20^2</f>
        <v>14.231758955335017</v>
      </c>
      <c r="R20">
        <f>SUMPRODUCT(N20:N27,Q20:Q27)/SUM(Q20:Q27)</f>
        <v>-0.24040532283819432</v>
      </c>
      <c r="S20">
        <f>1/SQRT(SUM(Q20:Q27))</f>
        <v>3.8467811166937725E-2</v>
      </c>
      <c r="T20" t="str">
        <f>CONCATENATE(FIXED(R20,2), " [", FIXED(R20-_xlfn.NORM.S.INV(0.975)*S20,2), ", ", FIXED(R20+_xlfn.NORM.S.INV(0.975)*S20,2), "]")</f>
        <v>-0.24 [-0.32, -0.17]</v>
      </c>
    </row>
    <row r="21" spans="1:23" x14ac:dyDescent="0.25">
      <c r="A21" s="122" t="s">
        <v>1161</v>
      </c>
      <c r="B21" s="122" t="s">
        <v>1163</v>
      </c>
      <c r="C21" s="122">
        <v>6</v>
      </c>
      <c r="D21" s="122" t="s">
        <v>1138</v>
      </c>
      <c r="E21" s="122">
        <v>0</v>
      </c>
      <c r="F21" s="122">
        <v>405</v>
      </c>
      <c r="G21" s="122">
        <v>374</v>
      </c>
      <c r="H21">
        <f t="shared" si="58"/>
        <v>779</v>
      </c>
      <c r="I21" s="122">
        <v>66.7</v>
      </c>
      <c r="J21" s="122">
        <v>69</v>
      </c>
      <c r="K21" s="122">
        <v>18</v>
      </c>
      <c r="L21" s="122">
        <v>17</v>
      </c>
      <c r="M21">
        <f t="shared" ref="M21" si="79">SQRT(((F21-1)*K21^2+(G21-1)*L21^2+F21*G21/H21*(I21-J21)^2)/(H21-1))</f>
        <v>17.553502350143035</v>
      </c>
      <c r="N21">
        <f t="shared" ref="N21" si="80">E21/M21*(1-3/(4*H21-9))</f>
        <v>0</v>
      </c>
      <c r="O21">
        <f t="shared" ref="O21" si="81">SQRT(H21/(F21*G21)+N21^2/(2*(H21-3.94)))</f>
        <v>7.1714242615487381E-2</v>
      </c>
      <c r="P21" t="str">
        <f t="shared" ref="P21" si="82">CONCATENATE(FIXED(N21,2), " [", FIXED(N21-_xlfn.NORM.S.INV(0.975)*O21,2), ", ", FIXED(N21+_xlfn.NORM.S.INV(0.975)*O21,2), "]")</f>
        <v>0.00 [-0.14, 0.14]</v>
      </c>
      <c r="Q21">
        <f t="shared" ref="Q21" si="83">1/O21^2</f>
        <v>194.44159178433887</v>
      </c>
      <c r="R21" s="127" t="s">
        <v>1134</v>
      </c>
      <c r="S21" s="127" t="s">
        <v>1134</v>
      </c>
      <c r="T21" s="127" t="s">
        <v>1134</v>
      </c>
    </row>
    <row r="22" spans="1:23" x14ac:dyDescent="0.25">
      <c r="A22" s="122" t="s">
        <v>1161</v>
      </c>
      <c r="B22" s="122" t="s">
        <v>1164</v>
      </c>
      <c r="C22" s="122">
        <v>6</v>
      </c>
      <c r="D22" s="122" t="s">
        <v>1138</v>
      </c>
      <c r="E22" s="122">
        <f>-17.4--10.5</f>
        <v>-6.8999999999999986</v>
      </c>
      <c r="F22" s="122">
        <v>171</v>
      </c>
      <c r="G22" s="122">
        <v>172</v>
      </c>
      <c r="H22">
        <f t="shared" si="58"/>
        <v>343</v>
      </c>
      <c r="I22" s="122">
        <v>67.5</v>
      </c>
      <c r="J22" s="122">
        <v>64</v>
      </c>
      <c r="K22" s="122">
        <f>1.17*SQRT(F22)</f>
        <v>15.299735291827764</v>
      </c>
      <c r="L22" s="122">
        <f>1.16*SQRT(G22)</f>
        <v>15.213257376380639</v>
      </c>
      <c r="M22">
        <f t="shared" ref="M22" si="84">SQRT(((F22-1)*K22^2+(G22-1)*L22^2+F22*G22/H22*(I22-J22)^2)/(H22-1))</f>
        <v>15.334586025433765</v>
      </c>
      <c r="N22">
        <f t="shared" ref="N22" si="85">E22/M22*(1-3/(4*H22-9))</f>
        <v>-0.44897285790914199</v>
      </c>
      <c r="O22">
        <f t="shared" ref="O22" si="86">SQRT(H22/(F22*G22)+N22^2/(2*(H22-3.94)))</f>
        <v>0.10935796611221227</v>
      </c>
      <c r="P22" t="str">
        <f t="shared" ref="P22" si="87">CONCATENATE(FIXED(N22,2), " [", FIXED(N22-_xlfn.NORM.S.INV(0.975)*O22,2), ", ", FIXED(N22+_xlfn.NORM.S.INV(0.975)*O22,2), "]")</f>
        <v>-0.45 [-0.66, -0.23]</v>
      </c>
      <c r="Q22">
        <f t="shared" ref="Q22" si="88">1/O22^2</f>
        <v>83.617879736631281</v>
      </c>
      <c r="R22" s="127" t="s">
        <v>1134</v>
      </c>
      <c r="S22" s="127" t="s">
        <v>1134</v>
      </c>
      <c r="T22" s="127" t="s">
        <v>1134</v>
      </c>
    </row>
    <row r="23" spans="1:23" x14ac:dyDescent="0.25">
      <c r="A23" s="122" t="s">
        <v>1161</v>
      </c>
      <c r="B23" s="122" t="s">
        <v>1165</v>
      </c>
      <c r="C23" s="122">
        <v>6</v>
      </c>
      <c r="D23" s="122" t="s">
        <v>1138</v>
      </c>
      <c r="E23" s="122">
        <f>-13.8--7.6</f>
        <v>-6.2000000000000011</v>
      </c>
      <c r="F23" s="122">
        <v>185</v>
      </c>
      <c r="G23" s="122">
        <v>182</v>
      </c>
      <c r="H23">
        <f t="shared" si="58"/>
        <v>367</v>
      </c>
      <c r="I23" s="122">
        <v>64.599999999999994</v>
      </c>
      <c r="J23" s="122">
        <v>64.400000000000006</v>
      </c>
      <c r="K23" s="122">
        <f>1.24*SQRT(F23)</f>
        <v>16.865823430831952</v>
      </c>
      <c r="L23" s="122">
        <f>1.15*SQRT(G23)</f>
        <v>15.514348197716847</v>
      </c>
      <c r="M23">
        <f t="shared" ref="M23" si="89">SQRT(((F23-1)*K23^2+(G23-1)*L23^2+F23*G23/H23*(I23-J23)^2)/(H23-1))</f>
        <v>16.187879898681029</v>
      </c>
      <c r="N23">
        <f t="shared" ref="N23" si="90">E23/M23*(1-3/(4*H23-9))</f>
        <v>-0.38221506342262218</v>
      </c>
      <c r="O23">
        <f t="shared" ref="O23" si="91">SQRT(H23/(F23*G23)+N23^2/(2*(H23-3.94)))</f>
        <v>0.10536176381580166</v>
      </c>
      <c r="P23" t="str">
        <f t="shared" ref="P23" si="92">CONCATENATE(FIXED(N23,2), " [", FIXED(N23-_xlfn.NORM.S.INV(0.975)*O23,2), ", ", FIXED(N23+_xlfn.NORM.S.INV(0.975)*O23,2), "]")</f>
        <v>-0.38 [-0.59, -0.18]</v>
      </c>
      <c r="Q23">
        <f t="shared" ref="Q23" si="93">1/O23^2</f>
        <v>90.081152786901413</v>
      </c>
      <c r="R23" s="127" t="s">
        <v>1134</v>
      </c>
      <c r="S23" s="127" t="s">
        <v>1134</v>
      </c>
      <c r="T23" s="127" t="s">
        <v>1134</v>
      </c>
    </row>
    <row r="24" spans="1:23" x14ac:dyDescent="0.25">
      <c r="A24" s="122" t="s">
        <v>1161</v>
      </c>
      <c r="B24" s="122" t="s">
        <v>1166</v>
      </c>
      <c r="C24" s="122">
        <v>26</v>
      </c>
      <c r="D24" s="122" t="s">
        <v>1115</v>
      </c>
      <c r="E24" s="122">
        <v>-0.5</v>
      </c>
      <c r="F24" s="122">
        <v>108</v>
      </c>
      <c r="G24" s="122">
        <v>104</v>
      </c>
      <c r="H24">
        <f t="shared" si="58"/>
        <v>212</v>
      </c>
      <c r="I24" s="122">
        <v>8</v>
      </c>
      <c r="J24" s="122">
        <v>7.9</v>
      </c>
      <c r="K24" s="122">
        <v>2.9</v>
      </c>
      <c r="L24" s="122">
        <v>3</v>
      </c>
      <c r="M24">
        <f t="shared" ref="M24:M26" si="94">SQRT(((F24-1)*K24^2+(G24-1)*L24^2+F24*G24/H24*(I24-J24)^2)/(H24-1))</f>
        <v>2.9429003742727295</v>
      </c>
      <c r="N24">
        <f t="shared" ref="N24" si="95">E24/M24*(1-3/(4*H24-9))</f>
        <v>-0.16929290630617308</v>
      </c>
      <c r="O24">
        <f t="shared" ref="O24" si="96">SQRT(H24/(F24*G24)+N24^2/(2*(H24-3.94)))</f>
        <v>0.13763545491474069</v>
      </c>
      <c r="P24" t="str">
        <f t="shared" ref="P24" si="97">CONCATENATE(FIXED(N24,2), " [", FIXED(N24-_xlfn.NORM.S.INV(0.975)*O24,2), ", ", FIXED(N24+_xlfn.NORM.S.INV(0.975)*O24,2), "]")</f>
        <v>-0.17 [-0.44, 0.10]</v>
      </c>
      <c r="Q24">
        <f t="shared" ref="Q24" si="98">1/O24^2</f>
        <v>52.788504029026832</v>
      </c>
      <c r="R24" s="127" t="s">
        <v>1134</v>
      </c>
      <c r="S24" s="127" t="s">
        <v>1134</v>
      </c>
      <c r="T24" s="127" t="s">
        <v>1134</v>
      </c>
    </row>
    <row r="25" spans="1:23" x14ac:dyDescent="0.25">
      <c r="A25" s="122" t="s">
        <v>1161</v>
      </c>
      <c r="B25" s="122" t="s">
        <v>1167</v>
      </c>
      <c r="C25" s="122">
        <v>12</v>
      </c>
      <c r="D25" s="122" t="s">
        <v>1115</v>
      </c>
      <c r="E25" s="122">
        <f>-26.5--19.6</f>
        <v>-6.8999999999999986</v>
      </c>
      <c r="F25" s="122">
        <v>160</v>
      </c>
      <c r="G25" s="122">
        <v>83</v>
      </c>
      <c r="H25">
        <f t="shared" si="58"/>
        <v>243</v>
      </c>
      <c r="I25" s="122">
        <v>68.900000000000006</v>
      </c>
      <c r="J25" s="122">
        <v>66.3</v>
      </c>
      <c r="K25" s="122">
        <v>19.7</v>
      </c>
      <c r="L25" s="122">
        <v>19.3</v>
      </c>
      <c r="M25">
        <f t="shared" si="94"/>
        <v>19.563408814043598</v>
      </c>
      <c r="N25">
        <f t="shared" ref="N25:N26" si="99">E25/M25*(1-3/(4*H25-9))</f>
        <v>-0.3516005180017226</v>
      </c>
      <c r="O25">
        <f t="shared" ref="O25:O26" si="100">SQRT(H25/(F25*G25)+N25^2/(2*(H25-3.94)))</f>
        <v>0.13622317433193537</v>
      </c>
      <c r="P25" t="str">
        <f t="shared" ref="P25:P26" si="101">CONCATENATE(FIXED(N25,2), " [", FIXED(N25-_xlfn.NORM.S.INV(0.975)*O25,2), ", ", FIXED(N25+_xlfn.NORM.S.INV(0.975)*O25,2), "]")</f>
        <v>-0.35 [-0.62, -0.08]</v>
      </c>
      <c r="Q25">
        <f t="shared" ref="Q25:Q26" si="102">1/O25^2</f>
        <v>53.888737316885319</v>
      </c>
      <c r="R25" s="127" t="s">
        <v>1134</v>
      </c>
      <c r="S25" s="127" t="s">
        <v>1134</v>
      </c>
      <c r="T25" s="127" t="s">
        <v>1134</v>
      </c>
    </row>
    <row r="26" spans="1:23" x14ac:dyDescent="0.25">
      <c r="A26" s="122" t="s">
        <v>1161</v>
      </c>
      <c r="B26" s="122" t="s">
        <v>1168</v>
      </c>
      <c r="C26" s="122">
        <v>12</v>
      </c>
      <c r="D26" s="122" t="s">
        <v>1115</v>
      </c>
      <c r="E26" s="122">
        <f>-22.8--19.6</f>
        <v>-3.1999999999999993</v>
      </c>
      <c r="F26" s="122">
        <v>158</v>
      </c>
      <c r="G26" s="122">
        <v>82</v>
      </c>
      <c r="H26">
        <f t="shared" si="58"/>
        <v>240</v>
      </c>
      <c r="I26" s="122">
        <v>67.900000000000006</v>
      </c>
      <c r="J26" s="122">
        <v>66.3</v>
      </c>
      <c r="K26" s="122">
        <v>16.5</v>
      </c>
      <c r="L26" s="122">
        <v>19.3</v>
      </c>
      <c r="M26">
        <f t="shared" si="94"/>
        <v>17.483182275620372</v>
      </c>
      <c r="N26">
        <f t="shared" si="99"/>
        <v>-0.18245564866209887</v>
      </c>
      <c r="O26">
        <f t="shared" si="100"/>
        <v>0.13636255990761947</v>
      </c>
      <c r="P26" t="str">
        <f t="shared" si="101"/>
        <v>-0.18 [-0.45, 0.08]</v>
      </c>
      <c r="Q26">
        <f t="shared" si="102"/>
        <v>53.778626832547573</v>
      </c>
      <c r="R26" s="127" t="s">
        <v>1134</v>
      </c>
      <c r="S26" s="127" t="s">
        <v>1134</v>
      </c>
      <c r="T26" s="127" t="s">
        <v>1134</v>
      </c>
    </row>
    <row r="27" spans="1:23" x14ac:dyDescent="0.25">
      <c r="A27" s="122" t="s">
        <v>1161</v>
      </c>
      <c r="B27" s="122" t="s">
        <v>1169</v>
      </c>
      <c r="C27" s="122">
        <v>12</v>
      </c>
      <c r="D27" s="122" t="s">
        <v>1115</v>
      </c>
      <c r="E27" s="122">
        <f>-29.96--25.75</f>
        <v>-4.2100000000000009</v>
      </c>
      <c r="F27" s="122">
        <v>267</v>
      </c>
      <c r="G27" s="122">
        <v>275</v>
      </c>
      <c r="H27">
        <f t="shared" si="58"/>
        <v>542</v>
      </c>
      <c r="I27" s="122">
        <v>78.900000000000006</v>
      </c>
      <c r="J27" s="122">
        <v>80.8</v>
      </c>
      <c r="K27" s="122">
        <v>11.1</v>
      </c>
      <c r="L27" s="122">
        <v>10.51</v>
      </c>
      <c r="M27">
        <f t="shared" ref="M27" si="103">SQRT(((F27-1)*K27^2+(G27-1)*L27^2+F27*G27/H27*(I27-J27)^2)/(H27-1))</f>
        <v>10.836456561833968</v>
      </c>
      <c r="N27">
        <f t="shared" ref="N27" si="104">E27/M27*(1-3/(4*H27-9))</f>
        <v>-0.3879635419094134</v>
      </c>
      <c r="O27">
        <f t="shared" ref="O27" si="105">SQRT(H27/(F27*G27)+N27^2/(2*(H27-3.94)))</f>
        <v>8.6726875179333029E-2</v>
      </c>
      <c r="P27" t="str">
        <f t="shared" ref="P27" si="106">CONCATENATE(FIXED(N27,2), " [", FIXED(N27-_xlfn.NORM.S.INV(0.975)*O27,2), ", ", FIXED(N27+_xlfn.NORM.S.INV(0.975)*O27,2), "]")</f>
        <v>-0.39 [-0.56, -0.22]</v>
      </c>
      <c r="Q27">
        <f t="shared" ref="Q27" si="107">1/O27^2</f>
        <v>132.9513043480863</v>
      </c>
      <c r="R27" s="127" t="s">
        <v>1134</v>
      </c>
      <c r="S27" s="127" t="s">
        <v>1134</v>
      </c>
      <c r="T27" s="127" t="s">
        <v>1134</v>
      </c>
    </row>
    <row r="28" spans="1:23" x14ac:dyDescent="0.25">
      <c r="A28" s="122" t="s">
        <v>1161</v>
      </c>
      <c r="B28" s="122" t="s">
        <v>1162</v>
      </c>
      <c r="C28" s="122">
        <v>2</v>
      </c>
      <c r="D28" s="122" t="s">
        <v>1115</v>
      </c>
      <c r="E28" s="122">
        <f>-4.7--1.5</f>
        <v>-3.2</v>
      </c>
      <c r="F28" s="122">
        <v>29</v>
      </c>
      <c r="G28" s="122">
        <v>28</v>
      </c>
      <c r="H28">
        <f>F28+G28</f>
        <v>57</v>
      </c>
      <c r="I28" s="122">
        <v>210.8</v>
      </c>
      <c r="J28" s="122">
        <v>198.6</v>
      </c>
      <c r="K28" s="122">
        <v>86.3</v>
      </c>
      <c r="L28" s="122">
        <v>110.9</v>
      </c>
      <c r="M28">
        <f>SQRT(((F28-1)*K28^2+(G28-1)*L28^2+F28*G28/H28*(I28-J28)^2)/(H28-1))</f>
        <v>98.445371652885171</v>
      </c>
      <c r="N28">
        <f t="shared" ref="N28" si="108">E28/M28*(1-3/(4*H28-9))</f>
        <v>-3.2060058594630181E-2</v>
      </c>
      <c r="O28">
        <f t="shared" ref="O28" si="109">SQRT(H28/(F28*G28)+N28^2/(2*(H28-3.94)))</f>
        <v>0.26496552614104868</v>
      </c>
      <c r="P28" t="str">
        <f t="shared" ref="P28" si="110">CONCATENATE(FIXED(N28,2), " [", FIXED(N28-_xlfn.NORM.S.INV(0.975)*O28,2), ", ", FIXED(N28+_xlfn.NORM.S.INV(0.975)*O28,2), "]")</f>
        <v>-0.03 [-0.55, 0.49]</v>
      </c>
      <c r="Q28">
        <f t="shared" ref="Q28" si="111">1/O28^2</f>
        <v>14.243648712660953</v>
      </c>
    </row>
    <row r="29" spans="1:23" x14ac:dyDescent="0.25">
      <c r="A29" s="122" t="s">
        <v>1161</v>
      </c>
      <c r="B29" s="122" t="s">
        <v>1163</v>
      </c>
      <c r="C29" s="122">
        <v>1</v>
      </c>
      <c r="D29" s="122" t="s">
        <v>1138</v>
      </c>
      <c r="E29" s="122">
        <f>-16--15</f>
        <v>-1</v>
      </c>
      <c r="F29" s="122">
        <v>405</v>
      </c>
      <c r="G29" s="122">
        <v>374</v>
      </c>
      <c r="H29">
        <f>F29+G29</f>
        <v>779</v>
      </c>
      <c r="I29" s="122">
        <v>66.7</v>
      </c>
      <c r="J29" s="122">
        <v>69</v>
      </c>
      <c r="K29" s="122">
        <v>18</v>
      </c>
      <c r="L29" s="122">
        <v>17</v>
      </c>
      <c r="M29">
        <f>SQRT(((F29-1)*K29^2+(G29-1)*L29^2+F29*G29/H29*(I29-J29)^2)/(H29-1))</f>
        <v>17.553502350143035</v>
      </c>
      <c r="N29">
        <f>E29/M29*(1-3/(4*H29-9))</f>
        <v>-5.6913681294880829E-2</v>
      </c>
      <c r="O29">
        <f>SQRT(H29/(F29*G29)+N29^2/(2*(H29-3.94)))</f>
        <v>7.1728810232524073E-2</v>
      </c>
      <c r="P29" t="str">
        <f>CONCATENATE(FIXED(N29,2), " [", FIXED(N29-_xlfn.NORM.S.INV(0.975)*O29,2), ", ", FIXED(N29+_xlfn.NORM.S.INV(0.975)*O29,2), "]")</f>
        <v>-0.06 [-0.20, 0.08]</v>
      </c>
      <c r="Q29">
        <f>1/O29^2</f>
        <v>194.36262036405805</v>
      </c>
    </row>
    <row r="30" spans="1:23" x14ac:dyDescent="0.25">
      <c r="A30" s="122" t="s">
        <v>1174</v>
      </c>
      <c r="B30" s="122" t="s">
        <v>1175</v>
      </c>
      <c r="C30" s="122">
        <v>1</v>
      </c>
      <c r="D30" s="122" t="s">
        <v>1138</v>
      </c>
      <c r="E30" s="122">
        <f>(6.41-6.27)-(7.67-6.64)</f>
        <v>-0.88999999999999968</v>
      </c>
      <c r="F30" s="122">
        <v>65</v>
      </c>
      <c r="G30" s="122">
        <v>34</v>
      </c>
      <c r="H30">
        <f>F30+G30</f>
        <v>99</v>
      </c>
      <c r="I30" s="129" t="s">
        <v>1139</v>
      </c>
      <c r="J30" s="129"/>
      <c r="K30" s="129"/>
      <c r="L30" s="129"/>
      <c r="M30">
        <v>1.64</v>
      </c>
      <c r="N30">
        <f>E30/M30*(1-3/(4*H30-9))</f>
        <v>-0.53847608243524281</v>
      </c>
      <c r="O30">
        <f>SQRT(H30/(F30*G30)+N30^2/(2*(H30-3.94)))</f>
        <v>0.21522431008408163</v>
      </c>
      <c r="P30" t="str">
        <f>CONCATENATE(FIXED(N30,2), " [", FIXED(N30-_xlfn.NORM.S.INV(0.975)*O30,2), ", ", FIXED(N30+_xlfn.NORM.S.INV(0.975)*O30,2), "]")</f>
        <v>-0.54 [-0.96, -0.12]</v>
      </c>
      <c r="Q30">
        <f>1/O30^2</f>
        <v>21.588245656502234</v>
      </c>
      <c r="R30">
        <f>SUMPRODUCT(N30:N31,Q30:Q31)/SUM(Q30:Q31)</f>
        <v>-0.28937149533631162</v>
      </c>
      <c r="S30">
        <f>1/SQRT(SUM(Q30:Q31))</f>
        <v>0.1509181013553561</v>
      </c>
      <c r="T30" t="str">
        <f>CONCATENATE(FIXED(R30,2), " [", FIXED(R30-_xlfn.NORM.S.INV(0.975)*S30,2), ", ", FIXED(R30+_xlfn.NORM.S.INV(0.975)*S30,2), "]")</f>
        <v>-0.29 [-0.59, 0.01]</v>
      </c>
      <c r="W30" s="136"/>
    </row>
    <row r="31" spans="1:23" x14ac:dyDescent="0.25">
      <c r="A31" s="122" t="s">
        <v>1174</v>
      </c>
      <c r="B31" s="122" t="s">
        <v>1176</v>
      </c>
      <c r="C31" s="122">
        <v>1</v>
      </c>
      <c r="D31" s="122" t="s">
        <v>1138</v>
      </c>
      <c r="E31" s="122">
        <f>(4-4.5)-(4.18-4.6)</f>
        <v>-8.0000000000000071E-2</v>
      </c>
      <c r="F31" s="122">
        <v>65</v>
      </c>
      <c r="G31" s="122">
        <v>34</v>
      </c>
      <c r="H31">
        <f>F31+G31</f>
        <v>99</v>
      </c>
      <c r="I31" s="129" t="s">
        <v>1139</v>
      </c>
      <c r="J31" s="129"/>
      <c r="K31" s="129"/>
      <c r="L31" s="129"/>
      <c r="M31">
        <v>1.64</v>
      </c>
      <c r="N31">
        <f>E31/M31*(1-3/(4*H31-9))</f>
        <v>-4.8402344488561205E-2</v>
      </c>
      <c r="O31">
        <f>SQRT(H31/(F31*G31)+N31^2/(2*(H31-3.94)))</f>
        <v>0.21168066223771539</v>
      </c>
      <c r="P31" t="str">
        <f>CONCATENATE(FIXED(N31,2), " [", FIXED(N31-_xlfn.NORM.S.INV(0.975)*O31,2), ", ", FIXED(N31+_xlfn.NORM.S.INV(0.975)*O31,2), "]")</f>
        <v>-0.05 [-0.46, 0.37]</v>
      </c>
      <c r="Q31">
        <f>1/O31^2</f>
        <v>22.317093294033533</v>
      </c>
      <c r="R31" s="127" t="s">
        <v>1134</v>
      </c>
      <c r="S31" s="127" t="s">
        <v>1134</v>
      </c>
      <c r="T31" s="127" t="s">
        <v>1134</v>
      </c>
    </row>
    <row r="32" spans="1:23" x14ac:dyDescent="0.25">
      <c r="A32" s="122" t="s">
        <v>1174</v>
      </c>
      <c r="B32" s="122" t="s">
        <v>1175</v>
      </c>
      <c r="C32" s="122">
        <v>2</v>
      </c>
      <c r="D32" s="122" t="s">
        <v>1138</v>
      </c>
      <c r="E32" s="122">
        <f>(5.27-6.27)-(6.21-6.64)</f>
        <v>-0.57000000000000028</v>
      </c>
      <c r="F32" s="122">
        <v>65</v>
      </c>
      <c r="G32" s="122">
        <v>34</v>
      </c>
      <c r="H32">
        <f t="shared" ref="H32:H36" si="112">F32+G32</f>
        <v>99</v>
      </c>
      <c r="I32" s="129" t="s">
        <v>1139</v>
      </c>
      <c r="J32" s="129"/>
      <c r="K32" s="129"/>
      <c r="L32" s="129"/>
      <c r="M32">
        <v>1.64</v>
      </c>
      <c r="N32">
        <f t="shared" ref="N32:N36" si="113">E32/M32*(1-3/(4*H32-9))</f>
        <v>-0.34486670448099849</v>
      </c>
      <c r="O32">
        <f t="shared" ref="O32:O36" si="114">SQRT(H32/(F32*G32)+N32^2/(2*(H32-3.94)))</f>
        <v>0.21312425573704277</v>
      </c>
      <c r="P32" t="str">
        <f t="shared" ref="P32:P36" si="115">CONCATENATE(FIXED(N32,2), " [", FIXED(N32-_xlfn.NORM.S.INV(0.975)*O32,2), ", ", FIXED(N32+_xlfn.NORM.S.INV(0.975)*O32,2), "]")</f>
        <v>-0.34 [-0.76, 0.07]</v>
      </c>
      <c r="Q32">
        <f t="shared" ref="Q32:Q36" si="116">1/O32^2</f>
        <v>22.015788304756121</v>
      </c>
      <c r="R32">
        <f>SUMPRODUCT(N32:N33,Q32:Q33)/SUM(Q32:Q33)</f>
        <v>-0.33578485504047439</v>
      </c>
      <c r="S32">
        <f>1/SQRT(SUM(Q32:Q33))</f>
        <v>0.15064837790747942</v>
      </c>
      <c r="T32" t="str">
        <f>CONCATENATE(FIXED(R32,2), " [", FIXED(R32-_xlfn.NORM.S.INV(0.975)*S32,2), ", ", FIXED(R32+_xlfn.NORM.S.INV(0.975)*S32,2), "]")</f>
        <v>-0.34 [-0.63, -0.04]</v>
      </c>
      <c r="W32" s="136"/>
    </row>
    <row r="33" spans="1:23" x14ac:dyDescent="0.25">
      <c r="A33" s="122" t="s">
        <v>1174</v>
      </c>
      <c r="B33" s="122" t="s">
        <v>1176</v>
      </c>
      <c r="C33" s="122">
        <v>2</v>
      </c>
      <c r="D33" s="122" t="s">
        <v>1138</v>
      </c>
      <c r="E33" s="122">
        <f>(3.53-4.5)-(4.17-4.6)</f>
        <v>-0.54000000000000048</v>
      </c>
      <c r="F33" s="122">
        <v>65</v>
      </c>
      <c r="G33" s="122">
        <v>34</v>
      </c>
      <c r="H33">
        <f>F33+G33</f>
        <v>99</v>
      </c>
      <c r="I33" s="129" t="s">
        <v>1139</v>
      </c>
      <c r="J33" s="129"/>
      <c r="K33" s="129"/>
      <c r="L33" s="129"/>
      <c r="M33">
        <v>1.64</v>
      </c>
      <c r="N33">
        <f>E33/M33*(1-3/(4*H33-9))</f>
        <v>-0.32671582529778814</v>
      </c>
      <c r="O33">
        <f>SQRT(H33/(F33*G33)+N33^2/(2*(H33-3.94)))</f>
        <v>0.21297378234334224</v>
      </c>
      <c r="P33" t="str">
        <f>CONCATENATE(FIXED(N33,2), " [", FIXED(N33-_xlfn.NORM.S.INV(0.975)*O33,2), ", ", FIXED(N33+_xlfn.NORM.S.INV(0.975)*O33,2), "]")</f>
        <v>-0.33 [-0.74, 0.09]</v>
      </c>
      <c r="Q33">
        <f>1/O33^2</f>
        <v>22.046909137054158</v>
      </c>
      <c r="R33" s="127" t="s">
        <v>1134</v>
      </c>
      <c r="S33" s="127" t="s">
        <v>1134</v>
      </c>
      <c r="T33" s="127" t="s">
        <v>1134</v>
      </c>
    </row>
    <row r="34" spans="1:23" x14ac:dyDescent="0.25">
      <c r="A34" s="122" t="s">
        <v>1174</v>
      </c>
      <c r="B34" s="122" t="s">
        <v>1175</v>
      </c>
      <c r="C34" s="122">
        <v>3</v>
      </c>
      <c r="D34" s="122" t="s">
        <v>1138</v>
      </c>
      <c r="E34" s="122">
        <f>(5.04-6.27)-(5.51-6.64)</f>
        <v>-9.9999999999999645E-2</v>
      </c>
      <c r="F34" s="122">
        <v>65</v>
      </c>
      <c r="G34" s="122">
        <v>34</v>
      </c>
      <c r="H34">
        <f t="shared" si="112"/>
        <v>99</v>
      </c>
      <c r="I34" s="129" t="s">
        <v>1139</v>
      </c>
      <c r="J34" s="129"/>
      <c r="K34" s="129"/>
      <c r="L34" s="129"/>
      <c r="M34">
        <v>1.64</v>
      </c>
      <c r="N34">
        <f t="shared" si="113"/>
        <v>-6.0502930610701243E-2</v>
      </c>
      <c r="O34">
        <f t="shared" si="114"/>
        <v>0.21169703415501362</v>
      </c>
      <c r="P34" t="str">
        <f t="shared" si="115"/>
        <v>-0.06 [-0.48, 0.35]</v>
      </c>
      <c r="Q34">
        <f t="shared" si="116"/>
        <v>22.313641573712189</v>
      </c>
      <c r="R34">
        <f>SUMPRODUCT(N34:N35,Q34:Q35)/SUM(Q34:Q35)</f>
        <v>-0.22542459639693946</v>
      </c>
      <c r="S34">
        <f>1/SQRT(SUM(Q34:Q35))</f>
        <v>0.15034836832933232</v>
      </c>
      <c r="T34" t="str">
        <f>CONCATENATE(FIXED(R34,2), " [", FIXED(R34-_xlfn.NORM.S.INV(0.975)*S34,2), ", ", FIXED(R34+_xlfn.NORM.S.INV(0.975)*S34,2), "]")</f>
        <v>-0.23 [-0.52, 0.07]</v>
      </c>
      <c r="W34" s="136"/>
    </row>
    <row r="35" spans="1:23" x14ac:dyDescent="0.25">
      <c r="A35" s="122" t="s">
        <v>1174</v>
      </c>
      <c r="B35" s="122" t="s">
        <v>1176</v>
      </c>
      <c r="C35" s="122">
        <v>3</v>
      </c>
      <c r="D35" s="122" t="s">
        <v>1138</v>
      </c>
      <c r="E35" s="122">
        <f>(3.18-4.5)-(3.93-4.6)</f>
        <v>-0.65000000000000036</v>
      </c>
      <c r="F35" s="122">
        <v>65</v>
      </c>
      <c r="G35" s="122">
        <v>34</v>
      </c>
      <c r="H35">
        <f>F35+G35</f>
        <v>99</v>
      </c>
      <c r="I35" s="129" t="s">
        <v>1139</v>
      </c>
      <c r="J35" s="129"/>
      <c r="K35" s="129"/>
      <c r="L35" s="129"/>
      <c r="M35">
        <v>1.64</v>
      </c>
      <c r="N35">
        <f>E35/M35*(1-3/(4*H35-9))</f>
        <v>-0.39326904896955972</v>
      </c>
      <c r="O35">
        <f>SQRT(H35/(F35*G35)+N35^2/(2*(H35-3.94)))</f>
        <v>0.21356467211524832</v>
      </c>
      <c r="P35" t="str">
        <f>CONCATENATE(FIXED(N35,2), " [", FIXED(N35-_xlfn.NORM.S.INV(0.975)*O35,2), ", ", FIXED(N35+_xlfn.NORM.S.INV(0.975)*O35,2), "]")</f>
        <v>-0.39 [-0.81, 0.03]</v>
      </c>
      <c r="Q35">
        <f>1/O35^2</f>
        <v>21.925079332017056</v>
      </c>
      <c r="R35" s="127" t="s">
        <v>1134</v>
      </c>
      <c r="S35" s="127" t="s">
        <v>1134</v>
      </c>
      <c r="T35" s="127" t="s">
        <v>1134</v>
      </c>
    </row>
    <row r="36" spans="1:23" x14ac:dyDescent="0.25">
      <c r="A36" s="122" t="s">
        <v>1174</v>
      </c>
      <c r="B36" s="122" t="s">
        <v>1175</v>
      </c>
      <c r="C36" s="122">
        <v>4</v>
      </c>
      <c r="D36" s="122" t="s">
        <v>1138</v>
      </c>
      <c r="E36" s="122">
        <f>(4.46-6.27)-(4.56-6.64)</f>
        <v>0.27000000000000046</v>
      </c>
      <c r="F36" s="122">
        <v>65</v>
      </c>
      <c r="G36" s="122">
        <v>34</v>
      </c>
      <c r="H36">
        <f t="shared" si="112"/>
        <v>99</v>
      </c>
      <c r="I36" s="129" t="s">
        <v>1139</v>
      </c>
      <c r="J36" s="129"/>
      <c r="K36" s="129"/>
      <c r="L36" s="129"/>
      <c r="M36">
        <v>1.64</v>
      </c>
      <c r="N36">
        <f t="shared" si="113"/>
        <v>0.16335791264889421</v>
      </c>
      <c r="O36">
        <f t="shared" si="114"/>
        <v>0.21198288388282821</v>
      </c>
      <c r="P36" t="str">
        <f t="shared" si="115"/>
        <v>0.16 [-0.25, 0.58]</v>
      </c>
      <c r="Q36">
        <f t="shared" si="116"/>
        <v>22.253504191009085</v>
      </c>
      <c r="R36">
        <f>SUMPRODUCT(N36:N37,Q36:Q37)/SUM(Q36:Q37)</f>
        <v>-0.36359343980076914</v>
      </c>
      <c r="S36">
        <f>1/SQRT(SUM(Q36:Q37))</f>
        <v>0.15346009848562606</v>
      </c>
      <c r="T36" t="str">
        <f>CONCATENATE(FIXED(R36,2), " [", FIXED(R36-_xlfn.NORM.S.INV(0.975)*S36,2), ", ", FIXED(R36+_xlfn.NORM.S.INV(0.975)*S36,2), "]")</f>
        <v>-0.36 [-0.66, -0.06]</v>
      </c>
      <c r="W36" s="136"/>
    </row>
    <row r="37" spans="1:23" x14ac:dyDescent="0.25">
      <c r="A37" s="122" t="s">
        <v>1174</v>
      </c>
      <c r="B37" s="122" t="s">
        <v>1176</v>
      </c>
      <c r="C37" s="122">
        <v>4</v>
      </c>
      <c r="D37" s="122" t="s">
        <v>1138</v>
      </c>
      <c r="E37" s="122">
        <f>(2.03-4.5)-(3.69-4.6)</f>
        <v>-1.5600000000000005</v>
      </c>
      <c r="F37" s="122">
        <v>65</v>
      </c>
      <c r="G37" s="122">
        <v>34</v>
      </c>
      <c r="H37">
        <f t="shared" ref="H37:H48" si="117">F37+G37</f>
        <v>99</v>
      </c>
      <c r="I37" s="129" t="s">
        <v>1139</v>
      </c>
      <c r="J37" s="129"/>
      <c r="K37" s="129"/>
      <c r="L37" s="129"/>
      <c r="M37">
        <v>1.64</v>
      </c>
      <c r="N37">
        <f t="shared" ref="N37:N38" si="118">E37/M37*(1-3/(4*H37-9))</f>
        <v>-0.94384571752694313</v>
      </c>
      <c r="O37">
        <f t="shared" ref="O37:O38" si="119">SQRT(H37/(F37*G37)+N37^2/(2*(H37-3.94)))</f>
        <v>0.22244567251629202</v>
      </c>
      <c r="P37" t="str">
        <f t="shared" ref="P37:P38" si="120">CONCATENATE(FIXED(N37,2), " [", FIXED(N37-_xlfn.NORM.S.INV(0.975)*O37,2), ", ", FIXED(N37+_xlfn.NORM.S.INV(0.975)*O37,2), "]")</f>
        <v>-0.94 [-1.38, -0.51]</v>
      </c>
      <c r="Q37">
        <f t="shared" ref="Q37:Q38" si="121">1/O37^2</f>
        <v>20.209337524962432</v>
      </c>
      <c r="R37" s="127" t="s">
        <v>1134</v>
      </c>
      <c r="S37" s="127" t="s">
        <v>1134</v>
      </c>
      <c r="T37" s="127" t="s">
        <v>1134</v>
      </c>
    </row>
    <row r="38" spans="1:23" x14ac:dyDescent="0.25">
      <c r="A38" s="122" t="s">
        <v>1178</v>
      </c>
      <c r="B38" s="122" t="s">
        <v>1179</v>
      </c>
      <c r="C38" s="122">
        <v>156</v>
      </c>
      <c r="D38" s="122" t="s">
        <v>1115</v>
      </c>
      <c r="E38" s="122">
        <f>(445*-14.6+454*-19.1)/899--14.7</f>
        <v>-2.1725250278086783</v>
      </c>
      <c r="F38" s="122">
        <v>899</v>
      </c>
      <c r="G38" s="122">
        <v>472</v>
      </c>
      <c r="H38">
        <f t="shared" si="117"/>
        <v>1371</v>
      </c>
      <c r="I38" s="122">
        <f>(445*42.1+454*44.7)/899</f>
        <v>43.413014460511683</v>
      </c>
      <c r="J38" s="122">
        <v>41.8</v>
      </c>
      <c r="K38" s="122">
        <f>SQRT((445*21^2+454*22.1^2+445*454/899*(44.7-42.1)^2)/898)</f>
        <v>21.613694251799213</v>
      </c>
      <c r="L38" s="122">
        <v>21.5</v>
      </c>
      <c r="M38">
        <f t="shared" ref="M38" si="122">SQRT(((F38-1)*K38^2+(G38-1)*L38^2+F38*G38/H38*(I38-J38)^2)/(H38-1))</f>
        <v>21.580393174688208</v>
      </c>
      <c r="N38">
        <f t="shared" si="118"/>
        <v>-0.10061608171637391</v>
      </c>
      <c r="O38">
        <f t="shared" si="119"/>
        <v>5.6874368647243254E-2</v>
      </c>
      <c r="P38" t="str">
        <f t="shared" si="120"/>
        <v>-0.10 [-0.21, 0.01]</v>
      </c>
      <c r="Q38">
        <f t="shared" si="121"/>
        <v>309.14827153367702</v>
      </c>
      <c r="R38">
        <f t="shared" ref="R38" si="123">SUMPRODUCT(N38,Q38)/SUM(Q38)</f>
        <v>-0.10061608171637391</v>
      </c>
      <c r="S38">
        <f t="shared" ref="S38" si="124">1/SQRT(SUM(Q38))</f>
        <v>5.6874368647243254E-2</v>
      </c>
      <c r="T38" t="str">
        <f t="shared" ref="T38" si="125">CONCATENATE(FIXED(R38,2), " [", FIXED(R38-_xlfn.NORM.S.INV(0.975)*S38,2), ", ", FIXED(R38+_xlfn.NORM.S.INV(0.975)*S38,2), "]")</f>
        <v>-0.10 [-0.21, 0.01]</v>
      </c>
    </row>
    <row r="39" spans="1:23" x14ac:dyDescent="0.25">
      <c r="A39" s="122" t="s">
        <v>1180</v>
      </c>
      <c r="B39" s="122" t="s">
        <v>1181</v>
      </c>
      <c r="C39" s="122">
        <v>52</v>
      </c>
      <c r="D39" s="122" t="s">
        <v>1115</v>
      </c>
      <c r="E39" s="122">
        <f>(21*-4.1+41*-3.54+60*-2.87)/122--5.56</f>
        <v>2.2531147540983598</v>
      </c>
      <c r="F39" s="122">
        <v>122</v>
      </c>
      <c r="G39" s="122">
        <v>41</v>
      </c>
      <c r="H39">
        <f t="shared" si="117"/>
        <v>163</v>
      </c>
      <c r="I39" s="122">
        <f>(21*8.8+42*9.7+63*10.4)/126</f>
        <v>9.9</v>
      </c>
      <c r="J39" s="122">
        <v>10.1</v>
      </c>
      <c r="K39" s="122">
        <f>SQRT((20*3.2^2+41*3.4^2+62*2.8^2+21*42/63*(9.7-8.8)^2+63*63/126*(10.4-(21*8.8+42*9.7)/63)^2)/125)</f>
        <v>3.1082857011542551</v>
      </c>
      <c r="L39" s="122">
        <v>2.6</v>
      </c>
      <c r="M39">
        <f>SQRT(((F39-1)*K39^2+(G39-1)*L39^2+F39*G39/H39*(I39-J39)^2)/(H39-1))</f>
        <v>2.9821089197123989</v>
      </c>
      <c r="N39">
        <f t="shared" ref="N39" si="126">E39/M39*(1-3/(4*H39-9))</f>
        <v>0.75201899561731755</v>
      </c>
      <c r="O39">
        <f t="shared" ref="O39" si="127">SQRT(H39/(F39*G39)+N39^2/(2*(H39-3.94)))</f>
        <v>0.18537717949776925</v>
      </c>
      <c r="P39" t="str">
        <f t="shared" ref="P39" si="128">CONCATENATE(FIXED(N39,2), " [", FIXED(N39-_xlfn.NORM.S.INV(0.975)*O39,2), ", ", FIXED(N39+_xlfn.NORM.S.INV(0.975)*O39,2), "]")</f>
        <v>0.75 [0.39, 1.12]</v>
      </c>
      <c r="Q39">
        <f t="shared" ref="Q39" si="129">1/O39^2</f>
        <v>29.099629516735455</v>
      </c>
      <c r="R39">
        <f t="shared" ref="R39" si="130">SUMPRODUCT(N39,Q39)/SUM(Q39)</f>
        <v>0.75201899561731755</v>
      </c>
      <c r="S39">
        <f t="shared" ref="S39" si="131">1/SQRT(SUM(Q39))</f>
        <v>0.18537717949776925</v>
      </c>
      <c r="T39" t="str">
        <f t="shared" ref="T39" si="132">CONCATENATE(FIXED(R39,2), " [", FIXED(R39-_xlfn.NORM.S.INV(0.975)*S39,2), ", ", FIXED(R39+_xlfn.NORM.S.INV(0.975)*S39,2), "]")</f>
        <v>0.75 [0.39, 1.12]</v>
      </c>
    </row>
    <row r="40" spans="1:23" x14ac:dyDescent="0.25">
      <c r="A40" s="122" t="s">
        <v>1184</v>
      </c>
      <c r="B40" s="122" t="s">
        <v>1185</v>
      </c>
      <c r="C40" s="122">
        <v>4</v>
      </c>
      <c r="D40" s="122" t="s">
        <v>1115</v>
      </c>
      <c r="E40" s="122">
        <v>-10.199999999999999</v>
      </c>
      <c r="F40" s="122">
        <v>585</v>
      </c>
      <c r="G40" s="122">
        <v>584</v>
      </c>
      <c r="H40">
        <f t="shared" si="117"/>
        <v>1169</v>
      </c>
      <c r="I40" s="122">
        <v>237</v>
      </c>
      <c r="J40" s="122">
        <v>238</v>
      </c>
      <c r="K40" s="122">
        <v>77</v>
      </c>
      <c r="L40" s="122">
        <v>75</v>
      </c>
      <c r="M40">
        <f t="shared" ref="M40:M47" si="133">SQRT(((F40-1)*K40^2+(G40-1)*L40^2+F40*G40/H40*(I40-J40)^2)/(H40-1))</f>
        <v>75.976537754759946</v>
      </c>
      <c r="N40">
        <f t="shared" ref="N40:N47" si="134">E40/M40*(1-3/(4*H40-9))</f>
        <v>-0.13416567307106764</v>
      </c>
      <c r="O40">
        <f t="shared" ref="O40:O47" si="135">SQRT(H40/(F40*G40)+N40^2/(2*(H40-3.94)))</f>
        <v>5.8561553805991831E-2</v>
      </c>
      <c r="P40" t="str">
        <f t="shared" ref="P40:P47" si="136">CONCATENATE(FIXED(N40,2), " [", FIXED(N40-_xlfn.NORM.S.INV(0.975)*O40,2), ", ", FIXED(N40+_xlfn.NORM.S.INV(0.975)*O40,2), "]")</f>
        <v>-0.13 [-0.25, -0.02]</v>
      </c>
      <c r="Q40">
        <f t="shared" ref="Q40:Q47" si="137">1/O40^2</f>
        <v>291.59147143216774</v>
      </c>
      <c r="R40">
        <f>SUMPRODUCT(N40:N41,Q40:Q41)/SUM(Q40:Q41)</f>
        <v>-5.6616210381621242E-2</v>
      </c>
      <c r="S40">
        <f>1/SQRT(SUM(Q40:Q41))</f>
        <v>4.2697447512175205E-2</v>
      </c>
      <c r="T40" t="str">
        <f>CONCATENATE(FIXED(R40,2), " [", FIXED(R40-_xlfn.NORM.S.INV(0.975)*S40,2), ", ", FIXED(R40+_xlfn.NORM.S.INV(0.975)*S40,2), "]")</f>
        <v>-0.06 [-0.14, 0.03]</v>
      </c>
    </row>
    <row r="41" spans="1:23" x14ac:dyDescent="0.25">
      <c r="A41" s="122" t="s">
        <v>1184</v>
      </c>
      <c r="B41" s="122" t="s">
        <v>1186</v>
      </c>
      <c r="C41" s="122">
        <v>4</v>
      </c>
      <c r="D41" s="122" t="s">
        <v>1115</v>
      </c>
      <c r="E41" s="122">
        <v>2.2000000000000002</v>
      </c>
      <c r="F41" s="122">
        <v>520</v>
      </c>
      <c r="G41" s="122">
        <v>508</v>
      </c>
      <c r="H41">
        <f t="shared" si="117"/>
        <v>1028</v>
      </c>
      <c r="I41" s="122">
        <v>244</v>
      </c>
      <c r="J41" s="122">
        <v>250</v>
      </c>
      <c r="K41" s="122">
        <v>69</v>
      </c>
      <c r="L41" s="122">
        <v>71</v>
      </c>
      <c r="M41">
        <f t="shared" si="133"/>
        <v>70.025706361389183</v>
      </c>
      <c r="N41">
        <f t="shared" si="134"/>
        <v>3.1394062768407553E-2</v>
      </c>
      <c r="O41">
        <f t="shared" si="135"/>
        <v>6.2386393353257692E-2</v>
      </c>
      <c r="P41" t="str">
        <f t="shared" si="136"/>
        <v>0.03 [-0.09, 0.15]</v>
      </c>
      <c r="Q41">
        <f t="shared" si="137"/>
        <v>256.93320932935052</v>
      </c>
      <c r="R41" s="127" t="s">
        <v>1134</v>
      </c>
      <c r="S41" s="127" t="s">
        <v>1134</v>
      </c>
      <c r="T41" s="127" t="s">
        <v>1134</v>
      </c>
    </row>
    <row r="42" spans="1:23" x14ac:dyDescent="0.25">
      <c r="A42" s="122" t="s">
        <v>1184</v>
      </c>
      <c r="B42" s="122" t="s">
        <v>1185</v>
      </c>
      <c r="C42" s="122">
        <v>26</v>
      </c>
      <c r="D42" s="122" t="s">
        <v>1115</v>
      </c>
      <c r="E42" s="122">
        <v>-8.8000000000000007</v>
      </c>
      <c r="F42" s="122">
        <v>585</v>
      </c>
      <c r="G42" s="122">
        <v>584</v>
      </c>
      <c r="H42">
        <f t="shared" si="117"/>
        <v>1169</v>
      </c>
      <c r="I42" s="122">
        <v>237</v>
      </c>
      <c r="J42" s="122">
        <v>238</v>
      </c>
      <c r="K42" s="122">
        <v>77</v>
      </c>
      <c r="L42" s="122">
        <v>75</v>
      </c>
      <c r="M42">
        <f t="shared" si="133"/>
        <v>75.976537754759946</v>
      </c>
      <c r="N42">
        <f t="shared" si="134"/>
        <v>-0.11575077676719564</v>
      </c>
      <c r="O42">
        <f t="shared" si="135"/>
        <v>5.8544688050921619E-2</v>
      </c>
      <c r="P42" t="str">
        <f t="shared" si="136"/>
        <v>-0.12 [-0.23, 0.00]</v>
      </c>
      <c r="Q42">
        <f t="shared" si="137"/>
        <v>291.75950097970656</v>
      </c>
      <c r="R42">
        <f>SUMPRODUCT(N42:N43,Q42:Q43)/SUM(Q42:Q43)</f>
        <v>-7.1570483133279059E-2</v>
      </c>
      <c r="S42">
        <f>1/SQRT(SUM(Q42:Q43))</f>
        <v>4.2690247913423948E-2</v>
      </c>
      <c r="T42" t="str">
        <f>CONCATENATE(FIXED(R42,2), " [", FIXED(R42-_xlfn.NORM.S.INV(0.975)*S42,2), ", ", FIXED(R42+_xlfn.NORM.S.INV(0.975)*S42,2), "]")</f>
        <v>-0.07 [-0.16, 0.01]</v>
      </c>
    </row>
    <row r="43" spans="1:23" x14ac:dyDescent="0.25">
      <c r="A43" s="122" t="s">
        <v>1184</v>
      </c>
      <c r="B43" s="122" t="s">
        <v>1186</v>
      </c>
      <c r="C43" s="122">
        <v>26</v>
      </c>
      <c r="D43" s="122" t="s">
        <v>1115</v>
      </c>
      <c r="E43" s="122">
        <v>-1.5</v>
      </c>
      <c r="F43" s="122">
        <v>520</v>
      </c>
      <c r="G43" s="122">
        <v>508</v>
      </c>
      <c r="H43">
        <f t="shared" si="117"/>
        <v>1028</v>
      </c>
      <c r="I43" s="122">
        <v>244</v>
      </c>
      <c r="J43" s="122">
        <v>250</v>
      </c>
      <c r="K43" s="122">
        <v>69</v>
      </c>
      <c r="L43" s="122">
        <v>71</v>
      </c>
      <c r="M43">
        <f t="shared" si="133"/>
        <v>70.025706361389183</v>
      </c>
      <c r="N43">
        <f t="shared" si="134"/>
        <v>-2.1405042796641512E-2</v>
      </c>
      <c r="O43">
        <f t="shared" si="135"/>
        <v>6.2384329487919367E-2</v>
      </c>
      <c r="P43" t="str">
        <f t="shared" si="136"/>
        <v>-0.02 [-0.14, 0.10]</v>
      </c>
      <c r="Q43">
        <f t="shared" si="137"/>
        <v>256.95020989089937</v>
      </c>
      <c r="R43" s="127" t="s">
        <v>1134</v>
      </c>
      <c r="S43" s="127" t="s">
        <v>1134</v>
      </c>
      <c r="T43" s="127" t="s">
        <v>1134</v>
      </c>
    </row>
    <row r="44" spans="1:23" x14ac:dyDescent="0.25">
      <c r="A44" s="122" t="s">
        <v>1184</v>
      </c>
      <c r="B44" s="122" t="s">
        <v>1185</v>
      </c>
      <c r="C44" s="122">
        <v>52</v>
      </c>
      <c r="D44" s="122" t="s">
        <v>1115</v>
      </c>
      <c r="E44" s="122">
        <v>-18.3</v>
      </c>
      <c r="F44" s="122">
        <v>585</v>
      </c>
      <c r="G44" s="122">
        <v>584</v>
      </c>
      <c r="H44">
        <f t="shared" si="117"/>
        <v>1169</v>
      </c>
      <c r="I44" s="122">
        <v>237</v>
      </c>
      <c r="J44" s="122">
        <v>238</v>
      </c>
      <c r="K44" s="122">
        <v>77</v>
      </c>
      <c r="L44" s="122">
        <v>75</v>
      </c>
      <c r="M44">
        <f t="shared" si="133"/>
        <v>75.976537754759946</v>
      </c>
      <c r="N44">
        <f t="shared" si="134"/>
        <v>-0.24070900168632728</v>
      </c>
      <c r="O44">
        <f t="shared" si="135"/>
        <v>5.87077209751104E-2</v>
      </c>
      <c r="P44" t="str">
        <f t="shared" si="136"/>
        <v>-0.24 [-0.36, -0.13]</v>
      </c>
      <c r="Q44">
        <f t="shared" si="137"/>
        <v>290.14130299070212</v>
      </c>
      <c r="R44">
        <f>SUMPRODUCT(N44:N45,Q44:Q45)/SUM(Q44:Q45)</f>
        <v>-8.7513378463181593E-2</v>
      </c>
      <c r="S44">
        <f>1/SQRT(SUM(Q44:Q45))</f>
        <v>4.2761988064634146E-2</v>
      </c>
      <c r="T44" t="str">
        <f>CONCATENATE(FIXED(R44,2), " [", FIXED(R44-_xlfn.NORM.S.INV(0.975)*S44,2), ", ", FIXED(R44+_xlfn.NORM.S.INV(0.975)*S44,2), "]")</f>
        <v>-0.09 [-0.17, 0.00]</v>
      </c>
    </row>
    <row r="45" spans="1:23" x14ac:dyDescent="0.25">
      <c r="A45" s="122" t="s">
        <v>1184</v>
      </c>
      <c r="B45" s="122" t="s">
        <v>1186</v>
      </c>
      <c r="C45" s="122">
        <v>52</v>
      </c>
      <c r="D45" s="122" t="s">
        <v>1115</v>
      </c>
      <c r="E45" s="122">
        <v>6</v>
      </c>
      <c r="F45" s="122">
        <v>520</v>
      </c>
      <c r="G45" s="122">
        <v>508</v>
      </c>
      <c r="H45">
        <f t="shared" si="117"/>
        <v>1028</v>
      </c>
      <c r="I45" s="122">
        <v>244</v>
      </c>
      <c r="J45" s="122">
        <v>250</v>
      </c>
      <c r="K45" s="122">
        <v>69</v>
      </c>
      <c r="L45" s="122">
        <v>71</v>
      </c>
      <c r="M45">
        <f t="shared" si="133"/>
        <v>70.025706361389183</v>
      </c>
      <c r="N45">
        <f t="shared" si="134"/>
        <v>8.5620171186566049E-2</v>
      </c>
      <c r="O45">
        <f t="shared" si="135"/>
        <v>6.2411218136202248E-2</v>
      </c>
      <c r="P45" t="str">
        <f t="shared" si="136"/>
        <v>0.09 [-0.04, 0.21]</v>
      </c>
      <c r="Q45">
        <f t="shared" si="137"/>
        <v>256.72885367599781</v>
      </c>
      <c r="R45" s="127" t="s">
        <v>1134</v>
      </c>
      <c r="S45" s="127" t="s">
        <v>1134</v>
      </c>
      <c r="T45" s="127" t="s">
        <v>1134</v>
      </c>
    </row>
    <row r="46" spans="1:23" x14ac:dyDescent="0.25">
      <c r="A46" s="122" t="s">
        <v>1184</v>
      </c>
      <c r="B46" s="122" t="s">
        <v>1185</v>
      </c>
      <c r="C46" s="122">
        <v>104</v>
      </c>
      <c r="D46" s="122" t="s">
        <v>1115</v>
      </c>
      <c r="E46" s="122">
        <v>-21.5</v>
      </c>
      <c r="F46" s="122">
        <v>585</v>
      </c>
      <c r="G46" s="122">
        <v>584</v>
      </c>
      <c r="H46">
        <f t="shared" si="117"/>
        <v>1169</v>
      </c>
      <c r="I46" s="122">
        <v>237</v>
      </c>
      <c r="J46" s="122">
        <v>238</v>
      </c>
      <c r="K46" s="122">
        <v>77</v>
      </c>
      <c r="L46" s="122">
        <v>75</v>
      </c>
      <c r="M46">
        <f t="shared" si="133"/>
        <v>75.976537754759946</v>
      </c>
      <c r="N46">
        <f t="shared" si="134"/>
        <v>-0.28280019323803474</v>
      </c>
      <c r="O46">
        <f t="shared" si="135"/>
        <v>5.8788205880017645E-2</v>
      </c>
      <c r="P46" t="str">
        <f t="shared" si="136"/>
        <v>-0.28 [-0.40, -0.17]</v>
      </c>
      <c r="Q46">
        <f t="shared" si="137"/>
        <v>289.34740191391353</v>
      </c>
      <c r="R46">
        <f>SUMPRODUCT(N46:N47,Q46:Q47)/SUM(Q46:Q47)</f>
        <v>-0.13033381506281486</v>
      </c>
      <c r="S46">
        <f>1/SQRT(SUM(Q46:Q47))</f>
        <v>4.2785973724521524E-2</v>
      </c>
      <c r="T46" t="str">
        <f>CONCATENATE(FIXED(R46,2), " [", FIXED(R46-_xlfn.NORM.S.INV(0.975)*S46,2), ", ", FIXED(R46+_xlfn.NORM.S.INV(0.975)*S46,2), "]")</f>
        <v>-0.13 [-0.21, -0.05]</v>
      </c>
    </row>
    <row r="47" spans="1:23" x14ac:dyDescent="0.25">
      <c r="A47" s="122" t="s">
        <v>1184</v>
      </c>
      <c r="B47" s="122" t="s">
        <v>1186</v>
      </c>
      <c r="C47" s="122">
        <v>104</v>
      </c>
      <c r="D47" s="122" t="s">
        <v>1115</v>
      </c>
      <c r="E47" s="122">
        <v>2.9</v>
      </c>
      <c r="F47" s="122">
        <v>520</v>
      </c>
      <c r="G47" s="122">
        <v>508</v>
      </c>
      <c r="H47">
        <f t="shared" si="117"/>
        <v>1028</v>
      </c>
      <c r="I47" s="122">
        <v>244</v>
      </c>
      <c r="J47" s="122">
        <v>250</v>
      </c>
      <c r="K47" s="122">
        <v>69</v>
      </c>
      <c r="L47" s="122">
        <v>71</v>
      </c>
      <c r="M47">
        <f t="shared" si="133"/>
        <v>70.025706361389183</v>
      </c>
      <c r="N47">
        <f t="shared" si="134"/>
        <v>4.1383082740173598E-2</v>
      </c>
      <c r="O47">
        <f t="shared" si="135"/>
        <v>6.238923802870501E-2</v>
      </c>
      <c r="P47" t="str">
        <f t="shared" si="136"/>
        <v>0.04 [-0.08, 0.16]</v>
      </c>
      <c r="Q47">
        <f t="shared" si="137"/>
        <v>256.90977981001197</v>
      </c>
      <c r="R47" s="127" t="s">
        <v>1134</v>
      </c>
      <c r="S47" s="127" t="s">
        <v>1134</v>
      </c>
      <c r="T47" s="127" t="s">
        <v>1134</v>
      </c>
      <c r="V47" s="136"/>
    </row>
    <row r="48" spans="1:23" x14ac:dyDescent="0.25">
      <c r="A48" s="122" t="s">
        <v>1191</v>
      </c>
      <c r="B48" s="122" t="s">
        <v>1192</v>
      </c>
      <c r="C48" s="122">
        <v>0.5</v>
      </c>
      <c r="D48" s="122" t="s">
        <v>1138</v>
      </c>
      <c r="E48" s="122">
        <f>(67*-25.6+34*-18.5)/101--15.4</f>
        <v>-7.809900990099008</v>
      </c>
      <c r="F48" s="122">
        <v>101</v>
      </c>
      <c r="G48" s="122">
        <v>69</v>
      </c>
      <c r="H48">
        <f t="shared" si="117"/>
        <v>170</v>
      </c>
      <c r="I48" s="129" t="s">
        <v>1139</v>
      </c>
      <c r="J48" s="129"/>
      <c r="K48" s="129"/>
      <c r="L48" s="129"/>
      <c r="M48">
        <v>22.7</v>
      </c>
      <c r="N48">
        <f t="shared" ref="N48" si="138">E48/M48*(1-3/(4*H48-9))</f>
        <v>-0.34251028193741584</v>
      </c>
      <c r="O48">
        <f t="shared" ref="O48" si="139">SQRT(H48/(F48*G48)+N48^2/(2*(H48-3.94)))</f>
        <v>0.15731169487090635</v>
      </c>
      <c r="P48" t="str">
        <f t="shared" ref="P48" si="140">CONCATENATE(FIXED(N48,2), " [", FIXED(N48-_xlfn.NORM.S.INV(0.975)*O48,2), ", ", FIXED(N48+_xlfn.NORM.S.INV(0.975)*O48,2), "]")</f>
        <v>-0.34 [-0.65, -0.03]</v>
      </c>
      <c r="Q48">
        <f t="shared" ref="Q48" si="141">1/O48^2</f>
        <v>40.40898851626504</v>
      </c>
      <c r="R48">
        <f t="shared" ref="R48:R50" si="142">SUMPRODUCT(N48,Q48)/SUM(Q48)</f>
        <v>-0.34251028193741584</v>
      </c>
      <c r="S48">
        <f t="shared" ref="S48:S50" si="143">1/SQRT(SUM(Q48))</f>
        <v>0.15731169487090635</v>
      </c>
      <c r="T48" t="str">
        <f t="shared" ref="T48:T50" si="144">CONCATENATE(FIXED(R48,2), " [", FIXED(R48-_xlfn.NORM.S.INV(0.975)*S48,2), ", ", FIXED(R48+_xlfn.NORM.S.INV(0.975)*S48,2), "]")</f>
        <v>-0.34 [-0.65, -0.03]</v>
      </c>
    </row>
    <row r="49" spans="1:20" x14ac:dyDescent="0.25">
      <c r="A49" s="122" t="s">
        <v>1191</v>
      </c>
      <c r="B49" s="122" t="s">
        <v>1192</v>
      </c>
      <c r="C49" s="122">
        <v>4</v>
      </c>
      <c r="D49" s="122" t="s">
        <v>1138</v>
      </c>
      <c r="E49" s="122">
        <f>(67*-26.2+34*-24.1)/101--21.7</f>
        <v>-3.7930693069306969</v>
      </c>
      <c r="F49" s="122">
        <v>101</v>
      </c>
      <c r="G49" s="122">
        <v>69</v>
      </c>
      <c r="H49">
        <f t="shared" ref="H49:H67" si="145">F49+G49</f>
        <v>170</v>
      </c>
      <c r="I49" s="129" t="s">
        <v>1139</v>
      </c>
      <c r="J49" s="129"/>
      <c r="K49" s="129"/>
      <c r="L49" s="129"/>
      <c r="M49">
        <v>22.7</v>
      </c>
      <c r="N49">
        <f t="shared" ref="N49:N53" si="146">E49/M49*(1-3/(4*H49-9))</f>
        <v>-0.16634849012452355</v>
      </c>
      <c r="O49">
        <f t="shared" ref="O49:O53" si="147">SQRT(H49/(F49*G49)+N49^2/(2*(H49-3.94)))</f>
        <v>0.15645146999282122</v>
      </c>
      <c r="P49" t="str">
        <f t="shared" ref="P49:P53" si="148">CONCATENATE(FIXED(N49,2), " [", FIXED(N49-_xlfn.NORM.S.INV(0.975)*O49,2), ", ", FIXED(N49+_xlfn.NORM.S.INV(0.975)*O49,2), "]")</f>
        <v>-0.17 [-0.47, 0.14]</v>
      </c>
      <c r="Q49">
        <f t="shared" ref="Q49:Q53" si="149">1/O49^2</f>
        <v>40.854575646693988</v>
      </c>
      <c r="R49">
        <f t="shared" si="142"/>
        <v>-0.16634849012452355</v>
      </c>
      <c r="S49">
        <f t="shared" si="143"/>
        <v>0.15645146999282122</v>
      </c>
      <c r="T49" t="str">
        <f t="shared" si="144"/>
        <v>-0.17 [-0.47, 0.14]</v>
      </c>
    </row>
    <row r="50" spans="1:20" x14ac:dyDescent="0.25">
      <c r="A50" s="122" t="s">
        <v>1191</v>
      </c>
      <c r="B50" s="122" t="s">
        <v>1192</v>
      </c>
      <c r="C50" s="122">
        <v>8</v>
      </c>
      <c r="D50" s="122" t="s">
        <v>1138</v>
      </c>
      <c r="E50" s="122">
        <f>(67*-24.5+34*-27.3)/101--20.7</f>
        <v>-4.7425742574257406</v>
      </c>
      <c r="F50" s="122">
        <v>101</v>
      </c>
      <c r="G50" s="122">
        <v>69</v>
      </c>
      <c r="H50">
        <f t="shared" si="145"/>
        <v>170</v>
      </c>
      <c r="I50" s="129" t="s">
        <v>1139</v>
      </c>
      <c r="J50" s="129"/>
      <c r="K50" s="129"/>
      <c r="L50" s="129"/>
      <c r="M50">
        <v>22.7</v>
      </c>
      <c r="N50">
        <f t="shared" si="146"/>
        <v>-0.20798988976676239</v>
      </c>
      <c r="O50">
        <f t="shared" si="147"/>
        <v>0.15660139599535466</v>
      </c>
      <c r="P50" t="str">
        <f t="shared" si="148"/>
        <v>-0.21 [-0.51, 0.10]</v>
      </c>
      <c r="Q50">
        <f t="shared" si="149"/>
        <v>40.776386928911549</v>
      </c>
      <c r="R50">
        <f t="shared" si="142"/>
        <v>-0.20798988976676236</v>
      </c>
      <c r="S50">
        <f t="shared" si="143"/>
        <v>0.15660139599535466</v>
      </c>
      <c r="T50" t="str">
        <f t="shared" si="144"/>
        <v>-0.21 [-0.51, 0.10]</v>
      </c>
    </row>
    <row r="51" spans="1:20" x14ac:dyDescent="0.25">
      <c r="A51" s="122" t="s">
        <v>1191</v>
      </c>
      <c r="B51" s="122" t="s">
        <v>1192</v>
      </c>
      <c r="C51" s="122">
        <v>12</v>
      </c>
      <c r="D51" s="122" t="s">
        <v>1138</v>
      </c>
      <c r="E51" s="122">
        <f>(67*-27.8+34*-18.9)/101--23.6</f>
        <v>-1.2039603960396015</v>
      </c>
      <c r="F51" s="122">
        <v>101</v>
      </c>
      <c r="G51" s="122">
        <v>69</v>
      </c>
      <c r="H51">
        <f t="shared" si="145"/>
        <v>170</v>
      </c>
      <c r="I51" s="129" t="s">
        <v>1139</v>
      </c>
      <c r="J51" s="129"/>
      <c r="K51" s="129"/>
      <c r="L51" s="129"/>
      <c r="M51">
        <v>22.7</v>
      </c>
      <c r="N51">
        <f t="shared" si="146"/>
        <v>-5.2800773686092414E-2</v>
      </c>
      <c r="O51">
        <f t="shared" si="147"/>
        <v>0.15621183707590866</v>
      </c>
      <c r="P51" t="str">
        <f t="shared" si="148"/>
        <v>-0.05 [-0.36, 0.25]</v>
      </c>
      <c r="Q51">
        <f t="shared" si="149"/>
        <v>40.980015695879288</v>
      </c>
      <c r="R51">
        <f t="shared" ref="R51:R54" si="150">SUMPRODUCT(N51,Q51)/SUM(Q51)</f>
        <v>-5.2800773686092421E-2</v>
      </c>
      <c r="S51">
        <f t="shared" ref="S51:S54" si="151">1/SQRT(SUM(Q51))</f>
        <v>0.15621183707590866</v>
      </c>
      <c r="T51" t="str">
        <f t="shared" ref="T51:T54" si="152">CONCATENATE(FIXED(R51,2), " [", FIXED(R51-_xlfn.NORM.S.INV(0.975)*S51,2), ", ", FIXED(R51+_xlfn.NORM.S.INV(0.975)*S51,2), "]")</f>
        <v>-0.05 [-0.36, 0.25]</v>
      </c>
    </row>
    <row r="52" spans="1:20" x14ac:dyDescent="0.25">
      <c r="A52" s="122" t="s">
        <v>1195</v>
      </c>
      <c r="B52" s="122" t="s">
        <v>1196</v>
      </c>
      <c r="C52" s="122">
        <v>20</v>
      </c>
      <c r="D52" s="122" t="s">
        <v>1138</v>
      </c>
      <c r="E52" s="122">
        <v>-1.24</v>
      </c>
      <c r="F52" s="122">
        <v>38</v>
      </c>
      <c r="G52" s="122">
        <v>37</v>
      </c>
      <c r="H52">
        <f t="shared" si="145"/>
        <v>75</v>
      </c>
      <c r="I52" s="122">
        <v>10.4</v>
      </c>
      <c r="J52" s="122">
        <v>11.3</v>
      </c>
      <c r="K52" s="122">
        <v>2.5</v>
      </c>
      <c r="L52" s="122">
        <v>3</v>
      </c>
      <c r="M52">
        <f>SQRT((18*K52^2+16*L52^2+19*17/36*(I52-J52)^2)/35)</f>
        <v>2.7452166190875147</v>
      </c>
      <c r="N52">
        <f t="shared" si="146"/>
        <v>-0.44703812672286553</v>
      </c>
      <c r="O52">
        <f t="shared" si="147"/>
        <v>0.23398498644142871</v>
      </c>
      <c r="P52" t="str">
        <f t="shared" si="148"/>
        <v>-0.45 [-0.91, 0.01]</v>
      </c>
      <c r="Q52">
        <f t="shared" si="149"/>
        <v>18.265182507199182</v>
      </c>
      <c r="R52">
        <f t="shared" si="150"/>
        <v>-0.44703812672286553</v>
      </c>
      <c r="S52">
        <f t="shared" si="151"/>
        <v>0.23398498644142871</v>
      </c>
      <c r="T52" t="str">
        <f t="shared" si="152"/>
        <v>-0.45 [-0.91, 0.01]</v>
      </c>
    </row>
    <row r="53" spans="1:20" x14ac:dyDescent="0.25">
      <c r="A53" s="122" t="s">
        <v>1199</v>
      </c>
      <c r="B53" s="122" t="s">
        <v>1200</v>
      </c>
      <c r="C53" s="122">
        <v>16</v>
      </c>
      <c r="D53" s="122" t="s">
        <v>1115</v>
      </c>
      <c r="E53" s="122">
        <v>0.62</v>
      </c>
      <c r="F53" s="122">
        <v>28</v>
      </c>
      <c r="G53" s="122">
        <v>28</v>
      </c>
      <c r="H53">
        <f t="shared" si="145"/>
        <v>56</v>
      </c>
      <c r="I53" s="122">
        <v>9.1999999999999993</v>
      </c>
      <c r="J53" s="122">
        <v>9.8000000000000007</v>
      </c>
      <c r="K53" s="122">
        <v>2.2999999999999998</v>
      </c>
      <c r="L53" s="122">
        <v>3.5</v>
      </c>
      <c r="M53">
        <f>SQRT((18*K53^2+16*L53^2+19*17/36*(I53-J53)^2)/35)</f>
        <v>2.9004925690056753</v>
      </c>
      <c r="N53">
        <f t="shared" ref="N53" si="153">E53/M53*(1-3/(4*H53-9))</f>
        <v>0.21077414358585317</v>
      </c>
      <c r="O53">
        <f t="shared" ref="O53" si="154">SQRT(H53/(F53*G53)+N53^2/(2*(H53-3.94)))</f>
        <v>0.2680582953027757</v>
      </c>
      <c r="P53" t="str">
        <f t="shared" ref="P53" si="155">CONCATENATE(FIXED(N53,2), " [", FIXED(N53-_xlfn.NORM.S.INV(0.975)*O53,2), ", ", FIXED(N53+_xlfn.NORM.S.INV(0.975)*O53,2), "]")</f>
        <v>0.21 [-0.31, 0.74]</v>
      </c>
      <c r="Q53">
        <f t="shared" ref="Q53" si="156">1/O53^2</f>
        <v>13.916867653297826</v>
      </c>
      <c r="R53">
        <f t="shared" si="150"/>
        <v>0.21077414358585317</v>
      </c>
      <c r="S53">
        <f t="shared" si="151"/>
        <v>0.2680582953027757</v>
      </c>
      <c r="T53" t="str">
        <f t="shared" si="152"/>
        <v>0.21 [-0.31, 0.74]</v>
      </c>
    </row>
    <row r="54" spans="1:20" x14ac:dyDescent="0.25">
      <c r="A54" s="122" t="s">
        <v>1204</v>
      </c>
      <c r="B54" s="122" t="s">
        <v>1205</v>
      </c>
      <c r="C54" s="122">
        <v>26</v>
      </c>
      <c r="D54" s="122" t="s">
        <v>1138</v>
      </c>
      <c r="E54" s="122">
        <v>-3.4</v>
      </c>
      <c r="F54" s="122">
        <v>25</v>
      </c>
      <c r="G54" s="122">
        <v>25</v>
      </c>
      <c r="H54">
        <f t="shared" si="145"/>
        <v>50</v>
      </c>
      <c r="K54" s="122">
        <v>1.1200000000000001</v>
      </c>
      <c r="L54" s="122">
        <v>0.85</v>
      </c>
      <c r="M54">
        <f>SQRT((18*K54^2+16*L54^2+19*17/36*(I54-J54)^2)/35)</f>
        <v>0.98762630295355858</v>
      </c>
      <c r="N54">
        <f t="shared" ref="N54" si="157">E54/M54*(1-3/(4*H54-9))</f>
        <v>-3.3885254459409753</v>
      </c>
      <c r="O54">
        <f t="shared" ref="O54" si="158">SQRT(H54/(F54*G54)+N54^2/(2*(H54-3.94)))</f>
        <v>0.45237474303863306</v>
      </c>
      <c r="P54" t="str">
        <f t="shared" ref="P54" si="159">CONCATENATE(FIXED(N54,2), " [", FIXED(N54-_xlfn.NORM.S.INV(0.975)*O54,2), ", ", FIXED(N54+_xlfn.NORM.S.INV(0.975)*O54,2), "]")</f>
        <v>-3.39 [-4.28, -2.50]</v>
      </c>
      <c r="Q54">
        <f t="shared" ref="Q54" si="160">1/O54^2</f>
        <v>4.8865607369078825</v>
      </c>
      <c r="R54">
        <f t="shared" si="150"/>
        <v>-3.3885254459409753</v>
      </c>
      <c r="S54">
        <f t="shared" si="151"/>
        <v>0.45237474303863312</v>
      </c>
      <c r="T54" t="str">
        <f t="shared" si="152"/>
        <v>-3.39 [-4.28, -2.50]</v>
      </c>
    </row>
    <row r="55" spans="1:20" x14ac:dyDescent="0.25">
      <c r="A55" s="122" t="s">
        <v>1207</v>
      </c>
      <c r="B55" s="122" t="s">
        <v>1208</v>
      </c>
      <c r="C55" s="122">
        <v>5</v>
      </c>
      <c r="D55" s="122" t="s">
        <v>1115</v>
      </c>
      <c r="E55" s="122">
        <f>-8.17--3.28</f>
        <v>-4.8900000000000006</v>
      </c>
      <c r="F55" s="122">
        <v>30</v>
      </c>
      <c r="G55" s="122">
        <v>29</v>
      </c>
      <c r="H55">
        <f t="shared" si="145"/>
        <v>59</v>
      </c>
      <c r="I55" s="122">
        <v>66.8</v>
      </c>
      <c r="J55" s="122">
        <v>66.7</v>
      </c>
      <c r="K55" s="122">
        <v>14.9</v>
      </c>
      <c r="L55" s="122">
        <v>16.100000000000001</v>
      </c>
      <c r="M55">
        <f t="shared" ref="M55:M59" si="161">SQRT((18*K55^2+16*L55^2+19*17/36*(I55-J55)^2)/35)</f>
        <v>15.253692501182622</v>
      </c>
      <c r="N55">
        <f t="shared" ref="N55:N59" si="162">E55/M55*(1-3/(4*H55-9))</f>
        <v>-0.31634140054711968</v>
      </c>
      <c r="O55">
        <f t="shared" ref="O55:O59" si="163">SQRT(H55/(F55*G55)+N55^2/(2*(H55-3.94)))</f>
        <v>0.26215423888656192</v>
      </c>
      <c r="P55" t="str">
        <f t="shared" ref="P55:P59" si="164">CONCATENATE(FIXED(N55,2), " [", FIXED(N55-_xlfn.NORM.S.INV(0.975)*O55,2), ", ", FIXED(N55+_xlfn.NORM.S.INV(0.975)*O55,2), "]")</f>
        <v>-0.32 [-0.83, 0.20]</v>
      </c>
      <c r="Q55">
        <f t="shared" ref="Q55:Q59" si="165">1/O55^2</f>
        <v>14.550778550201523</v>
      </c>
      <c r="R55">
        <f t="shared" ref="R55:R59" si="166">SUMPRODUCT(N55,Q55)/SUM(Q55)</f>
        <v>-0.31634140054711968</v>
      </c>
      <c r="S55">
        <f t="shared" ref="S55:S59" si="167">1/SQRT(SUM(Q55))</f>
        <v>0.26215423888656192</v>
      </c>
      <c r="T55" t="str">
        <f t="shared" ref="T55:T59" si="168">CONCATENATE(FIXED(R55,2), " [", FIXED(R55-_xlfn.NORM.S.INV(0.975)*S55,2), ", ", FIXED(R55+_xlfn.NORM.S.INV(0.975)*S55,2), "]")</f>
        <v>-0.32 [-0.83, 0.20]</v>
      </c>
    </row>
    <row r="56" spans="1:20" x14ac:dyDescent="0.25">
      <c r="A56" s="122" t="s">
        <v>1207</v>
      </c>
      <c r="B56" s="122" t="s">
        <v>1208</v>
      </c>
      <c r="C56" s="122">
        <v>9</v>
      </c>
      <c r="D56" s="122" t="s">
        <v>1115</v>
      </c>
      <c r="E56" s="122">
        <f>-14--5.29</f>
        <v>-8.7100000000000009</v>
      </c>
      <c r="F56" s="122">
        <v>30</v>
      </c>
      <c r="G56" s="122">
        <v>26</v>
      </c>
      <c r="H56">
        <f t="shared" si="145"/>
        <v>56</v>
      </c>
      <c r="I56" s="122">
        <v>66.8</v>
      </c>
      <c r="J56" s="122">
        <v>66.7</v>
      </c>
      <c r="K56" s="122">
        <v>14.9</v>
      </c>
      <c r="L56" s="122">
        <v>16.100000000000001</v>
      </c>
      <c r="M56">
        <f t="shared" si="161"/>
        <v>15.253692501182622</v>
      </c>
      <c r="N56">
        <f t="shared" si="162"/>
        <v>-0.56304171043261853</v>
      </c>
      <c r="O56">
        <f t="shared" si="163"/>
        <v>0.27356825312529726</v>
      </c>
      <c r="P56" t="str">
        <f t="shared" si="164"/>
        <v>-0.56 [-1.10, -0.03]</v>
      </c>
      <c r="Q56">
        <f t="shared" si="165"/>
        <v>13.361911947738482</v>
      </c>
      <c r="R56">
        <f t="shared" si="166"/>
        <v>-0.56304171043261853</v>
      </c>
      <c r="S56">
        <f t="shared" si="167"/>
        <v>0.27356825312529726</v>
      </c>
      <c r="T56" t="str">
        <f t="shared" si="168"/>
        <v>-0.56 [-1.10, -0.03]</v>
      </c>
    </row>
    <row r="57" spans="1:20" x14ac:dyDescent="0.25">
      <c r="A57" s="122" t="s">
        <v>1207</v>
      </c>
      <c r="B57" s="122" t="s">
        <v>1208</v>
      </c>
      <c r="C57" s="122">
        <v>12</v>
      </c>
      <c r="D57" s="122" t="s">
        <v>1115</v>
      </c>
      <c r="E57" s="122">
        <f>-11.78--5.79</f>
        <v>-5.9899999999999993</v>
      </c>
      <c r="F57" s="122">
        <v>27</v>
      </c>
      <c r="G57" s="122">
        <v>24</v>
      </c>
      <c r="H57">
        <f t="shared" si="145"/>
        <v>51</v>
      </c>
      <c r="I57" s="122">
        <v>66.8</v>
      </c>
      <c r="J57" s="122">
        <v>66.7</v>
      </c>
      <c r="K57" s="122">
        <v>14.9</v>
      </c>
      <c r="L57" s="122">
        <v>16.100000000000001</v>
      </c>
      <c r="M57">
        <f t="shared" si="161"/>
        <v>15.253692501182622</v>
      </c>
      <c r="N57">
        <f t="shared" si="162"/>
        <v>-0.38665038995567091</v>
      </c>
      <c r="O57">
        <f t="shared" si="163"/>
        <v>0.28335858168090261</v>
      </c>
      <c r="P57" t="str">
        <f t="shared" si="164"/>
        <v>-0.39 [-0.94, 0.17]</v>
      </c>
      <c r="Q57">
        <f t="shared" si="165"/>
        <v>12.454527614823725</v>
      </c>
      <c r="R57">
        <f t="shared" si="166"/>
        <v>-0.38665038995567091</v>
      </c>
      <c r="S57">
        <f t="shared" si="167"/>
        <v>0.28335858168090261</v>
      </c>
      <c r="T57" t="str">
        <f t="shared" si="168"/>
        <v>-0.39 [-0.94, 0.17]</v>
      </c>
    </row>
    <row r="58" spans="1:20" x14ac:dyDescent="0.25">
      <c r="A58" s="122" t="s">
        <v>1207</v>
      </c>
      <c r="B58" s="122" t="s">
        <v>1208</v>
      </c>
      <c r="C58" s="122">
        <v>24</v>
      </c>
      <c r="D58" s="122" t="s">
        <v>1115</v>
      </c>
      <c r="E58" s="122">
        <f>-15.5--6.4</f>
        <v>-9.1</v>
      </c>
      <c r="F58" s="122">
        <v>28</v>
      </c>
      <c r="G58" s="122">
        <v>25</v>
      </c>
      <c r="H58">
        <f t="shared" si="145"/>
        <v>53</v>
      </c>
      <c r="I58" s="122">
        <v>66.8</v>
      </c>
      <c r="J58" s="122">
        <v>66.7</v>
      </c>
      <c r="K58" s="122">
        <v>14.9</v>
      </c>
      <c r="L58" s="122">
        <v>16.100000000000001</v>
      </c>
      <c r="M58">
        <f t="shared" si="161"/>
        <v>15.253692501182622</v>
      </c>
      <c r="N58">
        <f t="shared" si="162"/>
        <v>-0.58776045476753991</v>
      </c>
      <c r="O58">
        <f t="shared" si="163"/>
        <v>0.28148730087728646</v>
      </c>
      <c r="P58" t="str">
        <f t="shared" si="164"/>
        <v>-0.59 [-1.14, -0.04]</v>
      </c>
      <c r="Q58">
        <f t="shared" si="165"/>
        <v>12.620669286632525</v>
      </c>
      <c r="R58">
        <f t="shared" si="166"/>
        <v>-0.58776045476753991</v>
      </c>
      <c r="S58">
        <f t="shared" si="167"/>
        <v>0.28148730087728652</v>
      </c>
      <c r="T58" t="str">
        <f t="shared" si="168"/>
        <v>-0.59 [-1.14, -0.04]</v>
      </c>
    </row>
    <row r="59" spans="1:20" x14ac:dyDescent="0.25">
      <c r="A59" s="122" t="s">
        <v>1207</v>
      </c>
      <c r="B59" s="122" t="s">
        <v>1208</v>
      </c>
      <c r="C59" s="122">
        <v>52</v>
      </c>
      <c r="D59" s="122" t="s">
        <v>1115</v>
      </c>
      <c r="E59" s="122">
        <f>-14.18--7.38</f>
        <v>-6.8</v>
      </c>
      <c r="F59" s="122">
        <v>26</v>
      </c>
      <c r="G59" s="122">
        <v>25</v>
      </c>
      <c r="H59">
        <f t="shared" si="145"/>
        <v>51</v>
      </c>
      <c r="I59" s="122">
        <v>66.8</v>
      </c>
      <c r="J59" s="122">
        <v>66.7</v>
      </c>
      <c r="K59" s="122">
        <v>14.9</v>
      </c>
      <c r="L59" s="122">
        <v>16.100000000000001</v>
      </c>
      <c r="M59">
        <f t="shared" si="161"/>
        <v>15.253692501182622</v>
      </c>
      <c r="N59">
        <f t="shared" si="162"/>
        <v>-0.43893533417338271</v>
      </c>
      <c r="O59">
        <f t="shared" si="163"/>
        <v>0.28374027684571423</v>
      </c>
      <c r="P59" t="str">
        <f t="shared" si="164"/>
        <v>-0.44 [-1.00, 0.12]</v>
      </c>
      <c r="Q59">
        <f t="shared" si="165"/>
        <v>12.421041812029202</v>
      </c>
      <c r="R59">
        <f t="shared" si="166"/>
        <v>-0.43893533417338271</v>
      </c>
      <c r="S59">
        <f t="shared" si="167"/>
        <v>0.28374027684571423</v>
      </c>
      <c r="T59" t="str">
        <f t="shared" si="168"/>
        <v>-0.44 [-1.00, 0.12]</v>
      </c>
    </row>
    <row r="60" spans="1:20" x14ac:dyDescent="0.25">
      <c r="A60" s="122" t="s">
        <v>1233</v>
      </c>
      <c r="B60" s="122" t="s">
        <v>1234</v>
      </c>
      <c r="C60" s="122">
        <v>2</v>
      </c>
      <c r="D60" s="122" t="s">
        <v>1235</v>
      </c>
      <c r="E60" s="122">
        <f>(59*51.9+58*53.2)/117-47.9</f>
        <v>4.6444444444444528</v>
      </c>
      <c r="F60" s="122">
        <v>117</v>
      </c>
      <c r="G60" s="122">
        <v>59</v>
      </c>
      <c r="H60">
        <f t="shared" si="145"/>
        <v>176</v>
      </c>
      <c r="I60" s="122">
        <f>(61*59.3+58*59.3)/119</f>
        <v>59.29999999999999</v>
      </c>
      <c r="J60" s="122">
        <v>59.5</v>
      </c>
      <c r="K60" s="122">
        <f>SQRT((60*16.7^2+57*22.2^2)/118)</f>
        <v>19.490388765678535</v>
      </c>
      <c r="L60" s="122">
        <v>18.5</v>
      </c>
      <c r="M60">
        <f t="shared" ref="M60:M66" si="169">SQRT((18*K60^2+16*L60^2+19*17/36*(I60-J60)^2)/35)</f>
        <v>18.757180312890522</v>
      </c>
      <c r="N60">
        <f t="shared" ref="N60:N66" si="170">E60/M60*(1-3/(4*H60-9))</f>
        <v>0.24654006655977639</v>
      </c>
      <c r="O60">
        <f t="shared" ref="O60:O66" si="171">SQRT(H60/(F60*G60)+N60^2/(2*(H60-3.94)))</f>
        <v>0.16022731149054156</v>
      </c>
      <c r="P60" t="str">
        <f t="shared" ref="P60:P66" si="172">CONCATENATE(FIXED(N60,2), " [", FIXED(N60-_xlfn.NORM.S.INV(0.975)*O60,2), ", ", FIXED(N60+_xlfn.NORM.S.INV(0.975)*O60,2), "]")</f>
        <v>0.25 [-0.07, 0.56]</v>
      </c>
      <c r="Q60">
        <f t="shared" ref="Q60:Q66" si="173">1/O60^2</f>
        <v>38.951744142846565</v>
      </c>
      <c r="R60">
        <f t="shared" ref="R60:R66" si="174">SUMPRODUCT(N60,Q60)/SUM(Q60)</f>
        <v>0.24654006655977639</v>
      </c>
      <c r="S60">
        <f t="shared" ref="S60:S66" si="175">1/SQRT(SUM(Q60))</f>
        <v>0.16022731149054156</v>
      </c>
      <c r="T60" t="str">
        <f t="shared" ref="T60:T66" si="176">CONCATENATE(FIXED(R60,2), " [", FIXED(R60-_xlfn.NORM.S.INV(0.975)*S60,2), ", ", FIXED(R60+_xlfn.NORM.S.INV(0.975)*S60,2), "]")</f>
        <v>0.25 [-0.07, 0.56]</v>
      </c>
    </row>
    <row r="61" spans="1:20" x14ac:dyDescent="0.25">
      <c r="A61" s="122" t="s">
        <v>1233</v>
      </c>
      <c r="B61" s="122" t="s">
        <v>1234</v>
      </c>
      <c r="C61" s="122">
        <v>6</v>
      </c>
      <c r="E61" s="122">
        <f>(57*52.4+59*49.9)/116-50.8</f>
        <v>0.32844827586206549</v>
      </c>
      <c r="F61" s="122">
        <v>116</v>
      </c>
      <c r="G61" s="122">
        <v>57</v>
      </c>
      <c r="H61">
        <f t="shared" si="145"/>
        <v>173</v>
      </c>
      <c r="I61" s="122">
        <f t="shared" ref="I61:I66" si="177">(61*59.3+58*59.3)/119</f>
        <v>59.29999999999999</v>
      </c>
      <c r="J61" s="122">
        <v>59.5</v>
      </c>
      <c r="K61" s="122">
        <f t="shared" ref="K61:K66" si="178">SQRT((60*16.7^2+57*22.2^2)/118)</f>
        <v>19.490388765678535</v>
      </c>
      <c r="L61" s="122">
        <v>18.5</v>
      </c>
      <c r="M61">
        <f t="shared" si="169"/>
        <v>18.757180312890522</v>
      </c>
      <c r="N61">
        <f t="shared" si="170"/>
        <v>1.7433622678064992E-2</v>
      </c>
      <c r="O61">
        <f t="shared" si="171"/>
        <v>0.16175737445290408</v>
      </c>
      <c r="P61" t="str">
        <f t="shared" si="172"/>
        <v>0.02 [-0.30, 0.33]</v>
      </c>
      <c r="Q61">
        <f t="shared" si="173"/>
        <v>38.21834018444671</v>
      </c>
      <c r="R61">
        <f t="shared" si="174"/>
        <v>1.7433622678064992E-2</v>
      </c>
      <c r="S61">
        <f t="shared" si="175"/>
        <v>0.16175737445290408</v>
      </c>
      <c r="T61" t="str">
        <f t="shared" si="176"/>
        <v>0.02 [-0.30, 0.33]</v>
      </c>
    </row>
    <row r="62" spans="1:20" x14ac:dyDescent="0.25">
      <c r="A62" s="122" t="s">
        <v>1233</v>
      </c>
      <c r="B62" s="122" t="s">
        <v>1234</v>
      </c>
      <c r="C62" s="122">
        <v>12</v>
      </c>
      <c r="E62" s="122">
        <f>(59*53.7+58*49.9)/117-50.1</f>
        <v>1.7162393162393172</v>
      </c>
      <c r="F62" s="122">
        <v>117</v>
      </c>
      <c r="G62" s="122">
        <v>56</v>
      </c>
      <c r="H62">
        <f t="shared" si="145"/>
        <v>173</v>
      </c>
      <c r="I62" s="122">
        <f t="shared" si="177"/>
        <v>59.29999999999999</v>
      </c>
      <c r="J62" s="122">
        <v>59.5</v>
      </c>
      <c r="K62" s="122">
        <f t="shared" si="178"/>
        <v>19.490388765678535</v>
      </c>
      <c r="L62" s="122">
        <v>18.5</v>
      </c>
      <c r="M62">
        <f t="shared" si="169"/>
        <v>18.757180312890522</v>
      </c>
      <c r="N62">
        <f t="shared" si="170"/>
        <v>9.1095831104748365E-2</v>
      </c>
      <c r="O62">
        <f t="shared" si="171"/>
        <v>0.16256904477551976</v>
      </c>
      <c r="P62" t="str">
        <f t="shared" si="172"/>
        <v>0.09 [-0.23, 0.41]</v>
      </c>
      <c r="Q62">
        <f t="shared" si="173"/>
        <v>37.83766189586494</v>
      </c>
      <c r="R62">
        <f t="shared" si="174"/>
        <v>9.1095831104748365E-2</v>
      </c>
      <c r="S62">
        <f t="shared" si="175"/>
        <v>0.16256904477551976</v>
      </c>
      <c r="T62" t="str">
        <f t="shared" si="176"/>
        <v>0.09 [-0.23, 0.41]</v>
      </c>
    </row>
    <row r="63" spans="1:20" x14ac:dyDescent="0.25">
      <c r="A63" s="122" t="s">
        <v>1233</v>
      </c>
      <c r="B63" s="122" t="s">
        <v>1234</v>
      </c>
      <c r="C63" s="122">
        <v>26</v>
      </c>
      <c r="E63" s="122">
        <f>(59*54.8+55*52)/114-50</f>
        <v>3.4491228070175453</v>
      </c>
      <c r="F63" s="122">
        <v>114</v>
      </c>
      <c r="G63" s="122">
        <v>57</v>
      </c>
      <c r="H63">
        <f t="shared" si="145"/>
        <v>171</v>
      </c>
      <c r="I63" s="122">
        <f t="shared" si="177"/>
        <v>59.29999999999999</v>
      </c>
      <c r="J63" s="122">
        <v>59.5</v>
      </c>
      <c r="K63" s="122">
        <f t="shared" si="178"/>
        <v>19.490388765678535</v>
      </c>
      <c r="L63" s="122">
        <v>18.5</v>
      </c>
      <c r="M63">
        <f t="shared" si="169"/>
        <v>18.757180312890522</v>
      </c>
      <c r="N63">
        <f t="shared" si="170"/>
        <v>0.18306554157075938</v>
      </c>
      <c r="O63">
        <f t="shared" si="171"/>
        <v>0.16253027944931528</v>
      </c>
      <c r="P63" t="str">
        <f t="shared" si="172"/>
        <v>0.18 [-0.14, 0.50]</v>
      </c>
      <c r="Q63">
        <f t="shared" si="173"/>
        <v>37.855713476581734</v>
      </c>
      <c r="R63">
        <f t="shared" si="174"/>
        <v>0.18306554157075938</v>
      </c>
      <c r="S63">
        <f t="shared" si="175"/>
        <v>0.16253027944931528</v>
      </c>
      <c r="T63" t="str">
        <f t="shared" si="176"/>
        <v>0.18 [-0.14, 0.50]</v>
      </c>
    </row>
    <row r="64" spans="1:20" x14ac:dyDescent="0.25">
      <c r="A64" s="122" t="s">
        <v>1233</v>
      </c>
      <c r="B64" s="122" t="s">
        <v>1234</v>
      </c>
      <c r="C64" s="122">
        <v>52</v>
      </c>
      <c r="E64" s="122">
        <f>(57*57.8+51*53.3)/108-53.6</f>
        <v>2.0749999999999957</v>
      </c>
      <c r="F64" s="122">
        <v>108</v>
      </c>
      <c r="G64" s="122">
        <v>54</v>
      </c>
      <c r="H64">
        <f t="shared" si="145"/>
        <v>162</v>
      </c>
      <c r="I64" s="122">
        <f t="shared" si="177"/>
        <v>59.29999999999999</v>
      </c>
      <c r="J64" s="122">
        <v>59.5</v>
      </c>
      <c r="K64" s="122">
        <f t="shared" si="178"/>
        <v>19.490388765678535</v>
      </c>
      <c r="L64" s="122">
        <v>18.5</v>
      </c>
      <c r="M64">
        <f t="shared" si="169"/>
        <v>18.757180312890522</v>
      </c>
      <c r="N64">
        <f t="shared" si="170"/>
        <v>0.11010494016220163</v>
      </c>
      <c r="O64">
        <f t="shared" si="171"/>
        <v>0.16678167599682028</v>
      </c>
      <c r="P64" t="str">
        <f t="shared" si="172"/>
        <v>0.11 [-0.22, 0.44]</v>
      </c>
      <c r="Q64">
        <f t="shared" si="173"/>
        <v>35.950367349241347</v>
      </c>
      <c r="R64">
        <f t="shared" si="174"/>
        <v>0.11010494016220163</v>
      </c>
      <c r="S64">
        <f t="shared" si="175"/>
        <v>0.16678167599682028</v>
      </c>
      <c r="T64" t="str">
        <f t="shared" si="176"/>
        <v>0.11 [-0.22, 0.44]</v>
      </c>
    </row>
    <row r="65" spans="1:20" x14ac:dyDescent="0.25">
      <c r="A65" s="122" t="s">
        <v>1233</v>
      </c>
      <c r="B65" s="122" t="s">
        <v>1234</v>
      </c>
      <c r="C65" s="122">
        <v>78</v>
      </c>
      <c r="E65" s="122">
        <f>(57*55.4+51*50.7)/108-55.6</f>
        <v>-2.4194444444444443</v>
      </c>
      <c r="F65" s="122">
        <v>108</v>
      </c>
      <c r="G65" s="122">
        <v>52</v>
      </c>
      <c r="H65">
        <f t="shared" si="145"/>
        <v>160</v>
      </c>
      <c r="I65" s="122">
        <f t="shared" si="177"/>
        <v>59.29999999999999</v>
      </c>
      <c r="J65" s="122">
        <v>59.5</v>
      </c>
      <c r="K65" s="122">
        <f t="shared" si="178"/>
        <v>19.490388765678535</v>
      </c>
      <c r="L65" s="122">
        <v>18.5</v>
      </c>
      <c r="M65">
        <f t="shared" si="169"/>
        <v>18.757180312890522</v>
      </c>
      <c r="N65">
        <f t="shared" si="170"/>
        <v>-0.12837438777237392</v>
      </c>
      <c r="O65">
        <f t="shared" si="171"/>
        <v>0.16894623003194917</v>
      </c>
      <c r="P65" t="str">
        <f t="shared" si="172"/>
        <v>-0.13 [-0.46, 0.20]</v>
      </c>
      <c r="Q65">
        <f t="shared" si="173"/>
        <v>35.035070018541781</v>
      </c>
      <c r="R65">
        <f t="shared" si="174"/>
        <v>-0.12837438777237392</v>
      </c>
      <c r="S65">
        <f t="shared" si="175"/>
        <v>0.16894623003194917</v>
      </c>
      <c r="T65" t="str">
        <f t="shared" si="176"/>
        <v>-0.13 [-0.46, 0.20]</v>
      </c>
    </row>
    <row r="66" spans="1:20" x14ac:dyDescent="0.25">
      <c r="A66" s="122" t="s">
        <v>1233</v>
      </c>
      <c r="B66" s="122" t="s">
        <v>1234</v>
      </c>
      <c r="C66" s="122">
        <v>104</v>
      </c>
      <c r="E66" s="122">
        <f>(56*56.7+53*54)/109-52.5</f>
        <v>2.8871559633027601</v>
      </c>
      <c r="F66" s="122">
        <v>109</v>
      </c>
      <c r="G66" s="122">
        <v>55</v>
      </c>
      <c r="H66">
        <f t="shared" si="145"/>
        <v>164</v>
      </c>
      <c r="I66" s="122">
        <f t="shared" si="177"/>
        <v>59.29999999999999</v>
      </c>
      <c r="J66" s="122">
        <v>59.5</v>
      </c>
      <c r="K66" s="122">
        <f t="shared" si="178"/>
        <v>19.490388765678535</v>
      </c>
      <c r="L66" s="122">
        <v>18.5</v>
      </c>
      <c r="M66">
        <f t="shared" si="169"/>
        <v>18.757180312890522</v>
      </c>
      <c r="N66">
        <f t="shared" si="170"/>
        <v>0.15320900014998329</v>
      </c>
      <c r="O66">
        <f t="shared" si="171"/>
        <v>0.16561840395684482</v>
      </c>
      <c r="P66" t="str">
        <f t="shared" si="172"/>
        <v>0.15 [-0.17, 0.48]</v>
      </c>
      <c r="Q66">
        <f t="shared" si="173"/>
        <v>36.457157949911142</v>
      </c>
      <c r="R66">
        <f t="shared" si="174"/>
        <v>0.15320900014998329</v>
      </c>
      <c r="S66">
        <f t="shared" si="175"/>
        <v>0.1656184039568448</v>
      </c>
      <c r="T66" t="str">
        <f t="shared" si="176"/>
        <v>0.15 [-0.17, 0.48]</v>
      </c>
    </row>
    <row r="67" spans="1:20" x14ac:dyDescent="0.25">
      <c r="A67" s="122" t="s">
        <v>1238</v>
      </c>
      <c r="B67" s="122" t="s">
        <v>1239</v>
      </c>
      <c r="C67" s="122">
        <v>52</v>
      </c>
      <c r="D67" s="122" t="s">
        <v>1138</v>
      </c>
      <c r="E67" s="122">
        <v>0.1</v>
      </c>
      <c r="F67" s="122">
        <v>70</v>
      </c>
      <c r="G67" s="122">
        <v>76</v>
      </c>
      <c r="H67">
        <f t="shared" si="145"/>
        <v>146</v>
      </c>
      <c r="I67" s="122">
        <v>5.8</v>
      </c>
      <c r="J67" s="122">
        <v>6.1</v>
      </c>
      <c r="K67" s="122">
        <v>2</v>
      </c>
      <c r="L67" s="122">
        <v>2</v>
      </c>
      <c r="M67">
        <f t="shared" ref="M67" si="179">SQRT((18*K67^2+16*L67^2+19*17/36*(I67-J67)^2)/35)</f>
        <v>1.9770649241453135</v>
      </c>
      <c r="N67">
        <f t="shared" ref="N67" si="180">E67/M67*(1-3/(4*H67-9))</f>
        <v>5.0316132593657609E-2</v>
      </c>
      <c r="O67">
        <f t="shared" ref="O67" si="181">SQRT(H67/(F67*G67)+N67^2/(2*(H67-3.94)))</f>
        <v>0.16568801930302623</v>
      </c>
      <c r="P67" t="str">
        <f t="shared" ref="P67" si="182">CONCATENATE(FIXED(N67,2), " [", FIXED(N67-_xlfn.NORM.S.INV(0.975)*O67,2), ", ", FIXED(N67+_xlfn.NORM.S.INV(0.975)*O67,2), "]")</f>
        <v>0.05 [-0.27, 0.38]</v>
      </c>
      <c r="Q67">
        <f t="shared" ref="Q67" si="183">1/O67^2</f>
        <v>36.426528764954867</v>
      </c>
      <c r="R67">
        <f t="shared" ref="R67" si="184">SUMPRODUCT(N67,Q67)/SUM(Q67)</f>
        <v>5.0316132593657609E-2</v>
      </c>
      <c r="S67">
        <f t="shared" ref="S67" si="185">1/SQRT(SUM(Q67))</f>
        <v>0.16568801930302623</v>
      </c>
      <c r="T67" t="str">
        <f t="shared" ref="T67" si="186">CONCATENATE(FIXED(R67,2), " [", FIXED(R67-_xlfn.NORM.S.INV(0.975)*S67,2), ", ", FIXED(R67+_xlfn.NORM.S.INV(0.975)*S67,2), "]")</f>
        <v>0.05 [-0.27, 0.38]</v>
      </c>
    </row>
  </sheetData>
  <mergeCells count="16">
    <mergeCell ref="I37:L37"/>
    <mergeCell ref="I48:L48"/>
    <mergeCell ref="I49:L49"/>
    <mergeCell ref="I50:L50"/>
    <mergeCell ref="I51:L51"/>
    <mergeCell ref="I32:L32"/>
    <mergeCell ref="I34:L34"/>
    <mergeCell ref="I36:L36"/>
    <mergeCell ref="I31:L31"/>
    <mergeCell ref="I33:L33"/>
    <mergeCell ref="I35:L35"/>
    <mergeCell ref="I5:L5"/>
    <mergeCell ref="I6:L6"/>
    <mergeCell ref="I7:L7"/>
    <mergeCell ref="I8:L8"/>
    <mergeCell ref="I30:L30"/>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RACGP 2017</vt:lpstr>
      <vt:lpstr>Ross' Notes</vt:lpstr>
      <vt:lpstr>ES calculator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GIIVIAK</dc:creator>
  <cp:lastModifiedBy>Ross Wilson</cp:lastModifiedBy>
  <dcterms:created xsi:type="dcterms:W3CDTF">2018-08-09T04:38:04Z</dcterms:created>
  <dcterms:modified xsi:type="dcterms:W3CDTF">2018-09-13T04:59:59Z</dcterms:modified>
</cp:coreProperties>
</file>