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H:\AEA\AkAES\Working Documents\Data &amp; Analysis\Renewable-Energy\"/>
    </mc:Choice>
  </mc:AlternateContent>
  <bookViews>
    <workbookView xWindow="0" yWindow="0" windowWidth="28800" windowHeight="11835" tabRatio="548"/>
  </bookViews>
  <sheets>
    <sheet name="RE Capacity For Model" sheetId="9" r:id="rId1"/>
    <sheet name="RE Capacity by project" sheetId="8" r:id="rId2"/>
    <sheet name="Hydro Capacity for model" sheetId="6" r:id="rId3"/>
    <sheet name="Wind Capacity For Model" sheetId="7" r:id="rId4"/>
    <sheet name="Data" sheetId="1" r:id="rId5"/>
    <sheet name="Project Totals" sheetId="3" r:id="rId6"/>
    <sheet name="Service Area Totals" sheetId="4" r:id="rId7"/>
    <sheet name="Summary" sheetId="2" r:id="rId8"/>
  </sheets>
  <definedNames>
    <definedName name="_xlnm._FilterDatabase" localSheetId="4" hidden="1">Data!$B$2:$I$48</definedName>
    <definedName name="_xlnm.Print_Area" localSheetId="4">Table3[[#All],[Year of Operation or Development Phase]:[Type]]</definedName>
    <definedName name="_xlnm.Print_Titles" localSheetId="4">Data!$2:$2</definedName>
  </definedNames>
  <calcPr calcId="162913"/>
  <pivotCaches>
    <pivotCache cacheId="0" r:id="rId9"/>
    <pivotCache cacheId="4"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7" l="1"/>
  <c r="E2" i="7"/>
  <c r="E29" i="7"/>
  <c r="E23" i="7"/>
  <c r="E22" i="7"/>
  <c r="E20" i="7"/>
  <c r="E18" i="7"/>
  <c r="E16" i="7"/>
  <c r="E11" i="7"/>
  <c r="E9" i="7"/>
  <c r="E8" i="7"/>
  <c r="I68" i="1" l="1"/>
  <c r="H68" i="1"/>
  <c r="G68" i="1"/>
  <c r="H76" i="1" l="1"/>
  <c r="D5" i="2" l="1"/>
  <c r="C3" i="2"/>
  <c r="C4" i="2"/>
  <c r="C5" i="2"/>
  <c r="B3" i="2"/>
  <c r="B4" i="2"/>
  <c r="B5" i="2"/>
  <c r="B2" i="2"/>
  <c r="G10" i="1" l="1"/>
  <c r="C2" i="2" s="1"/>
  <c r="B6" i="2" l="1"/>
  <c r="C6" i="2" l="1"/>
  <c r="H63" i="1"/>
  <c r="D4" i="2" s="1"/>
  <c r="H38" i="1"/>
  <c r="H55" i="1"/>
  <c r="D3" i="2" s="1"/>
  <c r="H52" i="1"/>
  <c r="H49" i="1"/>
  <c r="H47" i="1"/>
  <c r="H46" i="1"/>
  <c r="H43" i="1"/>
  <c r="H41" i="1"/>
  <c r="H40" i="1"/>
  <c r="H39" i="1"/>
  <c r="H37" i="1"/>
  <c r="H34" i="1"/>
  <c r="H33" i="1"/>
  <c r="H31" i="1"/>
  <c r="H30" i="1"/>
  <c r="H28" i="1"/>
  <c r="H23" i="1"/>
  <c r="H22" i="1"/>
  <c r="H20" i="1"/>
  <c r="H19" i="1"/>
  <c r="H16" i="1"/>
  <c r="H14" i="1"/>
  <c r="H8" i="1"/>
  <c r="H7" i="1"/>
  <c r="H6" i="1"/>
  <c r="H4" i="1"/>
  <c r="H3" i="1"/>
  <c r="D2" i="2" l="1"/>
  <c r="D6" i="2" s="1"/>
</calcChain>
</file>

<file path=xl/comments1.xml><?xml version="1.0" encoding="utf-8"?>
<comments xmlns="http://schemas.openxmlformats.org/spreadsheetml/2006/main">
  <authors>
    <author>Terry Gryting</author>
  </authors>
  <commentList>
    <comment ref="I2" authorId="0" shapeId="0">
      <text>
        <r>
          <rPr>
            <b/>
            <sz val="9"/>
            <color indexed="81"/>
            <rFont val="Tahoma"/>
            <family val="2"/>
          </rPr>
          <t>Terry Gryting:</t>
        </r>
        <r>
          <rPr>
            <sz val="9"/>
            <color indexed="81"/>
            <rFont val="Tahoma"/>
            <family val="2"/>
          </rPr>
          <t xml:space="preserve">
run-of-river, artificial storage, or lake tap?</t>
        </r>
      </text>
    </comment>
    <comment ref="H5" authorId="0" shapeId="0">
      <text>
        <r>
          <rPr>
            <b/>
            <sz val="9"/>
            <color indexed="81"/>
            <rFont val="Tahoma"/>
            <family val="2"/>
          </rPr>
          <t xml:space="preserve">Terry Gryting:
</t>
        </r>
        <r>
          <rPr>
            <sz val="9"/>
            <color indexed="81"/>
            <rFont val="Tahoma"/>
            <family val="2"/>
          </rPr>
          <t>unknown</t>
        </r>
      </text>
    </comment>
    <comment ref="B37" authorId="0" shapeId="0">
      <text>
        <r>
          <rPr>
            <b/>
            <sz val="9"/>
            <color indexed="81"/>
            <rFont val="Tahoma"/>
            <family val="2"/>
          </rPr>
          <t>Terry Gryting:</t>
        </r>
        <r>
          <rPr>
            <sz val="9"/>
            <color indexed="81"/>
            <rFont val="Tahoma"/>
            <family val="2"/>
          </rPr>
          <t xml:space="preserve">
MEA reported purchases  starting in 1991; unknown what year became operational</t>
        </r>
      </text>
    </comment>
  </commentList>
</comments>
</file>

<file path=xl/sharedStrings.xml><?xml version="1.0" encoding="utf-8"?>
<sst xmlns="http://schemas.openxmlformats.org/spreadsheetml/2006/main" count="1420" uniqueCount="336">
  <si>
    <t>Service Area</t>
  </si>
  <si>
    <t>Type</t>
  </si>
  <si>
    <t>Annex Creek</t>
  </si>
  <si>
    <t>Juneau</t>
  </si>
  <si>
    <t>AELP</t>
  </si>
  <si>
    <t>Gold Creek</t>
  </si>
  <si>
    <t>run-of-river</t>
  </si>
  <si>
    <t>Lake Dorothy</t>
  </si>
  <si>
    <t>lake tap</t>
  </si>
  <si>
    <t>Salmon Creek</t>
  </si>
  <si>
    <t>1973/1990</t>
  </si>
  <si>
    <t>Snettisham</t>
  </si>
  <si>
    <t>Town Creek</t>
  </si>
  <si>
    <t>Akutan</t>
  </si>
  <si>
    <t>Black Bear Lake</t>
  </si>
  <si>
    <t>Prince of Wales</t>
  </si>
  <si>
    <t>AP&amp;T</t>
  </si>
  <si>
    <t>storage</t>
  </si>
  <si>
    <t>early 1900's</t>
  </si>
  <si>
    <t>Dewey Lakes</t>
  </si>
  <si>
    <t>Haines/Skagway</t>
  </si>
  <si>
    <t>Goat Lake</t>
  </si>
  <si>
    <t>Kasidaya Creek</t>
  </si>
  <si>
    <t>Lutak</t>
  </si>
  <si>
    <t>South Fork Black Bear</t>
  </si>
  <si>
    <t>Chuniisax Creek</t>
  </si>
  <si>
    <t>Atka</t>
  </si>
  <si>
    <t>Humpback Creek</t>
  </si>
  <si>
    <t>Cordova</t>
  </si>
  <si>
    <t>CEC</t>
  </si>
  <si>
    <t>Power Creek</t>
  </si>
  <si>
    <t>Chignik Bay</t>
  </si>
  <si>
    <t>Packers Creek</t>
  </si>
  <si>
    <t>Chignik Lagoon</t>
  </si>
  <si>
    <t>Allison Creek</t>
  </si>
  <si>
    <t>CVEA</t>
  </si>
  <si>
    <t>Solomon Gulch</t>
  </si>
  <si>
    <t>Glennallen-Valdez</t>
  </si>
  <si>
    <t>Falls Creek</t>
  </si>
  <si>
    <t>Gustavus</t>
  </si>
  <si>
    <t>Tazimina</t>
  </si>
  <si>
    <t>Iliamna</t>
  </si>
  <si>
    <t>INNEC</t>
  </si>
  <si>
    <t>10 Mile Creek</t>
  </si>
  <si>
    <t>IPEC</t>
  </si>
  <si>
    <t>Gartina Falls</t>
  </si>
  <si>
    <t>Hoonah</t>
  </si>
  <si>
    <t>Terror Lake</t>
  </si>
  <si>
    <t>Kodiak</t>
  </si>
  <si>
    <t>KEA</t>
  </si>
  <si>
    <t>Delta Creek</t>
  </si>
  <si>
    <t>King Cove</t>
  </si>
  <si>
    <t>Waterfall Creek</t>
  </si>
  <si>
    <t>Beaver Falls</t>
  </si>
  <si>
    <t>KPU</t>
  </si>
  <si>
    <t>Ketchikan Lakes</t>
  </si>
  <si>
    <t>Silvis Lakes</t>
  </si>
  <si>
    <t>Whitman Lake</t>
  </si>
  <si>
    <t>Larsen Bay</t>
  </si>
  <si>
    <t>South Fork Hydro (Eagle River)</t>
  </si>
  <si>
    <t>Railbelt</t>
  </si>
  <si>
    <t>McRoberts Creek</t>
  </si>
  <si>
    <t>Chester Lake</t>
  </si>
  <si>
    <t>Metlakatla</t>
  </si>
  <si>
    <t>Purple Lake</t>
  </si>
  <si>
    <t>AWWU Conduit</t>
  </si>
  <si>
    <t>Mahoona Lake</t>
  </si>
  <si>
    <t>Ouzinkie</t>
  </si>
  <si>
    <t>Pelican</t>
  </si>
  <si>
    <t>Petersburg</t>
  </si>
  <si>
    <t>Swan Lake</t>
  </si>
  <si>
    <t>SEAPA</t>
  </si>
  <si>
    <t>Tyee</t>
  </si>
  <si>
    <t>Bradley Lake</t>
  </si>
  <si>
    <t>(see above)</t>
  </si>
  <si>
    <t>Eklutna</t>
  </si>
  <si>
    <t>Sitka</t>
  </si>
  <si>
    <t>lake tap/storage</t>
  </si>
  <si>
    <t>Green Lake</t>
  </si>
  <si>
    <t>Indian River</t>
  </si>
  <si>
    <t>Tenakee Springs</t>
  </si>
  <si>
    <t>conduit</t>
  </si>
  <si>
    <t>Old Harbor</t>
  </si>
  <si>
    <t>Fishhook</t>
  </si>
  <si>
    <t>Fivemile Creek</t>
  </si>
  <si>
    <t>Chenega</t>
  </si>
  <si>
    <t>Chitina Electric</t>
  </si>
  <si>
    <t>Chitina</t>
  </si>
  <si>
    <t>Knutson Creek</t>
  </si>
  <si>
    <t xml:space="preserve">Scammon Bay </t>
  </si>
  <si>
    <t>Tazimina Expansion</t>
  </si>
  <si>
    <t>Kogoluktuk River</t>
  </si>
  <si>
    <t>Ambler, Shungnak, Kobuk, and Kiana</t>
  </si>
  <si>
    <t>Susitna-Watana</t>
  </si>
  <si>
    <t>Yerrick Creek</t>
  </si>
  <si>
    <t>Native Village of Tanacross</t>
  </si>
  <si>
    <t>Thayer Lake</t>
  </si>
  <si>
    <t>Angoon</t>
  </si>
  <si>
    <t>Kootznoowoo Inc.</t>
  </si>
  <si>
    <t>Elfin Cove</t>
  </si>
  <si>
    <t>Elfin Cove Utility Commission</t>
  </si>
  <si>
    <t>Triangle Lake</t>
  </si>
  <si>
    <t>Gunnuk Creek</t>
  </si>
  <si>
    <t>Takatz Lake</t>
  </si>
  <si>
    <t>Grant Lake/Falls Creek</t>
  </si>
  <si>
    <t>Crooked Creek/Jim's Lake</t>
  </si>
  <si>
    <t>Pedro Bay</t>
  </si>
  <si>
    <t>Scammon Bay</t>
  </si>
  <si>
    <t>Chignik</t>
  </si>
  <si>
    <t>Chenega Corporation</t>
  </si>
  <si>
    <t>Chenega Bay (Anderson Creek)</t>
  </si>
  <si>
    <t>Kake</t>
  </si>
  <si>
    <t>AVEC</t>
  </si>
  <si>
    <t>Kenai Hydro, LLC</t>
  </si>
  <si>
    <t>Iliamna, Newhalen, Nondalton</t>
  </si>
  <si>
    <t>Fishhook Renewable Energy LLC</t>
  </si>
  <si>
    <t>South Fork Hydro</t>
  </si>
  <si>
    <t>AWWU</t>
  </si>
  <si>
    <t>Enerdyne</t>
  </si>
  <si>
    <t>run-of-river/lake tap</t>
  </si>
  <si>
    <t>run-of-river/storage</t>
  </si>
  <si>
    <t>Utility/Owner</t>
  </si>
  <si>
    <t>AEA</t>
  </si>
  <si>
    <t>CEA/MEA/MLP</t>
  </si>
  <si>
    <t>CEA</t>
  </si>
  <si>
    <t>diversion</t>
  </si>
  <si>
    <t>Swan Lake Expansion</t>
  </si>
  <si>
    <t>Sweetheart Lake</t>
  </si>
  <si>
    <t>Juneau Hydropower, Inc.</t>
  </si>
  <si>
    <t>Average Annual Generation (MWh)</t>
  </si>
  <si>
    <t>purch. 2002</t>
  </si>
  <si>
    <t>Tiekel River</t>
  </si>
  <si>
    <t>Clearwater Creek</t>
  </si>
  <si>
    <t>False Pass</t>
  </si>
  <si>
    <t>Entity Type</t>
  </si>
  <si>
    <t>Utility</t>
  </si>
  <si>
    <t>Municipality</t>
  </si>
  <si>
    <t>Blue Lake Expansion</t>
  </si>
  <si>
    <t>Nonoperational</t>
  </si>
  <si>
    <t>Operational</t>
  </si>
  <si>
    <t>Phase</t>
  </si>
  <si>
    <t>Burnett River Hatchery</t>
  </si>
  <si>
    <t>Chignik Reconstruction/Expansion</t>
  </si>
  <si>
    <t>Terror Lake, Hidden Basin</t>
  </si>
  <si>
    <t>Year of Operation or Development Phase</t>
  </si>
  <si>
    <t>Capacity (MW)</t>
  </si>
  <si>
    <t>Energy (MWh)</t>
  </si>
  <si>
    <t>Total</t>
  </si>
  <si>
    <t>Híilangaay (Reynolds Creek) Hydro</t>
  </si>
  <si>
    <t>The phonetic pronunciation for Híilangaay is (Heel Lung Eye)</t>
  </si>
  <si>
    <t>Notes</t>
  </si>
  <si>
    <t>Number</t>
  </si>
  <si>
    <t>Total Project Cost</t>
  </si>
  <si>
    <t>Cost Year</t>
  </si>
  <si>
    <t>Feasibility Study</t>
  </si>
  <si>
    <t>Design Drawings</t>
  </si>
  <si>
    <t>Map</t>
  </si>
  <si>
    <t>Source</t>
  </si>
  <si>
    <t>FERC No</t>
  </si>
  <si>
    <t>P-13124</t>
  </si>
  <si>
    <t>P-1922</t>
  </si>
  <si>
    <t>P-10440</t>
  </si>
  <si>
    <t>P-201</t>
  </si>
  <si>
    <t>P-2230</t>
  </si>
  <si>
    <t>P-8221</t>
  </si>
  <si>
    <t>P-10773</t>
  </si>
  <si>
    <t>P-620</t>
  </si>
  <si>
    <t>P-2170</t>
  </si>
  <si>
    <t>P-1432</t>
  </si>
  <si>
    <t>P-11659</t>
  </si>
  <si>
    <t>P-14066</t>
  </si>
  <si>
    <t>P-11077</t>
  </si>
  <si>
    <t>P-2818</t>
  </si>
  <si>
    <t>P-8889</t>
  </si>
  <si>
    <t>P-3017</t>
  </si>
  <si>
    <t>P-11588</t>
  </si>
  <si>
    <t>P-420</t>
  </si>
  <si>
    <t>P-12379</t>
  </si>
  <si>
    <t>P-11393</t>
  </si>
  <si>
    <t>P-10198</t>
  </si>
  <si>
    <t>P-11243</t>
  </si>
  <si>
    <t>P-2307</t>
  </si>
  <si>
    <t>P-1051</t>
  </si>
  <si>
    <t>P-2742</t>
  </si>
  <si>
    <t>P-2911</t>
  </si>
  <si>
    <t>P-2743</t>
  </si>
  <si>
    <t>P-3015</t>
  </si>
  <si>
    <t>P-11480</t>
  </si>
  <si>
    <t>P-11841</t>
  </si>
  <si>
    <t>Marathon Hydro</t>
  </si>
  <si>
    <t>City of Seward</t>
  </si>
  <si>
    <t>4-Construction</t>
  </si>
  <si>
    <t>2-Feasibility</t>
  </si>
  <si>
    <t>3-Final Design</t>
  </si>
  <si>
    <t>1-Recon</t>
  </si>
  <si>
    <t xml:space="preserve"> This 3.6 megawatt (MW) project, operated by Alaska Electric Light and Power, was originally developed in 1915 by the Gastineau Alaska Engineers. It was automated in 1977 and currently provides about 10 percent of the City and Borough of Juneau’s electrical power needs.</t>
  </si>
  <si>
    <t xml:space="preserve"> This 5.4 MW facility is owned and operated by Ketchikan Public Utilities and provides power to the City of Ketchikan. It consists of three separate generators built between 1947 and 1954.</t>
  </si>
  <si>
    <t xml:space="preserve"> The Black Bear Lake Hydro project is a 4.5 MW hydroelectric project at Black Bear Lake on Prince of Wales Island, approximately 15 miles northeast of Klawock. It supplies power to the communities of Prince of Wales Island and was the first hydro project in Alaska to be certified as low impact by the Low Impact Hydropower Institute. Black Bear Lake was completed in 1995 and cost $10 million to permit and construct.</t>
  </si>
  <si>
    <t xml:space="preserve"> Blind Slough is a 2 MW project that has been supplying the City of Petersburg with electrical power since the 1920s. The project is located on Crystal Lake on Mitkof Island approximately 16.5 highway miles south of the City of Petersburg. Water used for generation is either used directly by the Crystal Lake Fish Hatchery or is returned to Crystal Creek, which eventually enters Blind Slough. It provides about 20 percent of the electricity for Petersburg Municipal Light and Power.</t>
  </si>
  <si>
    <t>Blue Lake</t>
  </si>
  <si>
    <t xml:space="preserve"> The City of Sitka owns and operates this 6 MW project on Sawmill Creek, which went into operation in 1961. It currently provides about 20 percent of electrical demand to the City of Sitka.</t>
  </si>
  <si>
    <t>Sitka recently received three separate State of Alaska legislative grants totaling $49 million to increase the dam height and replace the powerhouse and a fish valve unit, increasing generating capacity to 16.9 MW. The expansion is under construction.</t>
  </si>
  <si>
    <t xml:space="preserve"> Bradley Lake, a 120 MW hydroelectric project, is 27 miles southeast of Homer and serves the Railbelt from Homer to Fairbanks. Bradley Lake which was constructed and is owned, by the Alaska Energy Authority (AEA), went into commercial operation in 1991 and is operated by the Homer Electric Association. The project is an impoundment hydroelectric facility with a 125-foot high dam and a 3.5-mile power tunnel. It cost more than $300 million ($479 million in 2007 dollars).</t>
  </si>
  <si>
    <t>Bradley Lake, Battle Creek Diversion</t>
  </si>
  <si>
    <t>The Battle Creek diversion project is currently in Federal Energy Regulatory Commission (FERC) licensing and will increase the annual energy of Bradley Lake by 36,000 to 42,000 megawatt hours (MWh) annually.</t>
  </si>
  <si>
    <t xml:space="preserve"> This 1 MW project is owned by Metlakatla Power and Light and provides electricity to the Southeast village of Metlakatla.</t>
  </si>
  <si>
    <t>Cooper Lake</t>
  </si>
  <si>
    <t xml:space="preserve"> Homer Electric Association owns and operates this 16.7 MW facility on Cooper Lake, Cooper Creek and Kenai Lake near the community of Cooper Landing. It began operation in 1960 and was relicensed by the FERC in 2007.</t>
  </si>
  <si>
    <t>As part of the settlement agreement reached during relicensing, Stetson Creek will be diverted to Cooper Lake, increasing annual energy generation by 5,500 MWh. The diversion will also increase the anadromous fish habitat quality in the upper reaches of Cooper Creek.</t>
  </si>
  <si>
    <t xml:space="preserve"> This 800 kW project supplies 100 percent of the Aleutian community of King Cove’s electrical needs and lowers the cost of electricity to $0.24 / kWh, the lowest, single-site cost of power among all 160+ communities in the State of Alaska’s Power Cost Equalization program.</t>
  </si>
  <si>
    <t xml:space="preserve"> The 943 kW run-of-the-river Dewey Lakes Hydro Project is located adjacent to downtown Skagway. This project was built in the early 1900s and has been operated by Alaska Power &amp; Telephone since 1957.</t>
  </si>
  <si>
    <t xml:space="preserve"> The Elkutna hydroelectric facility, brought online by the federal government in 1955, produces 30 MW of generation capacity. It is currently operated by Anchorage Municipal Light &amp; Power and is the cheapest energy source connected to the Railbelt energy grid.</t>
  </si>
  <si>
    <t xml:space="preserve"> This project built by Gustavus Electric Company was completed in July 2009 and provides Gustavus with .8MW of power.</t>
  </si>
  <si>
    <t xml:space="preserve"> The Goat Lake hydroelectric facility is a storage project with a 4 MW capacity that started operations in 1997. The Lake is used as a reservoir without any dam. It was certified as a Low Impact Hydropower project by the Low Impact Hydropower Institute in 2007. Alaska Power &amp; Telephone operates the Goat Lake facility, which provides power to Skagway and Haines.</t>
  </si>
  <si>
    <t xml:space="preserve"> Gold Creek Hydropower, currently operated by Alaska Electric Light and Power, is a 1.6 MW run-of-the-river project that was originally constructed in 1914 with 800 kW generating capacity. An additional 800 kW of generating capacity was incorporated in the 1950s. This project, located in downtown Juneau, produces power seasonally with peak production around May.</t>
  </si>
  <si>
    <t xml:space="preserve"> This 18.6 MW hydroelectric facility is owned and operated by the City and Borough of Sitka and provides the majority of electric power to Sitka and surrounding areas. It began operation in 1979.</t>
  </si>
  <si>
    <t xml:space="preserve"> This is a 1.3 MW run-of-the-river project roughly 7 miles north of the Cordova boat harbor. It is owned and operated by Cordova Electric Cooperative and was commissioned in 1990. Cordova Electric Cooperative received $8 million from AEA’s Renewable Energy Fund and the intake structure was replaced after a significant high-flow event in 2011, using funds provided by FEMA.</t>
  </si>
  <si>
    <t xml:space="preserve"> This project between Haines and Skagway was constructed by Alaska Power &amp; Telephone Company, and generates between 300 Kw and 3 MW, depending on the season.</t>
  </si>
  <si>
    <t xml:space="preserve"> This 4.2 MW project consists of three generators built between 1923 and 1957. It is owned and operated by Ketchikan Public Utilities and provides power to the City of Ketchikan.</t>
  </si>
  <si>
    <t xml:space="preserve"> This 14.3 MW project, located near the Snettisham hydroelectric facilities near Juneau, increased the power supply to Juneau by 20 percent when it went online in 2009. The hydro project also provides power to Princess Cruise Lines and Greens Creek Mining Company.</t>
  </si>
  <si>
    <t xml:space="preserve"> This 475 kW project provides electricity and city water for the rural community of Larsen Bay and a fish processing plant on Kodiak Island. It went into commercial operation in 1991 and was upgraded in January 2009.</t>
  </si>
  <si>
    <t xml:space="preserve"> This 285 kW run-of-river project provides power to the Haines-Skagway region. It began operation in 2002.</t>
  </si>
  <si>
    <t xml:space="preserve"> This 700 kW hydroelectric facility provides electricity to the Southeast town of Pelican. It began operation in 1988 and was awarded a $2,274,000 grant for upgrades by the AEA’s Alaska Renewable Energy Fund in 2008.</t>
  </si>
  <si>
    <t xml:space="preserve"> The Power Creek hydroelectric plant is located 7 miles east of Cordova and has a total installed generating capacity of 6 MW. It is owned by the Cordova Electric Cooperative and provides about 50 percent of electrical power to the town of Cordova and surrounding areas. It was commissioned in 1997.</t>
  </si>
  <si>
    <t xml:space="preserve"> This 3.9 MW project is owned by Metlakatla Light and Power and provides electricity to the city of Metlakatla.</t>
  </si>
  <si>
    <t xml:space="preserve"> The current 6.7 MW impoundment project at Salmon Creek was built in 1984 and is operated by Alaska Electric Light &amp; Power. The lower powerhouse, which remains in operation today, provides more than 10 percent of the electric energy demand to Juneau and its surroundings. A power facility has existed at the site since 1913, with significant upgrades and repairs in 1935 and 1967. The upper powerhouse, rebuilt in 1935 after the original was destroyed by fire, was taken out of commission in 1998.</t>
  </si>
  <si>
    <t xml:space="preserve"> The Silvis Lake Power Plant is a 2.1 MW project built in 1968 by Ketchikan Public Utilities to provide power to the City of Ketchikan.</t>
  </si>
  <si>
    <t xml:space="preserve"> This 78 MW hydroelectric facility is the largest in Southeast Alaska, providing 80 percent of the power used by Juneau and Douglas. It was built by the U.S. Corps of Engineers in 1979 and sold to the State of Alaska in 1998. It is currently operated by Alaska Electric Light and Power under a contract with the Alaska Industrial Development and Export Authority (AIDEA). A 44-mile transmission line runs between the dams and Juneau.</t>
  </si>
  <si>
    <t xml:space="preserve"> The Solomon Gulch Hydroelectric Project is a 12 MW facility serving Valdez and Glennallen. The project began commercial operation on July 1, 1982. It is owned and is operated and maintained by the Copper Valley Electric Association (CVEA).</t>
  </si>
  <si>
    <t xml:space="preserve"> This 2 MW run-of-the-river hydroelectric project was constructed in 2004-2005 to supplement the 4.5 MW Black Bear Lake project, providing a back-up supply of electricity for the communities of Prince of Wales Island. The project was completed by Alaska Power &amp; Telephone, with grant/loan assistance from the Denali Commission and the Alaska Energy Authority.</t>
  </si>
  <si>
    <t xml:space="preserve"> This 22.4 MW remote (accessible only by boat or plane) facility is connected to the Ketchikan Public Utilities system via a 30-mile transmission line. It is operated by the Southeast Alaska Power Agency (SEAPA). It came online in 1983 and currently operates at near-full capacity.</t>
  </si>
  <si>
    <t xml:space="preserve"> The project, owned by Iliamna-Newhalen-Nondalton Electric Coopemtive (INNEC), has an installed capacity of 824 kW and is expandable to 1.5 MW. It is a run-of-the-river project that came online in 1998. It is located on the Tazimina River about 12 miles northeast of Iliamna Lake.</t>
  </si>
  <si>
    <t xml:space="preserve"> The project is located approximately 25 miles southwest of the City of Kodiak, and it is accessible by float plane and boat only. The project was placed into service January 1985 and produces up to 20 MW for Kodiak City and surrounding areas. Kodiak Electric Association now generates 90 percent of its electricity with hydropower and windpower produced by turbines installed in 2009 on Pillar Mountain.</t>
  </si>
  <si>
    <t>Terror Lake, Third Unit</t>
  </si>
  <si>
    <t>A third 10 MW unit is being added to the Terror Lake powerhouse to increase generation capacity.</t>
  </si>
  <si>
    <t xml:space="preserve"> This 100 kW run-of-river project provides power to the City of Akutan. It was constructed in 1990 and has recently undergone a renovation of its intake structures to increase annual energy.</t>
  </si>
  <si>
    <t xml:space="preserve"> The Tyee Lake Hydroelectric project is located in Southeast Alaska, approximately 40 miles southeast of the City of Wrangell. It generates up to 20 MW of electricity for the cities of Wrangell and Petersburg. It is interconnected with the Swan Hydroelectric project and the City of Ketchikan via the Swan-Tyee Intertie. Tyee Hydroelectric is owned by SEAPA.</t>
  </si>
  <si>
    <t>Description</t>
  </si>
  <si>
    <t>Mahoney Lake</t>
  </si>
  <si>
    <t>Lake Dorothy (phase 1)</t>
  </si>
  <si>
    <t>Blind Slough (Crystal Lake)</t>
  </si>
  <si>
    <t xml:space="preserve"> Allison Creek is a 6.5 MW run-of-river project located near Solomon Gulch above the Alyeska Pipeline Terminal in Valdez. Copper Valley Electric Association is developing this project.</t>
  </si>
  <si>
    <t xml:space="preserve"> The Fivemile Creek project is located near Chitina. It is a high-head 400 kW site, currently in licensing.</t>
  </si>
  <si>
    <t xml:space="preserve"> The 455 kW run-of-river project, now under construction, would offset approximately 30 percent of the diesel generation for the City of Hoonah. It includes a small diversion-dam and intake structure at the head of Gartina Falls and a steel penstock and powerhouse at the base of the falls.</t>
  </si>
  <si>
    <t xml:space="preserve"> Indian River is a 180 kW run-of-river hydroelectric project located near Tenakee Springs. It is a FERC-exempt project located on lands in the Tongass National Forest.</t>
  </si>
  <si>
    <t xml:space="preserve"> The proposed 9.6 MW project will be located in Southeast Alaska approximately five air miles northeast of the city of Ketchikan. The FERC licensing process was completed in 1998.</t>
  </si>
  <si>
    <t xml:space="preserve"> Packers Creek is 177 kW run-of-river project located near Chignik Lagoon.</t>
  </si>
  <si>
    <t xml:space="preserve"> This 5 MW project is being overseen by AEA and the Southeast Conference and will consist of construction a hydroelectric facility on Reynolds Creek on Prince of Wales Island along with the hydro facility, a 10.5-mile transmission line to connect into the existing island grid.</t>
  </si>
  <si>
    <t xml:space="preserve"> The Southfork Hydroelectric Project is a 1 MW project located in the south fork of Eagle River that is privately owned and sells power to Matanuska Electric Association (MEA).</t>
  </si>
  <si>
    <t xml:space="preserve"> Thayer Lake is a 1+ MW run-of-river project on Admiralty Island that will serve the Village of Angoon.</t>
  </si>
  <si>
    <t xml:space="preserve"> This FERC-exempt hydroelectric project, located near King Cove, will supplement the Delta Creek Hydroelectric project and share the powerhouse and existing transmission line.</t>
  </si>
  <si>
    <t xml:space="preserve"> The Whitman Lake Hydroelectric Project is located approximately four miles east of Ketchikan. Ketchikan Public Utilities is installing 4.6 MW of hydropower generating capacity at the existing Whitman Lake Dam to provide an additional source of clean renewable energy to the city of Ketchikan and the Borough area including Saxman Village</t>
  </si>
  <si>
    <t>Jetty Lake (West Side Hydro)</t>
  </si>
  <si>
    <t>Armstrong-Keta Inc.</t>
  </si>
  <si>
    <t>Port Armstrong Hatchery</t>
  </si>
  <si>
    <t>Dry Spruce Creek</t>
  </si>
  <si>
    <t>City of Saxman</t>
  </si>
  <si>
    <t>PB Energy, Inc</t>
  </si>
  <si>
    <t>Fourth of July Creek</t>
  </si>
  <si>
    <t>Loud Creek</t>
  </si>
  <si>
    <t>Excursion Inlet</t>
  </si>
  <si>
    <t>Connelly Lake</t>
  </si>
  <si>
    <t>Neck Lake</t>
  </si>
  <si>
    <t>Seward</t>
  </si>
  <si>
    <t>Cooper Lake, Stetson Creek Diversion</t>
  </si>
  <si>
    <t>Blue Lake Fish Valve Unit</t>
  </si>
  <si>
    <t>Port Bailey Cannery</t>
  </si>
  <si>
    <t>SSRAA</t>
  </si>
  <si>
    <t>Burnett Inlet Hatchery</t>
  </si>
  <si>
    <t>Prince of Wales Island</t>
  </si>
  <si>
    <t>Chugach Electric</t>
  </si>
  <si>
    <t>P-14630</t>
  </si>
  <si>
    <t>Capacity (kW)</t>
  </si>
  <si>
    <t>Row Labels</t>
  </si>
  <si>
    <t>Grand Total</t>
  </si>
  <si>
    <t>Sum of Capacity (kW)</t>
  </si>
  <si>
    <t>Sum of Average Annual Generation (MWh)</t>
  </si>
  <si>
    <t>(blank)</t>
  </si>
  <si>
    <t>Wrangell/Petersburg/Ketchikan</t>
  </si>
  <si>
    <t>HYDROELECTRIC PROJECTS IN ALASKA</t>
  </si>
  <si>
    <t>Chikuminuk Lake</t>
  </si>
  <si>
    <t>Allen River</t>
  </si>
  <si>
    <t>Bethel/Dillingham</t>
  </si>
  <si>
    <t>Project Name</t>
  </si>
  <si>
    <t>Crater Lake</t>
  </si>
  <si>
    <t>Bear Creek</t>
  </si>
  <si>
    <t>Chignik Lake</t>
  </si>
  <si>
    <t>Landing Creek</t>
  </si>
  <si>
    <t>Name</t>
  </si>
  <si>
    <t>Grid</t>
  </si>
  <si>
    <t>Chignik Existing Project Demolition</t>
  </si>
  <si>
    <t>storeage</t>
  </si>
  <si>
    <t>Resource Type</t>
  </si>
  <si>
    <t>Hydro</t>
  </si>
  <si>
    <t>Resource Sub-Type</t>
  </si>
  <si>
    <t>Communities</t>
  </si>
  <si>
    <t>Location</t>
  </si>
  <si>
    <t>KW Installed</t>
  </si>
  <si>
    <t>Kotzebue</t>
  </si>
  <si>
    <t>Wales</t>
  </si>
  <si>
    <t>Selawik</t>
  </si>
  <si>
    <t>Toksook Bay</t>
  </si>
  <si>
    <t>Saint Paul</t>
  </si>
  <si>
    <t>Kasigluk</t>
  </si>
  <si>
    <t>Tin City</t>
  </si>
  <si>
    <t>Delta Junction</t>
  </si>
  <si>
    <t>Savoonga</t>
  </si>
  <si>
    <t>Hooper Bay</t>
  </si>
  <si>
    <t>Perryville</t>
  </si>
  <si>
    <t>Unalakleet</t>
  </si>
  <si>
    <t>Gambell</t>
  </si>
  <si>
    <t>Chevak</t>
  </si>
  <si>
    <t>Quinhagak</t>
  </si>
  <si>
    <t>Mekoryuk</t>
  </si>
  <si>
    <t>Nikolski</t>
  </si>
  <si>
    <t>Sand Point</t>
  </si>
  <si>
    <t>Kongiganak</t>
  </si>
  <si>
    <t>Kokhanok</t>
  </si>
  <si>
    <t>Emmonak</t>
  </si>
  <si>
    <t>Shaktoolik</t>
  </si>
  <si>
    <t>Fire Island</t>
  </si>
  <si>
    <t>Eva Creek</t>
  </si>
  <si>
    <t>Kwigillingok</t>
  </si>
  <si>
    <t>Tuntutuliak</t>
  </si>
  <si>
    <t>Wind Class</t>
  </si>
  <si>
    <t>Predicted Gross Production per Year (kWh)</t>
  </si>
  <si>
    <t>Wind</t>
  </si>
  <si>
    <t>Average Annual Generation (kWh)</t>
  </si>
  <si>
    <t>Nome</t>
  </si>
  <si>
    <t>Capacity Factor Used for Analysis</t>
  </si>
  <si>
    <t>Banner Peak</t>
  </si>
  <si>
    <t>Pillar Mtn.</t>
  </si>
  <si>
    <t>AWE</t>
  </si>
  <si>
    <t>TDX</t>
  </si>
  <si>
    <t>Community</t>
  </si>
  <si>
    <t>Sum of Average Annual Generation (kWh)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</si>
</sst>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6" formatCode="_(* #,##0_);_(* \(#,##0\);_(* &quot;-&quot;??_);_(@_)"/>
  </numFmts>
  <fonts count="9" x14ac:knownFonts="1">
    <font>
      <sz val="11"/>
      <color theme="1"/>
      <name val="Calibri"/>
      <family val="2"/>
      <scheme val="minor"/>
    </font>
    <font>
      <sz val="10"/>
      <color theme="1"/>
      <name val="Arial"/>
      <family val="2"/>
    </font>
    <font>
      <b/>
      <sz val="9"/>
      <color indexed="81"/>
      <name val="Tahoma"/>
      <family val="2"/>
    </font>
    <font>
      <sz val="9"/>
      <color indexed="81"/>
      <name val="Tahoma"/>
      <family val="2"/>
    </font>
    <font>
      <b/>
      <sz val="16"/>
      <color theme="1"/>
      <name val="Arial"/>
      <family val="2"/>
    </font>
    <font>
      <b/>
      <sz val="11"/>
      <color theme="1"/>
      <name val="Calibri"/>
      <family val="2"/>
      <scheme val="minor"/>
    </font>
    <font>
      <sz val="10"/>
      <name val="Arial"/>
      <family val="2"/>
    </font>
    <font>
      <b/>
      <sz val="10"/>
      <name val="Arial"/>
      <family val="2"/>
    </font>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s>
  <cellStyleXfs count="3">
    <xf numFmtId="0" fontId="0" fillId="0" borderId="0"/>
    <xf numFmtId="43" fontId="8" fillId="0" borderId="0" applyFont="0" applyFill="0" applyBorder="0" applyAlignment="0" applyProtection="0"/>
    <xf numFmtId="9" fontId="8" fillId="0" borderId="0" applyFont="0" applyFill="0" applyBorder="0" applyAlignment="0" applyProtection="0"/>
  </cellStyleXfs>
  <cellXfs count="43">
    <xf numFmtId="0" fontId="0" fillId="0" borderId="0" xfId="0"/>
    <xf numFmtId="0" fontId="1" fillId="0" borderId="0" xfId="0" applyFont="1" applyFill="1" applyAlignment="1"/>
    <xf numFmtId="0" fontId="1" fillId="0" borderId="0" xfId="0" applyFont="1" applyFill="1" applyAlignment="1">
      <alignment horizontal="right"/>
    </xf>
    <xf numFmtId="0" fontId="1" fillId="0" borderId="0" xfId="0" applyFont="1" applyFill="1" applyAlignment="1">
      <alignment horizontal="center"/>
    </xf>
    <xf numFmtId="0" fontId="6" fillId="0" borderId="0" xfId="0" applyFont="1" applyFill="1" applyBorder="1" applyAlignment="1">
      <alignment horizontal="left"/>
    </xf>
    <xf numFmtId="0" fontId="6" fillId="0" borderId="0" xfId="0" applyFont="1" applyFill="1" applyBorder="1" applyAlignment="1">
      <alignment horizontal="justify"/>
    </xf>
    <xf numFmtId="0" fontId="6" fillId="0" borderId="0" xfId="0" applyFont="1" applyFill="1" applyBorder="1" applyAlignment="1"/>
    <xf numFmtId="0" fontId="6" fillId="0" borderId="0" xfId="0" applyFont="1" applyFill="1" applyBorder="1" applyAlignment="1">
      <alignment horizontal="justify" vertical="center"/>
    </xf>
    <xf numFmtId="0" fontId="0" fillId="0" borderId="1" xfId="0" applyBorder="1"/>
    <xf numFmtId="3" fontId="0" fillId="0" borderId="1" xfId="0" applyNumberFormat="1" applyBorder="1"/>
    <xf numFmtId="0" fontId="5" fillId="0" borderId="1" xfId="0" applyFont="1" applyBorder="1"/>
    <xf numFmtId="0" fontId="4" fillId="0" borderId="0" xfId="0" applyFont="1" applyFill="1" applyBorder="1" applyAlignment="1">
      <alignment horizontal="center"/>
    </xf>
    <xf numFmtId="0" fontId="4" fillId="0" borderId="0" xfId="0" applyFont="1" applyFill="1" applyBorder="1" applyAlignment="1"/>
    <xf numFmtId="0" fontId="7" fillId="2" borderId="0" xfId="0" applyFont="1" applyFill="1" applyBorder="1" applyAlignment="1">
      <alignment horizontal="center"/>
    </xf>
    <xf numFmtId="0" fontId="7" fillId="2" borderId="4" xfId="0" applyFont="1" applyFill="1" applyBorder="1" applyAlignment="1">
      <alignment horizontal="center"/>
    </xf>
    <xf numFmtId="0" fontId="7" fillId="2" borderId="5" xfId="0" applyFont="1" applyFill="1" applyBorder="1" applyAlignment="1">
      <alignment horizontal="center"/>
    </xf>
    <xf numFmtId="3" fontId="6" fillId="0" borderId="0" xfId="0" applyNumberFormat="1" applyFont="1" applyFill="1" applyBorder="1" applyAlignment="1"/>
    <xf numFmtId="0" fontId="6" fillId="0" borderId="0" xfId="0" applyFont="1" applyFill="1" applyBorder="1" applyAlignment="1">
      <alignment horizontal="left" vertic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NumberFormat="1" applyFont="1" applyFill="1" applyBorder="1" applyAlignment="1">
      <alignment horizontal="center"/>
    </xf>
    <xf numFmtId="3" fontId="6" fillId="0" borderId="0" xfId="0" applyNumberFormat="1" applyFont="1" applyFill="1" applyBorder="1" applyAlignment="1">
      <alignment horizontal="right"/>
    </xf>
    <xf numFmtId="0" fontId="0" fillId="0" borderId="0" xfId="0" applyAlignmen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6" fillId="0" borderId="0" xfId="0" applyFont="1" applyFill="1" applyAlignment="1"/>
    <xf numFmtId="0" fontId="6" fillId="0" borderId="0" xfId="0" applyFont="1" applyFill="1" applyAlignment="1">
      <alignment horizontal="left"/>
    </xf>
    <xf numFmtId="0" fontId="6" fillId="0" borderId="0" xfId="0" applyFont="1" applyFill="1" applyAlignment="1">
      <alignment horizontal="left" vertical="center"/>
    </xf>
    <xf numFmtId="3" fontId="6" fillId="0" borderId="0" xfId="0" applyNumberFormat="1" applyFont="1" applyFill="1" applyAlignment="1">
      <alignment horizontal="right"/>
    </xf>
    <xf numFmtId="0" fontId="6" fillId="0" borderId="6" xfId="0" applyFont="1" applyFill="1" applyBorder="1" applyAlignment="1"/>
    <xf numFmtId="3" fontId="6" fillId="0" borderId="0" xfId="0" applyNumberFormat="1" applyFont="1" applyFill="1" applyBorder="1" applyAlignment="1">
      <alignment horizontal="left"/>
    </xf>
    <xf numFmtId="0" fontId="0" fillId="0" borderId="0" xfId="0" applyAlignment="1">
      <alignment wrapText="1"/>
    </xf>
    <xf numFmtId="9" fontId="0" fillId="0" borderId="0" xfId="2" applyFont="1" applyAlignment="1">
      <alignment horizontal="center"/>
    </xf>
    <xf numFmtId="9" fontId="0" fillId="0" borderId="0" xfId="2" applyFont="1" applyAlignment="1">
      <alignment horizontal="center" wrapText="1"/>
    </xf>
    <xf numFmtId="0" fontId="0" fillId="0" borderId="0" xfId="0" applyAlignment="1">
      <alignment horizontal="center" wrapText="1"/>
    </xf>
    <xf numFmtId="0" fontId="0" fillId="0" borderId="0" xfId="0" applyAlignment="1">
      <alignment horizontal="center"/>
    </xf>
    <xf numFmtId="166" fontId="0" fillId="0" borderId="0" xfId="1" applyNumberFormat="1" applyFont="1" applyAlignment="1">
      <alignment horizontal="center"/>
    </xf>
    <xf numFmtId="166" fontId="0" fillId="0" borderId="0" xfId="1" applyNumberFormat="1" applyFont="1" applyAlignment="1">
      <alignment horizontal="center" wrapText="1"/>
    </xf>
    <xf numFmtId="166" fontId="0" fillId="0" borderId="0" xfId="1" applyNumberFormat="1" applyFont="1" applyAlignment="1">
      <alignment wrapText="1"/>
    </xf>
    <xf numFmtId="166" fontId="0" fillId="0" borderId="0" xfId="1" applyNumberFormat="1" applyFont="1"/>
    <xf numFmtId="0" fontId="0" fillId="0" borderId="0" xfId="0" applyNumberFormat="1"/>
  </cellXfs>
  <cellStyles count="3">
    <cellStyle name="Comma" xfId="1" builtinId="3"/>
    <cellStyle name="Normal" xfId="0" builtinId="0"/>
    <cellStyle name="Percent" xfId="2" builtinId="5"/>
  </cellStyles>
  <dxfs count="23">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border diagonalUp="0" diagonalDown="0">
        <left style="medium">
          <color indexed="64"/>
        </left>
        <right/>
        <top style="medium">
          <color indexed="64"/>
        </top>
        <bottom style="medium">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textRotation="0" wrapText="0" indent="0" justifyLastLine="0" shrinkToFit="0" readingOrder="0"/>
    </dxf>
    <dxf>
      <border outline="0">
        <bottom style="medium">
          <color indexed="64"/>
        </bottom>
      </border>
    </dxf>
    <dxf>
      <font>
        <b/>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aniel J. Hertrich" refreshedDate="42467.577097800924" createdVersion="5" refreshedVersion="5" minRefreshableVersion="3" recordCount="91">
  <cacheSource type="worksheet">
    <worksheetSource name="Table3"/>
  </cacheSource>
  <cacheFields count="20">
    <cacheField name="Phase" numFmtId="0">
      <sharedItems count="6">
        <s v="Operational"/>
        <s v="4-Construction"/>
        <s v="3-Final Design"/>
        <s v="2-Feasibility"/>
        <s v="1-Recon"/>
        <s v="2-Susitna" u="1"/>
      </sharedItems>
    </cacheField>
    <cacheField name="Year of Operation or Development Phase" numFmtId="0">
      <sharedItems containsBlank="1" containsMixedTypes="1" containsNumber="1" containsInteger="1" minValue="1903" maxValue="2015"/>
    </cacheField>
    <cacheField name="Project Name" numFmtId="0">
      <sharedItems count="80">
        <s v="10 Mile Creek"/>
        <s v="Annex Creek"/>
        <s v="AWWU Conduit"/>
        <s v="Beaver Falls"/>
        <s v="Black Bear Lake"/>
        <s v="Blind Slough (Crystal Lake)"/>
        <s v="Blue Lake"/>
        <s v="Bradley Lake"/>
        <s v="Burnett River Hatchery"/>
        <s v="Chester Lake"/>
        <s v="Chignik"/>
        <s v="Chuniisax Creek"/>
        <s v="Cooper Lake"/>
        <s v="Delta Creek"/>
        <s v="Dewey Lakes"/>
        <s v="Dry Spruce Creek"/>
        <s v="Eklutna"/>
        <s v="Falls Creek"/>
        <s v="Gartina Falls"/>
        <s v="Goat Lake"/>
        <s v="Gold Creek"/>
        <s v="Green Lake"/>
        <s v="Humpback Creek"/>
        <s v="Jetty Lake (West Side Hydro)"/>
        <s v="Kasidaya Creek"/>
        <s v="Ketchikan Lakes"/>
        <s v="Lake Dorothy"/>
        <s v="Larsen Bay"/>
        <s v="Lutak"/>
        <s v="Mahoona Lake"/>
        <s v="Marathon Hydro"/>
        <s v="McRoberts Creek"/>
        <s v="Packers Creek"/>
        <s v="Pelican"/>
        <s v="Power Creek"/>
        <s v="Purple Lake"/>
        <s v="Salmon Creek"/>
        <s v="Silvis Lakes"/>
        <s v="Snettisham"/>
        <s v="Solomon Gulch"/>
        <s v="South Fork Black Bear"/>
        <s v="South Fork Hydro (Eagle River)"/>
        <s v="Swan Lake"/>
        <s v="Tazimina"/>
        <s v="Terror Lake"/>
        <s v="Town Creek"/>
        <s v="Tyee"/>
        <s v="Whitman Lake"/>
        <s v="Allison Creek"/>
        <s v="Híilangaay (Reynolds Creek) Hydro"/>
        <s v="Indian River"/>
        <s v="Chenega Bay (Anderson Creek)"/>
        <s v="Crooked Creek/Jim's Lake"/>
        <s v="Fishhook"/>
        <s v="Fivemile Creek"/>
        <s v="Knutson Creek"/>
        <s v="Mahoney Lake"/>
        <s v="Waterfall Creek"/>
        <s v="Yerrick Creek"/>
        <s v="Cordova"/>
        <s v="Fourth of July Creek"/>
        <s v="Grant Lake/Falls Creek"/>
        <s v="Gunnuk Creek"/>
        <s v="Kogoluktuk River"/>
        <s v="Old Harbor"/>
        <s v="Scammon Bay "/>
        <s v="Susitna-Watana"/>
        <s v="Sweetheart Lake"/>
        <s v="Takatz Lake"/>
        <s v="Thayer Lake"/>
        <s v="Chignik Lake"/>
        <s v="Chikuminuk Lake"/>
        <s v="Clearwater Creek"/>
        <s v="Connelly Lake"/>
        <s v="Excursion Inlet"/>
        <s v="False Pass"/>
        <s v="Loud Creek"/>
        <s v="Neck Lake"/>
        <s v="Tiekel River"/>
        <s v="Triangle Lake"/>
      </sharedItems>
    </cacheField>
    <cacheField name="Name" numFmtId="0">
      <sharedItems/>
    </cacheField>
    <cacheField name="Grid" numFmtId="0">
      <sharedItems containsNonDate="0" containsString="0" containsBlank="1"/>
    </cacheField>
    <cacheField name="Utility/Owner" numFmtId="0">
      <sharedItems containsBlank="1"/>
    </cacheField>
    <cacheField name="Capacity (kW)" numFmtId="3">
      <sharedItems containsString="0" containsBlank="1" containsNumber="1" containsInteger="1" minValue="-60" maxValue="600000"/>
    </cacheField>
    <cacheField name="Average Annual Generation (MWh)" numFmtId="3">
      <sharedItems containsString="0" containsBlank="1" containsNumber="1" minValue="-300" maxValue="2800000"/>
    </cacheField>
    <cacheField name="Type" numFmtId="0">
      <sharedItems containsBlank="1" count="11">
        <s v="run-of-river"/>
        <s v="lake tap"/>
        <s v="conduit"/>
        <s v="run-of-river/lake tap"/>
        <s v="storage"/>
        <s v="lake tap/storage"/>
        <m/>
        <s v="diversion"/>
        <s v="run-of-river/storage"/>
        <s v="(see above)"/>
        <s v="storeage"/>
      </sharedItems>
    </cacheField>
    <cacheField name="FERC No" numFmtId="0">
      <sharedItems containsBlank="1"/>
    </cacheField>
    <cacheField name="Service Area" numFmtId="0">
      <sharedItems containsBlank="1" count="46">
        <s v="Haines/Skagway"/>
        <s v="Juneau"/>
        <s v="Railbelt"/>
        <s v="Wrangell/Petersburg/Ketchikan"/>
        <s v="Prince of Wales"/>
        <s v="Sitka"/>
        <s v="Burnett Inlet Hatchery"/>
        <s v="Metlakatla"/>
        <s v="Chignik Bay"/>
        <s v="Atka"/>
        <s v="King Cove"/>
        <s v="Port Bailey Cannery"/>
        <s v="Gustavus"/>
        <s v="Hoonah"/>
        <s v="Cordova"/>
        <s v="Port Armstrong Hatchery"/>
        <s v="Larsen Bay"/>
        <s v="Ouzinkie"/>
        <s v="Chignik Lagoon"/>
        <s v="Pelican"/>
        <s v="Glennallen-Valdez"/>
        <s v="Iliamna"/>
        <s v="Kodiak"/>
        <s v="Akutan"/>
        <s v="Prince of Wales Island"/>
        <s v="Tenakee Springs"/>
        <s v="Chenega"/>
        <s v="Elfin Cove"/>
        <s v="Chitina"/>
        <s v="Pedro Bay"/>
        <s v="Seward"/>
        <s v="Kake"/>
        <s v="Ambler, Shungnak, Kobuk, and Kiana"/>
        <s v="Old Harbor"/>
        <s v="Scammon Bay"/>
        <s v="Iliamna, Newhalen, Nondalton"/>
        <s v="Angoon"/>
        <m/>
        <s v="Bethel/Dillingham"/>
        <s v="Excursion Inlet"/>
        <s v="False Pass"/>
        <s v="Palmer" u="1"/>
        <s v="Wrang/Pet/Ketch" u="1"/>
        <s v="Upper Lynn Canal/Haines/Skagway" u="1"/>
        <s v="Ketchikan" u="1"/>
        <s v="Petersburg" u="1"/>
      </sharedItems>
    </cacheField>
    <cacheField name="Total Project Cost" numFmtId="0">
      <sharedItems containsNonDate="0" containsString="0" containsBlank="1"/>
    </cacheField>
    <cacheField name="Cost Year" numFmtId="0">
      <sharedItems containsNonDate="0" containsString="0" containsBlank="1"/>
    </cacheField>
    <cacheField name="Source" numFmtId="0">
      <sharedItems containsNonDate="0" containsString="0" containsBlank="1"/>
    </cacheField>
    <cacheField name="Feasibility Study" numFmtId="0">
      <sharedItems containsNonDate="0" containsString="0" containsBlank="1"/>
    </cacheField>
    <cacheField name="Design Drawings" numFmtId="0">
      <sharedItems containsNonDate="0" containsString="0" containsBlank="1"/>
    </cacheField>
    <cacheField name="Map" numFmtId="0">
      <sharedItems containsNonDate="0" containsString="0" containsBlank="1"/>
    </cacheField>
    <cacheField name="Entity Type" numFmtId="0">
      <sharedItems containsBlank="1"/>
    </cacheField>
    <cacheField name="Notes" numFmtId="0">
      <sharedItems containsBlank="1"/>
    </cacheField>
    <cacheField name="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eil McMahon" refreshedDate="42473.666657291666" createdVersion="6" refreshedVersion="6" minRefreshableVersion="3" recordCount="79">
  <cacheSource type="worksheet">
    <worksheetSource ref="A1:F80" sheet="RE Capacity by project"/>
  </cacheSource>
  <cacheFields count="6">
    <cacheField name="Community" numFmtId="0">
      <sharedItems count="48">
        <s v="Akutan"/>
        <s v="Atka"/>
        <s v="Chevak"/>
        <s v="Chignik Bay"/>
        <s v="Chignik Lagoon"/>
        <s v="Cordova"/>
        <s v="Emmonak"/>
        <s v="Gambell"/>
        <s v="Glennallen-Valdez"/>
        <s v="Gustavus"/>
        <s v="Haines/Skagway"/>
        <s v="Hoonah"/>
        <s v="Hooper Bay"/>
        <s v="Iliamna"/>
        <s v="Juneau"/>
        <s v="Kasigluk"/>
        <s v="King Cove"/>
        <s v="Kodiak"/>
        <s v="Kokhanok"/>
        <s v="Kongiganak"/>
        <s v="Kotzebue"/>
        <s v="Kwigillingok"/>
        <s v="Larsen Bay"/>
        <s v="Mekoryuk"/>
        <s v="Metlakatla"/>
        <s v="Nikolski"/>
        <s v="Nome"/>
        <s v="Ouzinkie"/>
        <s v="Pelican"/>
        <s v="Perryville"/>
        <s v="Port Armstrong Hatchery"/>
        <s v="Port Bailey Cannery"/>
        <s v="Prince of Wales"/>
        <s v="Quinhagak"/>
        <s v="Railbelt"/>
        <s v="Saint Paul"/>
        <s v="Sand Point"/>
        <s v="Savoonga"/>
        <s v="Selawik"/>
        <s v="Shaktoolik"/>
        <s v="Sitka"/>
        <s v="Tenakee Springs"/>
        <s v="Tin City"/>
        <s v="Toksook Bay"/>
        <s v="Tuntutuliak"/>
        <s v="Unalakleet"/>
        <s v="Wales"/>
        <s v="Wrangell/Petersburg/Ketchikan"/>
      </sharedItems>
    </cacheField>
    <cacheField name="Project Name" numFmtId="0">
      <sharedItems containsBlank="1"/>
    </cacheField>
    <cacheField name="Resource Type" numFmtId="0">
      <sharedItems count="2">
        <s v="Hydro"/>
        <s v="Wind"/>
      </sharedItems>
    </cacheField>
    <cacheField name="Resource Sub-Type" numFmtId="0">
      <sharedItems containsBlank="1"/>
    </cacheField>
    <cacheField name="Capacity (kW)" numFmtId="0">
      <sharedItems containsSemiMixedTypes="0" containsString="0" containsNumber="1" containsInteger="1" minValue="0" maxValue="120000"/>
    </cacheField>
    <cacheField name="Average Annual Generation (kWh)" numFmtId="166">
      <sharedItems containsString="0" containsBlank="1" containsNumber="1" minValue="0" maxValue="380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1">
  <r>
    <x v="0"/>
    <n v="2000"/>
    <x v="0"/>
    <s v="10 Mile Creek"/>
    <m/>
    <s v="IPEC"/>
    <n v="600"/>
    <n v="1000"/>
    <x v="0"/>
    <m/>
    <x v="0"/>
    <m/>
    <m/>
    <m/>
    <m/>
    <m/>
    <m/>
    <s v="Utility"/>
    <m/>
    <m/>
  </r>
  <r>
    <x v="0"/>
    <n v="1915"/>
    <x v="1"/>
    <s v="Annex Creek"/>
    <m/>
    <s v="AELP"/>
    <n v="4000"/>
    <n v="26000"/>
    <x v="1"/>
    <m/>
    <x v="1"/>
    <m/>
    <m/>
    <m/>
    <m/>
    <m/>
    <m/>
    <s v="Utility"/>
    <m/>
    <s v=" This 3.6 megawatt (MW) project, operated by Alaska Electric Light and Power, was originally developed in 1915 by the Gastineau Alaska Engineers. It was automated in 1977 and currently provides about 10 percent of the City and Borough of Juneau’s electrical power needs."/>
  </r>
  <r>
    <x v="0"/>
    <n v="1988"/>
    <x v="2"/>
    <s v="AWWU Conduit"/>
    <m/>
    <s v="AWWU"/>
    <n v="750"/>
    <m/>
    <x v="2"/>
    <m/>
    <x v="2"/>
    <m/>
    <m/>
    <m/>
    <m/>
    <m/>
    <m/>
    <s v="Municipality"/>
    <m/>
    <m/>
  </r>
  <r>
    <x v="0"/>
    <n v="1947"/>
    <x v="3"/>
    <s v="Beaver Falls"/>
    <m/>
    <s v="KPU"/>
    <n v="5200"/>
    <n v="44675.5"/>
    <x v="3"/>
    <s v="P-1922"/>
    <x v="3"/>
    <m/>
    <m/>
    <m/>
    <m/>
    <m/>
    <m/>
    <m/>
    <m/>
    <s v=" This 5.4 MW facility is owned and operated by Ketchikan Public Utilities and provides power to the City of Ketchikan. It consists of three separate generators built between 1947 and 1954."/>
  </r>
  <r>
    <x v="0"/>
    <n v="1995"/>
    <x v="4"/>
    <s v="Black Bear Lake"/>
    <m/>
    <s v="AP&amp;T"/>
    <n v="4500"/>
    <n v="20600.349999999999"/>
    <x v="4"/>
    <s v="P-10440"/>
    <x v="4"/>
    <m/>
    <m/>
    <m/>
    <m/>
    <m/>
    <m/>
    <m/>
    <m/>
    <s v=" The Black Bear Lake Hydro project is a 4.5 MW hydroelectric project at Black Bear Lake on Prince of Wales Island, approximately 15 miles northeast of Klawock. It supplies power to the communities of Prince of Wales Island and was the first hydro project in Alaska to be certified as low impact by the Low Impact Hydropower Institute. Black Bear Lake was completed in 1995 and cost $10 million to permit and construct."/>
  </r>
  <r>
    <x v="0"/>
    <n v="1925"/>
    <x v="5"/>
    <s v="Blind Slough (Crystal Lake)"/>
    <m/>
    <s v="Petersburg"/>
    <n v="2000"/>
    <n v="982"/>
    <x v="4"/>
    <s v="P-201"/>
    <x v="3"/>
    <m/>
    <m/>
    <m/>
    <m/>
    <m/>
    <m/>
    <m/>
    <m/>
    <s v=" Blind Slough is a 2 MW project that has been supplying the City of Petersburg with electrical power since the 1920s. The project is located on Crystal Lake on Mitkof Island approximately 16.5 highway miles south of the City of Petersburg. Water used for generation is either used directly by the Crystal Lake Fish Hatchery or is returned to Crystal Creek, which eventually enters Blind Slough. It provides about 20 percent of the electricity for Petersburg Municipal Light and Power."/>
  </r>
  <r>
    <x v="0"/>
    <n v="1958"/>
    <x v="6"/>
    <s v="Blue Lake"/>
    <m/>
    <s v="Sitka"/>
    <n v="7540"/>
    <n v="54800"/>
    <x v="5"/>
    <s v="P-2230"/>
    <x v="5"/>
    <m/>
    <m/>
    <m/>
    <m/>
    <m/>
    <m/>
    <m/>
    <m/>
    <s v=" The City of Sitka owns and operates this 6 MW project on Sawmill Creek, which went into operation in 1961. It currently provides about 20 percent of electrical demand to the City of Sitka."/>
  </r>
  <r>
    <x v="0"/>
    <n v="2014"/>
    <x v="6"/>
    <s v="Blue Lake Expansion"/>
    <m/>
    <s v="Sitka"/>
    <n v="6660"/>
    <n v="37700"/>
    <x v="5"/>
    <s v="P-2230"/>
    <x v="5"/>
    <m/>
    <m/>
    <m/>
    <m/>
    <m/>
    <m/>
    <m/>
    <m/>
    <s v="Sitka recently received three separate State of Alaska legislative grants totaling $49 million to increase the dam height and replace the powerhouse and a fish valve unit, increasing generating capacity to 16.9 MW. The expansion is under construction."/>
  </r>
  <r>
    <x v="0"/>
    <n v="2014"/>
    <x v="6"/>
    <s v="Blue Lake Fish Valve Unit"/>
    <m/>
    <s v="Sitka"/>
    <n v="1445"/>
    <n v="7700"/>
    <x v="5"/>
    <s v="P-2230"/>
    <x v="5"/>
    <m/>
    <m/>
    <m/>
    <m/>
    <m/>
    <m/>
    <m/>
    <m/>
    <m/>
  </r>
  <r>
    <x v="0"/>
    <n v="1991"/>
    <x v="7"/>
    <s v="Bradley Lake"/>
    <m/>
    <s v="AEA"/>
    <n v="120000"/>
    <n v="380000"/>
    <x v="1"/>
    <s v="P-8221"/>
    <x v="2"/>
    <m/>
    <m/>
    <m/>
    <m/>
    <m/>
    <m/>
    <m/>
    <m/>
    <s v=" Bradley Lake, a 120 MW hydroelectric project, is 27 miles southeast of Homer and serves the Railbelt from Homer to Fairbanks. Bradley Lake which was constructed and is owned, by the Alaska Energy Authority (AEA), went into commercial operation in 1991 and is operated by the Homer Electric Association. The project is an impoundment hydroelectric facility with a 125-foot high dam and a 3.5-mile power tunnel. It cost more than $300 million ($479 million in 2007 dollars)."/>
  </r>
  <r>
    <x v="0"/>
    <m/>
    <x v="8"/>
    <s v="Burnett River Hatchery"/>
    <m/>
    <s v="SSRAA"/>
    <n v="80"/>
    <m/>
    <x v="6"/>
    <s v="P-10773"/>
    <x v="6"/>
    <m/>
    <m/>
    <m/>
    <m/>
    <m/>
    <m/>
    <m/>
    <m/>
    <m/>
  </r>
  <r>
    <x v="0"/>
    <n v="1987"/>
    <x v="9"/>
    <s v="Chester Lake"/>
    <m/>
    <s v="Metlakatla"/>
    <n v="1100"/>
    <n v="4960.915"/>
    <x v="1"/>
    <m/>
    <x v="7"/>
    <m/>
    <m/>
    <m/>
    <m/>
    <m/>
    <m/>
    <m/>
    <m/>
    <s v=" This 1 MW project is owned by Metlakatla Power and Light and provides electricity to the Southeast village of Metlakatla."/>
  </r>
  <r>
    <x v="0"/>
    <n v="1949"/>
    <x v="10"/>
    <s v="Chignik"/>
    <m/>
    <s v="Chignik Bay"/>
    <n v="60"/>
    <n v="300"/>
    <x v="4"/>
    <s v="P-620"/>
    <x v="8"/>
    <m/>
    <m/>
    <m/>
    <m/>
    <m/>
    <m/>
    <m/>
    <m/>
    <m/>
  </r>
  <r>
    <x v="0"/>
    <n v="2012"/>
    <x v="11"/>
    <s v="Chuniisax Creek"/>
    <m/>
    <s v="Atka"/>
    <n v="284"/>
    <n v="443.142"/>
    <x v="0"/>
    <m/>
    <x v="9"/>
    <m/>
    <m/>
    <m/>
    <m/>
    <m/>
    <m/>
    <m/>
    <m/>
    <m/>
  </r>
  <r>
    <x v="0"/>
    <n v="1960"/>
    <x v="12"/>
    <s v="Cooper Lake"/>
    <m/>
    <s v="CEA"/>
    <n v="19200"/>
    <n v="42000"/>
    <x v="1"/>
    <s v="P-2170"/>
    <x v="2"/>
    <m/>
    <m/>
    <m/>
    <m/>
    <m/>
    <m/>
    <m/>
    <m/>
    <s v=" Homer Electric Association owns and operates this 16.7 MW facility on Cooper Lake, Cooper Creek and Kenai Lake near the community of Cooper Landing. It began operation in 1960 and was relicensed by the FERC in 2007."/>
  </r>
  <r>
    <x v="0"/>
    <n v="2015"/>
    <x v="12"/>
    <s v="Cooper Lake, Stetson Creek Diversion"/>
    <m/>
    <s v="CEA"/>
    <n v="0"/>
    <n v="6020"/>
    <x v="7"/>
    <m/>
    <x v="2"/>
    <m/>
    <m/>
    <m/>
    <m/>
    <m/>
    <m/>
    <m/>
    <m/>
    <s v="As part of the settlement agreement reached during relicensing, Stetson Creek will be diverted to Cooper Lake, increasing annual energy generation by 5,500 MWh. The diversion will also increase the anadromous fish habitat quality in the upper reaches of Cooper Creek."/>
  </r>
  <r>
    <x v="0"/>
    <n v="1995"/>
    <x v="13"/>
    <s v="Delta Creek"/>
    <m/>
    <s v="King Cove"/>
    <n v="800"/>
    <n v="1997.981"/>
    <x v="0"/>
    <m/>
    <x v="10"/>
    <m/>
    <m/>
    <m/>
    <m/>
    <m/>
    <m/>
    <m/>
    <m/>
    <s v=" This 800 kW project supplies 100 percent of the Aleutian community of King Cove’s electrical needs and lowers the cost of electricity to $0.24 / kWh, the lowest, single-site cost of power among all 160+ communities in the State of Alaska’s Power Cost Equalization program."/>
  </r>
  <r>
    <x v="0"/>
    <s v="early 1900's"/>
    <x v="14"/>
    <s v="Dewey Lakes"/>
    <m/>
    <s v="AP&amp;T"/>
    <n v="943"/>
    <n v="3137.76"/>
    <x v="0"/>
    <s v="P-1051"/>
    <x v="0"/>
    <m/>
    <m/>
    <m/>
    <m/>
    <m/>
    <m/>
    <m/>
    <m/>
    <s v=" The 943 kW run-of-the-river Dewey Lakes Hydro Project is located adjacent to downtown Skagway. This project was built in the early 1900s and has been operated by Alaska Power &amp; Telephone since 1957."/>
  </r>
  <r>
    <x v="0"/>
    <m/>
    <x v="15"/>
    <s v="Dry Spruce Creek"/>
    <m/>
    <s v="PB Energy, Inc"/>
    <n v="75"/>
    <m/>
    <x v="6"/>
    <s v="P-1432"/>
    <x v="11"/>
    <m/>
    <m/>
    <m/>
    <m/>
    <m/>
    <m/>
    <m/>
    <m/>
    <m/>
  </r>
  <r>
    <x v="0"/>
    <n v="1955"/>
    <x v="16"/>
    <s v="Eklutna"/>
    <m/>
    <s v="CEA/MEA/MLP"/>
    <n v="40000"/>
    <n v="172076.6"/>
    <x v="4"/>
    <m/>
    <x v="2"/>
    <m/>
    <m/>
    <m/>
    <m/>
    <m/>
    <m/>
    <m/>
    <m/>
    <s v=" The Elkutna hydroelectric facility, brought online by the federal government in 1955, produces 30 MW of generation capacity. It is currently operated by Anchorage Municipal Light &amp; Power and is the cheapest energy source connected to the Railbelt energy grid."/>
  </r>
  <r>
    <x v="0"/>
    <n v="2009"/>
    <x v="17"/>
    <s v="Falls Creek"/>
    <m/>
    <s v="AP&amp;T"/>
    <n v="800"/>
    <n v="1939.011"/>
    <x v="0"/>
    <s v="P-11659"/>
    <x v="12"/>
    <m/>
    <m/>
    <m/>
    <m/>
    <m/>
    <m/>
    <m/>
    <m/>
    <s v=" This project built by Gustavus Electric Company was completed in July 2009 and provides Gustavus with .8MW of power."/>
  </r>
  <r>
    <x v="0"/>
    <n v="2015"/>
    <x v="18"/>
    <s v="Gartina Falls"/>
    <m/>
    <s v="IPEC"/>
    <n v="450"/>
    <n v="1810"/>
    <x v="0"/>
    <s v="P-14066"/>
    <x v="13"/>
    <m/>
    <m/>
    <m/>
    <m/>
    <m/>
    <m/>
    <m/>
    <m/>
    <s v=" The 455 kW run-of-river project, now under construction, would offset approximately 30 percent of the diesel generation for the City of Hoonah. It includes a small diversion-dam and intake structure at the head of Gartina Falls and a steel penstock and powerhouse at the base of the falls."/>
  </r>
  <r>
    <x v="0"/>
    <n v="1997"/>
    <x v="19"/>
    <s v="Goat Lake"/>
    <m/>
    <s v="AP&amp;T"/>
    <n v="4000"/>
    <n v="15617"/>
    <x v="4"/>
    <s v="P-11077"/>
    <x v="0"/>
    <m/>
    <m/>
    <m/>
    <m/>
    <m/>
    <m/>
    <m/>
    <m/>
    <s v=" The Goat Lake hydroelectric facility is a storage project with a 4 MW capacity that started operations in 1997. The Lake is used as a reservoir without any dam. It was certified as a Low Impact Hydropower project by the Low Impact Hydropower Institute in 2007. Alaska Power &amp; Telephone operates the Goat Lake facility, which provides power to Skagway and Haines."/>
  </r>
  <r>
    <x v="0"/>
    <n v="1914"/>
    <x v="20"/>
    <s v="Gold Creek"/>
    <m/>
    <s v="AELP"/>
    <n v="1600"/>
    <n v="4500"/>
    <x v="0"/>
    <m/>
    <x v="1"/>
    <m/>
    <m/>
    <m/>
    <m/>
    <m/>
    <m/>
    <m/>
    <m/>
    <s v=" Gold Creek Hydropower, currently operated by Alaska Electric Light and Power, is a 1.6 MW run-of-the-river project that was originally constructed in 1914 with 800 kW generating capacity. An additional 800 kW of generating capacity was incorporated in the 1950s. This project, located in downtown Juneau, produces power seasonally with peak production around May."/>
  </r>
  <r>
    <x v="0"/>
    <n v="1979"/>
    <x v="21"/>
    <s v="Green Lake"/>
    <m/>
    <s v="Sitka"/>
    <n v="18600"/>
    <n v="63800"/>
    <x v="4"/>
    <s v="P-2818"/>
    <x v="5"/>
    <m/>
    <m/>
    <m/>
    <m/>
    <m/>
    <m/>
    <m/>
    <m/>
    <s v=" This 18.6 MW hydroelectric facility is owned and operated by the City and Borough of Sitka and provides the majority of electric power to Sitka and surrounding areas. It began operation in 1979."/>
  </r>
  <r>
    <x v="0"/>
    <n v="2010"/>
    <x v="22"/>
    <s v="Humpback Creek"/>
    <m/>
    <s v="CEC"/>
    <n v="1250"/>
    <n v="3553.5419999999999"/>
    <x v="0"/>
    <s v="P-8889"/>
    <x v="14"/>
    <m/>
    <m/>
    <m/>
    <m/>
    <m/>
    <m/>
    <m/>
    <m/>
    <s v=" This is a 1.3 MW run-of-the-river project roughly 7 miles north of the Cordova boat harbor. It is owned and operated by Cordova Electric Cooperative and was commissioned in 1990. Cordova Electric Cooperative received $8 million from AEA’s Renewable Energy Fund and the intake structure was replaced after a significant high-flow event in 2011, using funds provided by FEMA."/>
  </r>
  <r>
    <x v="0"/>
    <m/>
    <x v="23"/>
    <s v="Jetty Lake (West Side Hydro)"/>
    <m/>
    <s v="Armstrong-Keta Inc."/>
    <n v="249"/>
    <m/>
    <x v="6"/>
    <s v="P-3017"/>
    <x v="15"/>
    <m/>
    <m/>
    <m/>
    <m/>
    <m/>
    <m/>
    <m/>
    <m/>
    <m/>
  </r>
  <r>
    <x v="0"/>
    <n v="2008"/>
    <x v="24"/>
    <s v="Kasidaya Creek"/>
    <m/>
    <s v="AP&amp;T"/>
    <n v="3000"/>
    <n v="7446.44"/>
    <x v="0"/>
    <s v="P-11588"/>
    <x v="0"/>
    <m/>
    <m/>
    <m/>
    <m/>
    <m/>
    <m/>
    <m/>
    <m/>
    <s v=" This project between Haines and Skagway was constructed by Alaska Power &amp; Telephone Company, and generates between 300 Kw and 3 MW, depending on the season."/>
  </r>
  <r>
    <x v="0"/>
    <n v="1903"/>
    <x v="25"/>
    <s v="Ketchikan Lakes"/>
    <m/>
    <s v="KPU"/>
    <n v="4200"/>
    <n v="23025.3"/>
    <x v="1"/>
    <s v="P-420"/>
    <x v="3"/>
    <m/>
    <m/>
    <m/>
    <m/>
    <m/>
    <m/>
    <m/>
    <m/>
    <s v=" This 4.2 MW project consists of three generators built between 1923 and 1957. It is owned and operated by Ketchikan Public Utilities and provides power to the City of Ketchikan."/>
  </r>
  <r>
    <x v="0"/>
    <n v="2010"/>
    <x v="26"/>
    <s v="Lake Dorothy (phase 1)"/>
    <m/>
    <s v="AELP"/>
    <n v="14300"/>
    <n v="75000"/>
    <x v="1"/>
    <s v="P-12379"/>
    <x v="1"/>
    <m/>
    <m/>
    <m/>
    <m/>
    <m/>
    <m/>
    <m/>
    <m/>
    <s v=" This 14.3 MW project, located near the Snettisham hydroelectric facilities near Juneau, increased the power supply to Juneau by 20 percent when it went online in 2009. The hydro project also provides power to Princess Cruise Lines and Greens Creek Mining Company."/>
  </r>
  <r>
    <x v="0"/>
    <n v="1991"/>
    <x v="27"/>
    <s v="Larsen Bay"/>
    <m/>
    <s v="Larsen Bay"/>
    <n v="475"/>
    <n v="773.02099999999996"/>
    <x v="0"/>
    <m/>
    <x v="16"/>
    <m/>
    <m/>
    <m/>
    <m/>
    <m/>
    <m/>
    <m/>
    <m/>
    <s v=" This 475 kW project provides electricity and city water for the rural community of Larsen Bay and a fish processing plant on Kodiak Island. It went into commercial operation in 1991 and was upgraded in January 2009."/>
  </r>
  <r>
    <x v="0"/>
    <s v="purch. 2002"/>
    <x v="28"/>
    <s v="Lutak"/>
    <m/>
    <s v="AP&amp;T"/>
    <n v="285"/>
    <n v="164.43199999999999"/>
    <x v="0"/>
    <m/>
    <x v="0"/>
    <m/>
    <m/>
    <m/>
    <m/>
    <m/>
    <m/>
    <m/>
    <m/>
    <s v=" This 285 kW run-of-river project provides power to the Haines-Skagway region. It began operation in 2002."/>
  </r>
  <r>
    <x v="0"/>
    <n v="1987"/>
    <x v="29"/>
    <s v="Mahoona Lake"/>
    <m/>
    <s v="Ouzinkie"/>
    <n v="125"/>
    <n v="167"/>
    <x v="4"/>
    <m/>
    <x v="17"/>
    <m/>
    <m/>
    <m/>
    <m/>
    <m/>
    <m/>
    <m/>
    <m/>
    <m/>
  </r>
  <r>
    <x v="0"/>
    <s v="Nonoperational"/>
    <x v="30"/>
    <s v="Marathon Hydro"/>
    <m/>
    <s v="City of Seward"/>
    <n v="160"/>
    <n v="876"/>
    <x v="0"/>
    <m/>
    <x v="2"/>
    <m/>
    <m/>
    <m/>
    <m/>
    <m/>
    <m/>
    <m/>
    <m/>
    <m/>
  </r>
  <r>
    <x v="0"/>
    <n v="1991"/>
    <x v="31"/>
    <s v="McRoberts Creek"/>
    <m/>
    <s v="Enerdyne"/>
    <n v="125"/>
    <n v="386.56700000000001"/>
    <x v="0"/>
    <m/>
    <x v="2"/>
    <m/>
    <m/>
    <m/>
    <m/>
    <m/>
    <m/>
    <m/>
    <m/>
    <m/>
  </r>
  <r>
    <x v="0"/>
    <n v="2015"/>
    <x v="32"/>
    <s v="Packers Creek"/>
    <m/>
    <s v="Chignik Lagoon"/>
    <n v="167"/>
    <n v="521.20000000000005"/>
    <x v="0"/>
    <m/>
    <x v="18"/>
    <m/>
    <m/>
    <m/>
    <m/>
    <m/>
    <m/>
    <m/>
    <m/>
    <s v=" Packers Creek is 177 kW run-of-river project located near Chignik Lagoon."/>
  </r>
  <r>
    <x v="0"/>
    <n v="1988"/>
    <x v="33"/>
    <s v="Pelican"/>
    <m/>
    <s v="Pelican"/>
    <n v="650"/>
    <n v="799.49400000000003"/>
    <x v="0"/>
    <s v="P-10198"/>
    <x v="19"/>
    <m/>
    <m/>
    <m/>
    <m/>
    <m/>
    <m/>
    <m/>
    <m/>
    <s v=" This 700 kW hydroelectric facility provides electricity to the Southeast town of Pelican. It began operation in 1988 and was awarded a $2,274,000 grant for upgrades by the AEA’s Alaska Renewable Energy Fund in 2008."/>
  </r>
  <r>
    <x v="0"/>
    <n v="1997"/>
    <x v="34"/>
    <s v="Power Creek"/>
    <m/>
    <s v="CEC"/>
    <n v="6000"/>
    <n v="15929.397000000001"/>
    <x v="0"/>
    <s v="P-11243"/>
    <x v="14"/>
    <m/>
    <m/>
    <m/>
    <m/>
    <m/>
    <m/>
    <m/>
    <m/>
    <s v=" The Power Creek hydroelectric plant is located 7 miles east of Cordova and has a total installed generating capacity of 6 MW. It is owned by the Cordova Electric Cooperative and provides about 50 percent of electrical power to the town of Cordova and surrounding areas. It was commissioned in 1997."/>
  </r>
  <r>
    <x v="0"/>
    <n v="1955"/>
    <x v="35"/>
    <s v="Purple Lake"/>
    <m/>
    <s v="Metlakatla"/>
    <n v="3900"/>
    <n v="16075.775"/>
    <x v="1"/>
    <m/>
    <x v="7"/>
    <m/>
    <m/>
    <m/>
    <m/>
    <m/>
    <m/>
    <m/>
    <m/>
    <s v=" This 3.9 MW project is owned by Metlakatla Light and Power and provides electricity to the city of Metlakatla."/>
  </r>
  <r>
    <x v="0"/>
    <n v="1914"/>
    <x v="36"/>
    <s v="Salmon Creek"/>
    <m/>
    <s v="AELP"/>
    <n v="8500"/>
    <n v="29500"/>
    <x v="4"/>
    <s v="P-2307"/>
    <x v="1"/>
    <m/>
    <m/>
    <m/>
    <m/>
    <m/>
    <m/>
    <m/>
    <m/>
    <s v=" The current 6.7 MW impoundment project at Salmon Creek was built in 1984 and is operated by Alaska Electric Light &amp; Power. The lower powerhouse, which remains in operation today, provides more than 10 percent of the electric energy demand to Juneau and its surroundings. A power facility has existed at the site since 1913, with significant upgrades and repairs in 1935 and 1967. The upper powerhouse, rebuilt in 1935 after the original was destroyed by fire, was taken out of commission in 1998."/>
  </r>
  <r>
    <x v="0"/>
    <n v="1975"/>
    <x v="37"/>
    <s v="Silvis Lakes"/>
    <m/>
    <s v="KPU"/>
    <n v="2100"/>
    <n v="12461.6"/>
    <x v="1"/>
    <m/>
    <x v="3"/>
    <m/>
    <m/>
    <m/>
    <m/>
    <m/>
    <m/>
    <m/>
    <m/>
    <s v=" The Silvis Lake Power Plant is a 2.1 MW project built in 1968 by Ketchikan Public Utilities to provide power to the City of Ketchikan."/>
  </r>
  <r>
    <x v="0"/>
    <s v="1973/1990"/>
    <x v="38"/>
    <s v="Snettisham"/>
    <m/>
    <s v="AELP"/>
    <n v="78200"/>
    <n v="295000"/>
    <x v="1"/>
    <m/>
    <x v="1"/>
    <m/>
    <m/>
    <m/>
    <m/>
    <m/>
    <m/>
    <m/>
    <m/>
    <s v=" This 78 MW hydroelectric facility is the largest in Southeast Alaska, providing 80 percent of the power used by Juneau and Douglas. It was built by the U.S. Corps of Engineers in 1979 and sold to the State of Alaska in 1998. It is currently operated by Alaska Electric Light and Power under a contract with the Alaska Industrial Development and Export Authority (AIDEA). A 44-mile transmission line runs between the dams and Juneau."/>
  </r>
  <r>
    <x v="0"/>
    <n v="1981"/>
    <x v="39"/>
    <s v="Solomon Gulch"/>
    <m/>
    <s v="CVEA"/>
    <n v="12000"/>
    <n v="45000"/>
    <x v="4"/>
    <m/>
    <x v="20"/>
    <m/>
    <m/>
    <m/>
    <m/>
    <m/>
    <m/>
    <m/>
    <m/>
    <s v=" The Solomon Gulch Hydroelectric Project is a 12 MW facility serving Valdez and Glennallen. The project began commercial operation on July 1, 1982. It is owned and is operated and maintained by the Copper Valley Electric Association (CVEA)."/>
  </r>
  <r>
    <x v="0"/>
    <n v="2005"/>
    <x v="40"/>
    <s v="South Fork Black Bear"/>
    <m/>
    <s v="AP&amp;T"/>
    <n v="2000"/>
    <n v="5739.7039999999997"/>
    <x v="0"/>
    <m/>
    <x v="4"/>
    <m/>
    <m/>
    <m/>
    <m/>
    <m/>
    <m/>
    <m/>
    <m/>
    <s v=" This 2 MW run-of-the-river hydroelectric project was constructed in 2004-2005 to supplement the 4.5 MW Black Bear Lake project, providing a back-up supply of electricity for the communities of Prince of Wales Island. The project was completed by Alaska Power &amp; Telephone, with grant/loan assistance from the Denali Commission and the Alaska Energy Authority."/>
  </r>
  <r>
    <x v="0"/>
    <n v="2013"/>
    <x v="41"/>
    <s v="South Fork Hydro (Eagle River)"/>
    <m/>
    <s v="South Fork Hydro"/>
    <n v="1200"/>
    <n v="3724.91"/>
    <x v="0"/>
    <m/>
    <x v="2"/>
    <m/>
    <m/>
    <m/>
    <m/>
    <m/>
    <m/>
    <m/>
    <m/>
    <s v=" The Southfork Hydroelectric Project is a 1 MW project located in the south fork of Eagle River that is privately owned and sells power to Matanuska Electric Association (MEA)."/>
  </r>
  <r>
    <x v="0"/>
    <n v="1984"/>
    <x v="42"/>
    <s v="Swan Lake"/>
    <m/>
    <s v="SEAPA"/>
    <n v="22500"/>
    <n v="76000"/>
    <x v="4"/>
    <m/>
    <x v="3"/>
    <m/>
    <m/>
    <m/>
    <m/>
    <m/>
    <m/>
    <m/>
    <m/>
    <s v=" This 22.4 MW remote (accessible only by boat or plane) facility is connected to the Ketchikan Public Utilities system via a 30-mile transmission line. It is operated by the Southeast Alaska Power Agency (SEAPA). It came online in 1983 and currently operates at near-full capacity."/>
  </r>
  <r>
    <x v="0"/>
    <n v="1998"/>
    <x v="43"/>
    <s v="Tazimina"/>
    <m/>
    <s v="INNEC"/>
    <n v="824"/>
    <n v="4048.1610000000001"/>
    <x v="0"/>
    <m/>
    <x v="21"/>
    <m/>
    <m/>
    <m/>
    <m/>
    <m/>
    <m/>
    <m/>
    <m/>
    <s v=" The project, owned by Iliamna-Newhalen-Nondalton Electric Coopemtive (INNEC), has an installed capacity of 824 kW and is expandable to 1.5 MW. It is a run-of-the-river project that came online in 1998. It is located on the Tazimina River about 12 miles northeast of Iliamna Lake."/>
  </r>
  <r>
    <x v="0"/>
    <n v="1985"/>
    <x v="44"/>
    <s v="Terror Lake"/>
    <m/>
    <s v="KEA"/>
    <n v="20000"/>
    <n v="135000"/>
    <x v="1"/>
    <s v="P-2743"/>
    <x v="22"/>
    <m/>
    <m/>
    <m/>
    <m/>
    <m/>
    <m/>
    <m/>
    <m/>
    <s v=" The project is located approximately 25 miles southwest of the City of Kodiak, and it is accessible by float plane and boat only. The project was placed into service January 1985 and produces up to 20 MW for Kodiak City and surrounding areas. Kodiak Electric Association now generates 90 percent of its electricity with hydropower and windpower produced by turbines installed in 2009 on Pillar Mountain."/>
  </r>
  <r>
    <x v="0"/>
    <n v="2014"/>
    <x v="44"/>
    <s v="Terror Lake, Third Unit"/>
    <m/>
    <s v="KEA"/>
    <n v="14000"/>
    <n v="0"/>
    <x v="1"/>
    <s v="P-2743"/>
    <x v="22"/>
    <m/>
    <m/>
    <m/>
    <m/>
    <m/>
    <m/>
    <m/>
    <m/>
    <s v="A third 10 MW unit is being added to the Terror Lake powerhouse to increase generation capacity."/>
  </r>
  <r>
    <x v="0"/>
    <n v="1993"/>
    <x v="45"/>
    <s v="Town Creek"/>
    <m/>
    <s v="Akutan"/>
    <n v="105"/>
    <n v="312.65199999999999"/>
    <x v="0"/>
    <m/>
    <x v="23"/>
    <m/>
    <m/>
    <m/>
    <m/>
    <m/>
    <m/>
    <m/>
    <m/>
    <s v=" This 100 kW run-of-river project provides power to the City of Akutan. It was constructed in 1990 and has recently undergone a renovation of its intake structures to increase annual energy."/>
  </r>
  <r>
    <x v="0"/>
    <n v="1984"/>
    <x v="46"/>
    <s v="Tyee"/>
    <m/>
    <s v="SEAPA"/>
    <n v="22500"/>
    <n v="125000"/>
    <x v="1"/>
    <s v="P-3015"/>
    <x v="3"/>
    <m/>
    <m/>
    <m/>
    <m/>
    <m/>
    <m/>
    <m/>
    <m/>
    <s v=" The Tyee Lake Hydroelectric project is located in Southeast Alaska, approximately 40 miles southeast of the City of Wrangell. It generates up to 20 MW of electricity for the cities of Wrangell and Petersburg. It is interconnected with the Swan Hydroelectric project and the City of Ketchikan via the Swan-Tyee Intertie. Tyee Hydroelectric is owned by SEAPA."/>
  </r>
  <r>
    <x v="0"/>
    <n v="2014"/>
    <x v="47"/>
    <s v="Whitman Lake"/>
    <m/>
    <s v="KPU"/>
    <n v="4600"/>
    <n v="16000"/>
    <x v="4"/>
    <s v="P-11841"/>
    <x v="3"/>
    <m/>
    <m/>
    <m/>
    <m/>
    <m/>
    <m/>
    <m/>
    <m/>
    <s v=" The Whitman Lake Hydroelectric Project is located approximately four miles east of Ketchikan. Ketchikan Public Utilities is installing 4.6 MW of hydropower generating capacity at the existing Whitman Lake Dam to provide an additional source of clean renewable energy to the city of Ketchikan and the Borough area including Saxman Village"/>
  </r>
  <r>
    <x v="1"/>
    <m/>
    <x v="48"/>
    <s v="Allison Creek"/>
    <m/>
    <s v="CVEA"/>
    <n v="6500"/>
    <n v="15056.617"/>
    <x v="0"/>
    <s v="P-13124"/>
    <x v="20"/>
    <m/>
    <m/>
    <m/>
    <m/>
    <m/>
    <m/>
    <m/>
    <m/>
    <s v=" Allison Creek is a 6.5 MW run-of-river project located near Solomon Gulch above the Alyeska Pipeline Terminal in Valdez. Copper Valley Electric Association is developing this project."/>
  </r>
  <r>
    <x v="1"/>
    <m/>
    <x v="49"/>
    <s v="Híilangaay (Reynolds Creek) Hydro"/>
    <m/>
    <s v="AP&amp;T"/>
    <n v="4775"/>
    <n v="25250"/>
    <x v="4"/>
    <s v="P-11480"/>
    <x v="24"/>
    <m/>
    <m/>
    <m/>
    <m/>
    <m/>
    <m/>
    <m/>
    <s v="The phonetic pronunciation for Híilangaay is (Heel Lung Eye)"/>
    <s v=" This 5 MW project is being overseen by AEA and the Southeast Conference and will consist of construction a hydroelectric facility on Reynolds Creek on Prince of Wales Island along with the hydro facility, a 10.5-mile transmission line to connect into the existing island grid."/>
  </r>
  <r>
    <x v="1"/>
    <m/>
    <x v="50"/>
    <s v="Indian River"/>
    <m/>
    <s v="Tenakee Springs"/>
    <n v="180"/>
    <n v="1169"/>
    <x v="0"/>
    <m/>
    <x v="25"/>
    <m/>
    <m/>
    <m/>
    <m/>
    <m/>
    <m/>
    <m/>
    <m/>
    <s v=" Indian River is a 180 kW run-of-river hydroelectric project located near Tenakee Springs. It is a FERC-exempt project located on lands in the Tongass National Forest."/>
  </r>
  <r>
    <x v="2"/>
    <m/>
    <x v="7"/>
    <s v="Bradley Lake, Battle Creek Diversion"/>
    <m/>
    <s v="AEA"/>
    <n v="0"/>
    <n v="37000"/>
    <x v="7"/>
    <m/>
    <x v="2"/>
    <m/>
    <m/>
    <m/>
    <m/>
    <m/>
    <m/>
    <m/>
    <m/>
    <s v="The Battle Creek diversion project is currently in Federal Energy Regulatory Commission (FERC) licensing and will increase the annual energy of Bradley Lake by 36,000 to 42,000 megawatt hours (MWh) annually."/>
  </r>
  <r>
    <x v="2"/>
    <m/>
    <x v="51"/>
    <s v="Chenega Bay (Anderson Creek)"/>
    <m/>
    <s v="Chenega Corporation"/>
    <n v="61"/>
    <n v="370"/>
    <x v="0"/>
    <m/>
    <x v="26"/>
    <m/>
    <m/>
    <m/>
    <m/>
    <m/>
    <m/>
    <m/>
    <m/>
    <m/>
  </r>
  <r>
    <x v="2"/>
    <m/>
    <x v="52"/>
    <s v="Crooked Creek/Jim's Lake"/>
    <m/>
    <s v="Elfin Cove Utility Commission"/>
    <n v="140"/>
    <n v="614"/>
    <x v="8"/>
    <m/>
    <x v="27"/>
    <m/>
    <m/>
    <m/>
    <m/>
    <m/>
    <m/>
    <m/>
    <m/>
    <m/>
  </r>
  <r>
    <x v="2"/>
    <m/>
    <x v="53"/>
    <s v="Fishhook"/>
    <m/>
    <s v="Fishhook Renewable Energy LLC"/>
    <n v="2000"/>
    <n v="7429"/>
    <x v="0"/>
    <m/>
    <x v="2"/>
    <m/>
    <m/>
    <m/>
    <m/>
    <m/>
    <m/>
    <m/>
    <m/>
    <m/>
  </r>
  <r>
    <x v="2"/>
    <m/>
    <x v="54"/>
    <s v="Fivemile Creek"/>
    <m/>
    <s v="Chitina Electric"/>
    <n v="300"/>
    <n v="2000"/>
    <x v="0"/>
    <m/>
    <x v="28"/>
    <m/>
    <m/>
    <m/>
    <m/>
    <m/>
    <m/>
    <m/>
    <m/>
    <s v=" The Fivemile Creek project is located near Chitina. It is a high-head 400 kW site, currently in licensing."/>
  </r>
  <r>
    <x v="2"/>
    <m/>
    <x v="55"/>
    <s v="Knutson Creek"/>
    <m/>
    <s v="Pedro Bay"/>
    <n v="150"/>
    <n v="174.1"/>
    <x v="0"/>
    <m/>
    <x v="29"/>
    <m/>
    <m/>
    <m/>
    <m/>
    <m/>
    <m/>
    <m/>
    <m/>
    <m/>
  </r>
  <r>
    <x v="2"/>
    <m/>
    <x v="56"/>
    <s v="Mahoney Lake"/>
    <m/>
    <s v="City of Saxman"/>
    <n v="9600"/>
    <n v="46000"/>
    <x v="4"/>
    <s v="P-11393"/>
    <x v="3"/>
    <m/>
    <m/>
    <m/>
    <m/>
    <m/>
    <m/>
    <m/>
    <m/>
    <s v=" The proposed 9.6 MW project will be located in Southeast Alaska approximately five air miles northeast of the city of Ketchikan. The FERC licensing process was completed in 1998."/>
  </r>
  <r>
    <x v="2"/>
    <m/>
    <x v="42"/>
    <s v="Swan Lake Expansion"/>
    <m/>
    <s v="SEAPA"/>
    <n v="0"/>
    <n v="7500"/>
    <x v="9"/>
    <m/>
    <x v="3"/>
    <m/>
    <m/>
    <m/>
    <m/>
    <m/>
    <m/>
    <m/>
    <m/>
    <m/>
  </r>
  <r>
    <x v="2"/>
    <m/>
    <x v="57"/>
    <s v="Waterfall Creek"/>
    <m/>
    <s v="King Cove"/>
    <n v="350"/>
    <n v="1167"/>
    <x v="0"/>
    <s v="P-2742"/>
    <x v="10"/>
    <m/>
    <m/>
    <m/>
    <m/>
    <m/>
    <m/>
    <m/>
    <m/>
    <s v=" This FERC-exempt hydroelectric project, located near King Cove, will supplement the Delta Creek Hydroelectric project and share the powerhouse and existing transmission line."/>
  </r>
  <r>
    <x v="2"/>
    <m/>
    <x v="58"/>
    <s v="Yerrick Creek"/>
    <m/>
    <s v="Native Village of Tanacross"/>
    <n v="1500"/>
    <n v="3440"/>
    <x v="0"/>
    <s v="P-2911"/>
    <x v="20"/>
    <m/>
    <m/>
    <m/>
    <m/>
    <m/>
    <m/>
    <m/>
    <m/>
    <m/>
  </r>
  <r>
    <x v="3"/>
    <m/>
    <x v="10"/>
    <s v="Chignik Existing Project Demolition"/>
    <m/>
    <s v="Chignik Bay"/>
    <n v="-60"/>
    <n v="-300"/>
    <x v="4"/>
    <s v="P-620"/>
    <x v="8"/>
    <m/>
    <m/>
    <m/>
    <m/>
    <m/>
    <m/>
    <m/>
    <m/>
    <m/>
  </r>
  <r>
    <x v="3"/>
    <m/>
    <x v="10"/>
    <s v="Chignik Reconstruction/Expansion"/>
    <m/>
    <s v="Chignik Bay"/>
    <n v="385"/>
    <n v="2140"/>
    <x v="10"/>
    <s v="P-620"/>
    <x v="8"/>
    <m/>
    <m/>
    <m/>
    <m/>
    <m/>
    <m/>
    <m/>
    <m/>
    <m/>
  </r>
  <r>
    <x v="3"/>
    <m/>
    <x v="59"/>
    <s v="Crater Lake"/>
    <m/>
    <s v="CEC"/>
    <n v="500"/>
    <n v="2250"/>
    <x v="4"/>
    <m/>
    <x v="14"/>
    <m/>
    <m/>
    <m/>
    <m/>
    <m/>
    <m/>
    <m/>
    <m/>
    <m/>
  </r>
  <r>
    <x v="3"/>
    <m/>
    <x v="60"/>
    <s v="Fourth of July Creek"/>
    <m/>
    <s v="Chugach Electric"/>
    <n v="12700"/>
    <n v="55000"/>
    <x v="0"/>
    <s v="P-14630"/>
    <x v="30"/>
    <m/>
    <m/>
    <m/>
    <m/>
    <m/>
    <m/>
    <m/>
    <m/>
    <m/>
  </r>
  <r>
    <x v="3"/>
    <m/>
    <x v="61"/>
    <s v="Grant Lake/Falls Creek"/>
    <m/>
    <s v="Kenai Hydro, LLC"/>
    <n v="5000"/>
    <n v="19700"/>
    <x v="0"/>
    <m/>
    <x v="2"/>
    <m/>
    <m/>
    <m/>
    <m/>
    <m/>
    <m/>
    <m/>
    <m/>
    <m/>
  </r>
  <r>
    <x v="3"/>
    <m/>
    <x v="62"/>
    <s v="Gunnuk Creek"/>
    <m/>
    <s v="IPEC"/>
    <n v="500"/>
    <n v="1620"/>
    <x v="4"/>
    <m/>
    <x v="31"/>
    <m/>
    <m/>
    <m/>
    <m/>
    <m/>
    <m/>
    <m/>
    <m/>
    <m/>
  </r>
  <r>
    <x v="3"/>
    <m/>
    <x v="63"/>
    <s v="Kogoluktuk River"/>
    <m/>
    <s v="AVEC"/>
    <n v="690"/>
    <n v="5410"/>
    <x v="0"/>
    <m/>
    <x v="32"/>
    <m/>
    <m/>
    <m/>
    <m/>
    <m/>
    <m/>
    <m/>
    <m/>
    <m/>
  </r>
  <r>
    <x v="3"/>
    <m/>
    <x v="64"/>
    <s v="Old Harbor"/>
    <m/>
    <s v="AVEC"/>
    <n v="262"/>
    <n v="2300"/>
    <x v="0"/>
    <m/>
    <x v="33"/>
    <m/>
    <m/>
    <m/>
    <m/>
    <m/>
    <m/>
    <m/>
    <m/>
    <m/>
  </r>
  <r>
    <x v="3"/>
    <m/>
    <x v="65"/>
    <s v="Scammon Bay "/>
    <m/>
    <s v="Scammon Bay"/>
    <n v="188"/>
    <n v="756"/>
    <x v="0"/>
    <m/>
    <x v="34"/>
    <m/>
    <m/>
    <m/>
    <m/>
    <m/>
    <m/>
    <m/>
    <m/>
    <m/>
  </r>
  <r>
    <x v="3"/>
    <m/>
    <x v="66"/>
    <s v="Susitna-Watana"/>
    <m/>
    <s v="AEA"/>
    <n v="600000"/>
    <n v="2800000"/>
    <x v="4"/>
    <m/>
    <x v="2"/>
    <m/>
    <m/>
    <m/>
    <m/>
    <m/>
    <m/>
    <m/>
    <m/>
    <m/>
  </r>
  <r>
    <x v="3"/>
    <m/>
    <x v="67"/>
    <s v="Sweetheart Lake"/>
    <m/>
    <s v="Juneau Hydropower, Inc."/>
    <n v="19800"/>
    <n v="136000"/>
    <x v="4"/>
    <m/>
    <x v="1"/>
    <m/>
    <m/>
    <m/>
    <m/>
    <m/>
    <m/>
    <m/>
    <m/>
    <m/>
  </r>
  <r>
    <x v="3"/>
    <m/>
    <x v="68"/>
    <s v="Takatz Lake"/>
    <m/>
    <s v="Sitka"/>
    <n v="27600"/>
    <n v="106900"/>
    <x v="4"/>
    <m/>
    <x v="5"/>
    <m/>
    <m/>
    <m/>
    <m/>
    <m/>
    <m/>
    <m/>
    <m/>
    <m/>
  </r>
  <r>
    <x v="3"/>
    <m/>
    <x v="43"/>
    <s v="Tazimina Expansion"/>
    <m/>
    <s v="INNEC"/>
    <n v="676"/>
    <n v="2000"/>
    <x v="0"/>
    <m/>
    <x v="35"/>
    <m/>
    <m/>
    <m/>
    <m/>
    <m/>
    <m/>
    <m/>
    <m/>
    <m/>
  </r>
  <r>
    <x v="3"/>
    <m/>
    <x v="44"/>
    <s v="Terror Lake, Hidden Basin"/>
    <m/>
    <s v="KEA"/>
    <n v="0"/>
    <n v="33000"/>
    <x v="0"/>
    <m/>
    <x v="22"/>
    <m/>
    <m/>
    <m/>
    <m/>
    <m/>
    <m/>
    <m/>
    <m/>
    <m/>
  </r>
  <r>
    <x v="3"/>
    <m/>
    <x v="69"/>
    <s v="Thayer Lake"/>
    <m/>
    <s v="Kootznoowoo Inc."/>
    <n v="1000"/>
    <n v="8500"/>
    <x v="0"/>
    <m/>
    <x v="36"/>
    <m/>
    <m/>
    <m/>
    <m/>
    <m/>
    <m/>
    <m/>
    <m/>
    <s v=" Thayer Lake is a 1+ MW run-of-river project on Admiralty Island that will serve the Village of Angoon."/>
  </r>
  <r>
    <x v="4"/>
    <m/>
    <x v="70"/>
    <s v="Bear Creek"/>
    <m/>
    <m/>
    <n v="100"/>
    <n v="788"/>
    <x v="0"/>
    <m/>
    <x v="37"/>
    <m/>
    <m/>
    <m/>
    <m/>
    <m/>
    <m/>
    <m/>
    <m/>
    <m/>
  </r>
  <r>
    <x v="4"/>
    <m/>
    <x v="70"/>
    <s v="Landing Creek"/>
    <m/>
    <m/>
    <n v="83"/>
    <n v="545"/>
    <x v="0"/>
    <m/>
    <x v="37"/>
    <m/>
    <m/>
    <m/>
    <m/>
    <m/>
    <m/>
    <m/>
    <m/>
    <m/>
  </r>
  <r>
    <x v="4"/>
    <m/>
    <x v="71"/>
    <s v="Allen River"/>
    <m/>
    <s v="AVEC"/>
    <n v="22000"/>
    <n v="78100"/>
    <x v="4"/>
    <m/>
    <x v="38"/>
    <m/>
    <m/>
    <m/>
    <m/>
    <m/>
    <m/>
    <m/>
    <m/>
    <m/>
  </r>
  <r>
    <x v="4"/>
    <m/>
    <x v="72"/>
    <s v="Clearwater Creek"/>
    <m/>
    <s v="Native Village of Tanacross"/>
    <n v="1000"/>
    <n v="3400"/>
    <x v="0"/>
    <m/>
    <x v="20"/>
    <m/>
    <m/>
    <m/>
    <m/>
    <m/>
    <m/>
    <m/>
    <m/>
    <m/>
  </r>
  <r>
    <x v="4"/>
    <m/>
    <x v="73"/>
    <s v="Connelly Lake"/>
    <m/>
    <m/>
    <n v="8000"/>
    <n v="43200"/>
    <x v="4"/>
    <m/>
    <x v="0"/>
    <m/>
    <m/>
    <m/>
    <m/>
    <m/>
    <m/>
    <m/>
    <m/>
    <m/>
  </r>
  <r>
    <x v="4"/>
    <m/>
    <x v="74"/>
    <s v="Excursion Inlet"/>
    <m/>
    <m/>
    <m/>
    <m/>
    <x v="6"/>
    <m/>
    <x v="39"/>
    <m/>
    <m/>
    <m/>
    <m/>
    <m/>
    <m/>
    <m/>
    <m/>
    <m/>
  </r>
  <r>
    <x v="4"/>
    <m/>
    <x v="75"/>
    <s v="False Pass"/>
    <m/>
    <m/>
    <n v="125"/>
    <n v="936"/>
    <x v="0"/>
    <m/>
    <x v="40"/>
    <m/>
    <m/>
    <m/>
    <m/>
    <m/>
    <m/>
    <m/>
    <m/>
    <m/>
  </r>
  <r>
    <x v="4"/>
    <m/>
    <x v="76"/>
    <s v="Loud Creek"/>
    <m/>
    <m/>
    <m/>
    <m/>
    <x v="6"/>
    <m/>
    <x v="23"/>
    <m/>
    <m/>
    <m/>
    <m/>
    <m/>
    <m/>
    <m/>
    <m/>
    <m/>
  </r>
  <r>
    <x v="4"/>
    <m/>
    <x v="77"/>
    <s v="Neck Lake"/>
    <m/>
    <m/>
    <m/>
    <m/>
    <x v="6"/>
    <m/>
    <x v="37"/>
    <m/>
    <m/>
    <m/>
    <m/>
    <m/>
    <m/>
    <m/>
    <m/>
    <m/>
  </r>
  <r>
    <x v="4"/>
    <m/>
    <x v="78"/>
    <s v="Tiekel River"/>
    <m/>
    <s v="CVEA"/>
    <n v="50000"/>
    <n v="204000"/>
    <x v="4"/>
    <m/>
    <x v="20"/>
    <m/>
    <m/>
    <m/>
    <m/>
    <m/>
    <m/>
    <m/>
    <m/>
    <m/>
  </r>
  <r>
    <x v="4"/>
    <m/>
    <x v="79"/>
    <s v="Triangle Lake"/>
    <m/>
    <s v="Metlakatla"/>
    <n v="4000"/>
    <n v="17324"/>
    <x v="4"/>
    <m/>
    <x v="7"/>
    <m/>
    <m/>
    <m/>
    <m/>
    <m/>
    <m/>
    <m/>
    <m/>
    <m/>
  </r>
</pivotCacheRecords>
</file>

<file path=xl/pivotCache/pivotCacheRecords2.xml><?xml version="1.0" encoding="utf-8"?>
<pivotCacheRecords xmlns="http://schemas.openxmlformats.org/spreadsheetml/2006/main" xmlns:r="http://schemas.openxmlformats.org/officeDocument/2006/relationships" count="79">
  <r>
    <x v="0"/>
    <s v="Town Creek"/>
    <x v="0"/>
    <s v="run-of-river"/>
    <n v="105"/>
    <n v="312652"/>
  </r>
  <r>
    <x v="1"/>
    <s v="Chuniisax Creek"/>
    <x v="0"/>
    <s v="run-of-river"/>
    <n v="284"/>
    <n v="443142"/>
  </r>
  <r>
    <x v="2"/>
    <m/>
    <x v="1"/>
    <m/>
    <n v="400"/>
    <n v="1103760"/>
  </r>
  <r>
    <x v="3"/>
    <s v="Chignik"/>
    <x v="0"/>
    <s v="storage"/>
    <n v="60"/>
    <n v="300000"/>
  </r>
  <r>
    <x v="4"/>
    <s v="Packers Creek"/>
    <x v="0"/>
    <s v="run-of-river"/>
    <n v="167"/>
    <n v="521200.00000000006"/>
  </r>
  <r>
    <x v="5"/>
    <s v="Humpback Creek"/>
    <x v="0"/>
    <s v="run-of-river"/>
    <n v="1250"/>
    <n v="3553542"/>
  </r>
  <r>
    <x v="5"/>
    <s v="Power Creek"/>
    <x v="0"/>
    <s v="run-of-river"/>
    <n v="6000"/>
    <n v="15929397"/>
  </r>
  <r>
    <x v="6"/>
    <m/>
    <x v="1"/>
    <m/>
    <n v="400"/>
    <n v="699206"/>
  </r>
  <r>
    <x v="7"/>
    <m/>
    <x v="1"/>
    <m/>
    <n v="300"/>
    <n v="1103760"/>
  </r>
  <r>
    <x v="8"/>
    <s v="Allison Creek"/>
    <x v="0"/>
    <s v="run-of-river"/>
    <n v="6500"/>
    <n v="15056617"/>
  </r>
  <r>
    <x v="8"/>
    <s v="Solomon Gulch"/>
    <x v="0"/>
    <s v="storage"/>
    <n v="12000"/>
    <n v="45000000"/>
  </r>
  <r>
    <x v="9"/>
    <s v="Falls Creek"/>
    <x v="0"/>
    <s v="run-of-river"/>
    <n v="800"/>
    <n v="1939011"/>
  </r>
  <r>
    <x v="10"/>
    <s v="10 Mile Creek"/>
    <x v="0"/>
    <s v="run-of-river"/>
    <n v="600"/>
    <n v="1000000"/>
  </r>
  <r>
    <x v="10"/>
    <s v="Dewey Lakes"/>
    <x v="0"/>
    <s v="run-of-river"/>
    <n v="943"/>
    <n v="3137760"/>
  </r>
  <r>
    <x v="10"/>
    <s v="Goat Lake"/>
    <x v="0"/>
    <s v="storage"/>
    <n v="4000"/>
    <n v="15617000"/>
  </r>
  <r>
    <x v="10"/>
    <s v="Kasidaya Creek"/>
    <x v="0"/>
    <s v="run-of-river"/>
    <n v="3000"/>
    <n v="7446440"/>
  </r>
  <r>
    <x v="10"/>
    <s v="Lutak"/>
    <x v="0"/>
    <s v="run-of-river"/>
    <n v="285"/>
    <n v="164432"/>
  </r>
  <r>
    <x v="11"/>
    <s v="Gartina Falls"/>
    <x v="0"/>
    <s v="run-of-river"/>
    <n v="450"/>
    <n v="1810000"/>
  </r>
  <r>
    <x v="12"/>
    <m/>
    <x v="1"/>
    <m/>
    <n v="300"/>
    <n v="814680"/>
  </r>
  <r>
    <x v="13"/>
    <s v="Tazimina"/>
    <x v="0"/>
    <s v="run-of-river"/>
    <n v="824"/>
    <n v="4048161"/>
  </r>
  <r>
    <x v="14"/>
    <s v="Annex Creek"/>
    <x v="0"/>
    <s v="lake tap"/>
    <n v="4000"/>
    <n v="26000000"/>
  </r>
  <r>
    <x v="14"/>
    <s v="Gold Creek"/>
    <x v="0"/>
    <s v="run-of-river"/>
    <n v="1600"/>
    <n v="4500000"/>
  </r>
  <r>
    <x v="14"/>
    <s v="Lake Dorothy"/>
    <x v="0"/>
    <s v="lake tap"/>
    <n v="14300"/>
    <n v="75000000"/>
  </r>
  <r>
    <x v="14"/>
    <s v="Salmon Creek"/>
    <x v="0"/>
    <s v="storage"/>
    <n v="8500"/>
    <n v="29500000"/>
  </r>
  <r>
    <x v="14"/>
    <s v="Snettisham"/>
    <x v="0"/>
    <s v="lake tap"/>
    <n v="78200"/>
    <n v="295000000"/>
  </r>
  <r>
    <x v="15"/>
    <m/>
    <x v="1"/>
    <m/>
    <n v="300"/>
    <n v="840960"/>
  </r>
  <r>
    <x v="16"/>
    <s v="Delta Creek"/>
    <x v="0"/>
    <s v="run-of-river"/>
    <n v="800"/>
    <n v="1997981"/>
  </r>
  <r>
    <x v="17"/>
    <s v="Terror Lake"/>
    <x v="0"/>
    <s v="lake tap"/>
    <n v="34000"/>
    <n v="135000000"/>
  </r>
  <r>
    <x v="17"/>
    <s v="Pillar Mtn."/>
    <x v="1"/>
    <m/>
    <n v="9000"/>
    <n v="26017200"/>
  </r>
  <r>
    <x v="18"/>
    <m/>
    <x v="1"/>
    <m/>
    <n v="180"/>
    <n v="531381.6"/>
  </r>
  <r>
    <x v="19"/>
    <m/>
    <x v="1"/>
    <m/>
    <n v="475"/>
    <n v="1019445"/>
  </r>
  <r>
    <x v="20"/>
    <m/>
    <x v="1"/>
    <m/>
    <n v="1800"/>
    <n v="4478112"/>
  </r>
  <r>
    <x v="21"/>
    <m/>
    <x v="1"/>
    <m/>
    <n v="475"/>
    <n v="4173184"/>
  </r>
  <r>
    <x v="22"/>
    <s v="Larsen Bay"/>
    <x v="0"/>
    <s v="run-of-river"/>
    <n v="475"/>
    <n v="773021"/>
  </r>
  <r>
    <x v="23"/>
    <m/>
    <x v="1"/>
    <m/>
    <n v="200"/>
    <n v="480048"/>
  </r>
  <r>
    <x v="24"/>
    <s v="Chester Lake"/>
    <x v="0"/>
    <s v="lake tap"/>
    <n v="1100"/>
    <n v="4960915"/>
  </r>
  <r>
    <x v="24"/>
    <s v="Purple Lake"/>
    <x v="0"/>
    <s v="lake tap"/>
    <n v="3900"/>
    <n v="16075775"/>
  </r>
  <r>
    <x v="25"/>
    <m/>
    <x v="1"/>
    <m/>
    <n v="65"/>
    <n v="204984"/>
  </r>
  <r>
    <x v="26"/>
    <s v="Banner Peak"/>
    <x v="1"/>
    <m/>
    <n v="2970"/>
    <n v="5960707"/>
  </r>
  <r>
    <x v="27"/>
    <s v="Mahoona Lake"/>
    <x v="0"/>
    <s v="storage"/>
    <n v="125"/>
    <n v="167000"/>
  </r>
  <r>
    <x v="28"/>
    <s v="Pelican"/>
    <x v="0"/>
    <s v="run-of-river"/>
    <n v="650"/>
    <n v="799494"/>
  </r>
  <r>
    <x v="29"/>
    <m/>
    <x v="1"/>
    <m/>
    <n v="24"/>
    <n v="31536"/>
  </r>
  <r>
    <x v="30"/>
    <s v="Jetty Lake (West Side Hydro)"/>
    <x v="0"/>
    <s v="(blank)"/>
    <n v="249"/>
    <n v="0"/>
  </r>
  <r>
    <x v="31"/>
    <s v="Dry Spruce Creek"/>
    <x v="0"/>
    <s v="(blank)"/>
    <n v="75"/>
    <n v="0"/>
  </r>
  <r>
    <x v="32"/>
    <s v="Black Bear Lake"/>
    <x v="0"/>
    <s v="storage"/>
    <n v="4500"/>
    <n v="20600350"/>
  </r>
  <r>
    <x v="32"/>
    <s v="South Fork Black Bear"/>
    <x v="0"/>
    <s v="run-of-river"/>
    <n v="2000"/>
    <n v="5739704"/>
  </r>
  <r>
    <x v="32"/>
    <s v="Híilangaay (Reynolds Creek) Hydro"/>
    <x v="0"/>
    <s v="storage"/>
    <n v="4775"/>
    <n v="25250000"/>
  </r>
  <r>
    <x v="33"/>
    <m/>
    <x v="1"/>
    <m/>
    <n v="300"/>
    <n v="620208"/>
  </r>
  <r>
    <x v="34"/>
    <s v="AWWU Conduit"/>
    <x v="0"/>
    <s v="conduit"/>
    <n v="750"/>
    <n v="0"/>
  </r>
  <r>
    <x v="34"/>
    <s v="Bradley Lake"/>
    <x v="0"/>
    <s v="lake tap"/>
    <n v="120000"/>
    <n v="380000000"/>
  </r>
  <r>
    <x v="34"/>
    <s v="Cooper Lake"/>
    <x v="0"/>
    <s v="diversion"/>
    <n v="0"/>
    <n v="6020000"/>
  </r>
  <r>
    <x v="34"/>
    <m/>
    <x v="0"/>
    <s v="lake tap"/>
    <n v="19200"/>
    <n v="42000000"/>
  </r>
  <r>
    <x v="34"/>
    <s v="Eklutna"/>
    <x v="0"/>
    <s v="storage"/>
    <n v="40000"/>
    <n v="172076600"/>
  </r>
  <r>
    <x v="34"/>
    <s v="Marathon Hydro"/>
    <x v="0"/>
    <s v="run-of-river"/>
    <n v="160"/>
    <n v="876000"/>
  </r>
  <r>
    <x v="34"/>
    <s v="McRoberts Creek"/>
    <x v="0"/>
    <s v="run-of-river"/>
    <n v="125"/>
    <n v="386567"/>
  </r>
  <r>
    <x v="34"/>
    <s v="South Fork Hydro (Eagle River)"/>
    <x v="0"/>
    <s v="run-of-river"/>
    <n v="1200"/>
    <n v="3724910"/>
  </r>
  <r>
    <x v="34"/>
    <s v="Delta Junction"/>
    <x v="1"/>
    <m/>
    <n v="1000"/>
    <n v="2076120"/>
  </r>
  <r>
    <x v="34"/>
    <s v="Eva Creek"/>
    <x v="1"/>
    <m/>
    <n v="24600"/>
    <n v="73268640"/>
  </r>
  <r>
    <x v="34"/>
    <s v="Fire Island"/>
    <x v="1"/>
    <m/>
    <n v="17600"/>
    <n v="47794560"/>
  </r>
  <r>
    <x v="35"/>
    <s v="TDX"/>
    <x v="1"/>
    <m/>
    <n v="225"/>
    <n v="696748.5"/>
  </r>
  <r>
    <x v="36"/>
    <s v="AWE"/>
    <x v="1"/>
    <m/>
    <n v="1000"/>
    <n v="1408608"/>
  </r>
  <r>
    <x v="37"/>
    <m/>
    <x v="1"/>
    <m/>
    <n v="200"/>
    <n v="579912"/>
  </r>
  <r>
    <x v="38"/>
    <m/>
    <x v="1"/>
    <m/>
    <n v="260"/>
    <n v="296088"/>
  </r>
  <r>
    <x v="39"/>
    <m/>
    <x v="1"/>
    <m/>
    <n v="200"/>
    <n v="411720"/>
  </r>
  <r>
    <x v="40"/>
    <s v="Blue Lake"/>
    <x v="0"/>
    <s v="lake tap/storage"/>
    <n v="15645"/>
    <n v="100200000"/>
  </r>
  <r>
    <x v="40"/>
    <s v="Green Lake"/>
    <x v="0"/>
    <s v="storage"/>
    <n v="18600"/>
    <n v="63800000"/>
  </r>
  <r>
    <x v="41"/>
    <s v="Indian River"/>
    <x v="0"/>
    <s v="run-of-river"/>
    <n v="180"/>
    <n v="1169000"/>
  </r>
  <r>
    <x v="42"/>
    <m/>
    <x v="1"/>
    <m/>
    <n v="225"/>
    <m/>
  </r>
  <r>
    <x v="43"/>
    <m/>
    <x v="1"/>
    <m/>
    <n v="400"/>
    <n v="219000"/>
  </r>
  <r>
    <x v="44"/>
    <m/>
    <x v="1"/>
    <m/>
    <n v="475"/>
    <n v="865488"/>
  </r>
  <r>
    <x v="45"/>
    <m/>
    <x v="1"/>
    <m/>
    <n v="600"/>
    <n v="1093248"/>
  </r>
  <r>
    <x v="46"/>
    <m/>
    <x v="1"/>
    <m/>
    <n v="130"/>
    <n v="398580"/>
  </r>
  <r>
    <x v="47"/>
    <s v="Beaver Falls"/>
    <x v="0"/>
    <s v="run-of-river/lake tap"/>
    <n v="5200"/>
    <n v="44675500"/>
  </r>
  <r>
    <x v="47"/>
    <s v="Blind Slough (Crystal Lake)"/>
    <x v="0"/>
    <s v="storage"/>
    <n v="2000"/>
    <n v="982000"/>
  </r>
  <r>
    <x v="47"/>
    <s v="Ketchikan Lakes"/>
    <x v="0"/>
    <s v="lake tap"/>
    <n v="4200"/>
    <n v="23025300"/>
  </r>
  <r>
    <x v="47"/>
    <s v="Silvis Lakes"/>
    <x v="0"/>
    <s v="lake tap"/>
    <n v="2100"/>
    <n v="12461600"/>
  </r>
  <r>
    <x v="47"/>
    <s v="Swan Lake"/>
    <x v="0"/>
    <s v="storage"/>
    <n v="22500"/>
    <n v="76000000"/>
  </r>
  <r>
    <x v="47"/>
    <s v="Tyee"/>
    <x v="0"/>
    <s v="lake tap"/>
    <n v="22500"/>
    <n v="125000000"/>
  </r>
  <r>
    <x v="47"/>
    <s v="Whitman Lake"/>
    <x v="0"/>
    <s v="storage"/>
    <n v="4600"/>
    <n v="16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52" firstHeaderRow="0" firstDataRow="1" firstDataCol="2"/>
  <pivotFields count="6">
    <pivotField axis="axisRow" outline="0" showAll="0" defaultSubtota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extLst>
        <ext xmlns:x14="http://schemas.microsoft.com/office/spreadsheetml/2009/9/main" uri="{2946ED86-A175-432a-8AC1-64E0C546D7DE}">
          <x14:pivotField fillDownLabels="1"/>
        </ext>
      </extLst>
    </pivotField>
    <pivotField showAll="0"/>
    <pivotField axis="axisRow" showAll="0">
      <items count="3">
        <item x="0"/>
        <item x="1"/>
        <item t="default"/>
      </items>
    </pivotField>
    <pivotField showAll="0"/>
    <pivotField dataField="1" showAll="0"/>
    <pivotField dataField="1" showAll="0"/>
  </pivotFields>
  <rowFields count="2">
    <field x="0"/>
    <field x="2"/>
  </rowFields>
  <rowItems count="51">
    <i>
      <x/>
      <x/>
    </i>
    <i>
      <x v="1"/>
      <x/>
    </i>
    <i>
      <x v="2"/>
      <x v="1"/>
    </i>
    <i>
      <x v="3"/>
      <x/>
    </i>
    <i>
      <x v="4"/>
      <x/>
    </i>
    <i>
      <x v="5"/>
      <x/>
    </i>
    <i>
      <x v="6"/>
      <x v="1"/>
    </i>
    <i>
      <x v="7"/>
      <x v="1"/>
    </i>
    <i>
      <x v="8"/>
      <x/>
    </i>
    <i>
      <x v="9"/>
      <x/>
    </i>
    <i>
      <x v="10"/>
      <x/>
    </i>
    <i>
      <x v="11"/>
      <x/>
    </i>
    <i>
      <x v="12"/>
      <x v="1"/>
    </i>
    <i>
      <x v="13"/>
      <x/>
    </i>
    <i>
      <x v="14"/>
      <x/>
    </i>
    <i>
      <x v="15"/>
      <x v="1"/>
    </i>
    <i>
      <x v="16"/>
      <x/>
    </i>
    <i>
      <x v="17"/>
      <x/>
    </i>
    <i r="1">
      <x v="1"/>
    </i>
    <i>
      <x v="18"/>
      <x v="1"/>
    </i>
    <i>
      <x v="19"/>
      <x v="1"/>
    </i>
    <i>
      <x v="20"/>
      <x v="1"/>
    </i>
    <i>
      <x v="21"/>
      <x v="1"/>
    </i>
    <i>
      <x v="22"/>
      <x/>
    </i>
    <i>
      <x v="23"/>
      <x v="1"/>
    </i>
    <i>
      <x v="24"/>
      <x/>
    </i>
    <i>
      <x v="25"/>
      <x v="1"/>
    </i>
    <i>
      <x v="26"/>
      <x v="1"/>
    </i>
    <i>
      <x v="27"/>
      <x/>
    </i>
    <i>
      <x v="28"/>
      <x/>
    </i>
    <i>
      <x v="29"/>
      <x v="1"/>
    </i>
    <i>
      <x v="30"/>
      <x/>
    </i>
    <i>
      <x v="31"/>
      <x/>
    </i>
    <i>
      <x v="32"/>
      <x/>
    </i>
    <i>
      <x v="33"/>
      <x v="1"/>
    </i>
    <i>
      <x v="34"/>
      <x/>
    </i>
    <i r="1">
      <x v="1"/>
    </i>
    <i>
      <x v="35"/>
      <x v="1"/>
    </i>
    <i>
      <x v="36"/>
      <x v="1"/>
    </i>
    <i>
      <x v="37"/>
      <x v="1"/>
    </i>
    <i>
      <x v="38"/>
      <x v="1"/>
    </i>
    <i>
      <x v="39"/>
      <x v="1"/>
    </i>
    <i>
      <x v="40"/>
      <x/>
    </i>
    <i>
      <x v="41"/>
      <x/>
    </i>
    <i>
      <x v="42"/>
      <x v="1"/>
    </i>
    <i>
      <x v="43"/>
      <x v="1"/>
    </i>
    <i>
      <x v="44"/>
      <x v="1"/>
    </i>
    <i>
      <x v="45"/>
      <x v="1"/>
    </i>
    <i>
      <x v="46"/>
      <x v="1"/>
    </i>
    <i>
      <x v="47"/>
      <x/>
    </i>
    <i t="grand">
      <x/>
    </i>
  </rowItems>
  <colFields count="1">
    <field x="-2"/>
  </colFields>
  <colItems count="2">
    <i>
      <x/>
    </i>
    <i i="1">
      <x v="1"/>
    </i>
  </colItems>
  <dataFields count="2">
    <dataField name="Sum of Capacity (kW)" fld="4" baseField="0" baseItem="0"/>
    <dataField name="Sum of Average Annual Generation (kWh)" fld="5"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52" firstHeaderRow="0" firstDataRow="1" firstDataCol="1" rowPageCount="1" colPageCount="1"/>
  <pivotFields count="20">
    <pivotField axis="axisPage" showAll="0">
      <items count="7">
        <item x="4"/>
        <item x="3"/>
        <item m="1" x="5"/>
        <item x="2"/>
        <item x="1"/>
        <item x="0"/>
        <item t="default"/>
      </items>
    </pivotField>
    <pivotField showAll="0"/>
    <pivotField axis="axisRow" showAll="0" defaultSubtotal="0">
      <items count="80">
        <item x="0"/>
        <item x="48"/>
        <item x="1"/>
        <item x="2"/>
        <item x="3"/>
        <item x="4"/>
        <item x="5"/>
        <item x="6"/>
        <item x="7"/>
        <item x="8"/>
        <item x="51"/>
        <item x="9"/>
        <item x="10"/>
        <item x="70"/>
        <item x="71"/>
        <item x="11"/>
        <item x="72"/>
        <item x="73"/>
        <item x="12"/>
        <item x="59"/>
        <item x="52"/>
        <item x="13"/>
        <item x="14"/>
        <item x="15"/>
        <item x="16"/>
        <item x="74"/>
        <item x="17"/>
        <item x="75"/>
        <item x="53"/>
        <item x="54"/>
        <item x="60"/>
        <item x="18"/>
        <item x="19"/>
        <item x="20"/>
        <item x="61"/>
        <item x="21"/>
        <item x="62"/>
        <item x="49"/>
        <item x="22"/>
        <item x="50"/>
        <item x="23"/>
        <item x="24"/>
        <item x="25"/>
        <item x="55"/>
        <item x="63"/>
        <item x="26"/>
        <item x="27"/>
        <item x="76"/>
        <item x="28"/>
        <item x="56"/>
        <item x="29"/>
        <item x="30"/>
        <item x="31"/>
        <item x="77"/>
        <item x="64"/>
        <item x="32"/>
        <item x="33"/>
        <item x="34"/>
        <item x="35"/>
        <item x="36"/>
        <item x="65"/>
        <item x="37"/>
        <item x="38"/>
        <item x="39"/>
        <item x="40"/>
        <item x="41"/>
        <item x="66"/>
        <item x="42"/>
        <item x="67"/>
        <item x="68"/>
        <item x="43"/>
        <item x="44"/>
        <item x="69"/>
        <item x="78"/>
        <item x="45"/>
        <item x="79"/>
        <item x="46"/>
        <item x="57"/>
        <item x="47"/>
        <item x="58"/>
      </items>
    </pivotField>
    <pivotField showAll="0" defaultSubtotal="0"/>
    <pivotField showAll="0" defaultSubtota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9">
    <i>
      <x/>
    </i>
    <i>
      <x v="2"/>
    </i>
    <i>
      <x v="3"/>
    </i>
    <i>
      <x v="4"/>
    </i>
    <i>
      <x v="5"/>
    </i>
    <i>
      <x v="6"/>
    </i>
    <i>
      <x v="7"/>
    </i>
    <i>
      <x v="8"/>
    </i>
    <i>
      <x v="9"/>
    </i>
    <i>
      <x v="11"/>
    </i>
    <i>
      <x v="12"/>
    </i>
    <i>
      <x v="15"/>
    </i>
    <i>
      <x v="18"/>
    </i>
    <i>
      <x v="21"/>
    </i>
    <i>
      <x v="22"/>
    </i>
    <i>
      <x v="23"/>
    </i>
    <i>
      <x v="24"/>
    </i>
    <i>
      <x v="26"/>
    </i>
    <i>
      <x v="31"/>
    </i>
    <i>
      <x v="32"/>
    </i>
    <i>
      <x v="33"/>
    </i>
    <i>
      <x v="35"/>
    </i>
    <i>
      <x v="38"/>
    </i>
    <i>
      <x v="40"/>
    </i>
    <i>
      <x v="41"/>
    </i>
    <i>
      <x v="42"/>
    </i>
    <i>
      <x v="45"/>
    </i>
    <i>
      <x v="46"/>
    </i>
    <i>
      <x v="48"/>
    </i>
    <i>
      <x v="50"/>
    </i>
    <i>
      <x v="51"/>
    </i>
    <i>
      <x v="52"/>
    </i>
    <i>
      <x v="55"/>
    </i>
    <i>
      <x v="56"/>
    </i>
    <i>
      <x v="57"/>
    </i>
    <i>
      <x v="58"/>
    </i>
    <i>
      <x v="59"/>
    </i>
    <i>
      <x v="61"/>
    </i>
    <i>
      <x v="62"/>
    </i>
    <i>
      <x v="63"/>
    </i>
    <i>
      <x v="64"/>
    </i>
    <i>
      <x v="65"/>
    </i>
    <i>
      <x v="67"/>
    </i>
    <i>
      <x v="70"/>
    </i>
    <i>
      <x v="71"/>
    </i>
    <i>
      <x v="74"/>
    </i>
    <i>
      <x v="76"/>
    </i>
    <i>
      <x v="78"/>
    </i>
    <i t="grand">
      <x/>
    </i>
  </rowItems>
  <colFields count="1">
    <field x="-2"/>
  </colFields>
  <colItems count="2">
    <i>
      <x/>
    </i>
    <i i="1">
      <x v="1"/>
    </i>
  </colItems>
  <pageFields count="1">
    <pageField fld="0" item="5" hier="-1"/>
  </pageFields>
  <dataFields count="2">
    <dataField name="Sum of Capacity (kW)" fld="6" baseField="0" baseItem="0" numFmtId="3"/>
    <dataField name="Sum of Average Annual Generation (MWh)"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C63" firstHeaderRow="0" firstDataRow="1" firstDataCol="1"/>
  <pivotFields count="20">
    <pivotField axis="axisRow" showAll="0">
      <items count="7">
        <item x="4"/>
        <item x="3"/>
        <item m="1" x="5"/>
        <item x="2"/>
        <item x="1"/>
        <item x="0"/>
        <item t="default"/>
      </items>
    </pivotField>
    <pivotField showAll="0"/>
    <pivotField showAll="0" defaultSubtotal="0"/>
    <pivotField showAll="0" defaultSubtotal="0"/>
    <pivotField showAll="0" defaultSubtotal="0"/>
    <pivotField showAll="0"/>
    <pivotField dataField="1" showAll="0"/>
    <pivotField dataField="1" showAll="0"/>
    <pivotField showAll="0"/>
    <pivotField showAll="0"/>
    <pivotField axis="axisRow" showAll="0">
      <items count="47">
        <item x="23"/>
        <item x="32"/>
        <item x="36"/>
        <item x="9"/>
        <item x="6"/>
        <item x="26"/>
        <item x="8"/>
        <item x="18"/>
        <item x="28"/>
        <item x="14"/>
        <item x="27"/>
        <item x="39"/>
        <item x="40"/>
        <item x="20"/>
        <item x="12"/>
        <item x="0"/>
        <item x="13"/>
        <item x="21"/>
        <item x="35"/>
        <item x="1"/>
        <item x="31"/>
        <item m="1" x="44"/>
        <item x="10"/>
        <item x="22"/>
        <item x="16"/>
        <item x="7"/>
        <item x="33"/>
        <item x="17"/>
        <item m="1" x="41"/>
        <item x="29"/>
        <item x="19"/>
        <item m="1" x="45"/>
        <item x="15"/>
        <item x="11"/>
        <item x="4"/>
        <item x="24"/>
        <item x="2"/>
        <item x="34"/>
        <item x="30"/>
        <item x="5"/>
        <item x="25"/>
        <item m="1" x="43"/>
        <item m="1" x="42"/>
        <item x="37"/>
        <item x="3"/>
        <item x="38"/>
        <item t="default"/>
      </items>
    </pivotField>
    <pivotField showAll="0"/>
    <pivotField showAll="0"/>
    <pivotField showAll="0"/>
    <pivotField showAll="0"/>
    <pivotField showAll="0"/>
    <pivotField showAll="0"/>
    <pivotField showAll="0"/>
    <pivotField showAll="0"/>
    <pivotField showAll="0"/>
  </pivotFields>
  <rowFields count="2">
    <field x="0"/>
    <field x="10"/>
  </rowFields>
  <rowItems count="62">
    <i>
      <x/>
    </i>
    <i r="1">
      <x/>
    </i>
    <i r="1">
      <x v="11"/>
    </i>
    <i r="1">
      <x v="12"/>
    </i>
    <i r="1">
      <x v="13"/>
    </i>
    <i r="1">
      <x v="15"/>
    </i>
    <i r="1">
      <x v="25"/>
    </i>
    <i r="1">
      <x v="43"/>
    </i>
    <i r="1">
      <x v="45"/>
    </i>
    <i>
      <x v="1"/>
    </i>
    <i r="1">
      <x v="1"/>
    </i>
    <i r="1">
      <x v="2"/>
    </i>
    <i r="1">
      <x v="6"/>
    </i>
    <i r="1">
      <x v="9"/>
    </i>
    <i r="1">
      <x v="18"/>
    </i>
    <i r="1">
      <x v="19"/>
    </i>
    <i r="1">
      <x v="20"/>
    </i>
    <i r="1">
      <x v="23"/>
    </i>
    <i r="1">
      <x v="26"/>
    </i>
    <i r="1">
      <x v="36"/>
    </i>
    <i r="1">
      <x v="37"/>
    </i>
    <i r="1">
      <x v="38"/>
    </i>
    <i r="1">
      <x v="39"/>
    </i>
    <i>
      <x v="3"/>
    </i>
    <i r="1">
      <x v="5"/>
    </i>
    <i r="1">
      <x v="8"/>
    </i>
    <i r="1">
      <x v="10"/>
    </i>
    <i r="1">
      <x v="13"/>
    </i>
    <i r="1">
      <x v="22"/>
    </i>
    <i r="1">
      <x v="29"/>
    </i>
    <i r="1">
      <x v="36"/>
    </i>
    <i r="1">
      <x v="44"/>
    </i>
    <i>
      <x v="4"/>
    </i>
    <i r="1">
      <x v="13"/>
    </i>
    <i r="1">
      <x v="35"/>
    </i>
    <i r="1">
      <x v="40"/>
    </i>
    <i>
      <x v="5"/>
    </i>
    <i r="1">
      <x/>
    </i>
    <i r="1">
      <x v="3"/>
    </i>
    <i r="1">
      <x v="4"/>
    </i>
    <i r="1">
      <x v="6"/>
    </i>
    <i r="1">
      <x v="7"/>
    </i>
    <i r="1">
      <x v="9"/>
    </i>
    <i r="1">
      <x v="13"/>
    </i>
    <i r="1">
      <x v="14"/>
    </i>
    <i r="1">
      <x v="15"/>
    </i>
    <i r="1">
      <x v="16"/>
    </i>
    <i r="1">
      <x v="17"/>
    </i>
    <i r="1">
      <x v="19"/>
    </i>
    <i r="1">
      <x v="22"/>
    </i>
    <i r="1">
      <x v="23"/>
    </i>
    <i r="1">
      <x v="24"/>
    </i>
    <i r="1">
      <x v="25"/>
    </i>
    <i r="1">
      <x v="27"/>
    </i>
    <i r="1">
      <x v="30"/>
    </i>
    <i r="1">
      <x v="32"/>
    </i>
    <i r="1">
      <x v="33"/>
    </i>
    <i r="1">
      <x v="34"/>
    </i>
    <i r="1">
      <x v="36"/>
    </i>
    <i r="1">
      <x v="39"/>
    </i>
    <i r="1">
      <x v="44"/>
    </i>
    <i t="grand">
      <x/>
    </i>
  </rowItems>
  <colFields count="1">
    <field x="-2"/>
  </colFields>
  <colItems count="2">
    <i>
      <x/>
    </i>
    <i i="1">
      <x v="1"/>
    </i>
  </colItems>
  <dataFields count="2">
    <dataField name="Sum of Capacity (kW)" fld="6" baseField="9" baseItem="12" numFmtId="3"/>
    <dataField name="Sum of Average Annual Generation (MWh)" fld="7" baseField="9" baseItem="12"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2:T93" totalsRowShown="0" headerRowDxfId="22" dataDxfId="20" headerRowBorderDxfId="21" tableBorderDxfId="19">
  <autoFilter ref="A2:T93">
    <filterColumn colId="10">
      <filters>
        <filter val="Akutan"/>
      </filters>
    </filterColumn>
  </autoFilter>
  <sortState ref="A3:T92">
    <sortCondition descending="1" ref="A3:A92"/>
    <sortCondition ref="C3:C92"/>
  </sortState>
  <tableColumns count="20">
    <tableColumn id="8" name="Phase" dataDxfId="18"/>
    <tableColumn id="1" name="Year of Operation or Development Phase" dataDxfId="17"/>
    <tableColumn id="19" name="Project Name" dataDxfId="16"/>
    <tableColumn id="2" name="Name" dataDxfId="15"/>
    <tableColumn id="20" name="Grid"/>
    <tableColumn id="4" name="Utility/Owner" dataDxfId="14"/>
    <tableColumn id="5" name="Capacity (kW)" dataDxfId="13"/>
    <tableColumn id="6" name="Average Annual Generation (MWh)" dataDxfId="12"/>
    <tableColumn id="7" name="Type" dataDxfId="11"/>
    <tableColumn id="9" name="FERC No" dataDxfId="10"/>
    <tableColumn id="3" name="Service Area" dataDxfId="9"/>
    <tableColumn id="10" name="Total Project Cost" dataDxfId="8"/>
    <tableColumn id="11" name="Cost Year" dataDxfId="7"/>
    <tableColumn id="12" name="Source" dataDxfId="6"/>
    <tableColumn id="13" name="Feasibility Study" dataDxfId="5"/>
    <tableColumn id="14" name="Design Drawings" dataDxfId="4"/>
    <tableColumn id="15" name="Map" dataDxfId="3"/>
    <tableColumn id="16" name="Entity Type" dataDxfId="2"/>
    <tableColumn id="18" name="Notes" dataDxfId="1"/>
    <tableColumn id="17" name="Description"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abSelected="1" topLeftCell="A37" workbookViewId="0">
      <selection activeCell="I51" sqref="I51"/>
    </sheetView>
  </sheetViews>
  <sheetFormatPr defaultRowHeight="15" x14ac:dyDescent="0.25"/>
  <cols>
    <col min="1" max="1" width="31.85546875" bestFit="1" customWidth="1"/>
    <col min="2" max="2" width="16.28515625" bestFit="1" customWidth="1"/>
    <col min="3" max="3" width="20.140625" bestFit="1" customWidth="1"/>
    <col min="4" max="4" width="39.140625" customWidth="1"/>
  </cols>
  <sheetData>
    <row r="1" spans="1:4" x14ac:dyDescent="0.25">
      <c r="A1" s="23" t="s">
        <v>273</v>
      </c>
      <c r="B1" s="23" t="s">
        <v>292</v>
      </c>
      <c r="C1" t="s">
        <v>275</v>
      </c>
      <c r="D1" t="s">
        <v>335</v>
      </c>
    </row>
    <row r="2" spans="1:4" x14ac:dyDescent="0.25">
      <c r="A2" s="24" t="s">
        <v>13</v>
      </c>
      <c r="B2" s="24" t="s">
        <v>293</v>
      </c>
      <c r="C2" s="42">
        <v>105</v>
      </c>
      <c r="D2" s="42">
        <v>312652</v>
      </c>
    </row>
    <row r="3" spans="1:4" x14ac:dyDescent="0.25">
      <c r="A3" s="24" t="s">
        <v>26</v>
      </c>
      <c r="B3" s="24" t="s">
        <v>293</v>
      </c>
      <c r="C3" s="42">
        <v>284</v>
      </c>
      <c r="D3" s="42">
        <v>443142</v>
      </c>
    </row>
    <row r="4" spans="1:4" x14ac:dyDescent="0.25">
      <c r="A4" s="24" t="s">
        <v>311</v>
      </c>
      <c r="B4" s="24" t="s">
        <v>326</v>
      </c>
      <c r="C4" s="42">
        <v>400</v>
      </c>
      <c r="D4" s="42">
        <v>1103760</v>
      </c>
    </row>
    <row r="5" spans="1:4" x14ac:dyDescent="0.25">
      <c r="A5" s="24" t="s">
        <v>31</v>
      </c>
      <c r="B5" s="24" t="s">
        <v>293</v>
      </c>
      <c r="C5" s="42">
        <v>60</v>
      </c>
      <c r="D5" s="42">
        <v>300000</v>
      </c>
    </row>
    <row r="6" spans="1:4" x14ac:dyDescent="0.25">
      <c r="A6" s="24" t="s">
        <v>33</v>
      </c>
      <c r="B6" s="24" t="s">
        <v>293</v>
      </c>
      <c r="C6" s="42">
        <v>167</v>
      </c>
      <c r="D6" s="42">
        <v>521200.00000000006</v>
      </c>
    </row>
    <row r="7" spans="1:4" x14ac:dyDescent="0.25">
      <c r="A7" s="24" t="s">
        <v>28</v>
      </c>
      <c r="B7" s="24" t="s">
        <v>293</v>
      </c>
      <c r="C7" s="42">
        <v>7250</v>
      </c>
      <c r="D7" s="42">
        <v>19482939</v>
      </c>
    </row>
    <row r="8" spans="1:4" x14ac:dyDescent="0.25">
      <c r="A8" s="24" t="s">
        <v>318</v>
      </c>
      <c r="B8" s="24" t="s">
        <v>326</v>
      </c>
      <c r="C8" s="42">
        <v>400</v>
      </c>
      <c r="D8" s="42">
        <v>699206</v>
      </c>
    </row>
    <row r="9" spans="1:4" x14ac:dyDescent="0.25">
      <c r="A9" s="24" t="s">
        <v>310</v>
      </c>
      <c r="B9" s="24" t="s">
        <v>326</v>
      </c>
      <c r="C9" s="42">
        <v>300</v>
      </c>
      <c r="D9" s="42">
        <v>1103760</v>
      </c>
    </row>
    <row r="10" spans="1:4" x14ac:dyDescent="0.25">
      <c r="A10" s="24" t="s">
        <v>37</v>
      </c>
      <c r="B10" s="24" t="s">
        <v>293</v>
      </c>
      <c r="C10" s="42">
        <v>18500</v>
      </c>
      <c r="D10" s="42">
        <v>60056617</v>
      </c>
    </row>
    <row r="11" spans="1:4" x14ac:dyDescent="0.25">
      <c r="A11" s="24" t="s">
        <v>39</v>
      </c>
      <c r="B11" s="24" t="s">
        <v>293</v>
      </c>
      <c r="C11" s="42">
        <v>800</v>
      </c>
      <c r="D11" s="42">
        <v>1939011</v>
      </c>
    </row>
    <row r="12" spans="1:4" x14ac:dyDescent="0.25">
      <c r="A12" s="24" t="s">
        <v>20</v>
      </c>
      <c r="B12" s="24" t="s">
        <v>293</v>
      </c>
      <c r="C12" s="42">
        <v>8828</v>
      </c>
      <c r="D12" s="42">
        <v>27365632</v>
      </c>
    </row>
    <row r="13" spans="1:4" x14ac:dyDescent="0.25">
      <c r="A13" s="24" t="s">
        <v>46</v>
      </c>
      <c r="B13" s="24" t="s">
        <v>293</v>
      </c>
      <c r="C13" s="42">
        <v>450</v>
      </c>
      <c r="D13" s="42">
        <v>1810000</v>
      </c>
    </row>
    <row r="14" spans="1:4" x14ac:dyDescent="0.25">
      <c r="A14" s="24" t="s">
        <v>307</v>
      </c>
      <c r="B14" s="24" t="s">
        <v>326</v>
      </c>
      <c r="C14" s="42">
        <v>300</v>
      </c>
      <c r="D14" s="42">
        <v>814680</v>
      </c>
    </row>
    <row r="15" spans="1:4" x14ac:dyDescent="0.25">
      <c r="A15" s="24" t="s">
        <v>41</v>
      </c>
      <c r="B15" s="24" t="s">
        <v>293</v>
      </c>
      <c r="C15" s="42">
        <v>824</v>
      </c>
      <c r="D15" s="42">
        <v>4048161</v>
      </c>
    </row>
    <row r="16" spans="1:4" x14ac:dyDescent="0.25">
      <c r="A16" s="24" t="s">
        <v>3</v>
      </c>
      <c r="B16" s="24" t="s">
        <v>293</v>
      </c>
      <c r="C16" s="42">
        <v>106600</v>
      </c>
      <c r="D16" s="42">
        <v>430000000</v>
      </c>
    </row>
    <row r="17" spans="1:4" x14ac:dyDescent="0.25">
      <c r="A17" s="24" t="s">
        <v>303</v>
      </c>
      <c r="B17" s="24" t="s">
        <v>326</v>
      </c>
      <c r="C17" s="42">
        <v>300</v>
      </c>
      <c r="D17" s="42">
        <v>840960</v>
      </c>
    </row>
    <row r="18" spans="1:4" x14ac:dyDescent="0.25">
      <c r="A18" s="24" t="s">
        <v>51</v>
      </c>
      <c r="B18" s="24" t="s">
        <v>293</v>
      </c>
      <c r="C18" s="42">
        <v>800</v>
      </c>
      <c r="D18" s="42">
        <v>1997981</v>
      </c>
    </row>
    <row r="19" spans="1:4" x14ac:dyDescent="0.25">
      <c r="A19" s="24" t="s">
        <v>48</v>
      </c>
      <c r="B19" s="24" t="s">
        <v>293</v>
      </c>
      <c r="C19" s="42">
        <v>34000</v>
      </c>
      <c r="D19" s="42">
        <v>135000000</v>
      </c>
    </row>
    <row r="20" spans="1:4" x14ac:dyDescent="0.25">
      <c r="A20" s="24" t="s">
        <v>48</v>
      </c>
      <c r="B20" s="24" t="s">
        <v>326</v>
      </c>
      <c r="C20" s="42">
        <v>9000</v>
      </c>
      <c r="D20" s="42">
        <v>26017200</v>
      </c>
    </row>
    <row r="21" spans="1:4" x14ac:dyDescent="0.25">
      <c r="A21" s="24" t="s">
        <v>317</v>
      </c>
      <c r="B21" s="24" t="s">
        <v>326</v>
      </c>
      <c r="C21" s="42">
        <v>180</v>
      </c>
      <c r="D21" s="42">
        <v>531381.6</v>
      </c>
    </row>
    <row r="22" spans="1:4" x14ac:dyDescent="0.25">
      <c r="A22" s="24" t="s">
        <v>316</v>
      </c>
      <c r="B22" s="24" t="s">
        <v>326</v>
      </c>
      <c r="C22" s="42">
        <v>475</v>
      </c>
      <c r="D22" s="42">
        <v>1019445</v>
      </c>
    </row>
    <row r="23" spans="1:4" x14ac:dyDescent="0.25">
      <c r="A23" s="24" t="s">
        <v>298</v>
      </c>
      <c r="B23" s="24" t="s">
        <v>326</v>
      </c>
      <c r="C23" s="42">
        <v>1800</v>
      </c>
      <c r="D23" s="42">
        <v>4478112</v>
      </c>
    </row>
    <row r="24" spans="1:4" x14ac:dyDescent="0.25">
      <c r="A24" s="24" t="s">
        <v>322</v>
      </c>
      <c r="B24" s="24" t="s">
        <v>326</v>
      </c>
      <c r="C24" s="42">
        <v>475</v>
      </c>
      <c r="D24" s="42">
        <v>4173184</v>
      </c>
    </row>
    <row r="25" spans="1:4" x14ac:dyDescent="0.25">
      <c r="A25" s="24" t="s">
        <v>58</v>
      </c>
      <c r="B25" s="24" t="s">
        <v>293</v>
      </c>
      <c r="C25" s="42">
        <v>475</v>
      </c>
      <c r="D25" s="42">
        <v>773021</v>
      </c>
    </row>
    <row r="26" spans="1:4" x14ac:dyDescent="0.25">
      <c r="A26" s="24" t="s">
        <v>313</v>
      </c>
      <c r="B26" s="24" t="s">
        <v>326</v>
      </c>
      <c r="C26" s="42">
        <v>200</v>
      </c>
      <c r="D26" s="42">
        <v>480048</v>
      </c>
    </row>
    <row r="27" spans="1:4" x14ac:dyDescent="0.25">
      <c r="A27" s="24" t="s">
        <v>63</v>
      </c>
      <c r="B27" s="24" t="s">
        <v>293</v>
      </c>
      <c r="C27" s="42">
        <v>5000</v>
      </c>
      <c r="D27" s="42">
        <v>21036690</v>
      </c>
    </row>
    <row r="28" spans="1:4" x14ac:dyDescent="0.25">
      <c r="A28" s="24" t="s">
        <v>314</v>
      </c>
      <c r="B28" s="24" t="s">
        <v>326</v>
      </c>
      <c r="C28" s="42">
        <v>65</v>
      </c>
      <c r="D28" s="42">
        <v>204984</v>
      </c>
    </row>
    <row r="29" spans="1:4" x14ac:dyDescent="0.25">
      <c r="A29" s="24" t="s">
        <v>328</v>
      </c>
      <c r="B29" s="24" t="s">
        <v>326</v>
      </c>
      <c r="C29" s="42">
        <v>2970</v>
      </c>
      <c r="D29" s="42">
        <v>5960707</v>
      </c>
    </row>
    <row r="30" spans="1:4" x14ac:dyDescent="0.25">
      <c r="A30" s="24" t="s">
        <v>67</v>
      </c>
      <c r="B30" s="24" t="s">
        <v>293</v>
      </c>
      <c r="C30" s="42">
        <v>125</v>
      </c>
      <c r="D30" s="42">
        <v>167000</v>
      </c>
    </row>
    <row r="31" spans="1:4" x14ac:dyDescent="0.25">
      <c r="A31" s="24" t="s">
        <v>68</v>
      </c>
      <c r="B31" s="24" t="s">
        <v>293</v>
      </c>
      <c r="C31" s="42">
        <v>650</v>
      </c>
      <c r="D31" s="42">
        <v>799494</v>
      </c>
    </row>
    <row r="32" spans="1:4" x14ac:dyDescent="0.25">
      <c r="A32" s="24" t="s">
        <v>308</v>
      </c>
      <c r="B32" s="24" t="s">
        <v>326</v>
      </c>
      <c r="C32" s="42">
        <v>24</v>
      </c>
      <c r="D32" s="42">
        <v>31536</v>
      </c>
    </row>
    <row r="33" spans="1:4" x14ac:dyDescent="0.25">
      <c r="A33" s="24" t="s">
        <v>254</v>
      </c>
      <c r="B33" s="24" t="s">
        <v>293</v>
      </c>
      <c r="C33" s="42">
        <v>249</v>
      </c>
      <c r="D33" s="42">
        <v>0</v>
      </c>
    </row>
    <row r="34" spans="1:4" x14ac:dyDescent="0.25">
      <c r="A34" s="24" t="s">
        <v>266</v>
      </c>
      <c r="B34" s="24" t="s">
        <v>293</v>
      </c>
      <c r="C34" s="42">
        <v>75</v>
      </c>
      <c r="D34" s="42">
        <v>0</v>
      </c>
    </row>
    <row r="35" spans="1:4" x14ac:dyDescent="0.25">
      <c r="A35" s="24" t="s">
        <v>15</v>
      </c>
      <c r="B35" s="24" t="s">
        <v>293</v>
      </c>
      <c r="C35" s="42">
        <v>11275</v>
      </c>
      <c r="D35" s="42">
        <v>51590054</v>
      </c>
    </row>
    <row r="36" spans="1:4" x14ac:dyDescent="0.25">
      <c r="A36" s="24" t="s">
        <v>312</v>
      </c>
      <c r="B36" s="24" t="s">
        <v>326</v>
      </c>
      <c r="C36" s="42">
        <v>300</v>
      </c>
      <c r="D36" s="42">
        <v>620208</v>
      </c>
    </row>
    <row r="37" spans="1:4" x14ac:dyDescent="0.25">
      <c r="A37" s="24" t="s">
        <v>60</v>
      </c>
      <c r="B37" s="24" t="s">
        <v>293</v>
      </c>
      <c r="C37" s="42">
        <v>181435</v>
      </c>
      <c r="D37" s="42">
        <v>605084077</v>
      </c>
    </row>
    <row r="38" spans="1:4" x14ac:dyDescent="0.25">
      <c r="A38" s="24" t="s">
        <v>60</v>
      </c>
      <c r="B38" s="24" t="s">
        <v>326</v>
      </c>
      <c r="C38" s="42">
        <v>43200</v>
      </c>
      <c r="D38" s="42">
        <v>123139320</v>
      </c>
    </row>
    <row r="39" spans="1:4" x14ac:dyDescent="0.25">
      <c r="A39" s="24" t="s">
        <v>302</v>
      </c>
      <c r="B39" s="24" t="s">
        <v>326</v>
      </c>
      <c r="C39" s="42">
        <v>225</v>
      </c>
      <c r="D39" s="42">
        <v>696748.5</v>
      </c>
    </row>
    <row r="40" spans="1:4" x14ac:dyDescent="0.25">
      <c r="A40" s="24" t="s">
        <v>315</v>
      </c>
      <c r="B40" s="24" t="s">
        <v>326</v>
      </c>
      <c r="C40" s="42">
        <v>1000</v>
      </c>
      <c r="D40" s="42">
        <v>1408608</v>
      </c>
    </row>
    <row r="41" spans="1:4" x14ac:dyDescent="0.25">
      <c r="A41" s="24" t="s">
        <v>306</v>
      </c>
      <c r="B41" s="24" t="s">
        <v>326</v>
      </c>
      <c r="C41" s="42">
        <v>200</v>
      </c>
      <c r="D41" s="42">
        <v>579912</v>
      </c>
    </row>
    <row r="42" spans="1:4" x14ac:dyDescent="0.25">
      <c r="A42" s="24" t="s">
        <v>300</v>
      </c>
      <c r="B42" s="24" t="s">
        <v>326</v>
      </c>
      <c r="C42" s="42">
        <v>260</v>
      </c>
      <c r="D42" s="42">
        <v>296088</v>
      </c>
    </row>
    <row r="43" spans="1:4" x14ac:dyDescent="0.25">
      <c r="A43" s="24" t="s">
        <v>319</v>
      </c>
      <c r="B43" s="24" t="s">
        <v>326</v>
      </c>
      <c r="C43" s="42">
        <v>200</v>
      </c>
      <c r="D43" s="42">
        <v>411720</v>
      </c>
    </row>
    <row r="44" spans="1:4" x14ac:dyDescent="0.25">
      <c r="A44" s="24" t="s">
        <v>76</v>
      </c>
      <c r="B44" s="24" t="s">
        <v>293</v>
      </c>
      <c r="C44" s="42">
        <v>34245</v>
      </c>
      <c r="D44" s="42">
        <v>164000000</v>
      </c>
    </row>
    <row r="45" spans="1:4" x14ac:dyDescent="0.25">
      <c r="A45" s="24" t="s">
        <v>80</v>
      </c>
      <c r="B45" s="24" t="s">
        <v>293</v>
      </c>
      <c r="C45" s="42">
        <v>180</v>
      </c>
      <c r="D45" s="42">
        <v>1169000</v>
      </c>
    </row>
    <row r="46" spans="1:4" x14ac:dyDescent="0.25">
      <c r="A46" s="24" t="s">
        <v>304</v>
      </c>
      <c r="B46" s="24" t="s">
        <v>326</v>
      </c>
      <c r="C46" s="42">
        <v>225</v>
      </c>
      <c r="D46" s="42"/>
    </row>
    <row r="47" spans="1:4" x14ac:dyDescent="0.25">
      <c r="A47" s="24" t="s">
        <v>301</v>
      </c>
      <c r="B47" s="24" t="s">
        <v>326</v>
      </c>
      <c r="C47" s="42">
        <v>400</v>
      </c>
      <c r="D47" s="42">
        <v>219000</v>
      </c>
    </row>
    <row r="48" spans="1:4" x14ac:dyDescent="0.25">
      <c r="A48" s="24" t="s">
        <v>323</v>
      </c>
      <c r="B48" s="24" t="s">
        <v>326</v>
      </c>
      <c r="C48" s="42">
        <v>475</v>
      </c>
      <c r="D48" s="42">
        <v>865488</v>
      </c>
    </row>
    <row r="49" spans="1:4" x14ac:dyDescent="0.25">
      <c r="A49" s="24" t="s">
        <v>309</v>
      </c>
      <c r="B49" s="24" t="s">
        <v>326</v>
      </c>
      <c r="C49" s="42">
        <v>600</v>
      </c>
      <c r="D49" s="42">
        <v>1093248</v>
      </c>
    </row>
    <row r="50" spans="1:4" x14ac:dyDescent="0.25">
      <c r="A50" s="24" t="s">
        <v>299</v>
      </c>
      <c r="B50" s="24" t="s">
        <v>326</v>
      </c>
      <c r="C50" s="42">
        <v>130</v>
      </c>
      <c r="D50" s="42">
        <v>398580</v>
      </c>
    </row>
    <row r="51" spans="1:4" x14ac:dyDescent="0.25">
      <c r="A51" s="24" t="s">
        <v>278</v>
      </c>
      <c r="B51" s="24" t="s">
        <v>293</v>
      </c>
      <c r="C51" s="42">
        <v>63100</v>
      </c>
      <c r="D51" s="42">
        <v>298144400</v>
      </c>
    </row>
    <row r="52" spans="1:4" x14ac:dyDescent="0.25">
      <c r="A52" s="24" t="s">
        <v>274</v>
      </c>
      <c r="C52" s="42">
        <v>539581</v>
      </c>
      <c r="D52" s="42">
        <v>2003228955.0999999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sqref="A1:F80"/>
    </sheetView>
  </sheetViews>
  <sheetFormatPr defaultRowHeight="15" x14ac:dyDescent="0.25"/>
  <cols>
    <col min="1" max="1" width="29.85546875" bestFit="1" customWidth="1"/>
    <col min="2" max="2" width="32" bestFit="1" customWidth="1"/>
    <col min="3" max="3" width="9.140625" style="37"/>
    <col min="4" max="4" width="14.140625" customWidth="1"/>
    <col min="6" max="6" width="15.28515625" style="41" bestFit="1" customWidth="1"/>
  </cols>
  <sheetData>
    <row r="1" spans="1:6" s="33" customFormat="1" ht="60" x14ac:dyDescent="0.25">
      <c r="A1" s="33" t="s">
        <v>334</v>
      </c>
      <c r="B1" s="33" t="s">
        <v>283</v>
      </c>
      <c r="C1" s="36" t="s">
        <v>292</v>
      </c>
      <c r="D1" s="33" t="s">
        <v>294</v>
      </c>
      <c r="E1" s="33" t="s">
        <v>272</v>
      </c>
      <c r="F1" s="40" t="s">
        <v>327</v>
      </c>
    </row>
    <row r="2" spans="1:6" x14ac:dyDescent="0.25">
      <c r="A2" t="s">
        <v>13</v>
      </c>
      <c r="B2" t="s">
        <v>12</v>
      </c>
      <c r="C2" s="37" t="s">
        <v>293</v>
      </c>
      <c r="D2" t="s">
        <v>6</v>
      </c>
      <c r="E2">
        <v>105</v>
      </c>
      <c r="F2" s="41">
        <v>312652</v>
      </c>
    </row>
    <row r="3" spans="1:6" x14ac:dyDescent="0.25">
      <c r="A3" t="s">
        <v>26</v>
      </c>
      <c r="B3" t="s">
        <v>25</v>
      </c>
      <c r="C3" s="37" t="s">
        <v>293</v>
      </c>
      <c r="D3" t="s">
        <v>6</v>
      </c>
      <c r="E3">
        <v>284</v>
      </c>
      <c r="F3" s="41">
        <v>443142</v>
      </c>
    </row>
    <row r="4" spans="1:6" x14ac:dyDescent="0.25">
      <c r="A4" t="s">
        <v>311</v>
      </c>
      <c r="C4" s="37" t="s">
        <v>326</v>
      </c>
      <c r="E4">
        <v>400</v>
      </c>
      <c r="F4" s="41">
        <v>1103760</v>
      </c>
    </row>
    <row r="5" spans="1:6" x14ac:dyDescent="0.25">
      <c r="A5" t="s">
        <v>31</v>
      </c>
      <c r="B5" t="s">
        <v>108</v>
      </c>
      <c r="C5" s="37" t="s">
        <v>293</v>
      </c>
      <c r="D5" t="s">
        <v>17</v>
      </c>
      <c r="E5">
        <v>60</v>
      </c>
      <c r="F5" s="41">
        <v>300000</v>
      </c>
    </row>
    <row r="6" spans="1:6" x14ac:dyDescent="0.25">
      <c r="A6" t="s">
        <v>33</v>
      </c>
      <c r="B6" t="s">
        <v>32</v>
      </c>
      <c r="C6" s="37" t="s">
        <v>293</v>
      </c>
      <c r="D6" t="s">
        <v>6</v>
      </c>
      <c r="E6">
        <v>167</v>
      </c>
      <c r="F6" s="41">
        <v>521200.00000000006</v>
      </c>
    </row>
    <row r="7" spans="1:6" x14ac:dyDescent="0.25">
      <c r="A7" t="s">
        <v>28</v>
      </c>
      <c r="B7" t="s">
        <v>27</v>
      </c>
      <c r="C7" s="37" t="s">
        <v>293</v>
      </c>
      <c r="D7" t="s">
        <v>6</v>
      </c>
      <c r="E7">
        <v>1250</v>
      </c>
      <c r="F7" s="41">
        <v>3553542</v>
      </c>
    </row>
    <row r="8" spans="1:6" x14ac:dyDescent="0.25">
      <c r="A8" t="s">
        <v>28</v>
      </c>
      <c r="B8" t="s">
        <v>30</v>
      </c>
      <c r="C8" s="37" t="s">
        <v>293</v>
      </c>
      <c r="D8" t="s">
        <v>6</v>
      </c>
      <c r="E8">
        <v>6000</v>
      </c>
      <c r="F8" s="41">
        <v>15929397</v>
      </c>
    </row>
    <row r="9" spans="1:6" x14ac:dyDescent="0.25">
      <c r="A9" t="s">
        <v>318</v>
      </c>
      <c r="C9" s="37" t="s">
        <v>326</v>
      </c>
      <c r="E9">
        <v>400</v>
      </c>
      <c r="F9" s="41">
        <v>699206</v>
      </c>
    </row>
    <row r="10" spans="1:6" x14ac:dyDescent="0.25">
      <c r="A10" t="s">
        <v>310</v>
      </c>
      <c r="C10" s="37" t="s">
        <v>326</v>
      </c>
      <c r="E10">
        <v>300</v>
      </c>
      <c r="F10" s="41">
        <v>1103760</v>
      </c>
    </row>
    <row r="11" spans="1:6" x14ac:dyDescent="0.25">
      <c r="A11" t="s">
        <v>37</v>
      </c>
      <c r="B11" t="s">
        <v>34</v>
      </c>
      <c r="C11" s="37" t="s">
        <v>293</v>
      </c>
      <c r="D11" t="s">
        <v>6</v>
      </c>
      <c r="E11">
        <v>6500</v>
      </c>
      <c r="F11" s="41">
        <v>15056617</v>
      </c>
    </row>
    <row r="12" spans="1:6" x14ac:dyDescent="0.25">
      <c r="A12" t="s">
        <v>37</v>
      </c>
      <c r="B12" t="s">
        <v>36</v>
      </c>
      <c r="C12" s="37" t="s">
        <v>293</v>
      </c>
      <c r="D12" t="s">
        <v>17</v>
      </c>
      <c r="E12">
        <v>12000</v>
      </c>
      <c r="F12" s="41">
        <v>45000000</v>
      </c>
    </row>
    <row r="13" spans="1:6" x14ac:dyDescent="0.25">
      <c r="A13" t="s">
        <v>39</v>
      </c>
      <c r="B13" t="s">
        <v>38</v>
      </c>
      <c r="C13" s="37" t="s">
        <v>293</v>
      </c>
      <c r="D13" t="s">
        <v>6</v>
      </c>
      <c r="E13">
        <v>800</v>
      </c>
      <c r="F13" s="41">
        <v>1939011</v>
      </c>
    </row>
    <row r="14" spans="1:6" x14ac:dyDescent="0.25">
      <c r="A14" t="s">
        <v>20</v>
      </c>
      <c r="B14" t="s">
        <v>43</v>
      </c>
      <c r="C14" s="37" t="s">
        <v>293</v>
      </c>
      <c r="D14" t="s">
        <v>6</v>
      </c>
      <c r="E14">
        <v>600</v>
      </c>
      <c r="F14" s="41">
        <v>1000000</v>
      </c>
    </row>
    <row r="15" spans="1:6" x14ac:dyDescent="0.25">
      <c r="A15" t="s">
        <v>20</v>
      </c>
      <c r="B15" t="s">
        <v>19</v>
      </c>
      <c r="C15" s="37" t="s">
        <v>293</v>
      </c>
      <c r="D15" t="s">
        <v>6</v>
      </c>
      <c r="E15">
        <v>943</v>
      </c>
      <c r="F15" s="41">
        <v>3137760</v>
      </c>
    </row>
    <row r="16" spans="1:6" x14ac:dyDescent="0.25">
      <c r="A16" t="s">
        <v>20</v>
      </c>
      <c r="B16" t="s">
        <v>21</v>
      </c>
      <c r="C16" s="37" t="s">
        <v>293</v>
      </c>
      <c r="D16" t="s">
        <v>17</v>
      </c>
      <c r="E16">
        <v>4000</v>
      </c>
      <c r="F16" s="41">
        <v>15617000</v>
      </c>
    </row>
    <row r="17" spans="1:6" x14ac:dyDescent="0.25">
      <c r="A17" t="s">
        <v>20</v>
      </c>
      <c r="B17" t="s">
        <v>22</v>
      </c>
      <c r="C17" s="37" t="s">
        <v>293</v>
      </c>
      <c r="D17" t="s">
        <v>6</v>
      </c>
      <c r="E17">
        <v>3000</v>
      </c>
      <c r="F17" s="41">
        <v>7446440</v>
      </c>
    </row>
    <row r="18" spans="1:6" x14ac:dyDescent="0.25">
      <c r="A18" t="s">
        <v>20</v>
      </c>
      <c r="B18" t="s">
        <v>23</v>
      </c>
      <c r="C18" s="37" t="s">
        <v>293</v>
      </c>
      <c r="D18" t="s">
        <v>6</v>
      </c>
      <c r="E18">
        <v>285</v>
      </c>
      <c r="F18" s="41">
        <v>164432</v>
      </c>
    </row>
    <row r="19" spans="1:6" x14ac:dyDescent="0.25">
      <c r="A19" t="s">
        <v>46</v>
      </c>
      <c r="B19" t="s">
        <v>45</v>
      </c>
      <c r="C19" s="37" t="s">
        <v>293</v>
      </c>
      <c r="D19" t="s">
        <v>6</v>
      </c>
      <c r="E19">
        <v>450</v>
      </c>
      <c r="F19" s="41">
        <v>1810000</v>
      </c>
    </row>
    <row r="20" spans="1:6" x14ac:dyDescent="0.25">
      <c r="A20" t="s">
        <v>307</v>
      </c>
      <c r="C20" s="37" t="s">
        <v>326</v>
      </c>
      <c r="E20">
        <v>300</v>
      </c>
      <c r="F20" s="41">
        <v>814680</v>
      </c>
    </row>
    <row r="21" spans="1:6" x14ac:dyDescent="0.25">
      <c r="A21" t="s">
        <v>41</v>
      </c>
      <c r="B21" t="s">
        <v>40</v>
      </c>
      <c r="C21" s="37" t="s">
        <v>293</v>
      </c>
      <c r="D21" t="s">
        <v>6</v>
      </c>
      <c r="E21">
        <v>824</v>
      </c>
      <c r="F21" s="41">
        <v>4048161</v>
      </c>
    </row>
    <row r="22" spans="1:6" x14ac:dyDescent="0.25">
      <c r="A22" t="s">
        <v>3</v>
      </c>
      <c r="B22" t="s">
        <v>2</v>
      </c>
      <c r="C22" s="37" t="s">
        <v>293</v>
      </c>
      <c r="D22" t="s">
        <v>8</v>
      </c>
      <c r="E22">
        <v>4000</v>
      </c>
      <c r="F22" s="41">
        <v>26000000</v>
      </c>
    </row>
    <row r="23" spans="1:6" x14ac:dyDescent="0.25">
      <c r="A23" t="s">
        <v>3</v>
      </c>
      <c r="B23" t="s">
        <v>5</v>
      </c>
      <c r="C23" s="37" t="s">
        <v>293</v>
      </c>
      <c r="D23" t="s">
        <v>6</v>
      </c>
      <c r="E23">
        <v>1600</v>
      </c>
      <c r="F23" s="41">
        <v>4500000</v>
      </c>
    </row>
    <row r="24" spans="1:6" x14ac:dyDescent="0.25">
      <c r="A24" t="s">
        <v>3</v>
      </c>
      <c r="B24" t="s">
        <v>7</v>
      </c>
      <c r="C24" s="37" t="s">
        <v>293</v>
      </c>
      <c r="D24" t="s">
        <v>8</v>
      </c>
      <c r="E24">
        <v>14300</v>
      </c>
      <c r="F24" s="41">
        <v>75000000</v>
      </c>
    </row>
    <row r="25" spans="1:6" x14ac:dyDescent="0.25">
      <c r="A25" t="s">
        <v>3</v>
      </c>
      <c r="B25" t="s">
        <v>9</v>
      </c>
      <c r="C25" s="37" t="s">
        <v>293</v>
      </c>
      <c r="D25" t="s">
        <v>17</v>
      </c>
      <c r="E25">
        <v>8500</v>
      </c>
      <c r="F25" s="41">
        <v>29500000</v>
      </c>
    </row>
    <row r="26" spans="1:6" x14ac:dyDescent="0.25">
      <c r="A26" t="s">
        <v>3</v>
      </c>
      <c r="B26" t="s">
        <v>11</v>
      </c>
      <c r="C26" s="37" t="s">
        <v>293</v>
      </c>
      <c r="D26" t="s">
        <v>8</v>
      </c>
      <c r="E26">
        <v>78200</v>
      </c>
      <c r="F26" s="41">
        <v>295000000</v>
      </c>
    </row>
    <row r="27" spans="1:6" x14ac:dyDescent="0.25">
      <c r="A27" t="s">
        <v>303</v>
      </c>
      <c r="C27" s="37" t="s">
        <v>326</v>
      </c>
      <c r="E27">
        <v>300</v>
      </c>
      <c r="F27" s="41">
        <v>840960</v>
      </c>
    </row>
    <row r="28" spans="1:6" x14ac:dyDescent="0.25">
      <c r="A28" t="s">
        <v>51</v>
      </c>
      <c r="B28" t="s">
        <v>50</v>
      </c>
      <c r="C28" s="37" t="s">
        <v>293</v>
      </c>
      <c r="D28" t="s">
        <v>6</v>
      </c>
      <c r="E28">
        <v>800</v>
      </c>
      <c r="F28" s="41">
        <v>1997981</v>
      </c>
    </row>
    <row r="29" spans="1:6" x14ac:dyDescent="0.25">
      <c r="A29" t="s">
        <v>48</v>
      </c>
      <c r="B29" t="s">
        <v>47</v>
      </c>
      <c r="C29" s="37" t="s">
        <v>293</v>
      </c>
      <c r="D29" t="s">
        <v>8</v>
      </c>
      <c r="E29">
        <v>34000</v>
      </c>
      <c r="F29" s="41">
        <v>135000000</v>
      </c>
    </row>
    <row r="30" spans="1:6" x14ac:dyDescent="0.25">
      <c r="A30" t="s">
        <v>48</v>
      </c>
      <c r="B30" t="s">
        <v>331</v>
      </c>
      <c r="C30" s="37" t="s">
        <v>326</v>
      </c>
      <c r="E30">
        <v>9000</v>
      </c>
      <c r="F30" s="41">
        <v>26017200</v>
      </c>
    </row>
    <row r="31" spans="1:6" x14ac:dyDescent="0.25">
      <c r="A31" t="s">
        <v>317</v>
      </c>
      <c r="C31" s="37" t="s">
        <v>326</v>
      </c>
      <c r="E31">
        <v>180</v>
      </c>
      <c r="F31" s="41">
        <v>531381.6</v>
      </c>
    </row>
    <row r="32" spans="1:6" x14ac:dyDescent="0.25">
      <c r="A32" t="s">
        <v>316</v>
      </c>
      <c r="C32" s="37" t="s">
        <v>326</v>
      </c>
      <c r="E32">
        <v>475</v>
      </c>
      <c r="F32" s="41">
        <v>1019445</v>
      </c>
    </row>
    <row r="33" spans="1:6" x14ac:dyDescent="0.25">
      <c r="A33" t="s">
        <v>298</v>
      </c>
      <c r="C33" s="37" t="s">
        <v>326</v>
      </c>
      <c r="E33">
        <v>1800</v>
      </c>
      <c r="F33" s="41">
        <v>4478112</v>
      </c>
    </row>
    <row r="34" spans="1:6" x14ac:dyDescent="0.25">
      <c r="A34" t="s">
        <v>322</v>
      </c>
      <c r="C34" s="37" t="s">
        <v>326</v>
      </c>
      <c r="E34">
        <v>475</v>
      </c>
      <c r="F34" s="41">
        <v>4173184</v>
      </c>
    </row>
    <row r="35" spans="1:6" x14ac:dyDescent="0.25">
      <c r="A35" t="s">
        <v>58</v>
      </c>
      <c r="B35" t="s">
        <v>58</v>
      </c>
      <c r="C35" s="37" t="s">
        <v>293</v>
      </c>
      <c r="D35" t="s">
        <v>6</v>
      </c>
      <c r="E35">
        <v>475</v>
      </c>
      <c r="F35" s="41">
        <v>773021</v>
      </c>
    </row>
    <row r="36" spans="1:6" x14ac:dyDescent="0.25">
      <c r="A36" t="s">
        <v>313</v>
      </c>
      <c r="C36" s="37" t="s">
        <v>326</v>
      </c>
      <c r="E36">
        <v>200</v>
      </c>
      <c r="F36" s="41">
        <v>480048</v>
      </c>
    </row>
    <row r="37" spans="1:6" x14ac:dyDescent="0.25">
      <c r="A37" t="s">
        <v>63</v>
      </c>
      <c r="B37" t="s">
        <v>62</v>
      </c>
      <c r="C37" s="37" t="s">
        <v>293</v>
      </c>
      <c r="D37" t="s">
        <v>8</v>
      </c>
      <c r="E37">
        <v>1100</v>
      </c>
      <c r="F37" s="41">
        <v>4960915</v>
      </c>
    </row>
    <row r="38" spans="1:6" x14ac:dyDescent="0.25">
      <c r="A38" t="s">
        <v>63</v>
      </c>
      <c r="B38" t="s">
        <v>64</v>
      </c>
      <c r="C38" s="37" t="s">
        <v>293</v>
      </c>
      <c r="D38" t="s">
        <v>8</v>
      </c>
      <c r="E38">
        <v>3900</v>
      </c>
      <c r="F38" s="41">
        <v>16075775</v>
      </c>
    </row>
    <row r="39" spans="1:6" x14ac:dyDescent="0.25">
      <c r="A39" t="s">
        <v>314</v>
      </c>
      <c r="C39" s="37" t="s">
        <v>326</v>
      </c>
      <c r="E39">
        <v>65</v>
      </c>
      <c r="F39" s="41">
        <v>204984</v>
      </c>
    </row>
    <row r="40" spans="1:6" x14ac:dyDescent="0.25">
      <c r="A40" t="s">
        <v>328</v>
      </c>
      <c r="B40" t="s">
        <v>330</v>
      </c>
      <c r="C40" s="37" t="s">
        <v>326</v>
      </c>
      <c r="E40">
        <v>2970</v>
      </c>
      <c r="F40" s="41">
        <v>5960707</v>
      </c>
    </row>
    <row r="41" spans="1:6" x14ac:dyDescent="0.25">
      <c r="A41" t="s">
        <v>67</v>
      </c>
      <c r="B41" t="s">
        <v>66</v>
      </c>
      <c r="C41" s="37" t="s">
        <v>293</v>
      </c>
      <c r="D41" t="s">
        <v>17</v>
      </c>
      <c r="E41">
        <v>125</v>
      </c>
      <c r="F41" s="41">
        <v>167000</v>
      </c>
    </row>
    <row r="42" spans="1:6" x14ac:dyDescent="0.25">
      <c r="A42" t="s">
        <v>68</v>
      </c>
      <c r="B42" t="s">
        <v>68</v>
      </c>
      <c r="C42" s="37" t="s">
        <v>293</v>
      </c>
      <c r="D42" t="s">
        <v>6</v>
      </c>
      <c r="E42">
        <v>650</v>
      </c>
      <c r="F42" s="41">
        <v>799494</v>
      </c>
    </row>
    <row r="43" spans="1:6" x14ac:dyDescent="0.25">
      <c r="A43" t="s">
        <v>308</v>
      </c>
      <c r="C43" s="37" t="s">
        <v>326</v>
      </c>
      <c r="E43">
        <v>24</v>
      </c>
      <c r="F43" s="41">
        <v>31536</v>
      </c>
    </row>
    <row r="44" spans="1:6" x14ac:dyDescent="0.25">
      <c r="A44" t="s">
        <v>254</v>
      </c>
      <c r="B44" t="s">
        <v>252</v>
      </c>
      <c r="C44" s="37" t="s">
        <v>293</v>
      </c>
      <c r="D44" t="s">
        <v>277</v>
      </c>
      <c r="E44">
        <v>249</v>
      </c>
      <c r="F44" s="41">
        <v>0</v>
      </c>
    </row>
    <row r="45" spans="1:6" x14ac:dyDescent="0.25">
      <c r="A45" t="s">
        <v>266</v>
      </c>
      <c r="B45" t="s">
        <v>255</v>
      </c>
      <c r="C45" s="37" t="s">
        <v>293</v>
      </c>
      <c r="D45" t="s">
        <v>277</v>
      </c>
      <c r="E45">
        <v>75</v>
      </c>
      <c r="F45" s="41">
        <v>0</v>
      </c>
    </row>
    <row r="46" spans="1:6" x14ac:dyDescent="0.25">
      <c r="A46" t="s">
        <v>15</v>
      </c>
      <c r="B46" t="s">
        <v>14</v>
      </c>
      <c r="C46" s="37" t="s">
        <v>293</v>
      </c>
      <c r="D46" t="s">
        <v>17</v>
      </c>
      <c r="E46">
        <v>4500</v>
      </c>
      <c r="F46" s="41">
        <v>20600350</v>
      </c>
    </row>
    <row r="47" spans="1:6" x14ac:dyDescent="0.25">
      <c r="A47" t="s">
        <v>15</v>
      </c>
      <c r="B47" t="s">
        <v>24</v>
      </c>
      <c r="C47" s="37" t="s">
        <v>293</v>
      </c>
      <c r="D47" t="s">
        <v>6</v>
      </c>
      <c r="E47">
        <v>2000</v>
      </c>
      <c r="F47" s="41">
        <v>5739704</v>
      </c>
    </row>
    <row r="48" spans="1:6" x14ac:dyDescent="0.25">
      <c r="A48" t="s">
        <v>15</v>
      </c>
      <c r="B48" t="s">
        <v>148</v>
      </c>
      <c r="C48" s="37" t="s">
        <v>293</v>
      </c>
      <c r="D48" t="s">
        <v>17</v>
      </c>
      <c r="E48">
        <v>4775</v>
      </c>
      <c r="F48" s="41">
        <v>25250000</v>
      </c>
    </row>
    <row r="49" spans="1:6" x14ac:dyDescent="0.25">
      <c r="A49" t="s">
        <v>312</v>
      </c>
      <c r="C49" s="37" t="s">
        <v>326</v>
      </c>
      <c r="E49">
        <v>300</v>
      </c>
      <c r="F49" s="41">
        <v>620208</v>
      </c>
    </row>
    <row r="50" spans="1:6" x14ac:dyDescent="0.25">
      <c r="A50" t="s">
        <v>60</v>
      </c>
      <c r="B50" t="s">
        <v>65</v>
      </c>
      <c r="C50" s="37" t="s">
        <v>293</v>
      </c>
      <c r="D50" t="s">
        <v>81</v>
      </c>
      <c r="E50">
        <v>750</v>
      </c>
      <c r="F50" s="41">
        <v>0</v>
      </c>
    </row>
    <row r="51" spans="1:6" x14ac:dyDescent="0.25">
      <c r="A51" t="s">
        <v>60</v>
      </c>
      <c r="B51" t="s">
        <v>73</v>
      </c>
      <c r="C51" s="37" t="s">
        <v>293</v>
      </c>
      <c r="D51" t="s">
        <v>8</v>
      </c>
      <c r="E51">
        <v>120000</v>
      </c>
      <c r="F51" s="41">
        <v>380000000</v>
      </c>
    </row>
    <row r="52" spans="1:6" x14ac:dyDescent="0.25">
      <c r="A52" t="s">
        <v>60</v>
      </c>
      <c r="B52" t="s">
        <v>206</v>
      </c>
      <c r="C52" s="37" t="s">
        <v>293</v>
      </c>
      <c r="D52" t="s">
        <v>125</v>
      </c>
      <c r="E52">
        <v>0</v>
      </c>
      <c r="F52" s="41">
        <v>6020000</v>
      </c>
    </row>
    <row r="53" spans="1:6" x14ac:dyDescent="0.25">
      <c r="A53" t="s">
        <v>60</v>
      </c>
      <c r="C53" s="37" t="s">
        <v>293</v>
      </c>
      <c r="D53" t="s">
        <v>8</v>
      </c>
      <c r="E53">
        <v>19200</v>
      </c>
      <c r="F53" s="41">
        <v>42000000</v>
      </c>
    </row>
    <row r="54" spans="1:6" x14ac:dyDescent="0.25">
      <c r="A54" t="s">
        <v>60</v>
      </c>
      <c r="B54" t="s">
        <v>75</v>
      </c>
      <c r="C54" s="37" t="s">
        <v>293</v>
      </c>
      <c r="D54" t="s">
        <v>17</v>
      </c>
      <c r="E54">
        <v>40000</v>
      </c>
      <c r="F54" s="41">
        <v>172076600</v>
      </c>
    </row>
    <row r="55" spans="1:6" x14ac:dyDescent="0.25">
      <c r="A55" t="s">
        <v>60</v>
      </c>
      <c r="B55" t="s">
        <v>189</v>
      </c>
      <c r="C55" s="37" t="s">
        <v>293</v>
      </c>
      <c r="D55" t="s">
        <v>6</v>
      </c>
      <c r="E55">
        <v>160</v>
      </c>
      <c r="F55" s="41">
        <v>876000</v>
      </c>
    </row>
    <row r="56" spans="1:6" x14ac:dyDescent="0.25">
      <c r="A56" t="s">
        <v>60</v>
      </c>
      <c r="B56" t="s">
        <v>61</v>
      </c>
      <c r="C56" s="37" t="s">
        <v>293</v>
      </c>
      <c r="D56" t="s">
        <v>6</v>
      </c>
      <c r="E56">
        <v>125</v>
      </c>
      <c r="F56" s="41">
        <v>386567</v>
      </c>
    </row>
    <row r="57" spans="1:6" x14ac:dyDescent="0.25">
      <c r="A57" t="s">
        <v>60</v>
      </c>
      <c r="B57" t="s">
        <v>59</v>
      </c>
      <c r="C57" s="37" t="s">
        <v>293</v>
      </c>
      <c r="D57" t="s">
        <v>6</v>
      </c>
      <c r="E57">
        <v>1200</v>
      </c>
      <c r="F57" s="41">
        <v>3724910</v>
      </c>
    </row>
    <row r="58" spans="1:6" x14ac:dyDescent="0.25">
      <c r="A58" t="s">
        <v>60</v>
      </c>
      <c r="B58" t="s">
        <v>305</v>
      </c>
      <c r="C58" s="37" t="s">
        <v>326</v>
      </c>
      <c r="E58">
        <v>1000</v>
      </c>
      <c r="F58" s="41">
        <v>2076120</v>
      </c>
    </row>
    <row r="59" spans="1:6" x14ac:dyDescent="0.25">
      <c r="A59" t="s">
        <v>60</v>
      </c>
      <c r="B59" t="s">
        <v>321</v>
      </c>
      <c r="C59" s="37" t="s">
        <v>326</v>
      </c>
      <c r="E59">
        <v>24600</v>
      </c>
      <c r="F59" s="41">
        <v>73268640</v>
      </c>
    </row>
    <row r="60" spans="1:6" x14ac:dyDescent="0.25">
      <c r="A60" t="s">
        <v>60</v>
      </c>
      <c r="B60" t="s">
        <v>320</v>
      </c>
      <c r="C60" s="37" t="s">
        <v>326</v>
      </c>
      <c r="E60">
        <v>17600</v>
      </c>
      <c r="F60" s="41">
        <v>47794560</v>
      </c>
    </row>
    <row r="61" spans="1:6" x14ac:dyDescent="0.25">
      <c r="A61" t="s">
        <v>302</v>
      </c>
      <c r="B61" t="s">
        <v>333</v>
      </c>
      <c r="C61" s="37" t="s">
        <v>326</v>
      </c>
      <c r="E61">
        <v>225</v>
      </c>
      <c r="F61" s="41">
        <v>696748.5</v>
      </c>
    </row>
    <row r="62" spans="1:6" x14ac:dyDescent="0.25">
      <c r="A62" t="s">
        <v>315</v>
      </c>
      <c r="B62" t="s">
        <v>332</v>
      </c>
      <c r="C62" s="37" t="s">
        <v>326</v>
      </c>
      <c r="E62">
        <v>1000</v>
      </c>
      <c r="F62" s="41">
        <v>1408608</v>
      </c>
    </row>
    <row r="63" spans="1:6" x14ac:dyDescent="0.25">
      <c r="A63" t="s">
        <v>306</v>
      </c>
      <c r="C63" s="37" t="s">
        <v>326</v>
      </c>
      <c r="E63">
        <v>200</v>
      </c>
      <c r="F63" s="41">
        <v>579912</v>
      </c>
    </row>
    <row r="64" spans="1:6" x14ac:dyDescent="0.25">
      <c r="A64" t="s">
        <v>300</v>
      </c>
      <c r="C64" s="37" t="s">
        <v>326</v>
      </c>
      <c r="E64">
        <v>260</v>
      </c>
      <c r="F64" s="41">
        <v>296088</v>
      </c>
    </row>
    <row r="65" spans="1:6" x14ac:dyDescent="0.25">
      <c r="A65" t="s">
        <v>319</v>
      </c>
      <c r="C65" s="37" t="s">
        <v>326</v>
      </c>
      <c r="E65">
        <v>200</v>
      </c>
      <c r="F65" s="41">
        <v>411720</v>
      </c>
    </row>
    <row r="66" spans="1:6" x14ac:dyDescent="0.25">
      <c r="A66" t="s">
        <v>76</v>
      </c>
      <c r="B66" t="s">
        <v>199</v>
      </c>
      <c r="C66" s="37" t="s">
        <v>293</v>
      </c>
      <c r="D66" t="s">
        <v>77</v>
      </c>
      <c r="E66">
        <v>15645</v>
      </c>
      <c r="F66" s="41">
        <v>100200000</v>
      </c>
    </row>
    <row r="67" spans="1:6" x14ac:dyDescent="0.25">
      <c r="A67" t="s">
        <v>76</v>
      </c>
      <c r="B67" t="s">
        <v>78</v>
      </c>
      <c r="C67" s="37" t="s">
        <v>293</v>
      </c>
      <c r="D67" t="s">
        <v>17</v>
      </c>
      <c r="E67">
        <v>18600</v>
      </c>
      <c r="F67" s="41">
        <v>63800000</v>
      </c>
    </row>
    <row r="68" spans="1:6" x14ac:dyDescent="0.25">
      <c r="A68" t="s">
        <v>80</v>
      </c>
      <c r="B68" t="s">
        <v>79</v>
      </c>
      <c r="C68" s="37" t="s">
        <v>293</v>
      </c>
      <c r="D68" t="s">
        <v>6</v>
      </c>
      <c r="E68">
        <v>180</v>
      </c>
      <c r="F68" s="41">
        <v>1169000</v>
      </c>
    </row>
    <row r="69" spans="1:6" x14ac:dyDescent="0.25">
      <c r="A69" t="s">
        <v>304</v>
      </c>
      <c r="C69" s="37" t="s">
        <v>326</v>
      </c>
      <c r="E69">
        <v>225</v>
      </c>
    </row>
    <row r="70" spans="1:6" x14ac:dyDescent="0.25">
      <c r="A70" t="s">
        <v>301</v>
      </c>
      <c r="C70" s="37" t="s">
        <v>326</v>
      </c>
      <c r="E70">
        <v>400</v>
      </c>
      <c r="F70" s="41">
        <v>219000</v>
      </c>
    </row>
    <row r="71" spans="1:6" x14ac:dyDescent="0.25">
      <c r="A71" t="s">
        <v>323</v>
      </c>
      <c r="C71" s="37" t="s">
        <v>326</v>
      </c>
      <c r="E71">
        <v>475</v>
      </c>
      <c r="F71" s="41">
        <v>865488</v>
      </c>
    </row>
    <row r="72" spans="1:6" x14ac:dyDescent="0.25">
      <c r="A72" t="s">
        <v>309</v>
      </c>
      <c r="C72" s="37" t="s">
        <v>326</v>
      </c>
      <c r="E72">
        <v>600</v>
      </c>
      <c r="F72" s="41">
        <v>1093248</v>
      </c>
    </row>
    <row r="73" spans="1:6" x14ac:dyDescent="0.25">
      <c r="A73" t="s">
        <v>299</v>
      </c>
      <c r="C73" s="37" t="s">
        <v>326</v>
      </c>
      <c r="E73">
        <v>130</v>
      </c>
      <c r="F73" s="41">
        <v>398580</v>
      </c>
    </row>
    <row r="74" spans="1:6" x14ac:dyDescent="0.25">
      <c r="A74" t="s">
        <v>278</v>
      </c>
      <c r="B74" t="s">
        <v>53</v>
      </c>
      <c r="C74" s="37" t="s">
        <v>293</v>
      </c>
      <c r="D74" t="s">
        <v>119</v>
      </c>
      <c r="E74">
        <v>5200</v>
      </c>
      <c r="F74" s="41">
        <v>44675500</v>
      </c>
    </row>
    <row r="75" spans="1:6" x14ac:dyDescent="0.25">
      <c r="A75" t="s">
        <v>278</v>
      </c>
      <c r="B75" t="s">
        <v>240</v>
      </c>
      <c r="C75" s="37" t="s">
        <v>293</v>
      </c>
      <c r="D75" t="s">
        <v>17</v>
      </c>
      <c r="E75">
        <v>2000</v>
      </c>
      <c r="F75" s="41">
        <v>982000</v>
      </c>
    </row>
    <row r="76" spans="1:6" x14ac:dyDescent="0.25">
      <c r="A76" t="s">
        <v>278</v>
      </c>
      <c r="B76" t="s">
        <v>55</v>
      </c>
      <c r="C76" s="37" t="s">
        <v>293</v>
      </c>
      <c r="D76" t="s">
        <v>8</v>
      </c>
      <c r="E76">
        <v>4200</v>
      </c>
      <c r="F76" s="41">
        <v>23025300</v>
      </c>
    </row>
    <row r="77" spans="1:6" x14ac:dyDescent="0.25">
      <c r="A77" t="s">
        <v>278</v>
      </c>
      <c r="B77" t="s">
        <v>56</v>
      </c>
      <c r="C77" s="37" t="s">
        <v>293</v>
      </c>
      <c r="D77" t="s">
        <v>8</v>
      </c>
      <c r="E77">
        <v>2100</v>
      </c>
      <c r="F77" s="41">
        <v>12461600</v>
      </c>
    </row>
    <row r="78" spans="1:6" x14ac:dyDescent="0.25">
      <c r="A78" t="s">
        <v>278</v>
      </c>
      <c r="B78" t="s">
        <v>70</v>
      </c>
      <c r="C78" s="37" t="s">
        <v>293</v>
      </c>
      <c r="D78" t="s">
        <v>17</v>
      </c>
      <c r="E78">
        <v>22500</v>
      </c>
      <c r="F78" s="41">
        <v>76000000</v>
      </c>
    </row>
    <row r="79" spans="1:6" x14ac:dyDescent="0.25">
      <c r="A79" t="s">
        <v>278</v>
      </c>
      <c r="B79" t="s">
        <v>72</v>
      </c>
      <c r="C79" s="37" t="s">
        <v>293</v>
      </c>
      <c r="D79" t="s">
        <v>8</v>
      </c>
      <c r="E79">
        <v>22500</v>
      </c>
      <c r="F79" s="41">
        <v>125000000</v>
      </c>
    </row>
    <row r="80" spans="1:6" x14ac:dyDescent="0.25">
      <c r="A80" t="s">
        <v>278</v>
      </c>
      <c r="B80" t="s">
        <v>57</v>
      </c>
      <c r="C80" s="37" t="s">
        <v>293</v>
      </c>
      <c r="D80" t="s">
        <v>17</v>
      </c>
      <c r="E80">
        <v>4600</v>
      </c>
      <c r="F80" s="41">
        <v>16000000</v>
      </c>
    </row>
  </sheetData>
  <sortState ref="A2:F80">
    <sortCondition ref="A2:A8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sqref="A1:F1048576"/>
    </sheetView>
  </sheetViews>
  <sheetFormatPr defaultRowHeight="15" x14ac:dyDescent="0.25"/>
  <cols>
    <col min="1" max="1" width="29.85546875" bestFit="1" customWidth="1"/>
    <col min="2" max="2" width="32" bestFit="1" customWidth="1"/>
  </cols>
  <sheetData>
    <row r="1" spans="1:6" s="33" customFormat="1" ht="60" x14ac:dyDescent="0.25">
      <c r="A1" s="33" t="s">
        <v>295</v>
      </c>
      <c r="B1" s="33" t="s">
        <v>283</v>
      </c>
      <c r="C1" s="33" t="s">
        <v>292</v>
      </c>
      <c r="D1" s="33" t="s">
        <v>294</v>
      </c>
      <c r="E1" s="33" t="s">
        <v>272</v>
      </c>
      <c r="F1" s="33" t="s">
        <v>327</v>
      </c>
    </row>
    <row r="2" spans="1:6" x14ac:dyDescent="0.25">
      <c r="A2" t="s">
        <v>13</v>
      </c>
      <c r="B2" t="s">
        <v>12</v>
      </c>
      <c r="C2" t="s">
        <v>293</v>
      </c>
      <c r="D2" t="s">
        <v>6</v>
      </c>
      <c r="E2">
        <v>105</v>
      </c>
      <c r="F2">
        <v>312652</v>
      </c>
    </row>
    <row r="3" spans="1:6" x14ac:dyDescent="0.25">
      <c r="A3" t="s">
        <v>26</v>
      </c>
      <c r="B3" t="s">
        <v>25</v>
      </c>
      <c r="C3" t="s">
        <v>293</v>
      </c>
      <c r="D3" t="s">
        <v>6</v>
      </c>
      <c r="E3">
        <v>284</v>
      </c>
      <c r="F3">
        <v>443142</v>
      </c>
    </row>
    <row r="4" spans="1:6" x14ac:dyDescent="0.25">
      <c r="A4" t="s">
        <v>31</v>
      </c>
      <c r="B4" t="s">
        <v>108</v>
      </c>
      <c r="C4" t="s">
        <v>293</v>
      </c>
      <c r="D4" t="s">
        <v>17</v>
      </c>
      <c r="E4">
        <v>60</v>
      </c>
      <c r="F4">
        <v>300000</v>
      </c>
    </row>
    <row r="5" spans="1:6" x14ac:dyDescent="0.25">
      <c r="A5" t="s">
        <v>33</v>
      </c>
      <c r="B5" t="s">
        <v>32</v>
      </c>
      <c r="C5" t="s">
        <v>293</v>
      </c>
      <c r="D5" t="s">
        <v>6</v>
      </c>
      <c r="E5">
        <v>167</v>
      </c>
      <c r="F5">
        <v>521200.00000000006</v>
      </c>
    </row>
    <row r="6" spans="1:6" x14ac:dyDescent="0.25">
      <c r="A6" t="s">
        <v>28</v>
      </c>
      <c r="B6" t="s">
        <v>27</v>
      </c>
      <c r="C6" t="s">
        <v>293</v>
      </c>
      <c r="D6" t="s">
        <v>6</v>
      </c>
      <c r="E6">
        <v>1250</v>
      </c>
      <c r="F6">
        <v>3553542</v>
      </c>
    </row>
    <row r="7" spans="1:6" x14ac:dyDescent="0.25">
      <c r="A7" t="s">
        <v>28</v>
      </c>
      <c r="B7" t="s">
        <v>30</v>
      </c>
      <c r="C7" t="s">
        <v>293</v>
      </c>
      <c r="D7" t="s">
        <v>6</v>
      </c>
      <c r="E7">
        <v>6000</v>
      </c>
      <c r="F7">
        <v>15929397</v>
      </c>
    </row>
    <row r="8" spans="1:6" x14ac:dyDescent="0.25">
      <c r="A8" t="s">
        <v>37</v>
      </c>
      <c r="B8" t="s">
        <v>34</v>
      </c>
      <c r="C8" t="s">
        <v>293</v>
      </c>
      <c r="D8" t="s">
        <v>6</v>
      </c>
      <c r="E8">
        <v>6500</v>
      </c>
      <c r="F8">
        <v>15056617</v>
      </c>
    </row>
    <row r="9" spans="1:6" x14ac:dyDescent="0.25">
      <c r="A9" t="s">
        <v>37</v>
      </c>
      <c r="B9" t="s">
        <v>36</v>
      </c>
      <c r="C9" t="s">
        <v>293</v>
      </c>
      <c r="D9" t="s">
        <v>17</v>
      </c>
      <c r="E9">
        <v>12000</v>
      </c>
      <c r="F9">
        <v>45000000</v>
      </c>
    </row>
    <row r="10" spans="1:6" x14ac:dyDescent="0.25">
      <c r="A10" t="s">
        <v>39</v>
      </c>
      <c r="B10" t="s">
        <v>38</v>
      </c>
      <c r="C10" t="s">
        <v>293</v>
      </c>
      <c r="D10" t="s">
        <v>6</v>
      </c>
      <c r="E10">
        <v>800</v>
      </c>
      <c r="F10">
        <v>1939011</v>
      </c>
    </row>
    <row r="11" spans="1:6" x14ac:dyDescent="0.25">
      <c r="A11" t="s">
        <v>20</v>
      </c>
      <c r="B11" t="s">
        <v>43</v>
      </c>
      <c r="C11" t="s">
        <v>293</v>
      </c>
      <c r="D11" t="s">
        <v>6</v>
      </c>
      <c r="E11">
        <v>600</v>
      </c>
      <c r="F11">
        <v>1000000</v>
      </c>
    </row>
    <row r="12" spans="1:6" x14ac:dyDescent="0.25">
      <c r="A12" t="s">
        <v>20</v>
      </c>
      <c r="B12" t="s">
        <v>19</v>
      </c>
      <c r="C12" t="s">
        <v>293</v>
      </c>
      <c r="D12" t="s">
        <v>6</v>
      </c>
      <c r="E12">
        <v>943</v>
      </c>
      <c r="F12">
        <v>3137760</v>
      </c>
    </row>
    <row r="13" spans="1:6" x14ac:dyDescent="0.25">
      <c r="A13" t="s">
        <v>20</v>
      </c>
      <c r="B13" t="s">
        <v>21</v>
      </c>
      <c r="C13" t="s">
        <v>293</v>
      </c>
      <c r="D13" t="s">
        <v>17</v>
      </c>
      <c r="E13">
        <v>4000</v>
      </c>
      <c r="F13">
        <v>15617000</v>
      </c>
    </row>
    <row r="14" spans="1:6" x14ac:dyDescent="0.25">
      <c r="A14" t="s">
        <v>20</v>
      </c>
      <c r="B14" t="s">
        <v>22</v>
      </c>
      <c r="C14" t="s">
        <v>293</v>
      </c>
      <c r="D14" t="s">
        <v>6</v>
      </c>
      <c r="E14">
        <v>3000</v>
      </c>
      <c r="F14">
        <v>7446440</v>
      </c>
    </row>
    <row r="15" spans="1:6" x14ac:dyDescent="0.25">
      <c r="A15" t="s">
        <v>20</v>
      </c>
      <c r="B15" t="s">
        <v>23</v>
      </c>
      <c r="C15" t="s">
        <v>293</v>
      </c>
      <c r="D15" t="s">
        <v>6</v>
      </c>
      <c r="E15">
        <v>285</v>
      </c>
      <c r="F15">
        <v>164432</v>
      </c>
    </row>
    <row r="16" spans="1:6" x14ac:dyDescent="0.25">
      <c r="A16" t="s">
        <v>46</v>
      </c>
      <c r="B16" t="s">
        <v>45</v>
      </c>
      <c r="C16" t="s">
        <v>293</v>
      </c>
      <c r="D16" t="s">
        <v>6</v>
      </c>
      <c r="E16">
        <v>450</v>
      </c>
      <c r="F16">
        <v>1810000</v>
      </c>
    </row>
    <row r="17" spans="1:6" x14ac:dyDescent="0.25">
      <c r="A17" t="s">
        <v>41</v>
      </c>
      <c r="B17" t="s">
        <v>40</v>
      </c>
      <c r="C17" t="s">
        <v>293</v>
      </c>
      <c r="D17" t="s">
        <v>6</v>
      </c>
      <c r="E17">
        <v>824</v>
      </c>
      <c r="F17">
        <v>4048161</v>
      </c>
    </row>
    <row r="18" spans="1:6" x14ac:dyDescent="0.25">
      <c r="A18" t="s">
        <v>3</v>
      </c>
      <c r="B18" t="s">
        <v>2</v>
      </c>
      <c r="C18" t="s">
        <v>293</v>
      </c>
      <c r="D18" t="s">
        <v>8</v>
      </c>
      <c r="E18">
        <v>4000</v>
      </c>
      <c r="F18">
        <v>26000000</v>
      </c>
    </row>
    <row r="19" spans="1:6" x14ac:dyDescent="0.25">
      <c r="A19" t="s">
        <v>3</v>
      </c>
      <c r="B19" t="s">
        <v>5</v>
      </c>
      <c r="C19" t="s">
        <v>293</v>
      </c>
      <c r="D19" t="s">
        <v>6</v>
      </c>
      <c r="E19">
        <v>1600</v>
      </c>
      <c r="F19">
        <v>4500000</v>
      </c>
    </row>
    <row r="20" spans="1:6" x14ac:dyDescent="0.25">
      <c r="A20" t="s">
        <v>3</v>
      </c>
      <c r="B20" t="s">
        <v>7</v>
      </c>
      <c r="C20" t="s">
        <v>293</v>
      </c>
      <c r="D20" t="s">
        <v>8</v>
      </c>
      <c r="E20">
        <v>14300</v>
      </c>
      <c r="F20">
        <v>75000000</v>
      </c>
    </row>
    <row r="21" spans="1:6" x14ac:dyDescent="0.25">
      <c r="A21" t="s">
        <v>3</v>
      </c>
      <c r="B21" t="s">
        <v>9</v>
      </c>
      <c r="C21" t="s">
        <v>293</v>
      </c>
      <c r="D21" t="s">
        <v>17</v>
      </c>
      <c r="E21">
        <v>8500</v>
      </c>
      <c r="F21">
        <v>29500000</v>
      </c>
    </row>
    <row r="22" spans="1:6" x14ac:dyDescent="0.25">
      <c r="A22" t="s">
        <v>3</v>
      </c>
      <c r="B22" t="s">
        <v>11</v>
      </c>
      <c r="C22" t="s">
        <v>293</v>
      </c>
      <c r="D22" t="s">
        <v>8</v>
      </c>
      <c r="E22">
        <v>78200</v>
      </c>
      <c r="F22">
        <v>295000000</v>
      </c>
    </row>
    <row r="23" spans="1:6" x14ac:dyDescent="0.25">
      <c r="A23" t="s">
        <v>51</v>
      </c>
      <c r="B23" t="s">
        <v>50</v>
      </c>
      <c r="C23" t="s">
        <v>293</v>
      </c>
      <c r="D23" t="s">
        <v>6</v>
      </c>
      <c r="E23">
        <v>800</v>
      </c>
      <c r="F23">
        <v>1997981</v>
      </c>
    </row>
    <row r="24" spans="1:6" x14ac:dyDescent="0.25">
      <c r="A24" t="s">
        <v>48</v>
      </c>
      <c r="B24" t="s">
        <v>47</v>
      </c>
      <c r="C24" t="s">
        <v>293</v>
      </c>
      <c r="D24" t="s">
        <v>8</v>
      </c>
      <c r="E24">
        <v>34000</v>
      </c>
      <c r="F24">
        <v>135000000</v>
      </c>
    </row>
    <row r="25" spans="1:6" x14ac:dyDescent="0.25">
      <c r="A25" t="s">
        <v>58</v>
      </c>
      <c r="B25" t="s">
        <v>58</v>
      </c>
      <c r="C25" t="s">
        <v>293</v>
      </c>
      <c r="D25" t="s">
        <v>6</v>
      </c>
      <c r="E25">
        <v>475</v>
      </c>
      <c r="F25">
        <v>773021</v>
      </c>
    </row>
    <row r="26" spans="1:6" x14ac:dyDescent="0.25">
      <c r="A26" t="s">
        <v>63</v>
      </c>
      <c r="B26" t="s">
        <v>62</v>
      </c>
      <c r="C26" t="s">
        <v>293</v>
      </c>
      <c r="D26" t="s">
        <v>8</v>
      </c>
      <c r="E26">
        <v>1100</v>
      </c>
      <c r="F26">
        <v>4960915</v>
      </c>
    </row>
    <row r="27" spans="1:6" x14ac:dyDescent="0.25">
      <c r="A27" t="s">
        <v>63</v>
      </c>
      <c r="B27" t="s">
        <v>64</v>
      </c>
      <c r="C27" t="s">
        <v>293</v>
      </c>
      <c r="D27" t="s">
        <v>8</v>
      </c>
      <c r="E27">
        <v>3900</v>
      </c>
      <c r="F27">
        <v>16075775</v>
      </c>
    </row>
    <row r="28" spans="1:6" x14ac:dyDescent="0.25">
      <c r="A28" t="s">
        <v>67</v>
      </c>
      <c r="B28" t="s">
        <v>66</v>
      </c>
      <c r="C28" t="s">
        <v>293</v>
      </c>
      <c r="D28" t="s">
        <v>17</v>
      </c>
      <c r="E28">
        <v>125</v>
      </c>
      <c r="F28">
        <v>167000</v>
      </c>
    </row>
    <row r="29" spans="1:6" x14ac:dyDescent="0.25">
      <c r="A29" t="s">
        <v>68</v>
      </c>
      <c r="B29" t="s">
        <v>68</v>
      </c>
      <c r="C29" t="s">
        <v>293</v>
      </c>
      <c r="D29" t="s">
        <v>6</v>
      </c>
      <c r="E29">
        <v>650</v>
      </c>
      <c r="F29">
        <v>799494</v>
      </c>
    </row>
    <row r="30" spans="1:6" x14ac:dyDescent="0.25">
      <c r="A30" t="s">
        <v>254</v>
      </c>
      <c r="B30" t="s">
        <v>252</v>
      </c>
      <c r="C30" t="s">
        <v>293</v>
      </c>
      <c r="D30" t="s">
        <v>277</v>
      </c>
      <c r="E30">
        <v>249</v>
      </c>
      <c r="F30">
        <v>0</v>
      </c>
    </row>
    <row r="31" spans="1:6" x14ac:dyDescent="0.25">
      <c r="A31" t="s">
        <v>266</v>
      </c>
      <c r="B31" t="s">
        <v>255</v>
      </c>
      <c r="C31" t="s">
        <v>293</v>
      </c>
      <c r="D31" t="s">
        <v>277</v>
      </c>
      <c r="E31">
        <v>75</v>
      </c>
      <c r="F31">
        <v>0</v>
      </c>
    </row>
    <row r="32" spans="1:6" x14ac:dyDescent="0.25">
      <c r="A32" t="s">
        <v>15</v>
      </c>
      <c r="B32" t="s">
        <v>14</v>
      </c>
      <c r="C32" t="s">
        <v>293</v>
      </c>
      <c r="D32" t="s">
        <v>17</v>
      </c>
      <c r="E32">
        <v>4500</v>
      </c>
      <c r="F32">
        <v>20600350</v>
      </c>
    </row>
    <row r="33" spans="1:6" x14ac:dyDescent="0.25">
      <c r="A33" t="s">
        <v>15</v>
      </c>
      <c r="B33" t="s">
        <v>24</v>
      </c>
      <c r="C33" t="s">
        <v>293</v>
      </c>
      <c r="D33" t="s">
        <v>6</v>
      </c>
      <c r="E33">
        <v>2000</v>
      </c>
      <c r="F33">
        <v>5739704</v>
      </c>
    </row>
    <row r="34" spans="1:6" x14ac:dyDescent="0.25">
      <c r="A34" t="s">
        <v>15</v>
      </c>
      <c r="B34" t="s">
        <v>148</v>
      </c>
      <c r="C34" t="s">
        <v>293</v>
      </c>
      <c r="D34" t="s">
        <v>17</v>
      </c>
      <c r="E34">
        <v>4775</v>
      </c>
      <c r="F34">
        <v>25250000</v>
      </c>
    </row>
    <row r="35" spans="1:6" x14ac:dyDescent="0.25">
      <c r="A35" t="s">
        <v>60</v>
      </c>
      <c r="B35" t="s">
        <v>65</v>
      </c>
      <c r="C35" t="s">
        <v>293</v>
      </c>
      <c r="D35" t="s">
        <v>81</v>
      </c>
      <c r="E35">
        <v>750</v>
      </c>
      <c r="F35">
        <v>0</v>
      </c>
    </row>
    <row r="36" spans="1:6" x14ac:dyDescent="0.25">
      <c r="A36" t="s">
        <v>60</v>
      </c>
      <c r="B36" t="s">
        <v>73</v>
      </c>
      <c r="C36" t="s">
        <v>293</v>
      </c>
      <c r="D36" t="s">
        <v>8</v>
      </c>
      <c r="E36">
        <v>120000</v>
      </c>
      <c r="F36">
        <v>380000000</v>
      </c>
    </row>
    <row r="37" spans="1:6" x14ac:dyDescent="0.25">
      <c r="A37" t="s">
        <v>60</v>
      </c>
      <c r="B37" t="s">
        <v>206</v>
      </c>
      <c r="C37" t="s">
        <v>293</v>
      </c>
      <c r="D37" t="s">
        <v>125</v>
      </c>
      <c r="E37">
        <v>0</v>
      </c>
      <c r="F37">
        <v>6020000</v>
      </c>
    </row>
    <row r="38" spans="1:6" x14ac:dyDescent="0.25">
      <c r="A38" t="s">
        <v>60</v>
      </c>
      <c r="C38" t="s">
        <v>293</v>
      </c>
      <c r="D38" t="s">
        <v>8</v>
      </c>
      <c r="E38">
        <v>19200</v>
      </c>
      <c r="F38">
        <v>42000000</v>
      </c>
    </row>
    <row r="39" spans="1:6" x14ac:dyDescent="0.25">
      <c r="A39" t="s">
        <v>60</v>
      </c>
      <c r="B39" t="s">
        <v>75</v>
      </c>
      <c r="C39" t="s">
        <v>293</v>
      </c>
      <c r="D39" t="s">
        <v>17</v>
      </c>
      <c r="E39">
        <v>40000</v>
      </c>
      <c r="F39">
        <v>172076600</v>
      </c>
    </row>
    <row r="40" spans="1:6" x14ac:dyDescent="0.25">
      <c r="A40" t="s">
        <v>60</v>
      </c>
      <c r="B40" t="s">
        <v>189</v>
      </c>
      <c r="C40" t="s">
        <v>293</v>
      </c>
      <c r="D40" t="s">
        <v>6</v>
      </c>
      <c r="E40">
        <v>160</v>
      </c>
      <c r="F40">
        <v>876000</v>
      </c>
    </row>
    <row r="41" spans="1:6" x14ac:dyDescent="0.25">
      <c r="A41" t="s">
        <v>60</v>
      </c>
      <c r="B41" t="s">
        <v>61</v>
      </c>
      <c r="C41" t="s">
        <v>293</v>
      </c>
      <c r="D41" t="s">
        <v>6</v>
      </c>
      <c r="E41">
        <v>125</v>
      </c>
      <c r="F41">
        <v>386567</v>
      </c>
    </row>
    <row r="42" spans="1:6" x14ac:dyDescent="0.25">
      <c r="A42" t="s">
        <v>60</v>
      </c>
      <c r="B42" t="s">
        <v>59</v>
      </c>
      <c r="C42" t="s">
        <v>293</v>
      </c>
      <c r="D42" t="s">
        <v>6</v>
      </c>
      <c r="E42">
        <v>1200</v>
      </c>
      <c r="F42">
        <v>3724910</v>
      </c>
    </row>
    <row r="43" spans="1:6" x14ac:dyDescent="0.25">
      <c r="A43" t="s">
        <v>76</v>
      </c>
      <c r="B43" t="s">
        <v>199</v>
      </c>
      <c r="C43" t="s">
        <v>293</v>
      </c>
      <c r="D43" t="s">
        <v>77</v>
      </c>
      <c r="E43">
        <v>15645</v>
      </c>
      <c r="F43">
        <v>100200000</v>
      </c>
    </row>
    <row r="44" spans="1:6" x14ac:dyDescent="0.25">
      <c r="A44" t="s">
        <v>76</v>
      </c>
      <c r="B44" t="s">
        <v>78</v>
      </c>
      <c r="C44" t="s">
        <v>293</v>
      </c>
      <c r="D44" t="s">
        <v>17</v>
      </c>
      <c r="E44">
        <v>18600</v>
      </c>
      <c r="F44">
        <v>63800000</v>
      </c>
    </row>
    <row r="45" spans="1:6" x14ac:dyDescent="0.25">
      <c r="A45" t="s">
        <v>80</v>
      </c>
      <c r="B45" t="s">
        <v>79</v>
      </c>
      <c r="C45" t="s">
        <v>293</v>
      </c>
      <c r="D45" t="s">
        <v>6</v>
      </c>
      <c r="E45">
        <v>180</v>
      </c>
      <c r="F45">
        <v>1169000</v>
      </c>
    </row>
    <row r="46" spans="1:6" x14ac:dyDescent="0.25">
      <c r="A46" t="s">
        <v>278</v>
      </c>
      <c r="B46" t="s">
        <v>53</v>
      </c>
      <c r="C46" t="s">
        <v>293</v>
      </c>
      <c r="D46" t="s">
        <v>119</v>
      </c>
      <c r="E46">
        <v>5200</v>
      </c>
      <c r="F46">
        <v>44675500</v>
      </c>
    </row>
    <row r="47" spans="1:6" x14ac:dyDescent="0.25">
      <c r="A47" t="s">
        <v>278</v>
      </c>
      <c r="B47" t="s">
        <v>240</v>
      </c>
      <c r="C47" t="s">
        <v>293</v>
      </c>
      <c r="D47" t="s">
        <v>17</v>
      </c>
      <c r="E47">
        <v>2000</v>
      </c>
      <c r="F47">
        <v>982000</v>
      </c>
    </row>
    <row r="48" spans="1:6" x14ac:dyDescent="0.25">
      <c r="A48" t="s">
        <v>278</v>
      </c>
      <c r="B48" t="s">
        <v>55</v>
      </c>
      <c r="C48" t="s">
        <v>293</v>
      </c>
      <c r="D48" t="s">
        <v>8</v>
      </c>
      <c r="E48">
        <v>4200</v>
      </c>
      <c r="F48">
        <v>23025300</v>
      </c>
    </row>
    <row r="49" spans="1:6" x14ac:dyDescent="0.25">
      <c r="A49" t="s">
        <v>278</v>
      </c>
      <c r="B49" t="s">
        <v>56</v>
      </c>
      <c r="C49" t="s">
        <v>293</v>
      </c>
      <c r="D49" t="s">
        <v>8</v>
      </c>
      <c r="E49">
        <v>2100</v>
      </c>
      <c r="F49">
        <v>12461600</v>
      </c>
    </row>
    <row r="50" spans="1:6" x14ac:dyDescent="0.25">
      <c r="A50" t="s">
        <v>278</v>
      </c>
      <c r="B50" t="s">
        <v>70</v>
      </c>
      <c r="C50" t="s">
        <v>293</v>
      </c>
      <c r="D50" t="s">
        <v>17</v>
      </c>
      <c r="E50">
        <v>22500</v>
      </c>
      <c r="F50">
        <v>76000000</v>
      </c>
    </row>
    <row r="51" spans="1:6" x14ac:dyDescent="0.25">
      <c r="A51" t="s">
        <v>278</v>
      </c>
      <c r="B51" t="s">
        <v>72</v>
      </c>
      <c r="C51" t="s">
        <v>293</v>
      </c>
      <c r="D51" t="s">
        <v>8</v>
      </c>
      <c r="E51">
        <v>22500</v>
      </c>
      <c r="F51">
        <v>125000000</v>
      </c>
    </row>
    <row r="52" spans="1:6" x14ac:dyDescent="0.25">
      <c r="A52" t="s">
        <v>278</v>
      </c>
      <c r="B52" t="s">
        <v>57</v>
      </c>
      <c r="C52" t="s">
        <v>293</v>
      </c>
      <c r="D52" t="s">
        <v>17</v>
      </c>
      <c r="E52">
        <v>4600</v>
      </c>
      <c r="F52">
        <v>16000000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1" workbookViewId="0">
      <selection activeCell="A2" sqref="A2:E29"/>
    </sheetView>
  </sheetViews>
  <sheetFormatPr defaultRowHeight="15" x14ac:dyDescent="0.25"/>
  <cols>
    <col min="1" max="1" width="19.28515625" bestFit="1" customWidth="1"/>
    <col min="5" max="5" width="12.42578125" style="38" customWidth="1"/>
    <col min="6" max="6" width="11.5703125" style="34" bestFit="1" customWidth="1"/>
  </cols>
  <sheetData>
    <row r="1" spans="1:7" s="33" customFormat="1" ht="75" x14ac:dyDescent="0.25">
      <c r="A1" s="33" t="s">
        <v>296</v>
      </c>
      <c r="B1" s="33" t="s">
        <v>292</v>
      </c>
      <c r="C1" s="33" t="s">
        <v>294</v>
      </c>
      <c r="D1" s="33" t="s">
        <v>297</v>
      </c>
      <c r="E1" s="39" t="s">
        <v>325</v>
      </c>
      <c r="F1" s="35" t="s">
        <v>329</v>
      </c>
      <c r="G1" s="33" t="s">
        <v>324</v>
      </c>
    </row>
    <row r="2" spans="1:7" x14ac:dyDescent="0.25">
      <c r="A2" t="s">
        <v>311</v>
      </c>
      <c r="B2" t="s">
        <v>326</v>
      </c>
      <c r="D2">
        <v>400</v>
      </c>
      <c r="E2" s="38">
        <f>F2*D2*8760</f>
        <v>1103760</v>
      </c>
      <c r="F2" s="34">
        <v>0.315</v>
      </c>
      <c r="G2">
        <v>6</v>
      </c>
    </row>
    <row r="3" spans="1:7" x14ac:dyDescent="0.25">
      <c r="A3" t="s">
        <v>305</v>
      </c>
      <c r="B3" t="s">
        <v>326</v>
      </c>
      <c r="D3">
        <v>1000</v>
      </c>
      <c r="E3" s="38">
        <v>2076120</v>
      </c>
      <c r="F3" s="34">
        <v>0.21</v>
      </c>
      <c r="G3">
        <v>3</v>
      </c>
    </row>
    <row r="4" spans="1:7" x14ac:dyDescent="0.25">
      <c r="A4" t="s">
        <v>318</v>
      </c>
      <c r="B4" t="s">
        <v>326</v>
      </c>
      <c r="D4">
        <v>400</v>
      </c>
      <c r="E4" s="38">
        <v>699206</v>
      </c>
      <c r="F4" s="34">
        <v>0.19900000000000001</v>
      </c>
      <c r="G4">
        <v>2</v>
      </c>
    </row>
    <row r="5" spans="1:7" x14ac:dyDescent="0.25">
      <c r="A5" t="s">
        <v>321</v>
      </c>
      <c r="B5" t="s">
        <v>326</v>
      </c>
      <c r="D5">
        <v>24600</v>
      </c>
      <c r="E5" s="38">
        <v>73268640</v>
      </c>
      <c r="F5" s="34">
        <v>0.32600000000000001</v>
      </c>
      <c r="G5">
        <v>6</v>
      </c>
    </row>
    <row r="6" spans="1:7" x14ac:dyDescent="0.25">
      <c r="A6" t="s">
        <v>320</v>
      </c>
      <c r="B6" t="s">
        <v>326</v>
      </c>
      <c r="D6">
        <v>17600</v>
      </c>
      <c r="E6" s="38">
        <f>F6*D6*8760</f>
        <v>47794560</v>
      </c>
      <c r="F6" s="34">
        <v>0.31</v>
      </c>
      <c r="G6">
        <v>5</v>
      </c>
    </row>
    <row r="7" spans="1:7" x14ac:dyDescent="0.25">
      <c r="A7" t="s">
        <v>310</v>
      </c>
      <c r="B7" t="s">
        <v>326</v>
      </c>
      <c r="D7">
        <v>300</v>
      </c>
      <c r="E7" s="38">
        <v>1103760</v>
      </c>
      <c r="F7" s="34">
        <v>0.42</v>
      </c>
      <c r="G7">
        <v>7</v>
      </c>
    </row>
    <row r="8" spans="1:7" x14ac:dyDescent="0.25">
      <c r="A8" t="s">
        <v>307</v>
      </c>
      <c r="B8" t="s">
        <v>326</v>
      </c>
      <c r="D8">
        <v>300</v>
      </c>
      <c r="E8" s="38">
        <f>D8*8760*F8</f>
        <v>814680</v>
      </c>
      <c r="F8" s="34">
        <v>0.31</v>
      </c>
      <c r="G8">
        <v>5</v>
      </c>
    </row>
    <row r="9" spans="1:7" x14ac:dyDescent="0.25">
      <c r="A9" t="s">
        <v>303</v>
      </c>
      <c r="B9" t="s">
        <v>326</v>
      </c>
      <c r="D9">
        <v>300</v>
      </c>
      <c r="E9" s="38">
        <f>D9*8760*F9</f>
        <v>840960</v>
      </c>
      <c r="F9" s="34">
        <v>0.32</v>
      </c>
      <c r="G9">
        <v>6</v>
      </c>
    </row>
    <row r="10" spans="1:7" x14ac:dyDescent="0.25">
      <c r="A10" t="s">
        <v>48</v>
      </c>
      <c r="B10" t="s">
        <v>326</v>
      </c>
      <c r="D10">
        <v>9000</v>
      </c>
      <c r="E10" s="38">
        <v>26017200</v>
      </c>
      <c r="F10" s="34">
        <v>0.33</v>
      </c>
      <c r="G10">
        <v>6</v>
      </c>
    </row>
    <row r="11" spans="1:7" x14ac:dyDescent="0.25">
      <c r="A11" t="s">
        <v>317</v>
      </c>
      <c r="B11" t="s">
        <v>326</v>
      </c>
      <c r="D11">
        <v>180</v>
      </c>
      <c r="E11" s="38">
        <f>D11*8760*F11</f>
        <v>531381.6</v>
      </c>
      <c r="F11" s="34">
        <v>0.33700000000000002</v>
      </c>
      <c r="G11">
        <v>5</v>
      </c>
    </row>
    <row r="12" spans="1:7" x14ac:dyDescent="0.25">
      <c r="A12" t="s">
        <v>316</v>
      </c>
      <c r="B12" t="s">
        <v>326</v>
      </c>
      <c r="D12">
        <v>475</v>
      </c>
      <c r="E12" s="38">
        <v>1019445</v>
      </c>
      <c r="F12" s="34">
        <v>0.245</v>
      </c>
      <c r="G12">
        <v>6</v>
      </c>
    </row>
    <row r="13" spans="1:7" x14ac:dyDescent="0.25">
      <c r="A13" t="s">
        <v>298</v>
      </c>
      <c r="B13" t="s">
        <v>326</v>
      </c>
      <c r="D13">
        <v>1800</v>
      </c>
      <c r="E13" s="38">
        <v>4478112</v>
      </c>
      <c r="F13" s="34">
        <v>0.28399999999999997</v>
      </c>
      <c r="G13">
        <v>4</v>
      </c>
    </row>
    <row r="14" spans="1:7" x14ac:dyDescent="0.25">
      <c r="A14" t="s">
        <v>322</v>
      </c>
      <c r="B14" t="s">
        <v>326</v>
      </c>
      <c r="D14">
        <v>475</v>
      </c>
      <c r="E14" s="38">
        <v>4173184</v>
      </c>
      <c r="F14" s="34">
        <v>0.245</v>
      </c>
      <c r="G14">
        <v>6</v>
      </c>
    </row>
    <row r="15" spans="1:7" x14ac:dyDescent="0.25">
      <c r="A15" t="s">
        <v>313</v>
      </c>
      <c r="B15" t="s">
        <v>326</v>
      </c>
      <c r="D15">
        <v>200</v>
      </c>
      <c r="E15" s="38">
        <v>480048</v>
      </c>
      <c r="F15" s="34">
        <v>0.27400000000000002</v>
      </c>
      <c r="G15">
        <v>5</v>
      </c>
    </row>
    <row r="16" spans="1:7" x14ac:dyDescent="0.25">
      <c r="A16" t="s">
        <v>314</v>
      </c>
      <c r="B16" t="s">
        <v>326</v>
      </c>
      <c r="D16">
        <v>65</v>
      </c>
      <c r="E16" s="38">
        <f>D16*8760*F16</f>
        <v>204984</v>
      </c>
      <c r="F16" s="34">
        <v>0.36</v>
      </c>
      <c r="G16">
        <v>6</v>
      </c>
    </row>
    <row r="17" spans="1:7" x14ac:dyDescent="0.25">
      <c r="A17" t="s">
        <v>328</v>
      </c>
      <c r="B17" t="s">
        <v>326</v>
      </c>
      <c r="D17">
        <v>2970</v>
      </c>
      <c r="E17" s="38">
        <v>5960707</v>
      </c>
      <c r="F17" s="34">
        <v>0.25800000000000001</v>
      </c>
      <c r="G17">
        <v>6</v>
      </c>
    </row>
    <row r="18" spans="1:7" x14ac:dyDescent="0.25">
      <c r="A18" t="s">
        <v>308</v>
      </c>
      <c r="B18" t="s">
        <v>326</v>
      </c>
      <c r="D18">
        <v>24</v>
      </c>
      <c r="E18" s="38">
        <f>D18*8760*F18</f>
        <v>31536</v>
      </c>
      <c r="F18" s="34">
        <v>0.15</v>
      </c>
      <c r="G18">
        <v>2</v>
      </c>
    </row>
    <row r="19" spans="1:7" x14ac:dyDescent="0.25">
      <c r="A19" t="s">
        <v>312</v>
      </c>
      <c r="B19" t="s">
        <v>326</v>
      </c>
      <c r="D19">
        <v>300</v>
      </c>
      <c r="E19" s="38">
        <v>620208</v>
      </c>
      <c r="F19" s="34">
        <v>0.23599999999999999</v>
      </c>
      <c r="G19">
        <v>4</v>
      </c>
    </row>
    <row r="20" spans="1:7" x14ac:dyDescent="0.25">
      <c r="A20" t="s">
        <v>302</v>
      </c>
      <c r="B20" t="s">
        <v>326</v>
      </c>
      <c r="D20">
        <v>225</v>
      </c>
      <c r="E20" s="38">
        <f>D20*8760*F20</f>
        <v>696748.5</v>
      </c>
      <c r="F20" s="34">
        <v>0.35349999999999998</v>
      </c>
      <c r="G20">
        <v>7</v>
      </c>
    </row>
    <row r="21" spans="1:7" x14ac:dyDescent="0.25">
      <c r="A21" t="s">
        <v>315</v>
      </c>
      <c r="B21" t="s">
        <v>326</v>
      </c>
      <c r="D21">
        <v>1000</v>
      </c>
      <c r="E21" s="38">
        <v>1408608</v>
      </c>
      <c r="F21" s="34">
        <v>0.26800000000000002</v>
      </c>
      <c r="G21">
        <v>4</v>
      </c>
    </row>
    <row r="22" spans="1:7" x14ac:dyDescent="0.25">
      <c r="A22" t="s">
        <v>306</v>
      </c>
      <c r="B22" t="s">
        <v>326</v>
      </c>
      <c r="D22">
        <v>200</v>
      </c>
      <c r="E22" s="38">
        <f>D22*8760*F22</f>
        <v>579912</v>
      </c>
      <c r="F22" s="34">
        <v>0.33100000000000002</v>
      </c>
      <c r="G22">
        <v>5</v>
      </c>
    </row>
    <row r="23" spans="1:7" x14ac:dyDescent="0.25">
      <c r="A23" t="s">
        <v>300</v>
      </c>
      <c r="B23" t="s">
        <v>326</v>
      </c>
      <c r="D23">
        <v>260</v>
      </c>
      <c r="E23" s="38">
        <f>D23*8760*F23</f>
        <v>296088</v>
      </c>
      <c r="F23" s="34">
        <v>0.13</v>
      </c>
      <c r="G23">
        <v>2</v>
      </c>
    </row>
    <row r="24" spans="1:7" x14ac:dyDescent="0.25">
      <c r="A24" t="s">
        <v>319</v>
      </c>
      <c r="B24" t="s">
        <v>326</v>
      </c>
      <c r="D24">
        <v>200</v>
      </c>
      <c r="E24" s="38">
        <v>411720</v>
      </c>
      <c r="F24" s="34">
        <v>0.23499999999999999</v>
      </c>
      <c r="G24">
        <v>4</v>
      </c>
    </row>
    <row r="25" spans="1:7" x14ac:dyDescent="0.25">
      <c r="A25" t="s">
        <v>304</v>
      </c>
      <c r="B25" t="s">
        <v>326</v>
      </c>
      <c r="D25">
        <v>225</v>
      </c>
      <c r="G25">
        <v>7</v>
      </c>
    </row>
    <row r="26" spans="1:7" x14ac:dyDescent="0.25">
      <c r="A26" t="s">
        <v>301</v>
      </c>
      <c r="B26" t="s">
        <v>326</v>
      </c>
      <c r="D26">
        <v>400</v>
      </c>
      <c r="E26" s="38">
        <v>219000</v>
      </c>
      <c r="F26" s="34">
        <v>0.25</v>
      </c>
      <c r="G26">
        <v>6</v>
      </c>
    </row>
    <row r="27" spans="1:7" x14ac:dyDescent="0.25">
      <c r="A27" t="s">
        <v>323</v>
      </c>
      <c r="B27" t="s">
        <v>326</v>
      </c>
      <c r="D27">
        <v>475</v>
      </c>
      <c r="E27" s="38">
        <v>865488</v>
      </c>
      <c r="F27" s="34">
        <v>0.20799999999999999</v>
      </c>
    </row>
    <row r="28" spans="1:7" x14ac:dyDescent="0.25">
      <c r="A28" t="s">
        <v>309</v>
      </c>
      <c r="B28" t="s">
        <v>326</v>
      </c>
      <c r="D28">
        <v>600</v>
      </c>
      <c r="E28" s="38">
        <v>1093248</v>
      </c>
      <c r="F28" s="34">
        <v>0.20799999999999999</v>
      </c>
      <c r="G28">
        <v>3</v>
      </c>
    </row>
    <row r="29" spans="1:7" x14ac:dyDescent="0.25">
      <c r="A29" t="s">
        <v>299</v>
      </c>
      <c r="B29" t="s">
        <v>326</v>
      </c>
      <c r="D29">
        <v>130</v>
      </c>
      <c r="E29" s="38">
        <f>D29*8760*F29</f>
        <v>398580</v>
      </c>
      <c r="F29" s="34">
        <v>0.35</v>
      </c>
      <c r="G29">
        <v>7</v>
      </c>
    </row>
  </sheetData>
  <sortState ref="A2:D35">
    <sortCondition ref="A2:A3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T94"/>
  <sheetViews>
    <sheetView showWhiteSpace="0" zoomScaleNormal="100" workbookViewId="0">
      <pane ySplit="2" topLeftCell="A3" activePane="bottomLeft" state="frozen"/>
      <selection pane="bottomLeft" activeCell="K2" sqref="K2"/>
    </sheetView>
  </sheetViews>
  <sheetFormatPr defaultColWidth="9.140625" defaultRowHeight="15" x14ac:dyDescent="0.25"/>
  <cols>
    <col min="1" max="1" width="13.42578125" style="1" bestFit="1" customWidth="1"/>
    <col min="2" max="2" width="18.85546875" style="3" customWidth="1"/>
    <col min="3" max="3" width="30.140625" style="3" bestFit="1" customWidth="1"/>
    <col min="4" max="4" width="33.140625" style="1" bestFit="1" customWidth="1"/>
    <col min="5" max="5" width="9.85546875" style="1" customWidth="1"/>
    <col min="6" max="6" width="9.140625" style="22"/>
    <col min="7" max="7" width="9.85546875" style="1" customWidth="1"/>
    <col min="8" max="8" width="11.42578125" style="2" customWidth="1"/>
    <col min="9" max="9" width="15.85546875" style="2" customWidth="1"/>
    <col min="10" max="11" width="19.85546875" style="1" customWidth="1"/>
    <col min="12" max="12" width="33.7109375" style="1" customWidth="1"/>
    <col min="13" max="19" width="19.85546875" style="1" customWidth="1"/>
    <col min="20" max="16384" width="9.140625" style="1"/>
  </cols>
  <sheetData>
    <row r="1" spans="1:20" ht="21" thickBot="1" x14ac:dyDescent="0.35">
      <c r="B1" s="12" t="s">
        <v>279</v>
      </c>
      <c r="C1" s="12"/>
      <c r="D1" s="12"/>
      <c r="E1" s="12"/>
      <c r="F1" s="12"/>
      <c r="G1" s="12"/>
      <c r="H1" s="12"/>
      <c r="I1" s="12"/>
      <c r="J1" s="11"/>
      <c r="K1" s="12"/>
      <c r="L1" s="11"/>
      <c r="M1" s="11"/>
      <c r="N1" s="11"/>
      <c r="O1" s="11"/>
      <c r="P1" s="11"/>
      <c r="Q1" s="11"/>
    </row>
    <row r="2" spans="1:20" ht="12.75" x14ac:dyDescent="0.2">
      <c r="A2" s="13" t="s">
        <v>140</v>
      </c>
      <c r="B2" s="18" t="s">
        <v>144</v>
      </c>
      <c r="C2" s="19" t="s">
        <v>283</v>
      </c>
      <c r="D2" s="14" t="s">
        <v>288</v>
      </c>
      <c r="E2" s="14" t="s">
        <v>289</v>
      </c>
      <c r="F2" s="14" t="s">
        <v>121</v>
      </c>
      <c r="G2" s="20" t="s">
        <v>272</v>
      </c>
      <c r="H2" s="14" t="s">
        <v>129</v>
      </c>
      <c r="I2" s="15" t="s">
        <v>1</v>
      </c>
      <c r="J2" s="13" t="s">
        <v>158</v>
      </c>
      <c r="K2" s="14" t="s">
        <v>0</v>
      </c>
      <c r="L2" s="13" t="s">
        <v>152</v>
      </c>
      <c r="M2" s="13" t="s">
        <v>153</v>
      </c>
      <c r="N2" s="13" t="s">
        <v>157</v>
      </c>
      <c r="O2" s="13" t="s">
        <v>154</v>
      </c>
      <c r="P2" s="13" t="s">
        <v>155</v>
      </c>
      <c r="Q2" s="13" t="s">
        <v>156</v>
      </c>
      <c r="R2" s="13" t="s">
        <v>134</v>
      </c>
      <c r="S2" s="13" t="s">
        <v>150</v>
      </c>
      <c r="T2" s="13" t="s">
        <v>237</v>
      </c>
    </row>
    <row r="3" spans="1:20" ht="12.75" hidden="1" x14ac:dyDescent="0.2">
      <c r="A3" s="6" t="s">
        <v>139</v>
      </c>
      <c r="B3" s="4">
        <v>2000</v>
      </c>
      <c r="C3" s="6" t="s">
        <v>43</v>
      </c>
      <c r="D3" s="6" t="s">
        <v>43</v>
      </c>
      <c r="E3" s="6"/>
      <c r="F3" s="6" t="s">
        <v>44</v>
      </c>
      <c r="G3" s="21">
        <v>600</v>
      </c>
      <c r="H3" s="21">
        <f>1000000/1000</f>
        <v>1000</v>
      </c>
      <c r="I3" s="6" t="s">
        <v>6</v>
      </c>
      <c r="J3" s="6"/>
      <c r="K3" s="6" t="s">
        <v>20</v>
      </c>
      <c r="L3" s="6"/>
      <c r="M3" s="6"/>
      <c r="N3" s="6"/>
      <c r="O3" s="6"/>
      <c r="P3" s="6"/>
      <c r="Q3" s="6"/>
      <c r="R3" s="6" t="s">
        <v>135</v>
      </c>
      <c r="S3" s="6"/>
      <c r="T3" s="6"/>
    </row>
    <row r="4" spans="1:20" ht="12.75" hidden="1" x14ac:dyDescent="0.2">
      <c r="A4" s="6" t="s">
        <v>139</v>
      </c>
      <c r="B4" s="4">
        <v>1915</v>
      </c>
      <c r="C4" s="6" t="s">
        <v>2</v>
      </c>
      <c r="D4" s="6" t="s">
        <v>2</v>
      </c>
      <c r="E4" s="6"/>
      <c r="F4" s="6" t="s">
        <v>4</v>
      </c>
      <c r="G4" s="21">
        <v>4000</v>
      </c>
      <c r="H4" s="21">
        <f>26000000/1000</f>
        <v>26000</v>
      </c>
      <c r="I4" s="6" t="s">
        <v>8</v>
      </c>
      <c r="J4" s="6"/>
      <c r="K4" s="6" t="s">
        <v>3</v>
      </c>
      <c r="L4" s="6"/>
      <c r="M4" s="6"/>
      <c r="N4" s="6"/>
      <c r="O4" s="6"/>
      <c r="P4" s="6"/>
      <c r="Q4" s="6"/>
      <c r="R4" s="6" t="s">
        <v>135</v>
      </c>
      <c r="S4" s="6"/>
      <c r="T4" s="6" t="s">
        <v>195</v>
      </c>
    </row>
    <row r="5" spans="1:20" ht="12.75" hidden="1" x14ac:dyDescent="0.2">
      <c r="A5" s="6" t="s">
        <v>139</v>
      </c>
      <c r="B5" s="4">
        <v>1988</v>
      </c>
      <c r="C5" s="6" t="s">
        <v>65</v>
      </c>
      <c r="D5" s="6" t="s">
        <v>65</v>
      </c>
      <c r="E5" s="6"/>
      <c r="F5" s="6" t="s">
        <v>117</v>
      </c>
      <c r="G5" s="21">
        <v>750</v>
      </c>
      <c r="H5" s="21"/>
      <c r="I5" s="6" t="s">
        <v>81</v>
      </c>
      <c r="J5" s="6"/>
      <c r="K5" s="6" t="s">
        <v>60</v>
      </c>
      <c r="L5" s="6"/>
      <c r="M5" s="6"/>
      <c r="N5" s="6"/>
      <c r="O5" s="6"/>
      <c r="P5" s="6"/>
      <c r="Q5" s="6"/>
      <c r="R5" s="6" t="s">
        <v>136</v>
      </c>
      <c r="S5" s="6"/>
      <c r="T5" s="6"/>
    </row>
    <row r="6" spans="1:20" ht="12.75" hidden="1" x14ac:dyDescent="0.2">
      <c r="A6" s="6" t="s">
        <v>139</v>
      </c>
      <c r="B6" s="4">
        <v>1947</v>
      </c>
      <c r="C6" s="6" t="s">
        <v>53</v>
      </c>
      <c r="D6" s="6" t="s">
        <v>53</v>
      </c>
      <c r="E6" s="6"/>
      <c r="F6" s="6" t="s">
        <v>54</v>
      </c>
      <c r="G6" s="21">
        <v>5200</v>
      </c>
      <c r="H6" s="21">
        <f>44675500/1000</f>
        <v>44675.5</v>
      </c>
      <c r="I6" s="6" t="s">
        <v>119</v>
      </c>
      <c r="J6" s="6" t="s">
        <v>160</v>
      </c>
      <c r="K6" s="6" t="s">
        <v>278</v>
      </c>
      <c r="L6" s="6"/>
      <c r="M6" s="6"/>
      <c r="N6" s="6"/>
      <c r="O6" s="6"/>
      <c r="P6" s="6"/>
      <c r="Q6" s="6"/>
      <c r="R6" s="6"/>
      <c r="S6" s="6"/>
      <c r="T6" s="6" t="s">
        <v>196</v>
      </c>
    </row>
    <row r="7" spans="1:20" ht="12.75" hidden="1" x14ac:dyDescent="0.2">
      <c r="A7" s="6" t="s">
        <v>139</v>
      </c>
      <c r="B7" s="4">
        <v>1995</v>
      </c>
      <c r="C7" s="6" t="s">
        <v>14</v>
      </c>
      <c r="D7" s="6" t="s">
        <v>14</v>
      </c>
      <c r="E7" s="6"/>
      <c r="F7" s="6" t="s">
        <v>16</v>
      </c>
      <c r="G7" s="21">
        <v>4500</v>
      </c>
      <c r="H7" s="21">
        <f>20600350/1000</f>
        <v>20600.349999999999</v>
      </c>
      <c r="I7" s="6" t="s">
        <v>17</v>
      </c>
      <c r="J7" s="6" t="s">
        <v>161</v>
      </c>
      <c r="K7" s="6" t="s">
        <v>15</v>
      </c>
      <c r="L7" s="6"/>
      <c r="M7" s="6"/>
      <c r="N7" s="6"/>
      <c r="O7" s="6"/>
      <c r="P7" s="6"/>
      <c r="Q7" s="6"/>
      <c r="R7" s="6"/>
      <c r="S7" s="6"/>
      <c r="T7" s="6" t="s">
        <v>197</v>
      </c>
    </row>
    <row r="8" spans="1:20" ht="12.75" hidden="1" x14ac:dyDescent="0.2">
      <c r="A8" s="6" t="s">
        <v>139</v>
      </c>
      <c r="B8" s="4">
        <v>1925</v>
      </c>
      <c r="C8" s="6" t="s">
        <v>240</v>
      </c>
      <c r="D8" s="6" t="s">
        <v>240</v>
      </c>
      <c r="E8" s="6"/>
      <c r="F8" s="6" t="s">
        <v>69</v>
      </c>
      <c r="G8" s="21">
        <v>2000</v>
      </c>
      <c r="H8" s="21">
        <f>982000/1000</f>
        <v>982</v>
      </c>
      <c r="I8" s="6" t="s">
        <v>17</v>
      </c>
      <c r="J8" s="6" t="s">
        <v>162</v>
      </c>
      <c r="K8" s="6" t="s">
        <v>278</v>
      </c>
      <c r="L8" s="6"/>
      <c r="M8" s="6"/>
      <c r="N8" s="6"/>
      <c r="O8" s="6"/>
      <c r="P8" s="6"/>
      <c r="Q8" s="6"/>
      <c r="R8" s="6"/>
      <c r="S8" s="6"/>
      <c r="T8" s="6" t="s">
        <v>198</v>
      </c>
    </row>
    <row r="9" spans="1:20" ht="12.75" hidden="1" x14ac:dyDescent="0.2">
      <c r="A9" s="6" t="s">
        <v>139</v>
      </c>
      <c r="B9" s="4">
        <v>1958</v>
      </c>
      <c r="C9" s="6" t="s">
        <v>199</v>
      </c>
      <c r="D9" s="6" t="s">
        <v>199</v>
      </c>
      <c r="E9" s="6"/>
      <c r="F9" s="6" t="s">
        <v>76</v>
      </c>
      <c r="G9" s="21">
        <v>7540</v>
      </c>
      <c r="H9" s="21">
        <v>54800</v>
      </c>
      <c r="I9" s="6" t="s">
        <v>77</v>
      </c>
      <c r="J9" s="6" t="s">
        <v>163</v>
      </c>
      <c r="K9" s="6" t="s">
        <v>76</v>
      </c>
      <c r="L9" s="6"/>
      <c r="M9" s="6"/>
      <c r="N9" s="6"/>
      <c r="O9" s="6"/>
      <c r="P9" s="6"/>
      <c r="Q9" s="6"/>
      <c r="R9" s="6"/>
      <c r="S9" s="6"/>
      <c r="T9" s="6" t="s">
        <v>200</v>
      </c>
    </row>
    <row r="10" spans="1:20" ht="12.75" hidden="1" x14ac:dyDescent="0.2">
      <c r="A10" s="6" t="s">
        <v>139</v>
      </c>
      <c r="B10" s="4">
        <v>2014</v>
      </c>
      <c r="C10" s="6" t="s">
        <v>199</v>
      </c>
      <c r="D10" s="6" t="s">
        <v>137</v>
      </c>
      <c r="E10" s="6"/>
      <c r="F10" s="6" t="s">
        <v>76</v>
      </c>
      <c r="G10" s="21">
        <f>14200-G9</f>
        <v>6660</v>
      </c>
      <c r="H10" s="21">
        <v>37700</v>
      </c>
      <c r="I10" s="6" t="s">
        <v>77</v>
      </c>
      <c r="J10" s="6" t="s">
        <v>163</v>
      </c>
      <c r="K10" s="6" t="s">
        <v>76</v>
      </c>
      <c r="L10" s="6"/>
      <c r="M10" s="6"/>
      <c r="N10" s="6"/>
      <c r="O10" s="6"/>
      <c r="P10" s="6"/>
      <c r="Q10" s="6"/>
      <c r="R10" s="6"/>
      <c r="S10" s="6"/>
      <c r="T10" s="16" t="s">
        <v>201</v>
      </c>
    </row>
    <row r="11" spans="1:20" ht="12.75" hidden="1" x14ac:dyDescent="0.2">
      <c r="A11" s="6" t="s">
        <v>139</v>
      </c>
      <c r="B11" s="4">
        <v>2014</v>
      </c>
      <c r="C11" s="6" t="s">
        <v>199</v>
      </c>
      <c r="D11" s="6" t="s">
        <v>265</v>
      </c>
      <c r="E11" s="6"/>
      <c r="F11" s="6" t="s">
        <v>76</v>
      </c>
      <c r="G11" s="21">
        <v>1445</v>
      </c>
      <c r="H11" s="21">
        <v>7700</v>
      </c>
      <c r="I11" s="6" t="s">
        <v>77</v>
      </c>
      <c r="J11" s="6" t="s">
        <v>163</v>
      </c>
      <c r="K11" s="6" t="s">
        <v>76</v>
      </c>
      <c r="L11" s="6"/>
      <c r="M11" s="6"/>
      <c r="N11" s="6"/>
      <c r="O11" s="6"/>
      <c r="P11" s="6"/>
      <c r="Q11" s="6"/>
      <c r="R11" s="6"/>
      <c r="S11" s="6"/>
      <c r="T11" s="16"/>
    </row>
    <row r="12" spans="1:20" ht="12.75" hidden="1" x14ac:dyDescent="0.2">
      <c r="A12" s="6" t="s">
        <v>139</v>
      </c>
      <c r="B12" s="4">
        <v>1991</v>
      </c>
      <c r="C12" s="6" t="s">
        <v>73</v>
      </c>
      <c r="D12" s="6" t="s">
        <v>73</v>
      </c>
      <c r="E12" s="6"/>
      <c r="F12" s="6" t="s">
        <v>122</v>
      </c>
      <c r="G12" s="21">
        <v>120000</v>
      </c>
      <c r="H12" s="21">
        <v>380000</v>
      </c>
      <c r="I12" s="6" t="s">
        <v>8</v>
      </c>
      <c r="J12" s="6" t="s">
        <v>164</v>
      </c>
      <c r="K12" s="6" t="s">
        <v>60</v>
      </c>
      <c r="L12" s="6"/>
      <c r="M12" s="6"/>
      <c r="N12" s="6"/>
      <c r="O12" s="6"/>
      <c r="P12" s="6"/>
      <c r="Q12" s="6"/>
      <c r="R12" s="6"/>
      <c r="S12" s="6"/>
      <c r="T12" s="6" t="s">
        <v>202</v>
      </c>
    </row>
    <row r="13" spans="1:20" ht="12.75" hidden="1" x14ac:dyDescent="0.2">
      <c r="A13" s="6" t="s">
        <v>139</v>
      </c>
      <c r="B13" s="4"/>
      <c r="C13" s="6" t="s">
        <v>141</v>
      </c>
      <c r="D13" s="6" t="s">
        <v>141</v>
      </c>
      <c r="E13" s="6"/>
      <c r="F13" s="6" t="s">
        <v>267</v>
      </c>
      <c r="G13" s="21">
        <v>80</v>
      </c>
      <c r="H13" s="21"/>
      <c r="I13" s="6"/>
      <c r="J13" s="6" t="s">
        <v>165</v>
      </c>
      <c r="K13" s="6" t="s">
        <v>268</v>
      </c>
      <c r="L13" s="6"/>
      <c r="M13" s="6"/>
      <c r="N13" s="6"/>
      <c r="O13" s="6"/>
      <c r="P13" s="6"/>
      <c r="Q13" s="6"/>
      <c r="R13" s="6"/>
      <c r="S13" s="6"/>
      <c r="T13" s="6"/>
    </row>
    <row r="14" spans="1:20" ht="12.75" hidden="1" x14ac:dyDescent="0.2">
      <c r="A14" s="6" t="s">
        <v>139</v>
      </c>
      <c r="B14" s="4">
        <v>1987</v>
      </c>
      <c r="C14" s="6" t="s">
        <v>62</v>
      </c>
      <c r="D14" s="6" t="s">
        <v>62</v>
      </c>
      <c r="E14" s="6"/>
      <c r="F14" s="6" t="s">
        <v>63</v>
      </c>
      <c r="G14" s="21">
        <v>1100</v>
      </c>
      <c r="H14" s="21">
        <f>4960915/1000</f>
        <v>4960.915</v>
      </c>
      <c r="I14" s="6" t="s">
        <v>8</v>
      </c>
      <c r="J14" s="6"/>
      <c r="K14" s="6" t="s">
        <v>63</v>
      </c>
      <c r="L14" s="6"/>
      <c r="M14" s="6"/>
      <c r="N14" s="6"/>
      <c r="O14" s="6"/>
      <c r="P14" s="6"/>
      <c r="Q14" s="6"/>
      <c r="R14" s="6"/>
      <c r="S14" s="6"/>
      <c r="T14" s="6" t="s">
        <v>205</v>
      </c>
    </row>
    <row r="15" spans="1:20" ht="12.75" hidden="1" x14ac:dyDescent="0.2">
      <c r="A15" s="6" t="s">
        <v>139</v>
      </c>
      <c r="B15" s="4">
        <v>1949</v>
      </c>
      <c r="C15" s="6" t="s">
        <v>108</v>
      </c>
      <c r="D15" s="6" t="s">
        <v>108</v>
      </c>
      <c r="E15" s="6"/>
      <c r="F15" s="6" t="s">
        <v>31</v>
      </c>
      <c r="G15" s="21">
        <v>60</v>
      </c>
      <c r="H15" s="21">
        <v>300</v>
      </c>
      <c r="I15" s="6" t="s">
        <v>17</v>
      </c>
      <c r="J15" s="6" t="s">
        <v>166</v>
      </c>
      <c r="K15" s="6" t="s">
        <v>31</v>
      </c>
      <c r="L15" s="6"/>
      <c r="M15" s="6"/>
      <c r="N15" s="6"/>
      <c r="O15" s="6"/>
      <c r="P15" s="6"/>
      <c r="Q15" s="6"/>
      <c r="R15" s="6"/>
      <c r="S15" s="6"/>
      <c r="T15" s="6"/>
    </row>
    <row r="16" spans="1:20" ht="12.75" hidden="1" x14ac:dyDescent="0.2">
      <c r="A16" s="6" t="s">
        <v>139</v>
      </c>
      <c r="B16" s="4">
        <v>2012</v>
      </c>
      <c r="C16" s="6" t="s">
        <v>25</v>
      </c>
      <c r="D16" s="6" t="s">
        <v>25</v>
      </c>
      <c r="E16" s="6"/>
      <c r="F16" s="6" t="s">
        <v>26</v>
      </c>
      <c r="G16" s="21">
        <v>284</v>
      </c>
      <c r="H16" s="21">
        <f>443142/1000</f>
        <v>443.142</v>
      </c>
      <c r="I16" s="6" t="s">
        <v>6</v>
      </c>
      <c r="J16" s="6"/>
      <c r="K16" s="6" t="s">
        <v>26</v>
      </c>
      <c r="L16" s="6"/>
      <c r="M16" s="6"/>
      <c r="N16" s="6"/>
      <c r="O16" s="6"/>
      <c r="P16" s="6"/>
      <c r="Q16" s="6"/>
      <c r="R16" s="6"/>
      <c r="S16" s="6"/>
      <c r="T16" s="6"/>
    </row>
    <row r="17" spans="1:20" ht="12.75" hidden="1" x14ac:dyDescent="0.2">
      <c r="A17" s="6" t="s">
        <v>139</v>
      </c>
      <c r="B17" s="4">
        <v>1960</v>
      </c>
      <c r="C17" s="6" t="s">
        <v>206</v>
      </c>
      <c r="D17" s="6" t="s">
        <v>206</v>
      </c>
      <c r="E17" s="6"/>
      <c r="F17" s="6" t="s">
        <v>124</v>
      </c>
      <c r="G17" s="21">
        <v>19200</v>
      </c>
      <c r="H17" s="21">
        <v>42000</v>
      </c>
      <c r="I17" s="6" t="s">
        <v>8</v>
      </c>
      <c r="J17" s="6" t="s">
        <v>167</v>
      </c>
      <c r="K17" s="6" t="s">
        <v>60</v>
      </c>
      <c r="L17" s="6"/>
      <c r="M17" s="6"/>
      <c r="N17" s="6"/>
      <c r="O17" s="6"/>
      <c r="P17" s="6"/>
      <c r="Q17" s="6"/>
      <c r="R17" s="6"/>
      <c r="S17" s="6"/>
      <c r="T17" s="6" t="s">
        <v>207</v>
      </c>
    </row>
    <row r="18" spans="1:20" ht="12.75" hidden="1" x14ac:dyDescent="0.2">
      <c r="A18" s="6" t="s">
        <v>139</v>
      </c>
      <c r="B18" s="17">
        <v>2015</v>
      </c>
      <c r="C18" s="6" t="s">
        <v>206</v>
      </c>
      <c r="D18" s="4" t="s">
        <v>264</v>
      </c>
      <c r="E18" s="4"/>
      <c r="F18" s="4" t="s">
        <v>124</v>
      </c>
      <c r="G18" s="21">
        <v>0</v>
      </c>
      <c r="H18" s="21">
        <v>6020</v>
      </c>
      <c r="I18" s="6" t="s">
        <v>125</v>
      </c>
      <c r="J18" s="6"/>
      <c r="K18" s="4" t="s">
        <v>60</v>
      </c>
      <c r="L18" s="6"/>
      <c r="M18" s="6"/>
      <c r="N18" s="6"/>
      <c r="O18" s="6"/>
      <c r="P18" s="6"/>
      <c r="Q18" s="6"/>
      <c r="R18" s="6"/>
      <c r="S18" s="6"/>
      <c r="T18" s="6" t="s">
        <v>208</v>
      </c>
    </row>
    <row r="19" spans="1:20" ht="12.75" hidden="1" x14ac:dyDescent="0.2">
      <c r="A19" s="6" t="s">
        <v>139</v>
      </c>
      <c r="B19" s="4">
        <v>1995</v>
      </c>
      <c r="C19" s="6" t="s">
        <v>50</v>
      </c>
      <c r="D19" s="6" t="s">
        <v>50</v>
      </c>
      <c r="E19" s="6"/>
      <c r="F19" s="6" t="s">
        <v>51</v>
      </c>
      <c r="G19" s="21">
        <v>800</v>
      </c>
      <c r="H19" s="21">
        <f>1997981/1000</f>
        <v>1997.981</v>
      </c>
      <c r="I19" s="6" t="s">
        <v>6</v>
      </c>
      <c r="J19" s="6"/>
      <c r="K19" s="6" t="s">
        <v>51</v>
      </c>
      <c r="L19" s="6"/>
      <c r="M19" s="6"/>
      <c r="N19" s="6"/>
      <c r="O19" s="6"/>
      <c r="P19" s="6"/>
      <c r="Q19" s="6"/>
      <c r="R19" s="6"/>
      <c r="S19" s="6"/>
      <c r="T19" s="6" t="s">
        <v>209</v>
      </c>
    </row>
    <row r="20" spans="1:20" ht="12.75" hidden="1" x14ac:dyDescent="0.2">
      <c r="A20" s="6" t="s">
        <v>139</v>
      </c>
      <c r="B20" s="4" t="s">
        <v>18</v>
      </c>
      <c r="C20" s="6" t="s">
        <v>19</v>
      </c>
      <c r="D20" s="6" t="s">
        <v>19</v>
      </c>
      <c r="E20" s="6"/>
      <c r="F20" s="6" t="s">
        <v>16</v>
      </c>
      <c r="G20" s="21">
        <v>943</v>
      </c>
      <c r="H20" s="21">
        <f>3137760/1000</f>
        <v>3137.76</v>
      </c>
      <c r="I20" s="6" t="s">
        <v>6</v>
      </c>
      <c r="J20" s="6" t="s">
        <v>182</v>
      </c>
      <c r="K20" s="6" t="s">
        <v>20</v>
      </c>
      <c r="L20" s="6"/>
      <c r="M20" s="6"/>
      <c r="N20" s="6"/>
      <c r="O20" s="6"/>
      <c r="P20" s="6"/>
      <c r="Q20" s="6"/>
      <c r="R20" s="6"/>
      <c r="S20" s="6"/>
      <c r="T20" s="6" t="s">
        <v>210</v>
      </c>
    </row>
    <row r="21" spans="1:20" ht="12.75" hidden="1" x14ac:dyDescent="0.2">
      <c r="A21" s="6" t="s">
        <v>139</v>
      </c>
      <c r="B21" s="4"/>
      <c r="C21" s="6" t="s">
        <v>255</v>
      </c>
      <c r="D21" s="6" t="s">
        <v>255</v>
      </c>
      <c r="E21" s="6"/>
      <c r="F21" s="6" t="s">
        <v>257</v>
      </c>
      <c r="G21" s="21">
        <v>75</v>
      </c>
      <c r="H21" s="21"/>
      <c r="I21" s="6"/>
      <c r="J21" s="6" t="s">
        <v>168</v>
      </c>
      <c r="K21" s="4" t="s">
        <v>266</v>
      </c>
      <c r="L21" s="6"/>
      <c r="M21" s="6"/>
      <c r="N21" s="6"/>
      <c r="O21" s="6"/>
      <c r="P21" s="6"/>
      <c r="Q21" s="6"/>
      <c r="R21" s="6"/>
      <c r="S21" s="6"/>
      <c r="T21" s="6"/>
    </row>
    <row r="22" spans="1:20" ht="12.75" hidden="1" x14ac:dyDescent="0.2">
      <c r="A22" s="6" t="s">
        <v>139</v>
      </c>
      <c r="B22" s="4">
        <v>1955</v>
      </c>
      <c r="C22" s="6" t="s">
        <v>75</v>
      </c>
      <c r="D22" s="6" t="s">
        <v>75</v>
      </c>
      <c r="E22" s="6"/>
      <c r="F22" s="6" t="s">
        <v>123</v>
      </c>
      <c r="G22" s="21">
        <v>40000</v>
      </c>
      <c r="H22" s="21">
        <f>172076600/1000</f>
        <v>172076.6</v>
      </c>
      <c r="I22" s="6" t="s">
        <v>17</v>
      </c>
      <c r="J22" s="6"/>
      <c r="K22" s="6" t="s">
        <v>60</v>
      </c>
      <c r="L22" s="6"/>
      <c r="M22" s="6"/>
      <c r="N22" s="6"/>
      <c r="O22" s="6"/>
      <c r="P22" s="6"/>
      <c r="Q22" s="6"/>
      <c r="R22" s="6"/>
      <c r="S22" s="6"/>
      <c r="T22" s="6" t="s">
        <v>211</v>
      </c>
    </row>
    <row r="23" spans="1:20" ht="12.75" hidden="1" x14ac:dyDescent="0.2">
      <c r="A23" s="6" t="s">
        <v>139</v>
      </c>
      <c r="B23" s="4">
        <v>2009</v>
      </c>
      <c r="C23" s="6" t="s">
        <v>38</v>
      </c>
      <c r="D23" s="6" t="s">
        <v>38</v>
      </c>
      <c r="E23" s="6"/>
      <c r="F23" s="6" t="s">
        <v>16</v>
      </c>
      <c r="G23" s="21">
        <v>800</v>
      </c>
      <c r="H23" s="21">
        <f>1939011/1000</f>
        <v>1939.011</v>
      </c>
      <c r="I23" s="6" t="s">
        <v>6</v>
      </c>
      <c r="J23" s="6" t="s">
        <v>169</v>
      </c>
      <c r="K23" s="6" t="s">
        <v>39</v>
      </c>
      <c r="L23" s="6"/>
      <c r="M23" s="6"/>
      <c r="N23" s="6"/>
      <c r="O23" s="6"/>
      <c r="P23" s="6"/>
      <c r="Q23" s="6"/>
      <c r="R23" s="6"/>
      <c r="S23" s="6"/>
      <c r="T23" s="6" t="s">
        <v>212</v>
      </c>
    </row>
    <row r="24" spans="1:20" ht="12.75" hidden="1" x14ac:dyDescent="0.2">
      <c r="A24" s="4" t="s">
        <v>139</v>
      </c>
      <c r="B24" s="4">
        <v>2015</v>
      </c>
      <c r="C24" s="5" t="s">
        <v>45</v>
      </c>
      <c r="D24" s="5" t="s">
        <v>45</v>
      </c>
      <c r="E24" s="5"/>
      <c r="F24" s="4" t="s">
        <v>44</v>
      </c>
      <c r="G24" s="21">
        <v>450</v>
      </c>
      <c r="H24" s="21">
        <v>1810</v>
      </c>
      <c r="I24" s="6" t="s">
        <v>6</v>
      </c>
      <c r="J24" s="6" t="s">
        <v>170</v>
      </c>
      <c r="K24" s="4" t="s">
        <v>46</v>
      </c>
      <c r="L24" s="6"/>
      <c r="M24" s="6"/>
      <c r="N24" s="6"/>
      <c r="O24" s="6"/>
      <c r="P24" s="6"/>
      <c r="Q24" s="6"/>
      <c r="R24" s="6"/>
      <c r="S24" s="6"/>
      <c r="T24" s="6" t="s">
        <v>243</v>
      </c>
    </row>
    <row r="25" spans="1:20" ht="12.75" hidden="1" x14ac:dyDescent="0.2">
      <c r="A25" s="6" t="s">
        <v>139</v>
      </c>
      <c r="B25" s="4">
        <v>1997</v>
      </c>
      <c r="C25" s="6" t="s">
        <v>21</v>
      </c>
      <c r="D25" s="6" t="s">
        <v>21</v>
      </c>
      <c r="E25" s="6"/>
      <c r="F25" s="6" t="s">
        <v>16</v>
      </c>
      <c r="G25" s="21">
        <v>4000</v>
      </c>
      <c r="H25" s="21">
        <v>15617</v>
      </c>
      <c r="I25" s="6" t="s">
        <v>17</v>
      </c>
      <c r="J25" s="6" t="s">
        <v>171</v>
      </c>
      <c r="K25" s="6" t="s">
        <v>20</v>
      </c>
      <c r="L25" s="6"/>
      <c r="M25" s="6"/>
      <c r="N25" s="6"/>
      <c r="O25" s="6"/>
      <c r="P25" s="6"/>
      <c r="Q25" s="6"/>
      <c r="R25" s="6"/>
      <c r="S25" s="6"/>
      <c r="T25" s="6" t="s">
        <v>213</v>
      </c>
    </row>
    <row r="26" spans="1:20" ht="12.75" hidden="1" x14ac:dyDescent="0.2">
      <c r="A26" s="6" t="s">
        <v>139</v>
      </c>
      <c r="B26" s="4">
        <v>1914</v>
      </c>
      <c r="C26" s="6" t="s">
        <v>5</v>
      </c>
      <c r="D26" s="6" t="s">
        <v>5</v>
      </c>
      <c r="E26" s="6"/>
      <c r="F26" s="6" t="s">
        <v>4</v>
      </c>
      <c r="G26" s="21">
        <v>1600</v>
      </c>
      <c r="H26" s="21">
        <v>4500</v>
      </c>
      <c r="I26" s="6" t="s">
        <v>6</v>
      </c>
      <c r="J26" s="6"/>
      <c r="K26" s="6" t="s">
        <v>3</v>
      </c>
      <c r="L26" s="6"/>
      <c r="M26" s="6"/>
      <c r="N26" s="6"/>
      <c r="O26" s="6"/>
      <c r="P26" s="6"/>
      <c r="Q26" s="6"/>
      <c r="R26" s="6"/>
      <c r="S26" s="6"/>
      <c r="T26" s="6" t="s">
        <v>214</v>
      </c>
    </row>
    <row r="27" spans="1:20" ht="12.75" hidden="1" x14ac:dyDescent="0.2">
      <c r="A27" s="6" t="s">
        <v>139</v>
      </c>
      <c r="B27" s="4">
        <v>1979</v>
      </c>
      <c r="C27" s="6" t="s">
        <v>78</v>
      </c>
      <c r="D27" s="6" t="s">
        <v>78</v>
      </c>
      <c r="E27" s="6"/>
      <c r="F27" s="6" t="s">
        <v>76</v>
      </c>
      <c r="G27" s="21">
        <v>18600</v>
      </c>
      <c r="H27" s="21">
        <v>63800</v>
      </c>
      <c r="I27" s="6" t="s">
        <v>17</v>
      </c>
      <c r="J27" s="6" t="s">
        <v>172</v>
      </c>
      <c r="K27" s="6" t="s">
        <v>76</v>
      </c>
      <c r="L27" s="6"/>
      <c r="M27" s="6"/>
      <c r="N27" s="6"/>
      <c r="O27" s="6"/>
      <c r="P27" s="6"/>
      <c r="Q27" s="6"/>
      <c r="R27" s="6"/>
      <c r="S27" s="6"/>
      <c r="T27" s="6" t="s">
        <v>215</v>
      </c>
    </row>
    <row r="28" spans="1:20" ht="12.75" hidden="1" x14ac:dyDescent="0.2">
      <c r="A28" s="6" t="s">
        <v>139</v>
      </c>
      <c r="B28" s="4">
        <v>2010</v>
      </c>
      <c r="C28" s="6" t="s">
        <v>27</v>
      </c>
      <c r="D28" s="6" t="s">
        <v>27</v>
      </c>
      <c r="E28" s="6"/>
      <c r="F28" s="6" t="s">
        <v>29</v>
      </c>
      <c r="G28" s="21">
        <v>1250</v>
      </c>
      <c r="H28" s="21">
        <f>3553542/1000</f>
        <v>3553.5419999999999</v>
      </c>
      <c r="I28" s="6" t="s">
        <v>6</v>
      </c>
      <c r="J28" s="6" t="s">
        <v>173</v>
      </c>
      <c r="K28" s="6" t="s">
        <v>28</v>
      </c>
      <c r="L28" s="6"/>
      <c r="M28" s="6"/>
      <c r="N28" s="6"/>
      <c r="O28" s="6"/>
      <c r="P28" s="6"/>
      <c r="Q28" s="6"/>
      <c r="R28" s="6"/>
      <c r="S28" s="6"/>
      <c r="T28" s="6" t="s">
        <v>216</v>
      </c>
    </row>
    <row r="29" spans="1:20" ht="12.75" hidden="1" x14ac:dyDescent="0.2">
      <c r="A29" s="6" t="s">
        <v>139</v>
      </c>
      <c r="B29" s="4"/>
      <c r="C29" s="6" t="s">
        <v>252</v>
      </c>
      <c r="D29" s="6" t="s">
        <v>252</v>
      </c>
      <c r="E29" s="6"/>
      <c r="F29" s="6" t="s">
        <v>253</v>
      </c>
      <c r="G29" s="21">
        <v>249</v>
      </c>
      <c r="H29" s="21"/>
      <c r="I29" s="6"/>
      <c r="J29" s="6" t="s">
        <v>174</v>
      </c>
      <c r="K29" s="4" t="s">
        <v>254</v>
      </c>
      <c r="L29" s="6"/>
      <c r="M29" s="6"/>
      <c r="N29" s="6"/>
      <c r="O29" s="6"/>
      <c r="P29" s="6"/>
      <c r="Q29" s="6"/>
      <c r="R29" s="6"/>
      <c r="S29" s="6"/>
      <c r="T29" s="6"/>
    </row>
    <row r="30" spans="1:20" ht="12.75" hidden="1" x14ac:dyDescent="0.2">
      <c r="A30" s="6" t="s">
        <v>139</v>
      </c>
      <c r="B30" s="4">
        <v>2008</v>
      </c>
      <c r="C30" s="6" t="s">
        <v>22</v>
      </c>
      <c r="D30" s="6" t="s">
        <v>22</v>
      </c>
      <c r="E30" s="6"/>
      <c r="F30" s="6" t="s">
        <v>16</v>
      </c>
      <c r="G30" s="21">
        <v>3000</v>
      </c>
      <c r="H30" s="21">
        <f>7446440/1000</f>
        <v>7446.44</v>
      </c>
      <c r="I30" s="6" t="s">
        <v>6</v>
      </c>
      <c r="J30" s="6" t="s">
        <v>175</v>
      </c>
      <c r="K30" s="6" t="s">
        <v>20</v>
      </c>
      <c r="L30" s="6"/>
      <c r="M30" s="6"/>
      <c r="N30" s="6"/>
      <c r="O30" s="6"/>
      <c r="P30" s="6"/>
      <c r="Q30" s="6"/>
      <c r="R30" s="6"/>
      <c r="S30" s="6"/>
      <c r="T30" s="6" t="s">
        <v>217</v>
      </c>
    </row>
    <row r="31" spans="1:20" ht="12.75" hidden="1" x14ac:dyDescent="0.2">
      <c r="A31" s="6" t="s">
        <v>139</v>
      </c>
      <c r="B31" s="4">
        <v>1903</v>
      </c>
      <c r="C31" s="6" t="s">
        <v>55</v>
      </c>
      <c r="D31" s="6" t="s">
        <v>55</v>
      </c>
      <c r="E31" s="6"/>
      <c r="F31" s="6" t="s">
        <v>54</v>
      </c>
      <c r="G31" s="21">
        <v>4200</v>
      </c>
      <c r="H31" s="21">
        <f>23025300/1000</f>
        <v>23025.3</v>
      </c>
      <c r="I31" s="6" t="s">
        <v>8</v>
      </c>
      <c r="J31" s="6" t="s">
        <v>176</v>
      </c>
      <c r="K31" s="6" t="s">
        <v>278</v>
      </c>
      <c r="L31" s="6"/>
      <c r="M31" s="6"/>
      <c r="N31" s="6"/>
      <c r="O31" s="6"/>
      <c r="P31" s="6"/>
      <c r="Q31" s="6"/>
      <c r="R31" s="6"/>
      <c r="S31" s="6"/>
      <c r="T31" s="6" t="s">
        <v>218</v>
      </c>
    </row>
    <row r="32" spans="1:20" ht="12.75" hidden="1" x14ac:dyDescent="0.2">
      <c r="A32" s="6" t="s">
        <v>139</v>
      </c>
      <c r="B32" s="4">
        <v>2010</v>
      </c>
      <c r="C32" s="6" t="s">
        <v>7</v>
      </c>
      <c r="D32" s="6" t="s">
        <v>239</v>
      </c>
      <c r="E32" s="6"/>
      <c r="F32" s="6" t="s">
        <v>4</v>
      </c>
      <c r="G32" s="21">
        <v>14300</v>
      </c>
      <c r="H32" s="21">
        <v>75000</v>
      </c>
      <c r="I32" s="6" t="s">
        <v>8</v>
      </c>
      <c r="J32" s="6" t="s">
        <v>177</v>
      </c>
      <c r="K32" s="6" t="s">
        <v>3</v>
      </c>
      <c r="L32" s="6"/>
      <c r="M32" s="6"/>
      <c r="N32" s="6"/>
      <c r="O32" s="6"/>
      <c r="P32" s="6"/>
      <c r="Q32" s="6"/>
      <c r="R32" s="6"/>
      <c r="S32" s="6"/>
      <c r="T32" s="6" t="s">
        <v>219</v>
      </c>
    </row>
    <row r="33" spans="1:20" ht="12.75" hidden="1" x14ac:dyDescent="0.2">
      <c r="A33" s="6" t="s">
        <v>139</v>
      </c>
      <c r="B33" s="4">
        <v>1991</v>
      </c>
      <c r="C33" s="6" t="s">
        <v>58</v>
      </c>
      <c r="D33" s="6" t="s">
        <v>58</v>
      </c>
      <c r="E33" s="6"/>
      <c r="F33" s="6" t="s">
        <v>58</v>
      </c>
      <c r="G33" s="21">
        <v>475</v>
      </c>
      <c r="H33" s="21">
        <f>773021/1000</f>
        <v>773.02099999999996</v>
      </c>
      <c r="I33" s="6" t="s">
        <v>6</v>
      </c>
      <c r="J33" s="6"/>
      <c r="K33" s="6" t="s">
        <v>58</v>
      </c>
      <c r="L33" s="6"/>
      <c r="M33" s="6"/>
      <c r="N33" s="6"/>
      <c r="O33" s="6"/>
      <c r="P33" s="6"/>
      <c r="Q33" s="6"/>
      <c r="R33" s="6"/>
      <c r="S33" s="6"/>
      <c r="T33" s="6" t="s">
        <v>220</v>
      </c>
    </row>
    <row r="34" spans="1:20" ht="12.75" hidden="1" x14ac:dyDescent="0.2">
      <c r="A34" s="6" t="s">
        <v>139</v>
      </c>
      <c r="B34" s="4" t="s">
        <v>130</v>
      </c>
      <c r="C34" s="6" t="s">
        <v>23</v>
      </c>
      <c r="D34" s="6" t="s">
        <v>23</v>
      </c>
      <c r="E34" s="6"/>
      <c r="F34" s="6" t="s">
        <v>16</v>
      </c>
      <c r="G34" s="21">
        <v>285</v>
      </c>
      <c r="H34" s="21">
        <f>164432/1000</f>
        <v>164.43199999999999</v>
      </c>
      <c r="I34" s="6" t="s">
        <v>6</v>
      </c>
      <c r="J34" s="6"/>
      <c r="K34" s="6" t="s">
        <v>20</v>
      </c>
      <c r="L34" s="6"/>
      <c r="M34" s="6"/>
      <c r="N34" s="6"/>
      <c r="O34" s="6"/>
      <c r="P34" s="6"/>
      <c r="Q34" s="6"/>
      <c r="R34" s="6"/>
      <c r="S34" s="6"/>
      <c r="T34" s="6" t="s">
        <v>221</v>
      </c>
    </row>
    <row r="35" spans="1:20" ht="12.75" hidden="1" x14ac:dyDescent="0.2">
      <c r="A35" s="6" t="s">
        <v>139</v>
      </c>
      <c r="B35" s="4">
        <v>1987</v>
      </c>
      <c r="C35" s="6" t="s">
        <v>66</v>
      </c>
      <c r="D35" s="6" t="s">
        <v>66</v>
      </c>
      <c r="E35" s="6"/>
      <c r="F35" s="6" t="s">
        <v>67</v>
      </c>
      <c r="G35" s="21">
        <v>125</v>
      </c>
      <c r="H35" s="21">
        <v>167</v>
      </c>
      <c r="I35" s="6" t="s">
        <v>17</v>
      </c>
      <c r="J35" s="6"/>
      <c r="K35" s="6" t="s">
        <v>67</v>
      </c>
      <c r="L35" s="6"/>
      <c r="M35" s="6"/>
      <c r="N35" s="6"/>
      <c r="O35" s="6"/>
      <c r="P35" s="6"/>
      <c r="Q35" s="6"/>
      <c r="R35" s="6"/>
      <c r="S35" s="6"/>
      <c r="T35" s="6"/>
    </row>
    <row r="36" spans="1:20" ht="12.75" hidden="1" x14ac:dyDescent="0.2">
      <c r="A36" s="4" t="s">
        <v>139</v>
      </c>
      <c r="B36" s="4" t="s">
        <v>138</v>
      </c>
      <c r="C36" s="5" t="s">
        <v>189</v>
      </c>
      <c r="D36" s="5" t="s">
        <v>189</v>
      </c>
      <c r="E36" s="5"/>
      <c r="F36" s="4" t="s">
        <v>190</v>
      </c>
      <c r="G36" s="21">
        <v>160</v>
      </c>
      <c r="H36" s="21">
        <v>876</v>
      </c>
      <c r="I36" s="6" t="s">
        <v>6</v>
      </c>
      <c r="J36" s="6"/>
      <c r="K36" s="4" t="s">
        <v>60</v>
      </c>
      <c r="L36" s="6"/>
      <c r="M36" s="6"/>
      <c r="N36" s="6"/>
      <c r="O36" s="6"/>
      <c r="P36" s="6"/>
      <c r="Q36" s="6"/>
      <c r="R36" s="6"/>
      <c r="S36" s="6"/>
      <c r="T36" s="6"/>
    </row>
    <row r="37" spans="1:20" ht="12.75" hidden="1" x14ac:dyDescent="0.2">
      <c r="A37" s="6" t="s">
        <v>139</v>
      </c>
      <c r="B37" s="4">
        <v>1991</v>
      </c>
      <c r="C37" s="6" t="s">
        <v>61</v>
      </c>
      <c r="D37" s="6" t="s">
        <v>61</v>
      </c>
      <c r="E37" s="6"/>
      <c r="F37" s="6" t="s">
        <v>118</v>
      </c>
      <c r="G37" s="21">
        <v>125</v>
      </c>
      <c r="H37" s="21">
        <f>386567/1000</f>
        <v>386.56700000000001</v>
      </c>
      <c r="I37" s="6" t="s">
        <v>6</v>
      </c>
      <c r="J37" s="6"/>
      <c r="K37" s="4" t="s">
        <v>60</v>
      </c>
      <c r="L37" s="6"/>
      <c r="M37" s="6"/>
      <c r="N37" s="6"/>
      <c r="O37" s="6"/>
      <c r="P37" s="6"/>
      <c r="Q37" s="6"/>
      <c r="R37" s="6"/>
      <c r="S37" s="6"/>
      <c r="T37" s="6"/>
    </row>
    <row r="38" spans="1:20" ht="12.75" hidden="1" x14ac:dyDescent="0.2">
      <c r="A38" s="6" t="s">
        <v>139</v>
      </c>
      <c r="B38" s="4">
        <v>2015</v>
      </c>
      <c r="C38" s="5" t="s">
        <v>32</v>
      </c>
      <c r="D38" s="5" t="s">
        <v>32</v>
      </c>
      <c r="E38" s="5"/>
      <c r="F38" s="4" t="s">
        <v>33</v>
      </c>
      <c r="G38" s="21">
        <v>167</v>
      </c>
      <c r="H38" s="21">
        <f>521200/1000</f>
        <v>521.20000000000005</v>
      </c>
      <c r="I38" s="6" t="s">
        <v>6</v>
      </c>
      <c r="J38" s="6"/>
      <c r="K38" s="4" t="s">
        <v>33</v>
      </c>
      <c r="L38" s="6"/>
      <c r="M38" s="6"/>
      <c r="N38" s="6"/>
      <c r="O38" s="6"/>
      <c r="P38" s="6"/>
      <c r="Q38" s="6"/>
      <c r="R38" s="6"/>
      <c r="S38" s="6"/>
      <c r="T38" s="6" t="s">
        <v>246</v>
      </c>
    </row>
    <row r="39" spans="1:20" ht="12.75" hidden="1" x14ac:dyDescent="0.2">
      <c r="A39" s="6" t="s">
        <v>139</v>
      </c>
      <c r="B39" s="4">
        <v>1988</v>
      </c>
      <c r="C39" s="6" t="s">
        <v>68</v>
      </c>
      <c r="D39" s="6" t="s">
        <v>68</v>
      </c>
      <c r="E39" s="6"/>
      <c r="F39" s="6" t="s">
        <v>68</v>
      </c>
      <c r="G39" s="21">
        <v>650</v>
      </c>
      <c r="H39" s="21">
        <f>799494/1000</f>
        <v>799.49400000000003</v>
      </c>
      <c r="I39" s="6" t="s">
        <v>6</v>
      </c>
      <c r="J39" s="6" t="s">
        <v>179</v>
      </c>
      <c r="K39" s="6" t="s">
        <v>68</v>
      </c>
      <c r="L39" s="6"/>
      <c r="M39" s="6"/>
      <c r="N39" s="6"/>
      <c r="O39" s="6"/>
      <c r="P39" s="6"/>
      <c r="Q39" s="6"/>
      <c r="R39" s="6"/>
      <c r="S39" s="6"/>
      <c r="T39" s="6" t="s">
        <v>222</v>
      </c>
    </row>
    <row r="40" spans="1:20" ht="12.75" hidden="1" x14ac:dyDescent="0.2">
      <c r="A40" s="6" t="s">
        <v>139</v>
      </c>
      <c r="B40" s="4">
        <v>1997</v>
      </c>
      <c r="C40" s="6" t="s">
        <v>30</v>
      </c>
      <c r="D40" s="6" t="s">
        <v>30</v>
      </c>
      <c r="E40" s="6"/>
      <c r="F40" s="6" t="s">
        <v>29</v>
      </c>
      <c r="G40" s="21">
        <v>6000</v>
      </c>
      <c r="H40" s="21">
        <f>15929397/1000</f>
        <v>15929.397000000001</v>
      </c>
      <c r="I40" s="6" t="s">
        <v>6</v>
      </c>
      <c r="J40" s="6" t="s">
        <v>180</v>
      </c>
      <c r="K40" s="6" t="s">
        <v>28</v>
      </c>
      <c r="L40" s="6"/>
      <c r="M40" s="6"/>
      <c r="N40" s="6"/>
      <c r="O40" s="6"/>
      <c r="P40" s="6"/>
      <c r="Q40" s="6"/>
      <c r="R40" s="6"/>
      <c r="S40" s="6"/>
      <c r="T40" s="6" t="s">
        <v>223</v>
      </c>
    </row>
    <row r="41" spans="1:20" ht="12.75" hidden="1" x14ac:dyDescent="0.2">
      <c r="A41" s="6" t="s">
        <v>139</v>
      </c>
      <c r="B41" s="4">
        <v>1955</v>
      </c>
      <c r="C41" s="6" t="s">
        <v>64</v>
      </c>
      <c r="D41" s="6" t="s">
        <v>64</v>
      </c>
      <c r="E41" s="6"/>
      <c r="F41" s="6" t="s">
        <v>63</v>
      </c>
      <c r="G41" s="21">
        <v>3900</v>
      </c>
      <c r="H41" s="21">
        <f>16075775/1000</f>
        <v>16075.775</v>
      </c>
      <c r="I41" s="6" t="s">
        <v>8</v>
      </c>
      <c r="J41" s="6"/>
      <c r="K41" s="6" t="s">
        <v>63</v>
      </c>
      <c r="L41" s="6"/>
      <c r="M41" s="6"/>
      <c r="N41" s="6"/>
      <c r="O41" s="6"/>
      <c r="P41" s="6"/>
      <c r="Q41" s="6"/>
      <c r="R41" s="6"/>
      <c r="S41" s="6"/>
      <c r="T41" s="6" t="s">
        <v>224</v>
      </c>
    </row>
    <row r="42" spans="1:20" ht="12.75" hidden="1" x14ac:dyDescent="0.2">
      <c r="A42" s="6" t="s">
        <v>139</v>
      </c>
      <c r="B42" s="4">
        <v>1914</v>
      </c>
      <c r="C42" s="6" t="s">
        <v>9</v>
      </c>
      <c r="D42" s="6" t="s">
        <v>9</v>
      </c>
      <c r="E42" s="6"/>
      <c r="F42" s="6" t="s">
        <v>4</v>
      </c>
      <c r="G42" s="21">
        <v>8500</v>
      </c>
      <c r="H42" s="21">
        <v>29500</v>
      </c>
      <c r="I42" s="6" t="s">
        <v>17</v>
      </c>
      <c r="J42" s="6" t="s">
        <v>181</v>
      </c>
      <c r="K42" s="6" t="s">
        <v>3</v>
      </c>
      <c r="L42" s="6"/>
      <c r="M42" s="6"/>
      <c r="N42" s="6"/>
      <c r="O42" s="6"/>
      <c r="P42" s="6"/>
      <c r="Q42" s="6"/>
      <c r="R42" s="6"/>
      <c r="S42" s="6"/>
      <c r="T42" s="6" t="s">
        <v>225</v>
      </c>
    </row>
    <row r="43" spans="1:20" ht="12.75" hidden="1" x14ac:dyDescent="0.2">
      <c r="A43" s="6" t="s">
        <v>139</v>
      </c>
      <c r="B43" s="4">
        <v>1975</v>
      </c>
      <c r="C43" s="6" t="s">
        <v>56</v>
      </c>
      <c r="D43" s="6" t="s">
        <v>56</v>
      </c>
      <c r="E43" s="6"/>
      <c r="F43" s="6" t="s">
        <v>54</v>
      </c>
      <c r="G43" s="21">
        <v>2100</v>
      </c>
      <c r="H43" s="21">
        <f>12461600/1000</f>
        <v>12461.6</v>
      </c>
      <c r="I43" s="6" t="s">
        <v>8</v>
      </c>
      <c r="J43" s="6"/>
      <c r="K43" s="6" t="s">
        <v>278</v>
      </c>
      <c r="L43" s="6"/>
      <c r="M43" s="6"/>
      <c r="N43" s="6"/>
      <c r="O43" s="6"/>
      <c r="P43" s="6"/>
      <c r="Q43" s="6"/>
      <c r="R43" s="6"/>
      <c r="S43" s="6"/>
      <c r="T43" s="6" t="s">
        <v>226</v>
      </c>
    </row>
    <row r="44" spans="1:20" ht="12.75" hidden="1" x14ac:dyDescent="0.2">
      <c r="A44" s="6" t="s">
        <v>139</v>
      </c>
      <c r="B44" s="4" t="s">
        <v>10</v>
      </c>
      <c r="C44" s="6" t="s">
        <v>11</v>
      </c>
      <c r="D44" s="6" t="s">
        <v>11</v>
      </c>
      <c r="E44" s="6"/>
      <c r="F44" s="6" t="s">
        <v>4</v>
      </c>
      <c r="G44" s="21">
        <v>78200</v>
      </c>
      <c r="H44" s="21">
        <v>295000</v>
      </c>
      <c r="I44" s="6" t="s">
        <v>8</v>
      </c>
      <c r="J44" s="6"/>
      <c r="K44" s="6" t="s">
        <v>3</v>
      </c>
      <c r="L44" s="6"/>
      <c r="M44" s="6"/>
      <c r="N44" s="6"/>
      <c r="O44" s="6"/>
      <c r="P44" s="6"/>
      <c r="Q44" s="6"/>
      <c r="R44" s="6"/>
      <c r="S44" s="6"/>
      <c r="T44" s="6" t="s">
        <v>227</v>
      </c>
    </row>
    <row r="45" spans="1:20" ht="12.75" hidden="1" x14ac:dyDescent="0.2">
      <c r="A45" s="6" t="s">
        <v>139</v>
      </c>
      <c r="B45" s="4">
        <v>1981</v>
      </c>
      <c r="C45" s="6" t="s">
        <v>36</v>
      </c>
      <c r="D45" s="6" t="s">
        <v>36</v>
      </c>
      <c r="E45" s="6"/>
      <c r="F45" s="6" t="s">
        <v>35</v>
      </c>
      <c r="G45" s="21">
        <v>12000</v>
      </c>
      <c r="H45" s="21">
        <v>45000</v>
      </c>
      <c r="I45" s="6" t="s">
        <v>17</v>
      </c>
      <c r="J45" s="6"/>
      <c r="K45" s="6" t="s">
        <v>37</v>
      </c>
      <c r="L45" s="6"/>
      <c r="M45" s="6"/>
      <c r="N45" s="6"/>
      <c r="O45" s="6"/>
      <c r="P45" s="6"/>
      <c r="Q45" s="6"/>
      <c r="R45" s="6"/>
      <c r="S45" s="6"/>
      <c r="T45" s="6" t="s">
        <v>228</v>
      </c>
    </row>
    <row r="46" spans="1:20" ht="12.75" hidden="1" x14ac:dyDescent="0.2">
      <c r="A46" s="6" t="s">
        <v>139</v>
      </c>
      <c r="B46" s="4">
        <v>2005</v>
      </c>
      <c r="C46" s="6" t="s">
        <v>24</v>
      </c>
      <c r="D46" s="6" t="s">
        <v>24</v>
      </c>
      <c r="E46" s="6"/>
      <c r="F46" s="6" t="s">
        <v>16</v>
      </c>
      <c r="G46" s="21">
        <v>2000</v>
      </c>
      <c r="H46" s="21">
        <f>5739704/1000</f>
        <v>5739.7039999999997</v>
      </c>
      <c r="I46" s="6" t="s">
        <v>6</v>
      </c>
      <c r="J46" s="6"/>
      <c r="K46" s="6" t="s">
        <v>15</v>
      </c>
      <c r="L46" s="6"/>
      <c r="M46" s="6"/>
      <c r="N46" s="6"/>
      <c r="O46" s="6"/>
      <c r="P46" s="6"/>
      <c r="Q46" s="6"/>
      <c r="R46" s="6"/>
      <c r="S46" s="6"/>
      <c r="T46" s="6" t="s">
        <v>229</v>
      </c>
    </row>
    <row r="47" spans="1:20" ht="12.75" hidden="1" x14ac:dyDescent="0.2">
      <c r="A47" s="6" t="s">
        <v>139</v>
      </c>
      <c r="B47" s="4">
        <v>2013</v>
      </c>
      <c r="C47" s="6" t="s">
        <v>59</v>
      </c>
      <c r="D47" s="6" t="s">
        <v>59</v>
      </c>
      <c r="E47" s="6"/>
      <c r="F47" s="6" t="s">
        <v>116</v>
      </c>
      <c r="G47" s="21">
        <v>1200</v>
      </c>
      <c r="H47" s="21">
        <f>3724910/1000</f>
        <v>3724.91</v>
      </c>
      <c r="I47" s="6" t="s">
        <v>6</v>
      </c>
      <c r="J47" s="6"/>
      <c r="K47" s="6" t="s">
        <v>60</v>
      </c>
      <c r="L47" s="6"/>
      <c r="M47" s="6"/>
      <c r="N47" s="6"/>
      <c r="O47" s="6"/>
      <c r="P47" s="6"/>
      <c r="Q47" s="6"/>
      <c r="R47" s="6"/>
      <c r="S47" s="6"/>
      <c r="T47" s="6" t="s">
        <v>248</v>
      </c>
    </row>
    <row r="48" spans="1:20" ht="12.75" hidden="1" x14ac:dyDescent="0.2">
      <c r="A48" s="6" t="s">
        <v>139</v>
      </c>
      <c r="B48" s="4">
        <v>1984</v>
      </c>
      <c r="C48" s="6" t="s">
        <v>70</v>
      </c>
      <c r="D48" s="6" t="s">
        <v>70</v>
      </c>
      <c r="E48" s="6"/>
      <c r="F48" s="6" t="s">
        <v>71</v>
      </c>
      <c r="G48" s="21">
        <v>22500</v>
      </c>
      <c r="H48" s="21">
        <v>76000</v>
      </c>
      <c r="I48" s="6" t="s">
        <v>17</v>
      </c>
      <c r="J48" s="6"/>
      <c r="K48" s="6" t="s">
        <v>278</v>
      </c>
      <c r="L48" s="6"/>
      <c r="M48" s="6"/>
      <c r="N48" s="6"/>
      <c r="O48" s="6"/>
      <c r="P48" s="6"/>
      <c r="Q48" s="6"/>
      <c r="R48" s="6"/>
      <c r="S48" s="6"/>
      <c r="T48" s="6" t="s">
        <v>230</v>
      </c>
    </row>
    <row r="49" spans="1:20" ht="12.75" hidden="1" x14ac:dyDescent="0.2">
      <c r="A49" s="6" t="s">
        <v>139</v>
      </c>
      <c r="B49" s="4">
        <v>1998</v>
      </c>
      <c r="C49" s="6" t="s">
        <v>40</v>
      </c>
      <c r="D49" s="6" t="s">
        <v>40</v>
      </c>
      <c r="E49" s="6"/>
      <c r="F49" s="6" t="s">
        <v>42</v>
      </c>
      <c r="G49" s="21">
        <v>824</v>
      </c>
      <c r="H49" s="21">
        <f>4048161/1000</f>
        <v>4048.1610000000001</v>
      </c>
      <c r="I49" s="6" t="s">
        <v>6</v>
      </c>
      <c r="J49" s="6"/>
      <c r="K49" s="6" t="s">
        <v>41</v>
      </c>
      <c r="L49" s="6"/>
      <c r="M49" s="6"/>
      <c r="N49" s="6"/>
      <c r="O49" s="6"/>
      <c r="P49" s="6"/>
      <c r="Q49" s="6"/>
      <c r="R49" s="6"/>
      <c r="S49" s="6"/>
      <c r="T49" s="6" t="s">
        <v>231</v>
      </c>
    </row>
    <row r="50" spans="1:20" ht="12.75" hidden="1" x14ac:dyDescent="0.2">
      <c r="A50" s="6" t="s">
        <v>139</v>
      </c>
      <c r="B50" s="4">
        <v>1985</v>
      </c>
      <c r="C50" s="6" t="s">
        <v>47</v>
      </c>
      <c r="D50" s="6" t="s">
        <v>47</v>
      </c>
      <c r="E50" s="6"/>
      <c r="F50" s="6" t="s">
        <v>49</v>
      </c>
      <c r="G50" s="21">
        <v>20000</v>
      </c>
      <c r="H50" s="21">
        <v>135000</v>
      </c>
      <c r="I50" s="6" t="s">
        <v>8</v>
      </c>
      <c r="J50" s="6" t="s">
        <v>185</v>
      </c>
      <c r="K50" s="6" t="s">
        <v>48</v>
      </c>
      <c r="L50" s="6"/>
      <c r="M50" s="6"/>
      <c r="N50" s="6"/>
      <c r="O50" s="6"/>
      <c r="P50" s="6"/>
      <c r="Q50" s="6"/>
      <c r="R50" s="6"/>
      <c r="S50" s="6"/>
      <c r="T50" s="6" t="s">
        <v>232</v>
      </c>
    </row>
    <row r="51" spans="1:20" ht="12.75" hidden="1" x14ac:dyDescent="0.2">
      <c r="A51" s="6" t="s">
        <v>139</v>
      </c>
      <c r="B51" s="4">
        <v>2014</v>
      </c>
      <c r="C51" s="6" t="s">
        <v>47</v>
      </c>
      <c r="D51" s="6" t="s">
        <v>233</v>
      </c>
      <c r="E51" s="6"/>
      <c r="F51" s="6" t="s">
        <v>49</v>
      </c>
      <c r="G51" s="21">
        <v>14000</v>
      </c>
      <c r="H51" s="21">
        <v>0</v>
      </c>
      <c r="I51" s="6" t="s">
        <v>8</v>
      </c>
      <c r="J51" s="6" t="s">
        <v>185</v>
      </c>
      <c r="K51" s="6" t="s">
        <v>48</v>
      </c>
      <c r="L51" s="6"/>
      <c r="M51" s="6"/>
      <c r="N51" s="6"/>
      <c r="O51" s="6"/>
      <c r="P51" s="6"/>
      <c r="Q51" s="6"/>
      <c r="R51" s="6"/>
      <c r="S51" s="6"/>
      <c r="T51" s="6" t="s">
        <v>234</v>
      </c>
    </row>
    <row r="52" spans="1:20" ht="12.75" x14ac:dyDescent="0.2">
      <c r="A52" s="6" t="s">
        <v>139</v>
      </c>
      <c r="B52" s="4">
        <v>1993</v>
      </c>
      <c r="C52" s="6" t="s">
        <v>12</v>
      </c>
      <c r="D52" s="6" t="s">
        <v>12</v>
      </c>
      <c r="E52" s="6"/>
      <c r="F52" s="6" t="s">
        <v>13</v>
      </c>
      <c r="G52" s="21">
        <v>105</v>
      </c>
      <c r="H52" s="21">
        <f>312652/1000</f>
        <v>312.65199999999999</v>
      </c>
      <c r="I52" s="6" t="s">
        <v>6</v>
      </c>
      <c r="J52" s="6"/>
      <c r="K52" s="6" t="s">
        <v>13</v>
      </c>
      <c r="L52" s="6"/>
      <c r="M52" s="6"/>
      <c r="N52" s="6"/>
      <c r="O52" s="6"/>
      <c r="P52" s="6"/>
      <c r="Q52" s="6"/>
      <c r="R52" s="6"/>
      <c r="S52" s="6"/>
      <c r="T52" s="6" t="s">
        <v>235</v>
      </c>
    </row>
    <row r="53" spans="1:20" ht="12.75" hidden="1" x14ac:dyDescent="0.2">
      <c r="A53" s="6" t="s">
        <v>139</v>
      </c>
      <c r="B53" s="4">
        <v>1984</v>
      </c>
      <c r="C53" s="6" t="s">
        <v>72</v>
      </c>
      <c r="D53" s="6" t="s">
        <v>72</v>
      </c>
      <c r="E53" s="6"/>
      <c r="F53" s="6" t="s">
        <v>71</v>
      </c>
      <c r="G53" s="21">
        <v>22500</v>
      </c>
      <c r="H53" s="21">
        <v>125000</v>
      </c>
      <c r="I53" s="6" t="s">
        <v>8</v>
      </c>
      <c r="J53" s="6" t="s">
        <v>186</v>
      </c>
      <c r="K53" s="6" t="s">
        <v>278</v>
      </c>
      <c r="L53" s="6"/>
      <c r="M53" s="6"/>
      <c r="N53" s="6"/>
      <c r="O53" s="6"/>
      <c r="P53" s="6"/>
      <c r="Q53" s="6"/>
      <c r="R53" s="6"/>
      <c r="S53" s="6"/>
      <c r="T53" s="6" t="s">
        <v>236</v>
      </c>
    </row>
    <row r="54" spans="1:20" ht="12.75" hidden="1" x14ac:dyDescent="0.2">
      <c r="A54" s="6" t="s">
        <v>139</v>
      </c>
      <c r="B54" s="4">
        <v>2014</v>
      </c>
      <c r="C54" s="6" t="s">
        <v>57</v>
      </c>
      <c r="D54" s="6" t="s">
        <v>57</v>
      </c>
      <c r="E54" s="6"/>
      <c r="F54" s="6" t="s">
        <v>54</v>
      </c>
      <c r="G54" s="21">
        <v>4600</v>
      </c>
      <c r="H54" s="21">
        <v>16000</v>
      </c>
      <c r="I54" s="6" t="s">
        <v>17</v>
      </c>
      <c r="J54" s="6" t="s">
        <v>188</v>
      </c>
      <c r="K54" s="6" t="s">
        <v>278</v>
      </c>
      <c r="L54" s="6"/>
      <c r="M54" s="6"/>
      <c r="N54" s="6"/>
      <c r="O54" s="6"/>
      <c r="P54" s="6"/>
      <c r="Q54" s="6"/>
      <c r="R54" s="6"/>
      <c r="S54" s="6"/>
      <c r="T54" s="6" t="s">
        <v>251</v>
      </c>
    </row>
    <row r="55" spans="1:20" ht="12.75" hidden="1" x14ac:dyDescent="0.2">
      <c r="A55" s="4" t="s">
        <v>191</v>
      </c>
      <c r="B55" s="4"/>
      <c r="C55" s="5" t="s">
        <v>34</v>
      </c>
      <c r="D55" s="5" t="s">
        <v>34</v>
      </c>
      <c r="E55" s="5"/>
      <c r="F55" s="4" t="s">
        <v>35</v>
      </c>
      <c r="G55" s="21">
        <v>6500</v>
      </c>
      <c r="H55" s="21">
        <f>15056617/1000</f>
        <v>15056.617</v>
      </c>
      <c r="I55" s="6" t="s">
        <v>6</v>
      </c>
      <c r="J55" s="6" t="s">
        <v>159</v>
      </c>
      <c r="K55" s="4" t="s">
        <v>37</v>
      </c>
      <c r="L55" s="6"/>
      <c r="M55" s="6"/>
      <c r="N55" s="6"/>
      <c r="O55" s="6"/>
      <c r="P55" s="6"/>
      <c r="Q55" s="6"/>
      <c r="R55" s="6"/>
      <c r="S55" s="6"/>
      <c r="T55" s="6" t="s">
        <v>241</v>
      </c>
    </row>
    <row r="56" spans="1:20" ht="25.5" hidden="1" x14ac:dyDescent="0.2">
      <c r="A56" s="4" t="s">
        <v>191</v>
      </c>
      <c r="B56" s="4"/>
      <c r="C56" s="5" t="s">
        <v>148</v>
      </c>
      <c r="D56" s="5" t="s">
        <v>148</v>
      </c>
      <c r="E56" s="5"/>
      <c r="F56" s="4" t="s">
        <v>16</v>
      </c>
      <c r="G56" s="21">
        <v>4775</v>
      </c>
      <c r="H56" s="21">
        <v>25250</v>
      </c>
      <c r="I56" s="6" t="s">
        <v>17</v>
      </c>
      <c r="J56" s="6" t="s">
        <v>187</v>
      </c>
      <c r="K56" s="4" t="s">
        <v>269</v>
      </c>
      <c r="L56" s="6"/>
      <c r="M56" s="6"/>
      <c r="N56" s="6"/>
      <c r="O56" s="6"/>
      <c r="P56" s="6"/>
      <c r="Q56" s="6"/>
      <c r="R56" s="6"/>
      <c r="S56" s="6" t="s">
        <v>149</v>
      </c>
      <c r="T56" s="6" t="s">
        <v>247</v>
      </c>
    </row>
    <row r="57" spans="1:20" ht="12.75" hidden="1" x14ac:dyDescent="0.2">
      <c r="A57" s="4" t="s">
        <v>191</v>
      </c>
      <c r="B57" s="4"/>
      <c r="C57" s="5" t="s">
        <v>79</v>
      </c>
      <c r="D57" s="5" t="s">
        <v>79</v>
      </c>
      <c r="E57" s="5"/>
      <c r="F57" s="4" t="s">
        <v>80</v>
      </c>
      <c r="G57" s="21">
        <v>180</v>
      </c>
      <c r="H57" s="21">
        <v>1169</v>
      </c>
      <c r="I57" s="6" t="s">
        <v>6</v>
      </c>
      <c r="J57" s="6"/>
      <c r="K57" s="4" t="s">
        <v>80</v>
      </c>
      <c r="L57" s="6"/>
      <c r="M57" s="6"/>
      <c r="N57" s="6"/>
      <c r="O57" s="6"/>
      <c r="P57" s="6"/>
      <c r="Q57" s="6"/>
      <c r="R57" s="6"/>
      <c r="S57" s="6"/>
      <c r="T57" s="6" t="s">
        <v>244</v>
      </c>
    </row>
    <row r="58" spans="1:20" ht="12.75" hidden="1" x14ac:dyDescent="0.2">
      <c r="A58" s="17" t="s">
        <v>193</v>
      </c>
      <c r="B58" s="17"/>
      <c r="C58" s="6" t="s">
        <v>73</v>
      </c>
      <c r="D58" s="5" t="s">
        <v>203</v>
      </c>
      <c r="E58" s="5"/>
      <c r="F58" s="4" t="s">
        <v>122</v>
      </c>
      <c r="G58" s="21">
        <v>0</v>
      </c>
      <c r="H58" s="21">
        <v>37000</v>
      </c>
      <c r="I58" s="6" t="s">
        <v>125</v>
      </c>
      <c r="J58" s="6"/>
      <c r="K58" s="4" t="s">
        <v>60</v>
      </c>
      <c r="L58" s="6"/>
      <c r="M58" s="6"/>
      <c r="N58" s="6"/>
      <c r="O58" s="6"/>
      <c r="P58" s="6"/>
      <c r="Q58" s="6"/>
      <c r="R58" s="6"/>
      <c r="S58" s="6"/>
      <c r="T58" s="6" t="s">
        <v>204</v>
      </c>
    </row>
    <row r="59" spans="1:20" ht="12.75" hidden="1" x14ac:dyDescent="0.2">
      <c r="A59" s="17" t="s">
        <v>193</v>
      </c>
      <c r="B59" s="4"/>
      <c r="C59" s="5" t="s">
        <v>110</v>
      </c>
      <c r="D59" s="5" t="s">
        <v>110</v>
      </c>
      <c r="E59" s="5"/>
      <c r="F59" s="4" t="s">
        <v>109</v>
      </c>
      <c r="G59" s="21">
        <v>61</v>
      </c>
      <c r="H59" s="21">
        <v>370</v>
      </c>
      <c r="I59" s="6" t="s">
        <v>6</v>
      </c>
      <c r="J59" s="6"/>
      <c r="K59" s="4" t="s">
        <v>85</v>
      </c>
      <c r="L59" s="6"/>
      <c r="M59" s="6"/>
      <c r="N59" s="6"/>
      <c r="O59" s="6"/>
      <c r="P59" s="6"/>
      <c r="Q59" s="6"/>
      <c r="R59" s="6"/>
      <c r="S59" s="6"/>
      <c r="T59" s="6"/>
    </row>
    <row r="60" spans="1:20" ht="12.75" hidden="1" x14ac:dyDescent="0.2">
      <c r="A60" s="17" t="s">
        <v>193</v>
      </c>
      <c r="B60" s="17"/>
      <c r="C60" s="5" t="s">
        <v>105</v>
      </c>
      <c r="D60" s="5" t="s">
        <v>105</v>
      </c>
      <c r="E60" s="5"/>
      <c r="F60" s="4" t="s">
        <v>100</v>
      </c>
      <c r="G60" s="21">
        <v>140</v>
      </c>
      <c r="H60" s="21">
        <v>614</v>
      </c>
      <c r="I60" s="6" t="s">
        <v>120</v>
      </c>
      <c r="J60" s="6"/>
      <c r="K60" s="4" t="s">
        <v>99</v>
      </c>
      <c r="L60" s="6"/>
      <c r="M60" s="6"/>
      <c r="N60" s="6"/>
      <c r="O60" s="6"/>
      <c r="P60" s="6"/>
      <c r="Q60" s="6"/>
      <c r="R60" s="6"/>
      <c r="S60" s="6"/>
      <c r="T60" s="6"/>
    </row>
    <row r="61" spans="1:20" ht="12.75" hidden="1" x14ac:dyDescent="0.2">
      <c r="A61" s="17" t="s">
        <v>193</v>
      </c>
      <c r="B61" s="4"/>
      <c r="C61" s="5" t="s">
        <v>83</v>
      </c>
      <c r="D61" s="5" t="s">
        <v>83</v>
      </c>
      <c r="E61" s="5"/>
      <c r="F61" s="4" t="s">
        <v>115</v>
      </c>
      <c r="G61" s="21">
        <v>2000</v>
      </c>
      <c r="H61" s="21">
        <v>7429</v>
      </c>
      <c r="I61" s="6" t="s">
        <v>6</v>
      </c>
      <c r="J61" s="6"/>
      <c r="K61" s="4" t="s">
        <v>60</v>
      </c>
      <c r="L61" s="6"/>
      <c r="M61" s="6"/>
      <c r="N61" s="6"/>
      <c r="O61" s="6"/>
      <c r="P61" s="6"/>
      <c r="Q61" s="6"/>
      <c r="R61" s="6"/>
      <c r="S61" s="6"/>
      <c r="T61" s="6"/>
    </row>
    <row r="62" spans="1:20" ht="12.75" hidden="1" x14ac:dyDescent="0.2">
      <c r="A62" s="17" t="s">
        <v>193</v>
      </c>
      <c r="B62" s="17"/>
      <c r="C62" s="5" t="s">
        <v>84</v>
      </c>
      <c r="D62" s="5" t="s">
        <v>84</v>
      </c>
      <c r="E62" s="5"/>
      <c r="F62" s="4" t="s">
        <v>86</v>
      </c>
      <c r="G62" s="21">
        <v>300</v>
      </c>
      <c r="H62" s="21">
        <v>2000</v>
      </c>
      <c r="I62" s="6" t="s">
        <v>6</v>
      </c>
      <c r="J62" s="6"/>
      <c r="K62" s="4" t="s">
        <v>87</v>
      </c>
      <c r="L62" s="6"/>
      <c r="M62" s="6"/>
      <c r="N62" s="6"/>
      <c r="O62" s="6"/>
      <c r="P62" s="6"/>
      <c r="Q62" s="6"/>
      <c r="R62" s="6"/>
      <c r="S62" s="6"/>
      <c r="T62" s="6" t="s">
        <v>242</v>
      </c>
    </row>
    <row r="63" spans="1:20" ht="12.75" hidden="1" x14ac:dyDescent="0.2">
      <c r="A63" s="17" t="s">
        <v>193</v>
      </c>
      <c r="B63" s="17"/>
      <c r="C63" s="5" t="s">
        <v>88</v>
      </c>
      <c r="D63" s="5" t="s">
        <v>88</v>
      </c>
      <c r="E63" s="5"/>
      <c r="F63" s="4" t="s">
        <v>106</v>
      </c>
      <c r="G63" s="21">
        <v>150</v>
      </c>
      <c r="H63" s="21">
        <f>174100/1000</f>
        <v>174.1</v>
      </c>
      <c r="I63" s="6" t="s">
        <v>6</v>
      </c>
      <c r="J63" s="6"/>
      <c r="K63" s="4" t="s">
        <v>106</v>
      </c>
      <c r="L63" s="6"/>
      <c r="M63" s="6"/>
      <c r="N63" s="6"/>
      <c r="O63" s="6"/>
      <c r="P63" s="6"/>
      <c r="Q63" s="6"/>
      <c r="R63" s="6"/>
      <c r="S63" s="6"/>
      <c r="T63" s="6"/>
    </row>
    <row r="64" spans="1:20" ht="12.75" hidden="1" x14ac:dyDescent="0.2">
      <c r="A64" s="6" t="s">
        <v>193</v>
      </c>
      <c r="B64" s="4"/>
      <c r="C64" s="6" t="s">
        <v>238</v>
      </c>
      <c r="D64" s="6" t="s">
        <v>238</v>
      </c>
      <c r="E64" s="6"/>
      <c r="F64" s="6" t="s">
        <v>256</v>
      </c>
      <c r="G64" s="21">
        <v>9600</v>
      </c>
      <c r="H64" s="21">
        <v>46000</v>
      </c>
      <c r="I64" s="6" t="s">
        <v>17</v>
      </c>
      <c r="J64" s="6" t="s">
        <v>178</v>
      </c>
      <c r="K64" s="6" t="s">
        <v>278</v>
      </c>
      <c r="L64" s="6"/>
      <c r="M64" s="6"/>
      <c r="N64" s="6"/>
      <c r="O64" s="6"/>
      <c r="P64" s="6"/>
      <c r="Q64" s="6"/>
      <c r="R64" s="6"/>
      <c r="S64" s="6"/>
      <c r="T64" s="6" t="s">
        <v>245</v>
      </c>
    </row>
    <row r="65" spans="1:20" ht="12.75" hidden="1" x14ac:dyDescent="0.2">
      <c r="A65" s="17" t="s">
        <v>193</v>
      </c>
      <c r="B65" s="4"/>
      <c r="C65" s="6" t="s">
        <v>70</v>
      </c>
      <c r="D65" s="5" t="s">
        <v>126</v>
      </c>
      <c r="E65" s="5"/>
      <c r="F65" s="4" t="s">
        <v>71</v>
      </c>
      <c r="G65" s="21">
        <v>0</v>
      </c>
      <c r="H65" s="21">
        <v>7500</v>
      </c>
      <c r="I65" s="6" t="s">
        <v>74</v>
      </c>
      <c r="J65" s="6"/>
      <c r="K65" s="6" t="s">
        <v>278</v>
      </c>
      <c r="L65" s="6"/>
      <c r="M65" s="6"/>
      <c r="N65" s="6"/>
      <c r="O65" s="6"/>
      <c r="P65" s="6"/>
      <c r="Q65" s="6"/>
      <c r="R65" s="6"/>
      <c r="S65" s="6"/>
      <c r="T65" s="6"/>
    </row>
    <row r="66" spans="1:20" ht="12.75" hidden="1" x14ac:dyDescent="0.2">
      <c r="A66" s="17" t="s">
        <v>193</v>
      </c>
      <c r="B66" s="17"/>
      <c r="C66" s="5" t="s">
        <v>52</v>
      </c>
      <c r="D66" s="5" t="s">
        <v>52</v>
      </c>
      <c r="E66" s="5"/>
      <c r="F66" s="4" t="s">
        <v>51</v>
      </c>
      <c r="G66" s="21">
        <v>350</v>
      </c>
      <c r="H66" s="21">
        <v>1167</v>
      </c>
      <c r="I66" s="6" t="s">
        <v>6</v>
      </c>
      <c r="J66" s="6" t="s">
        <v>183</v>
      </c>
      <c r="K66" s="4" t="s">
        <v>51</v>
      </c>
      <c r="L66" s="6"/>
      <c r="M66" s="6"/>
      <c r="N66" s="6"/>
      <c r="O66" s="6"/>
      <c r="P66" s="6"/>
      <c r="Q66" s="6"/>
      <c r="R66" s="6"/>
      <c r="S66" s="6"/>
      <c r="T66" s="6" t="s">
        <v>250</v>
      </c>
    </row>
    <row r="67" spans="1:20" ht="12.75" hidden="1" x14ac:dyDescent="0.2">
      <c r="A67" s="17" t="s">
        <v>193</v>
      </c>
      <c r="B67" s="4"/>
      <c r="C67" s="5" t="s">
        <v>94</v>
      </c>
      <c r="D67" s="5" t="s">
        <v>94</v>
      </c>
      <c r="E67" s="5"/>
      <c r="F67" s="4" t="s">
        <v>95</v>
      </c>
      <c r="G67" s="21">
        <v>1500</v>
      </c>
      <c r="H67" s="21">
        <v>3440</v>
      </c>
      <c r="I67" s="6" t="s">
        <v>6</v>
      </c>
      <c r="J67" s="6" t="s">
        <v>184</v>
      </c>
      <c r="K67" s="4" t="s">
        <v>37</v>
      </c>
      <c r="L67" s="6"/>
      <c r="M67" s="6"/>
      <c r="N67" s="6"/>
      <c r="O67" s="6"/>
      <c r="P67" s="6"/>
      <c r="Q67" s="6"/>
      <c r="R67" s="6"/>
      <c r="S67" s="6"/>
      <c r="T67" s="6"/>
    </row>
    <row r="68" spans="1:20" ht="12.75" hidden="1" x14ac:dyDescent="0.2">
      <c r="A68" s="6" t="s">
        <v>192</v>
      </c>
      <c r="B68" s="4"/>
      <c r="C68" s="6" t="s">
        <v>108</v>
      </c>
      <c r="D68" s="5" t="s">
        <v>290</v>
      </c>
      <c r="E68" s="5"/>
      <c r="F68" s="6" t="s">
        <v>31</v>
      </c>
      <c r="G68" s="21">
        <f>-G15</f>
        <v>-60</v>
      </c>
      <c r="H68" s="21">
        <f>-H15</f>
        <v>-300</v>
      </c>
      <c r="I68" s="32" t="str">
        <f>I15</f>
        <v>storage</v>
      </c>
      <c r="J68" s="6" t="s">
        <v>166</v>
      </c>
      <c r="K68" s="6" t="s">
        <v>31</v>
      </c>
      <c r="L68" s="6"/>
      <c r="M68" s="6"/>
      <c r="N68" s="6"/>
      <c r="O68" s="6"/>
      <c r="P68" s="6"/>
      <c r="Q68" s="6"/>
      <c r="R68" s="6"/>
      <c r="S68" s="6"/>
      <c r="T68" s="6"/>
    </row>
    <row r="69" spans="1:20" ht="12.75" hidden="1" x14ac:dyDescent="0.2">
      <c r="A69" s="6" t="s">
        <v>192</v>
      </c>
      <c r="B69" s="4"/>
      <c r="C69" s="6" t="s">
        <v>108</v>
      </c>
      <c r="D69" s="6" t="s">
        <v>142</v>
      </c>
      <c r="E69" s="6"/>
      <c r="F69" s="6" t="s">
        <v>31</v>
      </c>
      <c r="G69" s="21">
        <v>385</v>
      </c>
      <c r="H69" s="21">
        <v>2140</v>
      </c>
      <c r="I69" s="6" t="s">
        <v>291</v>
      </c>
      <c r="J69" s="6" t="s">
        <v>166</v>
      </c>
      <c r="K69" s="6" t="s">
        <v>31</v>
      </c>
      <c r="L69" s="6"/>
      <c r="M69" s="6"/>
      <c r="N69" s="6"/>
      <c r="O69" s="6"/>
      <c r="P69" s="6"/>
      <c r="Q69" s="6"/>
      <c r="R69" s="6"/>
      <c r="S69" s="6"/>
      <c r="T69" s="6"/>
    </row>
    <row r="70" spans="1:20" ht="12.75" hidden="1" x14ac:dyDescent="0.2">
      <c r="A70" s="6" t="s">
        <v>192</v>
      </c>
      <c r="B70" s="28"/>
      <c r="C70" s="29" t="s">
        <v>28</v>
      </c>
      <c r="D70" s="27" t="s">
        <v>284</v>
      </c>
      <c r="E70" s="27"/>
      <c r="F70" s="27" t="s">
        <v>29</v>
      </c>
      <c r="G70" s="30">
        <v>500</v>
      </c>
      <c r="H70" s="30">
        <v>2250</v>
      </c>
      <c r="I70" s="27" t="s">
        <v>17</v>
      </c>
      <c r="J70" s="27"/>
      <c r="K70" s="28" t="s">
        <v>28</v>
      </c>
      <c r="L70" s="27"/>
      <c r="M70" s="27"/>
      <c r="N70" s="27"/>
      <c r="O70" s="27"/>
      <c r="P70" s="27"/>
      <c r="Q70" s="27"/>
      <c r="R70" s="27"/>
      <c r="S70" s="27"/>
      <c r="T70" s="27"/>
    </row>
    <row r="71" spans="1:20" ht="12.75" hidden="1" x14ac:dyDescent="0.2">
      <c r="A71" s="6" t="s">
        <v>192</v>
      </c>
      <c r="B71" s="4"/>
      <c r="C71" s="6" t="s">
        <v>258</v>
      </c>
      <c r="D71" s="6" t="s">
        <v>258</v>
      </c>
      <c r="E71" s="6"/>
      <c r="F71" s="6" t="s">
        <v>270</v>
      </c>
      <c r="G71" s="21">
        <v>12700</v>
      </c>
      <c r="H71" s="21">
        <v>55000</v>
      </c>
      <c r="I71" s="6" t="s">
        <v>6</v>
      </c>
      <c r="J71" s="6" t="s">
        <v>271</v>
      </c>
      <c r="K71" s="4" t="s">
        <v>263</v>
      </c>
      <c r="L71" s="6"/>
      <c r="M71" s="6"/>
      <c r="N71" s="6"/>
      <c r="O71" s="6"/>
      <c r="P71" s="6"/>
      <c r="Q71" s="6"/>
      <c r="R71" s="6"/>
      <c r="S71" s="6"/>
      <c r="T71" s="6"/>
    </row>
    <row r="72" spans="1:20" ht="12.75" hidden="1" x14ac:dyDescent="0.2">
      <c r="A72" s="6" t="s">
        <v>192</v>
      </c>
      <c r="B72" s="4"/>
      <c r="C72" s="5" t="s">
        <v>104</v>
      </c>
      <c r="D72" s="5" t="s">
        <v>104</v>
      </c>
      <c r="E72" s="5"/>
      <c r="F72" s="4" t="s">
        <v>113</v>
      </c>
      <c r="G72" s="21">
        <v>5000</v>
      </c>
      <c r="H72" s="21">
        <v>19700</v>
      </c>
      <c r="I72" s="6" t="s">
        <v>6</v>
      </c>
      <c r="J72" s="6"/>
      <c r="K72" s="4" t="s">
        <v>60</v>
      </c>
      <c r="L72" s="6"/>
      <c r="M72" s="6"/>
      <c r="N72" s="6"/>
      <c r="O72" s="6"/>
      <c r="P72" s="6"/>
      <c r="Q72" s="6"/>
      <c r="R72" s="6"/>
      <c r="S72" s="6"/>
      <c r="T72" s="6"/>
    </row>
    <row r="73" spans="1:20" ht="12.75" hidden="1" x14ac:dyDescent="0.2">
      <c r="A73" s="6" t="s">
        <v>192</v>
      </c>
      <c r="B73" s="17"/>
      <c r="C73" s="5" t="s">
        <v>102</v>
      </c>
      <c r="D73" s="5" t="s">
        <v>102</v>
      </c>
      <c r="E73" s="5"/>
      <c r="F73" s="4" t="s">
        <v>44</v>
      </c>
      <c r="G73" s="21">
        <v>500</v>
      </c>
      <c r="H73" s="21">
        <v>1620</v>
      </c>
      <c r="I73" s="6" t="s">
        <v>17</v>
      </c>
      <c r="J73" s="6"/>
      <c r="K73" s="4" t="s">
        <v>111</v>
      </c>
      <c r="L73" s="6"/>
      <c r="M73" s="6"/>
      <c r="N73" s="6"/>
      <c r="O73" s="6"/>
      <c r="P73" s="6"/>
      <c r="Q73" s="6"/>
      <c r="R73" s="6"/>
      <c r="S73" s="6"/>
      <c r="T73" s="6"/>
    </row>
    <row r="74" spans="1:20" ht="12.75" hidden="1" x14ac:dyDescent="0.2">
      <c r="A74" s="6" t="s">
        <v>192</v>
      </c>
      <c r="B74" s="4"/>
      <c r="C74" s="5" t="s">
        <v>91</v>
      </c>
      <c r="D74" s="5" t="s">
        <v>91</v>
      </c>
      <c r="E74" s="5"/>
      <c r="F74" s="4" t="s">
        <v>112</v>
      </c>
      <c r="G74" s="21">
        <v>690</v>
      </c>
      <c r="H74" s="21">
        <v>5410</v>
      </c>
      <c r="I74" s="6" t="s">
        <v>6</v>
      </c>
      <c r="J74" s="6"/>
      <c r="K74" s="4" t="s">
        <v>92</v>
      </c>
      <c r="L74" s="6"/>
      <c r="M74" s="6"/>
      <c r="N74" s="6"/>
      <c r="O74" s="6"/>
      <c r="P74" s="6"/>
      <c r="Q74" s="6"/>
      <c r="R74" s="6"/>
      <c r="S74" s="6"/>
      <c r="T74" s="6"/>
    </row>
    <row r="75" spans="1:20" ht="12.75" hidden="1" x14ac:dyDescent="0.2">
      <c r="A75" s="6" t="s">
        <v>192</v>
      </c>
      <c r="B75" s="17"/>
      <c r="C75" s="5" t="s">
        <v>82</v>
      </c>
      <c r="D75" s="5" t="s">
        <v>82</v>
      </c>
      <c r="E75" s="5"/>
      <c r="F75" s="4" t="s">
        <v>112</v>
      </c>
      <c r="G75" s="21">
        <v>262</v>
      </c>
      <c r="H75" s="21">
        <v>2300</v>
      </c>
      <c r="I75" s="6" t="s">
        <v>6</v>
      </c>
      <c r="J75" s="6"/>
      <c r="K75" s="4" t="s">
        <v>82</v>
      </c>
      <c r="L75" s="6"/>
      <c r="M75" s="6"/>
      <c r="N75" s="6"/>
      <c r="O75" s="6"/>
      <c r="P75" s="6"/>
      <c r="Q75" s="6"/>
      <c r="R75" s="6"/>
      <c r="S75" s="6"/>
      <c r="T75" s="6"/>
    </row>
    <row r="76" spans="1:20" ht="12.75" hidden="1" x14ac:dyDescent="0.2">
      <c r="A76" s="6" t="s">
        <v>192</v>
      </c>
      <c r="B76" s="17"/>
      <c r="C76" s="5" t="s">
        <v>89</v>
      </c>
      <c r="D76" s="5" t="s">
        <v>89</v>
      </c>
      <c r="E76" s="5"/>
      <c r="F76" s="4" t="s">
        <v>107</v>
      </c>
      <c r="G76" s="21">
        <v>188</v>
      </c>
      <c r="H76" s="21">
        <f>756</f>
        <v>756</v>
      </c>
      <c r="I76" s="6" t="s">
        <v>6</v>
      </c>
      <c r="J76" s="6"/>
      <c r="K76" s="4" t="s">
        <v>107</v>
      </c>
      <c r="L76" s="6"/>
      <c r="M76" s="6"/>
      <c r="N76" s="6"/>
      <c r="O76" s="6"/>
      <c r="P76" s="6"/>
      <c r="Q76" s="6"/>
      <c r="R76" s="6"/>
      <c r="S76" s="6"/>
      <c r="T76" s="6"/>
    </row>
    <row r="77" spans="1:20" ht="12.75" hidden="1" x14ac:dyDescent="0.2">
      <c r="A77" s="6" t="s">
        <v>192</v>
      </c>
      <c r="B77" s="17"/>
      <c r="C77" s="5" t="s">
        <v>93</v>
      </c>
      <c r="D77" s="5" t="s">
        <v>93</v>
      </c>
      <c r="E77" s="5"/>
      <c r="F77" s="4" t="s">
        <v>122</v>
      </c>
      <c r="G77" s="21">
        <v>600000</v>
      </c>
      <c r="H77" s="21">
        <v>2800000</v>
      </c>
      <c r="I77" s="6" t="s">
        <v>17</v>
      </c>
      <c r="J77" s="6"/>
      <c r="K77" s="4" t="s">
        <v>60</v>
      </c>
      <c r="L77" s="6"/>
      <c r="M77" s="6"/>
      <c r="N77" s="6"/>
      <c r="O77" s="6"/>
      <c r="P77" s="6"/>
      <c r="Q77" s="6"/>
      <c r="R77" s="6"/>
      <c r="S77" s="6"/>
      <c r="T77" s="6"/>
    </row>
    <row r="78" spans="1:20" ht="12.75" hidden="1" x14ac:dyDescent="0.2">
      <c r="A78" s="6" t="s">
        <v>192</v>
      </c>
      <c r="B78" s="17"/>
      <c r="C78" s="5" t="s">
        <v>127</v>
      </c>
      <c r="D78" s="5" t="s">
        <v>127</v>
      </c>
      <c r="E78" s="5"/>
      <c r="F78" s="4" t="s">
        <v>128</v>
      </c>
      <c r="G78" s="21">
        <v>19800</v>
      </c>
      <c r="H78" s="21">
        <v>136000</v>
      </c>
      <c r="I78" s="6" t="s">
        <v>17</v>
      </c>
      <c r="J78" s="6"/>
      <c r="K78" s="4" t="s">
        <v>3</v>
      </c>
      <c r="L78" s="6"/>
      <c r="M78" s="6"/>
      <c r="N78" s="6"/>
      <c r="O78" s="6"/>
      <c r="P78" s="6"/>
      <c r="Q78" s="6"/>
      <c r="R78" s="6"/>
      <c r="S78" s="6"/>
      <c r="T78" s="6"/>
    </row>
    <row r="79" spans="1:20" ht="12.75" hidden="1" x14ac:dyDescent="0.2">
      <c r="A79" s="6" t="s">
        <v>192</v>
      </c>
      <c r="B79" s="4"/>
      <c r="C79" s="5" t="s">
        <v>103</v>
      </c>
      <c r="D79" s="5" t="s">
        <v>103</v>
      </c>
      <c r="E79" s="5"/>
      <c r="F79" s="4" t="s">
        <v>76</v>
      </c>
      <c r="G79" s="21">
        <v>27600</v>
      </c>
      <c r="H79" s="21">
        <v>106900</v>
      </c>
      <c r="I79" s="6" t="s">
        <v>17</v>
      </c>
      <c r="J79" s="6"/>
      <c r="K79" s="4" t="s">
        <v>76</v>
      </c>
      <c r="L79" s="6"/>
      <c r="M79" s="6"/>
      <c r="N79" s="6"/>
      <c r="O79" s="6"/>
      <c r="P79" s="6"/>
      <c r="Q79" s="6"/>
      <c r="R79" s="6"/>
      <c r="S79" s="6"/>
      <c r="T79" s="6"/>
    </row>
    <row r="80" spans="1:20" ht="12.75" hidden="1" x14ac:dyDescent="0.2">
      <c r="A80" s="6" t="s">
        <v>192</v>
      </c>
      <c r="B80" s="17"/>
      <c r="C80" s="6" t="s">
        <v>40</v>
      </c>
      <c r="D80" s="5" t="s">
        <v>90</v>
      </c>
      <c r="E80" s="5"/>
      <c r="F80" s="4" t="s">
        <v>42</v>
      </c>
      <c r="G80" s="21">
        <v>676</v>
      </c>
      <c r="H80" s="21">
        <v>2000</v>
      </c>
      <c r="I80" s="6" t="s">
        <v>6</v>
      </c>
      <c r="J80" s="6"/>
      <c r="K80" s="4" t="s">
        <v>114</v>
      </c>
      <c r="L80" s="6"/>
      <c r="M80" s="6"/>
      <c r="N80" s="6"/>
      <c r="O80" s="6"/>
      <c r="P80" s="6"/>
      <c r="Q80" s="6"/>
      <c r="R80" s="6"/>
      <c r="S80" s="6"/>
      <c r="T80" s="6"/>
    </row>
    <row r="81" spans="1:20" ht="12.75" hidden="1" x14ac:dyDescent="0.2">
      <c r="A81" s="6" t="s">
        <v>192</v>
      </c>
      <c r="B81" s="17"/>
      <c r="C81" s="6" t="s">
        <v>47</v>
      </c>
      <c r="D81" s="5" t="s">
        <v>143</v>
      </c>
      <c r="E81" s="5"/>
      <c r="F81" s="4" t="s">
        <v>49</v>
      </c>
      <c r="G81" s="21">
        <v>0</v>
      </c>
      <c r="H81" s="21">
        <v>33000</v>
      </c>
      <c r="I81" s="6" t="s">
        <v>6</v>
      </c>
      <c r="J81" s="6"/>
      <c r="K81" s="4" t="s">
        <v>48</v>
      </c>
      <c r="L81" s="6"/>
      <c r="M81" s="6"/>
      <c r="N81" s="6"/>
      <c r="O81" s="6"/>
      <c r="P81" s="6"/>
      <c r="Q81" s="6"/>
      <c r="R81" s="6"/>
      <c r="S81" s="6"/>
      <c r="T81" s="6"/>
    </row>
    <row r="82" spans="1:20" s="22" customFormat="1" hidden="1" x14ac:dyDescent="0.25">
      <c r="A82" s="6" t="s">
        <v>192</v>
      </c>
      <c r="B82" s="4"/>
      <c r="C82" s="5" t="s">
        <v>96</v>
      </c>
      <c r="D82" s="5" t="s">
        <v>96</v>
      </c>
      <c r="E82" s="5"/>
      <c r="F82" s="4" t="s">
        <v>98</v>
      </c>
      <c r="G82" s="21">
        <v>1000</v>
      </c>
      <c r="H82" s="21">
        <v>8500</v>
      </c>
      <c r="I82" s="6" t="s">
        <v>6</v>
      </c>
      <c r="J82" s="6"/>
      <c r="K82" s="4" t="s">
        <v>97</v>
      </c>
      <c r="L82" s="6"/>
      <c r="M82" s="6"/>
      <c r="N82" s="6"/>
      <c r="O82" s="6"/>
      <c r="P82" s="6"/>
      <c r="Q82" s="6"/>
      <c r="R82" s="6"/>
      <c r="S82" s="6"/>
      <c r="T82" s="6" t="s">
        <v>249</v>
      </c>
    </row>
    <row r="83" spans="1:20" s="22" customFormat="1" hidden="1" x14ac:dyDescent="0.25">
      <c r="A83" s="27" t="s">
        <v>194</v>
      </c>
      <c r="B83" s="28"/>
      <c r="C83" s="29" t="s">
        <v>286</v>
      </c>
      <c r="D83" s="27" t="s">
        <v>285</v>
      </c>
      <c r="F83" s="27"/>
      <c r="G83" s="30">
        <v>100</v>
      </c>
      <c r="H83" s="30">
        <v>788</v>
      </c>
      <c r="I83" s="6" t="s">
        <v>6</v>
      </c>
      <c r="J83" s="27"/>
      <c r="K83" s="28"/>
      <c r="L83" s="27"/>
      <c r="M83" s="27"/>
      <c r="N83" s="27"/>
      <c r="O83" s="27"/>
      <c r="P83" s="27"/>
      <c r="Q83" s="27"/>
      <c r="R83" s="27"/>
      <c r="S83" s="27"/>
      <c r="T83" s="27"/>
    </row>
    <row r="84" spans="1:20" s="22" customFormat="1" hidden="1" x14ac:dyDescent="0.25">
      <c r="A84" s="27" t="s">
        <v>194</v>
      </c>
      <c r="B84" s="28"/>
      <c r="C84" s="29" t="s">
        <v>286</v>
      </c>
      <c r="D84" s="27" t="s">
        <v>287</v>
      </c>
      <c r="F84" s="27"/>
      <c r="G84" s="30">
        <v>83</v>
      </c>
      <c r="H84" s="30">
        <v>545</v>
      </c>
      <c r="I84" s="6" t="s">
        <v>6</v>
      </c>
      <c r="J84" s="27"/>
      <c r="K84" s="28"/>
      <c r="L84" s="27"/>
      <c r="M84" s="27"/>
      <c r="N84" s="27"/>
      <c r="O84" s="27"/>
      <c r="P84" s="27"/>
      <c r="Q84" s="27"/>
      <c r="R84" s="27"/>
      <c r="S84" s="27"/>
      <c r="T84" s="27"/>
    </row>
    <row r="85" spans="1:20" s="22" customFormat="1" hidden="1" x14ac:dyDescent="0.25">
      <c r="A85" s="6" t="s">
        <v>194</v>
      </c>
      <c r="B85" s="28"/>
      <c r="C85" s="29" t="s">
        <v>280</v>
      </c>
      <c r="D85" s="27" t="s">
        <v>281</v>
      </c>
      <c r="E85" s="27"/>
      <c r="F85" s="27" t="s">
        <v>112</v>
      </c>
      <c r="G85" s="30">
        <v>22000</v>
      </c>
      <c r="H85" s="30">
        <v>78100</v>
      </c>
      <c r="I85" s="27" t="s">
        <v>17</v>
      </c>
      <c r="J85" s="27"/>
      <c r="K85" s="28" t="s">
        <v>282</v>
      </c>
      <c r="L85" s="27"/>
      <c r="M85" s="27"/>
      <c r="N85" s="27"/>
      <c r="O85" s="27"/>
      <c r="P85" s="27"/>
      <c r="Q85" s="27"/>
      <c r="R85" s="27"/>
      <c r="S85" s="27"/>
      <c r="T85" s="27"/>
    </row>
    <row r="86" spans="1:20" s="22" customFormat="1" hidden="1" x14ac:dyDescent="0.25">
      <c r="A86" s="4" t="s">
        <v>194</v>
      </c>
      <c r="B86" s="4"/>
      <c r="C86" s="5" t="s">
        <v>132</v>
      </c>
      <c r="D86" s="5" t="s">
        <v>132</v>
      </c>
      <c r="E86" s="5"/>
      <c r="F86" s="4" t="s">
        <v>95</v>
      </c>
      <c r="G86" s="21">
        <v>1000</v>
      </c>
      <c r="H86" s="21">
        <v>3400</v>
      </c>
      <c r="I86" s="6" t="s">
        <v>6</v>
      </c>
      <c r="J86" s="6"/>
      <c r="K86" s="4" t="s">
        <v>37</v>
      </c>
      <c r="L86" s="6"/>
      <c r="M86" s="6"/>
      <c r="N86" s="6"/>
      <c r="O86" s="6"/>
      <c r="P86" s="6"/>
      <c r="Q86" s="6"/>
      <c r="R86" s="6"/>
      <c r="S86" s="6"/>
      <c r="T86" s="6"/>
    </row>
    <row r="87" spans="1:20" s="22" customFormat="1" hidden="1" x14ac:dyDescent="0.25">
      <c r="A87" s="6" t="s">
        <v>194</v>
      </c>
      <c r="B87" s="4"/>
      <c r="C87" s="6" t="s">
        <v>261</v>
      </c>
      <c r="D87" s="6" t="s">
        <v>261</v>
      </c>
      <c r="E87" s="6"/>
      <c r="F87" s="6"/>
      <c r="G87" s="21">
        <v>8000</v>
      </c>
      <c r="H87" s="21">
        <v>43200</v>
      </c>
      <c r="I87" s="6" t="s">
        <v>17</v>
      </c>
      <c r="J87" s="6"/>
      <c r="K87" s="6" t="s">
        <v>20</v>
      </c>
      <c r="L87" s="6"/>
      <c r="M87" s="6"/>
      <c r="N87" s="6"/>
      <c r="O87" s="6"/>
      <c r="P87" s="6"/>
      <c r="Q87" s="6"/>
      <c r="R87" s="6"/>
      <c r="S87" s="6"/>
      <c r="T87" s="6"/>
    </row>
    <row r="88" spans="1:20" s="22" customFormat="1" hidden="1" x14ac:dyDescent="0.25">
      <c r="A88" s="6" t="s">
        <v>194</v>
      </c>
      <c r="B88" s="4"/>
      <c r="C88" s="6" t="s">
        <v>260</v>
      </c>
      <c r="D88" s="6" t="s">
        <v>260</v>
      </c>
      <c r="E88" s="6"/>
      <c r="F88" s="6"/>
      <c r="G88" s="21"/>
      <c r="H88" s="21"/>
      <c r="I88" s="6"/>
      <c r="J88" s="6"/>
      <c r="K88" s="4" t="s">
        <v>260</v>
      </c>
      <c r="L88" s="6"/>
      <c r="M88" s="6"/>
      <c r="N88" s="6"/>
      <c r="O88" s="6"/>
      <c r="P88" s="6"/>
      <c r="Q88" s="6"/>
      <c r="R88" s="6"/>
      <c r="S88" s="6"/>
      <c r="T88" s="6"/>
    </row>
    <row r="89" spans="1:20" s="22" customFormat="1" hidden="1" x14ac:dyDescent="0.25">
      <c r="A89" s="4" t="s">
        <v>194</v>
      </c>
      <c r="B89" s="17"/>
      <c r="C89" s="5" t="s">
        <v>133</v>
      </c>
      <c r="D89" s="5" t="s">
        <v>133</v>
      </c>
      <c r="E89" s="5"/>
      <c r="F89" s="4"/>
      <c r="G89" s="21">
        <v>125</v>
      </c>
      <c r="H89" s="21">
        <v>936</v>
      </c>
      <c r="I89" s="6" t="s">
        <v>6</v>
      </c>
      <c r="J89" s="6"/>
      <c r="K89" s="4" t="s">
        <v>133</v>
      </c>
      <c r="L89" s="6"/>
      <c r="M89" s="6"/>
      <c r="N89" s="6"/>
      <c r="O89" s="6"/>
      <c r="P89" s="6"/>
      <c r="Q89" s="6"/>
      <c r="R89" s="6"/>
      <c r="S89" s="6"/>
      <c r="T89" s="6"/>
    </row>
    <row r="90" spans="1:20" s="22" customFormat="1" x14ac:dyDescent="0.25">
      <c r="A90" s="6" t="s">
        <v>194</v>
      </c>
      <c r="B90" s="4"/>
      <c r="C90" s="6" t="s">
        <v>259</v>
      </c>
      <c r="D90" s="6" t="s">
        <v>259</v>
      </c>
      <c r="E90" s="6"/>
      <c r="F90" s="6"/>
      <c r="G90" s="21"/>
      <c r="H90" s="21"/>
      <c r="I90" s="6"/>
      <c r="J90" s="6"/>
      <c r="K90" s="4" t="s">
        <v>13</v>
      </c>
      <c r="L90" s="6"/>
      <c r="M90" s="6"/>
      <c r="N90" s="6"/>
      <c r="O90" s="6"/>
      <c r="P90" s="6"/>
      <c r="Q90" s="6"/>
      <c r="R90" s="6"/>
      <c r="S90" s="6"/>
      <c r="T90" s="6"/>
    </row>
    <row r="91" spans="1:20" s="22" customFormat="1" hidden="1" x14ac:dyDescent="0.25">
      <c r="A91" s="31" t="s">
        <v>194</v>
      </c>
      <c r="B91" s="4"/>
      <c r="C91" s="6" t="s">
        <v>262</v>
      </c>
      <c r="D91" s="6" t="s">
        <v>262</v>
      </c>
      <c r="E91" s="6"/>
      <c r="F91" s="6"/>
      <c r="G91" s="21"/>
      <c r="H91" s="21"/>
      <c r="I91" s="6"/>
      <c r="J91" s="6"/>
      <c r="K91" s="4"/>
      <c r="L91" s="6"/>
      <c r="M91" s="6"/>
      <c r="N91" s="6"/>
      <c r="O91" s="6"/>
      <c r="P91" s="6"/>
      <c r="Q91" s="6"/>
      <c r="R91" s="6"/>
      <c r="S91" s="6"/>
      <c r="T91" s="6"/>
    </row>
    <row r="92" spans="1:20" s="22" customFormat="1" hidden="1" x14ac:dyDescent="0.25">
      <c r="A92" s="4" t="s">
        <v>194</v>
      </c>
      <c r="B92" s="17"/>
      <c r="C92" s="5" t="s">
        <v>131</v>
      </c>
      <c r="D92" s="5" t="s">
        <v>131</v>
      </c>
      <c r="E92" s="5"/>
      <c r="F92" s="4" t="s">
        <v>35</v>
      </c>
      <c r="G92" s="21">
        <v>50000</v>
      </c>
      <c r="H92" s="21">
        <v>204000</v>
      </c>
      <c r="I92" s="6" t="s">
        <v>17</v>
      </c>
      <c r="J92" s="6"/>
      <c r="K92" s="4" t="s">
        <v>37</v>
      </c>
      <c r="L92" s="6"/>
      <c r="M92" s="6"/>
      <c r="N92" s="6"/>
      <c r="O92" s="6"/>
      <c r="P92" s="6"/>
      <c r="Q92" s="6"/>
      <c r="R92" s="6"/>
      <c r="S92" s="6"/>
      <c r="T92" s="6"/>
    </row>
    <row r="93" spans="1:20" s="22" customFormat="1" hidden="1" x14ac:dyDescent="0.25">
      <c r="A93" s="4" t="s">
        <v>194</v>
      </c>
      <c r="B93" s="17"/>
      <c r="C93" s="7" t="s">
        <v>101</v>
      </c>
      <c r="D93" s="7" t="s">
        <v>101</v>
      </c>
      <c r="E93" s="7"/>
      <c r="F93" s="4" t="s">
        <v>63</v>
      </c>
      <c r="G93" s="21">
        <v>4000</v>
      </c>
      <c r="H93" s="21">
        <v>17324</v>
      </c>
      <c r="I93" s="6" t="s">
        <v>17</v>
      </c>
      <c r="J93" s="6"/>
      <c r="K93" s="4" t="s">
        <v>63</v>
      </c>
      <c r="L93" s="6"/>
      <c r="M93" s="6"/>
      <c r="N93" s="6"/>
      <c r="O93" s="6"/>
      <c r="P93" s="6"/>
      <c r="Q93" s="6"/>
      <c r="R93" s="6"/>
      <c r="S93" s="6"/>
      <c r="T93" s="6"/>
    </row>
    <row r="94" spans="1:20" s="22" customFormat="1" x14ac:dyDescent="0.25"/>
  </sheetData>
  <sortState ref="A3:J77">
    <sortCondition ref="A3:A77"/>
    <sortCondition ref="D3:D77"/>
  </sortState>
  <printOptions horizontalCentered="1"/>
  <pageMargins left="0.25" right="0.25" top="0.75" bottom="0.75" header="0.3" footer="0.3"/>
  <pageSetup scale="72" orientation="landscape" r:id="rId1"/>
  <headerFooter>
    <oddHeader>&amp;CAlaska Hydroelectric Inventory</oddHeader>
    <oddFooter>&amp;L&amp;D&amp;CPrepared by Alaska Energy Authority&amp;RPage &amp;P of &amp;N</oddFooter>
  </headerFooter>
  <rowBreaks count="1" manualBreakCount="1">
    <brk id="37" min="1" max="7" man="1"/>
  </rowBreaks>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A2" sqref="A2"/>
    </sheetView>
  </sheetViews>
  <sheetFormatPr defaultRowHeight="15" x14ac:dyDescent="0.25"/>
  <cols>
    <col min="1" max="1" width="28.28515625" customWidth="1"/>
    <col min="2" max="2" width="20.140625" customWidth="1"/>
    <col min="3" max="3" width="40" customWidth="1"/>
  </cols>
  <sheetData>
    <row r="1" spans="1:3" x14ac:dyDescent="0.25">
      <c r="A1" s="23" t="s">
        <v>140</v>
      </c>
      <c r="B1" t="s">
        <v>139</v>
      </c>
    </row>
    <row r="3" spans="1:3" x14ac:dyDescent="0.25">
      <c r="A3" s="23" t="s">
        <v>273</v>
      </c>
      <c r="B3" t="s">
        <v>275</v>
      </c>
      <c r="C3" t="s">
        <v>276</v>
      </c>
    </row>
    <row r="4" spans="1:3" x14ac:dyDescent="0.25">
      <c r="A4" s="24" t="s">
        <v>43</v>
      </c>
      <c r="B4" s="26">
        <v>600</v>
      </c>
      <c r="C4" s="26">
        <v>1000</v>
      </c>
    </row>
    <row r="5" spans="1:3" x14ac:dyDescent="0.25">
      <c r="A5" s="24" t="s">
        <v>2</v>
      </c>
      <c r="B5" s="26">
        <v>4000</v>
      </c>
      <c r="C5" s="26">
        <v>26000</v>
      </c>
    </row>
    <row r="6" spans="1:3" x14ac:dyDescent="0.25">
      <c r="A6" s="24" t="s">
        <v>65</v>
      </c>
      <c r="B6" s="26">
        <v>750</v>
      </c>
      <c r="C6" s="26"/>
    </row>
    <row r="7" spans="1:3" x14ac:dyDescent="0.25">
      <c r="A7" s="24" t="s">
        <v>53</v>
      </c>
      <c r="B7" s="26">
        <v>5200</v>
      </c>
      <c r="C7" s="26">
        <v>44675.5</v>
      </c>
    </row>
    <row r="8" spans="1:3" x14ac:dyDescent="0.25">
      <c r="A8" s="24" t="s">
        <v>14</v>
      </c>
      <c r="B8" s="26">
        <v>4500</v>
      </c>
      <c r="C8" s="26">
        <v>20600.349999999999</v>
      </c>
    </row>
    <row r="9" spans="1:3" x14ac:dyDescent="0.25">
      <c r="A9" s="24" t="s">
        <v>240</v>
      </c>
      <c r="B9" s="26">
        <v>2000</v>
      </c>
      <c r="C9" s="26">
        <v>982</v>
      </c>
    </row>
    <row r="10" spans="1:3" x14ac:dyDescent="0.25">
      <c r="A10" s="24" t="s">
        <v>199</v>
      </c>
      <c r="B10" s="26">
        <v>15645</v>
      </c>
      <c r="C10" s="26">
        <v>100200</v>
      </c>
    </row>
    <row r="11" spans="1:3" x14ac:dyDescent="0.25">
      <c r="A11" s="24" t="s">
        <v>73</v>
      </c>
      <c r="B11" s="26">
        <v>120000</v>
      </c>
      <c r="C11" s="26">
        <v>380000</v>
      </c>
    </row>
    <row r="12" spans="1:3" x14ac:dyDescent="0.25">
      <c r="A12" s="24" t="s">
        <v>141</v>
      </c>
      <c r="B12" s="26">
        <v>80</v>
      </c>
      <c r="C12" s="26"/>
    </row>
    <row r="13" spans="1:3" x14ac:dyDescent="0.25">
      <c r="A13" s="24" t="s">
        <v>62</v>
      </c>
      <c r="B13" s="26">
        <v>1100</v>
      </c>
      <c r="C13" s="26">
        <v>4960.915</v>
      </c>
    </row>
    <row r="14" spans="1:3" x14ac:dyDescent="0.25">
      <c r="A14" s="24" t="s">
        <v>108</v>
      </c>
      <c r="B14" s="26">
        <v>60</v>
      </c>
      <c r="C14" s="26">
        <v>300</v>
      </c>
    </row>
    <row r="15" spans="1:3" x14ac:dyDescent="0.25">
      <c r="A15" s="24" t="s">
        <v>25</v>
      </c>
      <c r="B15" s="26">
        <v>284</v>
      </c>
      <c r="C15" s="26">
        <v>443.142</v>
      </c>
    </row>
    <row r="16" spans="1:3" x14ac:dyDescent="0.25">
      <c r="A16" s="24" t="s">
        <v>206</v>
      </c>
      <c r="B16" s="26">
        <v>19200</v>
      </c>
      <c r="C16" s="26">
        <v>48020</v>
      </c>
    </row>
    <row r="17" spans="1:3" x14ac:dyDescent="0.25">
      <c r="A17" s="24" t="s">
        <v>50</v>
      </c>
      <c r="B17" s="26">
        <v>800</v>
      </c>
      <c r="C17" s="26">
        <v>1997.981</v>
      </c>
    </row>
    <row r="18" spans="1:3" x14ac:dyDescent="0.25">
      <c r="A18" s="24" t="s">
        <v>19</v>
      </c>
      <c r="B18" s="26">
        <v>943</v>
      </c>
      <c r="C18" s="26">
        <v>3137.76</v>
      </c>
    </row>
    <row r="19" spans="1:3" x14ac:dyDescent="0.25">
      <c r="A19" s="24" t="s">
        <v>255</v>
      </c>
      <c r="B19" s="26">
        <v>75</v>
      </c>
      <c r="C19" s="26"/>
    </row>
    <row r="20" spans="1:3" x14ac:dyDescent="0.25">
      <c r="A20" s="24" t="s">
        <v>75</v>
      </c>
      <c r="B20" s="26">
        <v>40000</v>
      </c>
      <c r="C20" s="26">
        <v>172076.6</v>
      </c>
    </row>
    <row r="21" spans="1:3" x14ac:dyDescent="0.25">
      <c r="A21" s="24" t="s">
        <v>38</v>
      </c>
      <c r="B21" s="26">
        <v>800</v>
      </c>
      <c r="C21" s="26">
        <v>1939.011</v>
      </c>
    </row>
    <row r="22" spans="1:3" x14ac:dyDescent="0.25">
      <c r="A22" s="24" t="s">
        <v>45</v>
      </c>
      <c r="B22" s="26">
        <v>450</v>
      </c>
      <c r="C22" s="26">
        <v>1810</v>
      </c>
    </row>
    <row r="23" spans="1:3" x14ac:dyDescent="0.25">
      <c r="A23" s="24" t="s">
        <v>21</v>
      </c>
      <c r="B23" s="26">
        <v>4000</v>
      </c>
      <c r="C23" s="26">
        <v>15617</v>
      </c>
    </row>
    <row r="24" spans="1:3" x14ac:dyDescent="0.25">
      <c r="A24" s="24" t="s">
        <v>5</v>
      </c>
      <c r="B24" s="26">
        <v>1600</v>
      </c>
      <c r="C24" s="26">
        <v>4500</v>
      </c>
    </row>
    <row r="25" spans="1:3" x14ac:dyDescent="0.25">
      <c r="A25" s="24" t="s">
        <v>78</v>
      </c>
      <c r="B25" s="26">
        <v>18600</v>
      </c>
      <c r="C25" s="26">
        <v>63800</v>
      </c>
    </row>
    <row r="26" spans="1:3" x14ac:dyDescent="0.25">
      <c r="A26" s="24" t="s">
        <v>27</v>
      </c>
      <c r="B26" s="26">
        <v>1250</v>
      </c>
      <c r="C26" s="26">
        <v>3553.5419999999999</v>
      </c>
    </row>
    <row r="27" spans="1:3" x14ac:dyDescent="0.25">
      <c r="A27" s="24" t="s">
        <v>252</v>
      </c>
      <c r="B27" s="26">
        <v>249</v>
      </c>
      <c r="C27" s="26"/>
    </row>
    <row r="28" spans="1:3" x14ac:dyDescent="0.25">
      <c r="A28" s="24" t="s">
        <v>22</v>
      </c>
      <c r="B28" s="26">
        <v>3000</v>
      </c>
      <c r="C28" s="26">
        <v>7446.44</v>
      </c>
    </row>
    <row r="29" spans="1:3" x14ac:dyDescent="0.25">
      <c r="A29" s="24" t="s">
        <v>55</v>
      </c>
      <c r="B29" s="26">
        <v>4200</v>
      </c>
      <c r="C29" s="26">
        <v>23025.3</v>
      </c>
    </row>
    <row r="30" spans="1:3" x14ac:dyDescent="0.25">
      <c r="A30" s="24" t="s">
        <v>7</v>
      </c>
      <c r="B30" s="26">
        <v>14300</v>
      </c>
      <c r="C30" s="26">
        <v>75000</v>
      </c>
    </row>
    <row r="31" spans="1:3" x14ac:dyDescent="0.25">
      <c r="A31" s="24" t="s">
        <v>58</v>
      </c>
      <c r="B31" s="26">
        <v>475</v>
      </c>
      <c r="C31" s="26">
        <v>773.02099999999996</v>
      </c>
    </row>
    <row r="32" spans="1:3" x14ac:dyDescent="0.25">
      <c r="A32" s="24" t="s">
        <v>23</v>
      </c>
      <c r="B32" s="26">
        <v>285</v>
      </c>
      <c r="C32" s="26">
        <v>164.43199999999999</v>
      </c>
    </row>
    <row r="33" spans="1:3" x14ac:dyDescent="0.25">
      <c r="A33" s="24" t="s">
        <v>66</v>
      </c>
      <c r="B33" s="26">
        <v>125</v>
      </c>
      <c r="C33" s="26">
        <v>167</v>
      </c>
    </row>
    <row r="34" spans="1:3" x14ac:dyDescent="0.25">
      <c r="A34" s="24" t="s">
        <v>189</v>
      </c>
      <c r="B34" s="26">
        <v>160</v>
      </c>
      <c r="C34" s="26">
        <v>876</v>
      </c>
    </row>
    <row r="35" spans="1:3" x14ac:dyDescent="0.25">
      <c r="A35" s="24" t="s">
        <v>61</v>
      </c>
      <c r="B35" s="26">
        <v>125</v>
      </c>
      <c r="C35" s="26">
        <v>386.56700000000001</v>
      </c>
    </row>
    <row r="36" spans="1:3" x14ac:dyDescent="0.25">
      <c r="A36" s="24" t="s">
        <v>32</v>
      </c>
      <c r="B36" s="26">
        <v>167</v>
      </c>
      <c r="C36" s="26">
        <v>521.20000000000005</v>
      </c>
    </row>
    <row r="37" spans="1:3" x14ac:dyDescent="0.25">
      <c r="A37" s="24" t="s">
        <v>68</v>
      </c>
      <c r="B37" s="26">
        <v>650</v>
      </c>
      <c r="C37" s="26">
        <v>799.49400000000003</v>
      </c>
    </row>
    <row r="38" spans="1:3" x14ac:dyDescent="0.25">
      <c r="A38" s="24" t="s">
        <v>30</v>
      </c>
      <c r="B38" s="26">
        <v>6000</v>
      </c>
      <c r="C38" s="26">
        <v>15929.397000000001</v>
      </c>
    </row>
    <row r="39" spans="1:3" x14ac:dyDescent="0.25">
      <c r="A39" s="24" t="s">
        <v>64</v>
      </c>
      <c r="B39" s="26">
        <v>3900</v>
      </c>
      <c r="C39" s="26">
        <v>16075.775</v>
      </c>
    </row>
    <row r="40" spans="1:3" x14ac:dyDescent="0.25">
      <c r="A40" s="24" t="s">
        <v>9</v>
      </c>
      <c r="B40" s="26">
        <v>8500</v>
      </c>
      <c r="C40" s="26">
        <v>29500</v>
      </c>
    </row>
    <row r="41" spans="1:3" x14ac:dyDescent="0.25">
      <c r="A41" s="24" t="s">
        <v>56</v>
      </c>
      <c r="B41" s="26">
        <v>2100</v>
      </c>
      <c r="C41" s="26">
        <v>12461.6</v>
      </c>
    </row>
    <row r="42" spans="1:3" x14ac:dyDescent="0.25">
      <c r="A42" s="24" t="s">
        <v>11</v>
      </c>
      <c r="B42" s="26">
        <v>78200</v>
      </c>
      <c r="C42" s="26">
        <v>295000</v>
      </c>
    </row>
    <row r="43" spans="1:3" x14ac:dyDescent="0.25">
      <c r="A43" s="24" t="s">
        <v>36</v>
      </c>
      <c r="B43" s="26">
        <v>12000</v>
      </c>
      <c r="C43" s="26">
        <v>45000</v>
      </c>
    </row>
    <row r="44" spans="1:3" x14ac:dyDescent="0.25">
      <c r="A44" s="24" t="s">
        <v>24</v>
      </c>
      <c r="B44" s="26">
        <v>2000</v>
      </c>
      <c r="C44" s="26">
        <v>5739.7039999999997</v>
      </c>
    </row>
    <row r="45" spans="1:3" x14ac:dyDescent="0.25">
      <c r="A45" s="24" t="s">
        <v>59</v>
      </c>
      <c r="B45" s="26">
        <v>1200</v>
      </c>
      <c r="C45" s="26">
        <v>3724.91</v>
      </c>
    </row>
    <row r="46" spans="1:3" x14ac:dyDescent="0.25">
      <c r="A46" s="24" t="s">
        <v>70</v>
      </c>
      <c r="B46" s="26">
        <v>22500</v>
      </c>
      <c r="C46" s="26">
        <v>76000</v>
      </c>
    </row>
    <row r="47" spans="1:3" x14ac:dyDescent="0.25">
      <c r="A47" s="24" t="s">
        <v>40</v>
      </c>
      <c r="B47" s="26">
        <v>824</v>
      </c>
      <c r="C47" s="26">
        <v>4048.1610000000001</v>
      </c>
    </row>
    <row r="48" spans="1:3" x14ac:dyDescent="0.25">
      <c r="A48" s="24" t="s">
        <v>47</v>
      </c>
      <c r="B48" s="26">
        <v>34000</v>
      </c>
      <c r="C48" s="26">
        <v>135000</v>
      </c>
    </row>
    <row r="49" spans="1:3" x14ac:dyDescent="0.25">
      <c r="A49" s="24" t="s">
        <v>12</v>
      </c>
      <c r="B49" s="26">
        <v>105</v>
      </c>
      <c r="C49" s="26">
        <v>312.65199999999999</v>
      </c>
    </row>
    <row r="50" spans="1:3" x14ac:dyDescent="0.25">
      <c r="A50" s="24" t="s">
        <v>72</v>
      </c>
      <c r="B50" s="26">
        <v>22500</v>
      </c>
      <c r="C50" s="26">
        <v>125000</v>
      </c>
    </row>
    <row r="51" spans="1:3" x14ac:dyDescent="0.25">
      <c r="A51" s="24" t="s">
        <v>57</v>
      </c>
      <c r="B51" s="26">
        <v>4600</v>
      </c>
      <c r="C51" s="26">
        <v>16000</v>
      </c>
    </row>
    <row r="52" spans="1:3" x14ac:dyDescent="0.25">
      <c r="A52" s="24" t="s">
        <v>274</v>
      </c>
      <c r="B52" s="26">
        <v>464102</v>
      </c>
      <c r="C52" s="26">
        <v>1784565.4540000001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heetViews>
  <sheetFormatPr defaultRowHeight="15" x14ac:dyDescent="0.25"/>
  <cols>
    <col min="1" max="1" width="37.85546875" bestFit="1" customWidth="1"/>
    <col min="2" max="2" width="20.140625" bestFit="1" customWidth="1"/>
    <col min="3" max="3" width="40" bestFit="1" customWidth="1"/>
  </cols>
  <sheetData>
    <row r="1" spans="1:3" x14ac:dyDescent="0.25">
      <c r="A1" s="23" t="s">
        <v>273</v>
      </c>
      <c r="B1" t="s">
        <v>275</v>
      </c>
      <c r="C1" t="s">
        <v>276</v>
      </c>
    </row>
    <row r="2" spans="1:3" x14ac:dyDescent="0.25">
      <c r="A2" s="24" t="s">
        <v>194</v>
      </c>
      <c r="B2" s="26">
        <v>85308</v>
      </c>
      <c r="C2" s="26">
        <v>348293</v>
      </c>
    </row>
    <row r="3" spans="1:3" x14ac:dyDescent="0.25">
      <c r="A3" s="25" t="s">
        <v>13</v>
      </c>
      <c r="B3" s="26"/>
      <c r="C3" s="26"/>
    </row>
    <row r="4" spans="1:3" x14ac:dyDescent="0.25">
      <c r="A4" s="25" t="s">
        <v>260</v>
      </c>
      <c r="B4" s="26"/>
      <c r="C4" s="26"/>
    </row>
    <row r="5" spans="1:3" x14ac:dyDescent="0.25">
      <c r="A5" s="25" t="s">
        <v>133</v>
      </c>
      <c r="B5" s="26">
        <v>125</v>
      </c>
      <c r="C5" s="26">
        <v>936</v>
      </c>
    </row>
    <row r="6" spans="1:3" x14ac:dyDescent="0.25">
      <c r="A6" s="25" t="s">
        <v>37</v>
      </c>
      <c r="B6" s="26">
        <v>51000</v>
      </c>
      <c r="C6" s="26">
        <v>207400</v>
      </c>
    </row>
    <row r="7" spans="1:3" x14ac:dyDescent="0.25">
      <c r="A7" s="25" t="s">
        <v>20</v>
      </c>
      <c r="B7" s="26">
        <v>8000</v>
      </c>
      <c r="C7" s="26">
        <v>43200</v>
      </c>
    </row>
    <row r="8" spans="1:3" x14ac:dyDescent="0.25">
      <c r="A8" s="25" t="s">
        <v>63</v>
      </c>
      <c r="B8" s="26">
        <v>4000</v>
      </c>
      <c r="C8" s="26">
        <v>17324</v>
      </c>
    </row>
    <row r="9" spans="1:3" x14ac:dyDescent="0.25">
      <c r="A9" s="25" t="s">
        <v>277</v>
      </c>
      <c r="B9" s="26">
        <v>183</v>
      </c>
      <c r="C9" s="26">
        <v>1333</v>
      </c>
    </row>
    <row r="10" spans="1:3" x14ac:dyDescent="0.25">
      <c r="A10" s="25" t="s">
        <v>282</v>
      </c>
      <c r="B10" s="26">
        <v>22000</v>
      </c>
      <c r="C10" s="26">
        <v>78100</v>
      </c>
    </row>
    <row r="11" spans="1:3" x14ac:dyDescent="0.25">
      <c r="A11" s="24" t="s">
        <v>192</v>
      </c>
      <c r="B11" s="26">
        <v>669241</v>
      </c>
      <c r="C11" s="26">
        <v>3175276</v>
      </c>
    </row>
    <row r="12" spans="1:3" x14ac:dyDescent="0.25">
      <c r="A12" s="25" t="s">
        <v>92</v>
      </c>
      <c r="B12" s="26">
        <v>690</v>
      </c>
      <c r="C12" s="26">
        <v>5410</v>
      </c>
    </row>
    <row r="13" spans="1:3" x14ac:dyDescent="0.25">
      <c r="A13" s="25" t="s">
        <v>97</v>
      </c>
      <c r="B13" s="26">
        <v>1000</v>
      </c>
      <c r="C13" s="26">
        <v>8500</v>
      </c>
    </row>
    <row r="14" spans="1:3" x14ac:dyDescent="0.25">
      <c r="A14" s="25" t="s">
        <v>31</v>
      </c>
      <c r="B14" s="26">
        <v>325</v>
      </c>
      <c r="C14" s="26">
        <v>1840</v>
      </c>
    </row>
    <row r="15" spans="1:3" x14ac:dyDescent="0.25">
      <c r="A15" s="25" t="s">
        <v>28</v>
      </c>
      <c r="B15" s="26">
        <v>500</v>
      </c>
      <c r="C15" s="26">
        <v>2250</v>
      </c>
    </row>
    <row r="16" spans="1:3" x14ac:dyDescent="0.25">
      <c r="A16" s="25" t="s">
        <v>114</v>
      </c>
      <c r="B16" s="26">
        <v>676</v>
      </c>
      <c r="C16" s="26">
        <v>2000</v>
      </c>
    </row>
    <row r="17" spans="1:3" x14ac:dyDescent="0.25">
      <c r="A17" s="25" t="s">
        <v>3</v>
      </c>
      <c r="B17" s="26">
        <v>19800</v>
      </c>
      <c r="C17" s="26">
        <v>136000</v>
      </c>
    </row>
    <row r="18" spans="1:3" x14ac:dyDescent="0.25">
      <c r="A18" s="25" t="s">
        <v>111</v>
      </c>
      <c r="B18" s="26">
        <v>500</v>
      </c>
      <c r="C18" s="26">
        <v>1620</v>
      </c>
    </row>
    <row r="19" spans="1:3" x14ac:dyDescent="0.25">
      <c r="A19" s="25" t="s">
        <v>48</v>
      </c>
      <c r="B19" s="26">
        <v>0</v>
      </c>
      <c r="C19" s="26">
        <v>33000</v>
      </c>
    </row>
    <row r="20" spans="1:3" x14ac:dyDescent="0.25">
      <c r="A20" s="25" t="s">
        <v>82</v>
      </c>
      <c r="B20" s="26">
        <v>262</v>
      </c>
      <c r="C20" s="26">
        <v>2300</v>
      </c>
    </row>
    <row r="21" spans="1:3" x14ac:dyDescent="0.25">
      <c r="A21" s="25" t="s">
        <v>60</v>
      </c>
      <c r="B21" s="26">
        <v>605000</v>
      </c>
      <c r="C21" s="26">
        <v>2819700</v>
      </c>
    </row>
    <row r="22" spans="1:3" x14ac:dyDescent="0.25">
      <c r="A22" s="25" t="s">
        <v>107</v>
      </c>
      <c r="B22" s="26">
        <v>188</v>
      </c>
      <c r="C22" s="26">
        <v>756</v>
      </c>
    </row>
    <row r="23" spans="1:3" x14ac:dyDescent="0.25">
      <c r="A23" s="25" t="s">
        <v>263</v>
      </c>
      <c r="B23" s="26">
        <v>12700</v>
      </c>
      <c r="C23" s="26">
        <v>55000</v>
      </c>
    </row>
    <row r="24" spans="1:3" x14ac:dyDescent="0.25">
      <c r="A24" s="25" t="s">
        <v>76</v>
      </c>
      <c r="B24" s="26">
        <v>27600</v>
      </c>
      <c r="C24" s="26">
        <v>106900</v>
      </c>
    </row>
    <row r="25" spans="1:3" x14ac:dyDescent="0.25">
      <c r="A25" s="24" t="s">
        <v>193</v>
      </c>
      <c r="B25" s="26">
        <v>14101</v>
      </c>
      <c r="C25" s="26">
        <v>105694.1</v>
      </c>
    </row>
    <row r="26" spans="1:3" x14ac:dyDescent="0.25">
      <c r="A26" s="25" t="s">
        <v>85</v>
      </c>
      <c r="B26" s="26">
        <v>61</v>
      </c>
      <c r="C26" s="26">
        <v>370</v>
      </c>
    </row>
    <row r="27" spans="1:3" x14ac:dyDescent="0.25">
      <c r="A27" s="25" t="s">
        <v>87</v>
      </c>
      <c r="B27" s="26">
        <v>300</v>
      </c>
      <c r="C27" s="26">
        <v>2000</v>
      </c>
    </row>
    <row r="28" spans="1:3" x14ac:dyDescent="0.25">
      <c r="A28" s="25" t="s">
        <v>99</v>
      </c>
      <c r="B28" s="26">
        <v>140</v>
      </c>
      <c r="C28" s="26">
        <v>614</v>
      </c>
    </row>
    <row r="29" spans="1:3" x14ac:dyDescent="0.25">
      <c r="A29" s="25" t="s">
        <v>37</v>
      </c>
      <c r="B29" s="26">
        <v>1500</v>
      </c>
      <c r="C29" s="26">
        <v>3440</v>
      </c>
    </row>
    <row r="30" spans="1:3" x14ac:dyDescent="0.25">
      <c r="A30" s="25" t="s">
        <v>51</v>
      </c>
      <c r="B30" s="26">
        <v>350</v>
      </c>
      <c r="C30" s="26">
        <v>1167</v>
      </c>
    </row>
    <row r="31" spans="1:3" x14ac:dyDescent="0.25">
      <c r="A31" s="25" t="s">
        <v>106</v>
      </c>
      <c r="B31" s="26">
        <v>150</v>
      </c>
      <c r="C31" s="26">
        <v>174.1</v>
      </c>
    </row>
    <row r="32" spans="1:3" x14ac:dyDescent="0.25">
      <c r="A32" s="25" t="s">
        <v>60</v>
      </c>
      <c r="B32" s="26">
        <v>2000</v>
      </c>
      <c r="C32" s="26">
        <v>44429</v>
      </c>
    </row>
    <row r="33" spans="1:3" x14ac:dyDescent="0.25">
      <c r="A33" s="25" t="s">
        <v>278</v>
      </c>
      <c r="B33" s="26">
        <v>9600</v>
      </c>
      <c r="C33" s="26">
        <v>53500</v>
      </c>
    </row>
    <row r="34" spans="1:3" x14ac:dyDescent="0.25">
      <c r="A34" s="24" t="s">
        <v>191</v>
      </c>
      <c r="B34" s="26">
        <v>11455</v>
      </c>
      <c r="C34" s="26">
        <v>41475.616999999998</v>
      </c>
    </row>
    <row r="35" spans="1:3" x14ac:dyDescent="0.25">
      <c r="A35" s="25" t="s">
        <v>37</v>
      </c>
      <c r="B35" s="26">
        <v>6500</v>
      </c>
      <c r="C35" s="26">
        <v>15056.617</v>
      </c>
    </row>
    <row r="36" spans="1:3" x14ac:dyDescent="0.25">
      <c r="A36" s="25" t="s">
        <v>269</v>
      </c>
      <c r="B36" s="26">
        <v>4775</v>
      </c>
      <c r="C36" s="26">
        <v>25250</v>
      </c>
    </row>
    <row r="37" spans="1:3" x14ac:dyDescent="0.25">
      <c r="A37" s="25" t="s">
        <v>80</v>
      </c>
      <c r="B37" s="26">
        <v>180</v>
      </c>
      <c r="C37" s="26">
        <v>1169</v>
      </c>
    </row>
    <row r="38" spans="1:3" x14ac:dyDescent="0.25">
      <c r="A38" s="24" t="s">
        <v>139</v>
      </c>
      <c r="B38" s="26">
        <v>464102</v>
      </c>
      <c r="C38" s="26">
        <v>1784565.4539999999</v>
      </c>
    </row>
    <row r="39" spans="1:3" x14ac:dyDescent="0.25">
      <c r="A39" s="25" t="s">
        <v>13</v>
      </c>
      <c r="B39" s="26">
        <v>105</v>
      </c>
      <c r="C39" s="26">
        <v>312.65199999999999</v>
      </c>
    </row>
    <row r="40" spans="1:3" x14ac:dyDescent="0.25">
      <c r="A40" s="25" t="s">
        <v>26</v>
      </c>
      <c r="B40" s="26">
        <v>284</v>
      </c>
      <c r="C40" s="26">
        <v>443.142</v>
      </c>
    </row>
    <row r="41" spans="1:3" x14ac:dyDescent="0.25">
      <c r="A41" s="25" t="s">
        <v>268</v>
      </c>
      <c r="B41" s="26">
        <v>80</v>
      </c>
      <c r="C41" s="26"/>
    </row>
    <row r="42" spans="1:3" x14ac:dyDescent="0.25">
      <c r="A42" s="25" t="s">
        <v>31</v>
      </c>
      <c r="B42" s="26">
        <v>60</v>
      </c>
      <c r="C42" s="26">
        <v>300</v>
      </c>
    </row>
    <row r="43" spans="1:3" x14ac:dyDescent="0.25">
      <c r="A43" s="25" t="s">
        <v>33</v>
      </c>
      <c r="B43" s="26">
        <v>167</v>
      </c>
      <c r="C43" s="26">
        <v>521.20000000000005</v>
      </c>
    </row>
    <row r="44" spans="1:3" x14ac:dyDescent="0.25">
      <c r="A44" s="25" t="s">
        <v>28</v>
      </c>
      <c r="B44" s="26">
        <v>7250</v>
      </c>
      <c r="C44" s="26">
        <v>19482.939000000002</v>
      </c>
    </row>
    <row r="45" spans="1:3" x14ac:dyDescent="0.25">
      <c r="A45" s="25" t="s">
        <v>37</v>
      </c>
      <c r="B45" s="26">
        <v>12000</v>
      </c>
      <c r="C45" s="26">
        <v>45000</v>
      </c>
    </row>
    <row r="46" spans="1:3" x14ac:dyDescent="0.25">
      <c r="A46" s="25" t="s">
        <v>39</v>
      </c>
      <c r="B46" s="26">
        <v>800</v>
      </c>
      <c r="C46" s="26">
        <v>1939.011</v>
      </c>
    </row>
    <row r="47" spans="1:3" x14ac:dyDescent="0.25">
      <c r="A47" s="25" t="s">
        <v>20</v>
      </c>
      <c r="B47" s="26">
        <v>8828</v>
      </c>
      <c r="C47" s="26">
        <v>27365.632000000001</v>
      </c>
    </row>
    <row r="48" spans="1:3" x14ac:dyDescent="0.25">
      <c r="A48" s="25" t="s">
        <v>46</v>
      </c>
      <c r="B48" s="26">
        <v>450</v>
      </c>
      <c r="C48" s="26">
        <v>1810</v>
      </c>
    </row>
    <row r="49" spans="1:3" x14ac:dyDescent="0.25">
      <c r="A49" s="25" t="s">
        <v>41</v>
      </c>
      <c r="B49" s="26">
        <v>824</v>
      </c>
      <c r="C49" s="26">
        <v>4048.1610000000001</v>
      </c>
    </row>
    <row r="50" spans="1:3" x14ac:dyDescent="0.25">
      <c r="A50" s="25" t="s">
        <v>3</v>
      </c>
      <c r="B50" s="26">
        <v>106600</v>
      </c>
      <c r="C50" s="26">
        <v>430000</v>
      </c>
    </row>
    <row r="51" spans="1:3" x14ac:dyDescent="0.25">
      <c r="A51" s="25" t="s">
        <v>51</v>
      </c>
      <c r="B51" s="26">
        <v>800</v>
      </c>
      <c r="C51" s="26">
        <v>1997.981</v>
      </c>
    </row>
    <row r="52" spans="1:3" x14ac:dyDescent="0.25">
      <c r="A52" s="25" t="s">
        <v>48</v>
      </c>
      <c r="B52" s="26">
        <v>34000</v>
      </c>
      <c r="C52" s="26">
        <v>135000</v>
      </c>
    </row>
    <row r="53" spans="1:3" x14ac:dyDescent="0.25">
      <c r="A53" s="25" t="s">
        <v>58</v>
      </c>
      <c r="B53" s="26">
        <v>475</v>
      </c>
      <c r="C53" s="26">
        <v>773.02099999999996</v>
      </c>
    </row>
    <row r="54" spans="1:3" x14ac:dyDescent="0.25">
      <c r="A54" s="25" t="s">
        <v>63</v>
      </c>
      <c r="B54" s="26">
        <v>5000</v>
      </c>
      <c r="C54" s="26">
        <v>21036.69</v>
      </c>
    </row>
    <row r="55" spans="1:3" x14ac:dyDescent="0.25">
      <c r="A55" s="25" t="s">
        <v>67</v>
      </c>
      <c r="B55" s="26">
        <v>125</v>
      </c>
      <c r="C55" s="26">
        <v>167</v>
      </c>
    </row>
    <row r="56" spans="1:3" x14ac:dyDescent="0.25">
      <c r="A56" s="25" t="s">
        <v>68</v>
      </c>
      <c r="B56" s="26">
        <v>650</v>
      </c>
      <c r="C56" s="26">
        <v>799.49400000000003</v>
      </c>
    </row>
    <row r="57" spans="1:3" x14ac:dyDescent="0.25">
      <c r="A57" s="25" t="s">
        <v>254</v>
      </c>
      <c r="B57" s="26">
        <v>249</v>
      </c>
      <c r="C57" s="26"/>
    </row>
    <row r="58" spans="1:3" x14ac:dyDescent="0.25">
      <c r="A58" s="25" t="s">
        <v>266</v>
      </c>
      <c r="B58" s="26">
        <v>75</v>
      </c>
      <c r="C58" s="26"/>
    </row>
    <row r="59" spans="1:3" x14ac:dyDescent="0.25">
      <c r="A59" s="25" t="s">
        <v>15</v>
      </c>
      <c r="B59" s="26">
        <v>6500</v>
      </c>
      <c r="C59" s="26">
        <v>26340.053999999996</v>
      </c>
    </row>
    <row r="60" spans="1:3" x14ac:dyDescent="0.25">
      <c r="A60" s="25" t="s">
        <v>60</v>
      </c>
      <c r="B60" s="26">
        <v>181435</v>
      </c>
      <c r="C60" s="26">
        <v>605084.07700000005</v>
      </c>
    </row>
    <row r="61" spans="1:3" x14ac:dyDescent="0.25">
      <c r="A61" s="25" t="s">
        <v>76</v>
      </c>
      <c r="B61" s="26">
        <v>34245</v>
      </c>
      <c r="C61" s="26">
        <v>164000</v>
      </c>
    </row>
    <row r="62" spans="1:3" x14ac:dyDescent="0.25">
      <c r="A62" s="25" t="s">
        <v>278</v>
      </c>
      <c r="B62" s="26">
        <v>63100</v>
      </c>
      <c r="C62" s="26">
        <v>298144.40000000002</v>
      </c>
    </row>
    <row r="63" spans="1:3" x14ac:dyDescent="0.25">
      <c r="A63" s="24" t="s">
        <v>274</v>
      </c>
      <c r="B63" s="26">
        <v>1244207</v>
      </c>
      <c r="C63" s="26">
        <v>5455304.1710000001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A5" sqref="A5"/>
    </sheetView>
  </sheetViews>
  <sheetFormatPr defaultRowHeight="15" x14ac:dyDescent="0.25"/>
  <cols>
    <col min="1" max="1" width="20" bestFit="1" customWidth="1"/>
    <col min="2" max="2" width="10.42578125" customWidth="1"/>
    <col min="3" max="3" width="14" bestFit="1" customWidth="1"/>
    <col min="4" max="4" width="13.7109375" bestFit="1" customWidth="1"/>
  </cols>
  <sheetData>
    <row r="1" spans="1:4" x14ac:dyDescent="0.25">
      <c r="A1" s="10" t="s">
        <v>140</v>
      </c>
      <c r="B1" s="10" t="s">
        <v>151</v>
      </c>
      <c r="C1" s="10" t="s">
        <v>145</v>
      </c>
      <c r="D1" s="10" t="s">
        <v>146</v>
      </c>
    </row>
    <row r="2" spans="1:4" x14ac:dyDescent="0.25">
      <c r="A2" s="8" t="s">
        <v>139</v>
      </c>
      <c r="B2" s="9">
        <f>COUNTIF(Data!$A:$A,A2)</f>
        <v>52</v>
      </c>
      <c r="C2" s="9">
        <f>SUMIF(Data!$A:$A,A2,Data!$G:$G)/1000</f>
        <v>464.10199999999998</v>
      </c>
      <c r="D2" s="9">
        <f>SUMIF(Data!$A:$A,A2,Data!$H:$H)/1000</f>
        <v>1784.565454</v>
      </c>
    </row>
    <row r="3" spans="1:4" x14ac:dyDescent="0.25">
      <c r="A3" s="8" t="s">
        <v>191</v>
      </c>
      <c r="B3" s="9">
        <f>COUNTIF(Data!$A:$A,A3)</f>
        <v>3</v>
      </c>
      <c r="C3" s="9">
        <f>SUMIF(Data!$A:$A,A3,Data!$G:$G)/1000</f>
        <v>11.455</v>
      </c>
      <c r="D3" s="9">
        <f>SUMIF(Data!$A:$A,A3,Data!$H:$H)/1000</f>
        <v>41.475617</v>
      </c>
    </row>
    <row r="4" spans="1:4" x14ac:dyDescent="0.25">
      <c r="A4" s="8" t="s">
        <v>193</v>
      </c>
      <c r="B4" s="9">
        <f>COUNTIF(Data!$A:$A,A4)</f>
        <v>10</v>
      </c>
      <c r="C4" s="9">
        <f>SUMIF(Data!$A:$A,A4,Data!$G:$G)/1000</f>
        <v>14.101000000000001</v>
      </c>
      <c r="D4" s="9">
        <f>SUMIF(Data!$A:$A,A4,Data!$H:$H)/1000</f>
        <v>105.69410000000001</v>
      </c>
    </row>
    <row r="5" spans="1:4" x14ac:dyDescent="0.25">
      <c r="A5" s="8" t="s">
        <v>192</v>
      </c>
      <c r="B5" s="9">
        <f>COUNTIF(Data!$A:$A,A5)</f>
        <v>15</v>
      </c>
      <c r="C5" s="9">
        <f>SUMIF(Data!$A:$A,A5,Data!$G:$G)/1000</f>
        <v>669.24099999999999</v>
      </c>
      <c r="D5" s="9">
        <f>SUMIF(Data!$A:$A,A5,Data!$H:$H)/1000</f>
        <v>3175.2759999999998</v>
      </c>
    </row>
    <row r="6" spans="1:4" x14ac:dyDescent="0.25">
      <c r="A6" s="8" t="s">
        <v>147</v>
      </c>
      <c r="B6" s="9">
        <f>SUM(B2:B5)</f>
        <v>80</v>
      </c>
      <c r="C6" s="9">
        <f>SUM(C2:C5)</f>
        <v>1158.8989999999999</v>
      </c>
      <c r="D6" s="9">
        <f>SUM(D2:D5)</f>
        <v>5107.0111710000001</v>
      </c>
    </row>
  </sheetData>
  <pageMargins left="0.7" right="0.7" top="0.75" bottom="0.75" header="0.3" footer="0.3"/>
  <pageSetup orientation="portrait" horizontalDpi="1200" verticalDpi="1200" r:id="rId1"/>
  <headerFooter>
    <oddHeader>&amp;CAlaska Hydroelectric Inventory Summary</oddHeader>
    <oddFooter>&amp;L&amp;D&amp;CPrepared by Alaska Energy Authority&amp;RPage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 Capacity For Model</vt:lpstr>
      <vt:lpstr>RE Capacity by project</vt:lpstr>
      <vt:lpstr>Hydro Capacity for model</vt:lpstr>
      <vt:lpstr>Wind Capacity For Model</vt:lpstr>
      <vt:lpstr>Data</vt:lpstr>
      <vt:lpstr>Project Totals</vt:lpstr>
      <vt:lpstr>Service Area Totals</vt:lpstr>
      <vt:lpstr>Summary</vt:lpstr>
      <vt:lpstr>Data!Print_Area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Gryting</dc:creator>
  <cp:lastModifiedBy>Neil McMahon</cp:lastModifiedBy>
  <cp:lastPrinted>2015-10-12T21:13:16Z</cp:lastPrinted>
  <dcterms:created xsi:type="dcterms:W3CDTF">2014-07-11T19:04:15Z</dcterms:created>
  <dcterms:modified xsi:type="dcterms:W3CDTF">2016-04-14T00:02:49Z</dcterms:modified>
</cp:coreProperties>
</file>