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tables/table16.xml" ContentType="application/vnd.openxmlformats-officedocument.spreadsheetml.table+xml"/>
  <Override PartName="/xl/comments3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4.xml" ContentType="application/vnd.openxmlformats-officedocument.spreadsheetml.comments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38.xml" ContentType="application/vnd.openxmlformats-officedocument.spreadsheetml.tab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filterPrivacy="1" codeName="ThisWorkbook" defaultThemeVersion="124226"/>
  <bookViews>
    <workbookView xWindow="240" yWindow="108" windowWidth="14808" windowHeight="8016" tabRatio="750" activeTab="1"/>
  </bookViews>
  <sheets>
    <sheet name="图表" sheetId="16" r:id="rId1"/>
    <sheet name="价格" sheetId="14" r:id="rId2"/>
    <sheet name="武器进化" sheetId="20" r:id="rId3"/>
    <sheet name="元气石进化" sheetId="31" r:id="rId4"/>
    <sheet name="真气石进化" sheetId="32" r:id="rId5"/>
    <sheet name="武器进化 (旧)" sheetId="29" state="hidden" r:id="rId6"/>
    <sheet name="首饰进化" sheetId="22" r:id="rId7"/>
    <sheet name="灵核进化" sheetId="21" r:id="rId8"/>
    <sheet name="昆仑仙仑秘功牌&amp;八卦喂养" sheetId="25" r:id="rId9"/>
    <sheet name="制作" sheetId="27" r:id="rId10"/>
    <sheet name="参照_新版制作" sheetId="26" r:id="rId11"/>
    <sheet name="参照_烛魔武器效果" sheetId="6" r:id="rId12"/>
    <sheet name="模板" sheetId="18" r:id="rId13"/>
    <sheet name="Sheet3" sheetId="30" r:id="rId14"/>
    <sheet name="模板 (bak)" sheetId="24" state="hidden" r:id="rId15"/>
  </sheets>
  <externalReferences>
    <externalReference r:id="rId16"/>
  </externalReferences>
  <definedNames>
    <definedName name="材料名" localSheetId="14">金价[[#Data],[材料名]]</definedName>
    <definedName name="材料名" localSheetId="5">金价[[#Data],[材料名]]</definedName>
    <definedName name="材料名" localSheetId="9">金价[[#Data],[材料名]]</definedName>
    <definedName name="材料名">金价[[#Data],[材料名]]</definedName>
    <definedName name="点券一览" localSheetId="14">点券[#Data]</definedName>
    <definedName name="点券一览" localSheetId="5">点券[#Data]</definedName>
    <definedName name="点券一览" localSheetId="9">点券[#Data]</definedName>
    <definedName name="点券一览">点券[#Data]</definedName>
    <definedName name="金价一览" localSheetId="14">金价[#Data]</definedName>
    <definedName name="金价一览" localSheetId="5">金价[#Data]</definedName>
    <definedName name="金价一览" localSheetId="9">金价[#Data]</definedName>
    <definedName name="金价一览">金价[#Data]</definedName>
    <definedName name="神物名" localSheetId="14">点券[[#Data],[材料名]]</definedName>
    <definedName name="神物名" localSheetId="5">点券[[#Data],[材料名]]</definedName>
    <definedName name="神物名" localSheetId="9">点券[[#Data],[材料名]]</definedName>
    <definedName name="神物名">点券[[#Data],[材料名]]</definedName>
    <definedName name="折扣">0.75</definedName>
  </definedNames>
  <calcPr calcId="162913"/>
</workbook>
</file>

<file path=xl/calcChain.xml><?xml version="1.0" encoding="utf-8"?>
<calcChain xmlns="http://schemas.openxmlformats.org/spreadsheetml/2006/main">
  <c r="E97" i="20" l="1"/>
  <c r="E98" i="20"/>
  <c r="E99" i="20"/>
  <c r="E100" i="20"/>
  <c r="E101" i="20"/>
  <c r="E102" i="20"/>
  <c r="E103" i="20"/>
  <c r="E104" i="20"/>
  <c r="E105" i="20"/>
  <c r="H90" i="20" l="1"/>
  <c r="H92" i="20" s="1"/>
  <c r="I90" i="20"/>
  <c r="I92" i="20" s="1"/>
  <c r="J90" i="20"/>
  <c r="J92" i="20" s="1"/>
  <c r="K90" i="20"/>
  <c r="K92" i="20" s="1"/>
  <c r="M90" i="20"/>
  <c r="M92" i="20" s="1"/>
  <c r="N90" i="20"/>
  <c r="N92" i="20" s="1"/>
  <c r="O90" i="20"/>
  <c r="O92" i="20" s="1"/>
  <c r="P90" i="20"/>
  <c r="P92" i="20" s="1"/>
  <c r="Q90" i="20"/>
  <c r="Q92" i="20" s="1"/>
  <c r="R90" i="20"/>
  <c r="R92" i="20" s="1"/>
  <c r="S90" i="20"/>
  <c r="S92" i="20" s="1"/>
  <c r="T90" i="20"/>
  <c r="U90" i="20"/>
  <c r="V90" i="20"/>
  <c r="W90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W91" i="20"/>
  <c r="T92" i="20"/>
  <c r="U92" i="20"/>
  <c r="V92" i="20"/>
  <c r="W92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K9" i="20"/>
  <c r="J9" i="20"/>
  <c r="I9" i="20"/>
  <c r="K8" i="20"/>
  <c r="J8" i="20"/>
  <c r="K7" i="20"/>
  <c r="J7" i="20"/>
  <c r="I7" i="20"/>
  <c r="K6" i="20"/>
  <c r="J6" i="20"/>
  <c r="I6" i="20"/>
  <c r="K5" i="20"/>
  <c r="J5" i="20"/>
  <c r="I5" i="20"/>
  <c r="K4" i="20"/>
  <c r="J4" i="20"/>
  <c r="I4" i="20"/>
  <c r="E76" i="20" l="1"/>
  <c r="C76" i="20" s="1"/>
  <c r="E89" i="20"/>
  <c r="E87" i="20"/>
  <c r="E85" i="20"/>
  <c r="E83" i="20"/>
  <c r="E81" i="20"/>
  <c r="E79" i="20"/>
  <c r="E77" i="20"/>
  <c r="E90" i="20" s="1"/>
  <c r="E88" i="20"/>
  <c r="E86" i="20"/>
  <c r="E84" i="20"/>
  <c r="E82" i="20"/>
  <c r="E80" i="20"/>
  <c r="E78" i="20"/>
  <c r="D90" i="20" l="1"/>
  <c r="C77" i="20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l="1"/>
  <c r="B90" i="20" l="1"/>
  <c r="W105" i="31" l="1"/>
  <c r="W106" i="31" s="1"/>
  <c r="V105" i="31"/>
  <c r="V106" i="31" s="1"/>
  <c r="U105" i="31"/>
  <c r="U106" i="31" s="1"/>
  <c r="T105" i="31"/>
  <c r="T106" i="31" s="1"/>
  <c r="S105" i="31"/>
  <c r="R105" i="31"/>
  <c r="Q105" i="31"/>
  <c r="P105" i="31"/>
  <c r="O105" i="31"/>
  <c r="N105" i="31"/>
  <c r="M105" i="31"/>
  <c r="L105" i="31"/>
  <c r="K105" i="31"/>
  <c r="J105" i="31"/>
  <c r="I105" i="31"/>
  <c r="H105" i="31"/>
  <c r="W104" i="31"/>
  <c r="V104" i="31"/>
  <c r="U104" i="31"/>
  <c r="T104" i="31"/>
  <c r="E103" i="31" s="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O121" i="31"/>
  <c r="O122" i="31"/>
  <c r="O123" i="31"/>
  <c r="O124" i="31"/>
  <c r="O125" i="31"/>
  <c r="O126" i="31"/>
  <c r="O127" i="31"/>
  <c r="O128" i="31"/>
  <c r="O129" i="31"/>
  <c r="O130" i="31"/>
  <c r="O131" i="31"/>
  <c r="O132" i="31"/>
  <c r="O133" i="31"/>
  <c r="O134" i="31"/>
  <c r="W136" i="31"/>
  <c r="W137" i="31" s="1"/>
  <c r="V136" i="31"/>
  <c r="U136" i="31"/>
  <c r="T136" i="31"/>
  <c r="S136" i="31"/>
  <c r="R136" i="31"/>
  <c r="Q136" i="31"/>
  <c r="P136" i="31"/>
  <c r="N136" i="31"/>
  <c r="M136" i="31"/>
  <c r="L136" i="31"/>
  <c r="K136" i="31"/>
  <c r="J136" i="31"/>
  <c r="I136" i="31"/>
  <c r="H136" i="31"/>
  <c r="W135" i="31"/>
  <c r="V135" i="31"/>
  <c r="U135" i="31"/>
  <c r="T135" i="31"/>
  <c r="S135" i="31"/>
  <c r="P135" i="31"/>
  <c r="O135" i="31"/>
  <c r="N135" i="31"/>
  <c r="M135" i="31"/>
  <c r="L135" i="31"/>
  <c r="K135" i="31"/>
  <c r="J135" i="31"/>
  <c r="I135" i="31"/>
  <c r="H135" i="31"/>
  <c r="W153" i="31"/>
  <c r="V153" i="31"/>
  <c r="U153" i="31"/>
  <c r="T153" i="31"/>
  <c r="S153" i="31"/>
  <c r="R153" i="31"/>
  <c r="Q153" i="31"/>
  <c r="P153" i="31"/>
  <c r="O153" i="31"/>
  <c r="N153" i="31"/>
  <c r="M153" i="31"/>
  <c r="L153" i="31"/>
  <c r="K153" i="31"/>
  <c r="J153" i="31"/>
  <c r="I153" i="31"/>
  <c r="H153" i="31"/>
  <c r="W152" i="31"/>
  <c r="V152" i="31"/>
  <c r="U152" i="31"/>
  <c r="T152" i="31"/>
  <c r="S152" i="31"/>
  <c r="R152" i="31"/>
  <c r="Q152" i="31"/>
  <c r="P152" i="31"/>
  <c r="O152" i="31"/>
  <c r="N152" i="31"/>
  <c r="M152" i="31"/>
  <c r="L152" i="31"/>
  <c r="K152" i="31"/>
  <c r="J152" i="31"/>
  <c r="I152" i="31"/>
  <c r="H152" i="31"/>
  <c r="D103" i="31" l="1"/>
  <c r="H106" i="31"/>
  <c r="L106" i="31"/>
  <c r="P106" i="31"/>
  <c r="I106" i="31"/>
  <c r="M106" i="31"/>
  <c r="Q106" i="31"/>
  <c r="J106" i="31"/>
  <c r="N106" i="31"/>
  <c r="R106" i="31"/>
  <c r="K106" i="31"/>
  <c r="O106" i="31"/>
  <c r="S106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O136" i="31"/>
  <c r="O137" i="31" s="1"/>
  <c r="J137" i="31"/>
  <c r="N137" i="31"/>
  <c r="L137" i="31"/>
  <c r="P137" i="31"/>
  <c r="I137" i="31"/>
  <c r="M137" i="31"/>
  <c r="K137" i="31"/>
  <c r="S137" i="31"/>
  <c r="H137" i="31"/>
  <c r="V137" i="31"/>
  <c r="E134" i="31"/>
  <c r="U137" i="31"/>
  <c r="T137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J154" i="31"/>
  <c r="N154" i="31"/>
  <c r="R154" i="31"/>
  <c r="V154" i="31"/>
  <c r="H154" i="31"/>
  <c r="L154" i="31"/>
  <c r="P154" i="31"/>
  <c r="T154" i="31"/>
  <c r="I154" i="31"/>
  <c r="M154" i="31"/>
  <c r="Q154" i="31"/>
  <c r="U154" i="31"/>
  <c r="K154" i="31"/>
  <c r="O154" i="31"/>
  <c r="S154" i="31"/>
  <c r="W154" i="31"/>
  <c r="D141" i="31"/>
  <c r="D142" i="31"/>
  <c r="D143" i="31"/>
  <c r="D144" i="31"/>
  <c r="D145" i="31"/>
  <c r="D146" i="31"/>
  <c r="D147" i="31"/>
  <c r="D148" i="31"/>
  <c r="D149" i="31"/>
  <c r="D150" i="31"/>
  <c r="D151" i="31"/>
  <c r="E141" i="31"/>
  <c r="E142" i="31"/>
  <c r="E143" i="31"/>
  <c r="E144" i="31"/>
  <c r="E145" i="31"/>
  <c r="E146" i="31"/>
  <c r="E147" i="31"/>
  <c r="E148" i="31"/>
  <c r="E149" i="31"/>
  <c r="E150" i="31"/>
  <c r="E151" i="31"/>
  <c r="P29" i="32"/>
  <c r="P28" i="32"/>
  <c r="Z29" i="32"/>
  <c r="Y29" i="32"/>
  <c r="X29" i="32"/>
  <c r="W29" i="32"/>
  <c r="V29" i="32"/>
  <c r="U29" i="32"/>
  <c r="T29" i="32"/>
  <c r="S29" i="32"/>
  <c r="R29" i="32"/>
  <c r="Q29" i="32"/>
  <c r="O29" i="32"/>
  <c r="N29" i="32"/>
  <c r="M29" i="32"/>
  <c r="L29" i="32"/>
  <c r="K29" i="32"/>
  <c r="J29" i="32"/>
  <c r="Z28" i="32"/>
  <c r="Y28" i="32"/>
  <c r="X28" i="32"/>
  <c r="W28" i="32"/>
  <c r="V28" i="32"/>
  <c r="U28" i="32"/>
  <c r="T28" i="32"/>
  <c r="S28" i="32"/>
  <c r="O28" i="32"/>
  <c r="N28" i="32"/>
  <c r="M28" i="32"/>
  <c r="L28" i="32"/>
  <c r="K28" i="32"/>
  <c r="J28" i="32"/>
  <c r="B38" i="31"/>
  <c r="C38" i="31"/>
  <c r="H38" i="31"/>
  <c r="I38" i="31"/>
  <c r="J38" i="31"/>
  <c r="M38" i="31"/>
  <c r="N38" i="31"/>
  <c r="O38" i="31"/>
  <c r="P38" i="31"/>
  <c r="Q38" i="31"/>
  <c r="R38" i="31"/>
  <c r="S38" i="31"/>
  <c r="T38" i="31"/>
  <c r="E30" i="31" s="1"/>
  <c r="U38" i="31"/>
  <c r="V38" i="31"/>
  <c r="W38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W40" i="31" s="1"/>
  <c r="T40" i="31"/>
  <c r="W59" i="31"/>
  <c r="V59" i="31"/>
  <c r="U59" i="31"/>
  <c r="T59" i="31"/>
  <c r="S59" i="31"/>
  <c r="R59" i="31"/>
  <c r="Q59" i="31"/>
  <c r="P59" i="31"/>
  <c r="O59" i="31"/>
  <c r="N59" i="31"/>
  <c r="M59" i="31"/>
  <c r="L59" i="31"/>
  <c r="K59" i="31"/>
  <c r="J59" i="31"/>
  <c r="I59" i="31"/>
  <c r="H59" i="31"/>
  <c r="W58" i="31"/>
  <c r="V58" i="31"/>
  <c r="U58" i="31"/>
  <c r="T58" i="31"/>
  <c r="S58" i="31"/>
  <c r="R58" i="31"/>
  <c r="Q58" i="31"/>
  <c r="P58" i="31"/>
  <c r="O58" i="31"/>
  <c r="L58" i="31"/>
  <c r="K58" i="31"/>
  <c r="J58" i="31"/>
  <c r="I58" i="31"/>
  <c r="H58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W107" i="29"/>
  <c r="V107" i="29"/>
  <c r="U107" i="29"/>
  <c r="T107" i="29"/>
  <c r="S107" i="29"/>
  <c r="R107" i="29"/>
  <c r="Q107" i="29"/>
  <c r="P107" i="29"/>
  <c r="O107" i="29"/>
  <c r="N107" i="29"/>
  <c r="M107" i="29"/>
  <c r="L107" i="29"/>
  <c r="K107" i="29"/>
  <c r="J107" i="29"/>
  <c r="I107" i="29"/>
  <c r="H107" i="29"/>
  <c r="W106" i="29"/>
  <c r="V106" i="29"/>
  <c r="U106" i="29"/>
  <c r="T106" i="29"/>
  <c r="S106" i="29"/>
  <c r="R106" i="29"/>
  <c r="Q106" i="29"/>
  <c r="P106" i="29"/>
  <c r="O106" i="29"/>
  <c r="N106" i="29"/>
  <c r="M106" i="29"/>
  <c r="K106" i="29"/>
  <c r="J106" i="29"/>
  <c r="I106" i="29"/>
  <c r="H106" i="29"/>
  <c r="C106" i="29"/>
  <c r="B106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W90" i="29"/>
  <c r="V90" i="29"/>
  <c r="U90" i="29"/>
  <c r="U92" i="29" s="1"/>
  <c r="T90" i="29"/>
  <c r="S90" i="29"/>
  <c r="R90" i="29"/>
  <c r="Q90" i="29"/>
  <c r="P90" i="29"/>
  <c r="O90" i="29"/>
  <c r="N90" i="29"/>
  <c r="M90" i="29"/>
  <c r="K90" i="29"/>
  <c r="J90" i="29"/>
  <c r="I90" i="29"/>
  <c r="H9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W69" i="29"/>
  <c r="V69" i="29"/>
  <c r="U69" i="29"/>
  <c r="T69" i="29"/>
  <c r="S69" i="29"/>
  <c r="R69" i="29"/>
  <c r="Q69" i="29"/>
  <c r="Q71" i="29" s="1"/>
  <c r="P69" i="29"/>
  <c r="O69" i="29"/>
  <c r="N69" i="29"/>
  <c r="M69" i="29"/>
  <c r="K69" i="29"/>
  <c r="J69" i="29"/>
  <c r="I69" i="29"/>
  <c r="I71" i="29" s="1"/>
  <c r="H6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W48" i="29"/>
  <c r="V48" i="29"/>
  <c r="U48" i="29"/>
  <c r="T48" i="29"/>
  <c r="S48" i="29"/>
  <c r="R48" i="29"/>
  <c r="Q48" i="29"/>
  <c r="P48" i="29"/>
  <c r="N48" i="29"/>
  <c r="M48" i="29"/>
  <c r="L48" i="29"/>
  <c r="K48" i="29"/>
  <c r="J48" i="29"/>
  <c r="I48" i="29"/>
  <c r="H48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W38" i="29"/>
  <c r="W39" i="29" s="1"/>
  <c r="V38" i="29"/>
  <c r="V39" i="29" s="1"/>
  <c r="U38" i="29"/>
  <c r="T38" i="29"/>
  <c r="S38" i="29"/>
  <c r="S40" i="29" s="1"/>
  <c r="R38" i="29"/>
  <c r="Q38" i="29"/>
  <c r="P38" i="29"/>
  <c r="O38" i="29"/>
  <c r="O40" i="29" s="1"/>
  <c r="N38" i="29"/>
  <c r="M38" i="29"/>
  <c r="L38" i="29"/>
  <c r="K38" i="29"/>
  <c r="J38" i="29"/>
  <c r="I38" i="29"/>
  <c r="H38" i="29"/>
  <c r="U29" i="29"/>
  <c r="T29" i="29"/>
  <c r="O29" i="29"/>
  <c r="N29" i="29"/>
  <c r="M29" i="29"/>
  <c r="L29" i="29"/>
  <c r="K29" i="29"/>
  <c r="J29" i="29"/>
  <c r="I29" i="29"/>
  <c r="H29" i="29"/>
  <c r="W28" i="29"/>
  <c r="V28" i="29"/>
  <c r="U28" i="29"/>
  <c r="T28" i="29"/>
  <c r="S28" i="29"/>
  <c r="S29" i="29" s="1"/>
  <c r="S30" i="29" s="1"/>
  <c r="R28" i="29"/>
  <c r="R29" i="29" s="1"/>
  <c r="R30" i="29" s="1"/>
  <c r="Q28" i="29"/>
  <c r="Q29" i="29" s="1"/>
  <c r="Q30" i="29" s="1"/>
  <c r="P28" i="29"/>
  <c r="P29" i="29" s="1"/>
  <c r="P30" i="29" s="1"/>
  <c r="O28" i="29"/>
  <c r="N28" i="29"/>
  <c r="M28" i="29"/>
  <c r="L28" i="29"/>
  <c r="K28" i="29"/>
  <c r="J28" i="29"/>
  <c r="I28" i="29"/>
  <c r="H28" i="29"/>
  <c r="U19" i="29"/>
  <c r="T19" i="29"/>
  <c r="O19" i="29"/>
  <c r="N19" i="29"/>
  <c r="M19" i="29"/>
  <c r="L19" i="29"/>
  <c r="K19" i="29"/>
  <c r="J19" i="29"/>
  <c r="I19" i="29"/>
  <c r="H19" i="29"/>
  <c r="W18" i="29"/>
  <c r="V18" i="29"/>
  <c r="U18" i="29"/>
  <c r="T18" i="29"/>
  <c r="S18" i="29"/>
  <c r="S19" i="29" s="1"/>
  <c r="S20" i="29" s="1"/>
  <c r="R18" i="29"/>
  <c r="R19" i="29" s="1"/>
  <c r="R20" i="29" s="1"/>
  <c r="Q18" i="29"/>
  <c r="Q19" i="29" s="1"/>
  <c r="Q20" i="29" s="1"/>
  <c r="P18" i="29"/>
  <c r="P19" i="29" s="1"/>
  <c r="P20" i="29" s="1"/>
  <c r="O18" i="29"/>
  <c r="N18" i="29"/>
  <c r="N20" i="29" s="1"/>
  <c r="M18" i="29"/>
  <c r="L18" i="29"/>
  <c r="K18" i="29"/>
  <c r="J18" i="29"/>
  <c r="J20" i="29" s="1"/>
  <c r="I18" i="29"/>
  <c r="H18" i="29"/>
  <c r="E12" i="29"/>
  <c r="D12" i="29"/>
  <c r="E11" i="29"/>
  <c r="D11" i="29"/>
  <c r="E10" i="29"/>
  <c r="D10" i="29"/>
  <c r="E9" i="29"/>
  <c r="D9" i="29"/>
  <c r="E8" i="29"/>
  <c r="D8" i="29"/>
  <c r="E7" i="29"/>
  <c r="D7" i="29"/>
  <c r="E6" i="29"/>
  <c r="D6" i="29"/>
  <c r="E5" i="29"/>
  <c r="D5" i="29"/>
  <c r="E4" i="29"/>
  <c r="D4" i="29"/>
  <c r="B4" i="29" s="1"/>
  <c r="N40" i="31" l="1"/>
  <c r="S40" i="31"/>
  <c r="O40" i="31"/>
  <c r="E104" i="31"/>
  <c r="C90" i="31"/>
  <c r="D104" i="31"/>
  <c r="B90" i="31"/>
  <c r="M40" i="31"/>
  <c r="E135" i="31"/>
  <c r="C121" i="31"/>
  <c r="E152" i="31"/>
  <c r="C141" i="31"/>
  <c r="D152" i="31"/>
  <c r="B141" i="31"/>
  <c r="E36" i="29"/>
  <c r="U40" i="31"/>
  <c r="V40" i="31"/>
  <c r="R40" i="31"/>
  <c r="P40" i="31"/>
  <c r="Q40" i="31"/>
  <c r="E24" i="31"/>
  <c r="T20" i="29"/>
  <c r="E99" i="29"/>
  <c r="E26" i="29"/>
  <c r="J40" i="31"/>
  <c r="P30" i="32"/>
  <c r="G27" i="32"/>
  <c r="G18" i="32"/>
  <c r="G20" i="32"/>
  <c r="G22" i="32"/>
  <c r="G24" i="32"/>
  <c r="G26" i="32"/>
  <c r="G19" i="32"/>
  <c r="G21" i="32"/>
  <c r="G23" i="32"/>
  <c r="G25" i="32"/>
  <c r="I40" i="31"/>
  <c r="H40" i="31"/>
  <c r="D16" i="29"/>
  <c r="O30" i="32"/>
  <c r="T30" i="32"/>
  <c r="X30" i="32"/>
  <c r="L30" i="32"/>
  <c r="U30" i="32"/>
  <c r="Y30" i="32"/>
  <c r="G17" i="32"/>
  <c r="J30" i="32"/>
  <c r="N30" i="32"/>
  <c r="S30" i="32"/>
  <c r="W30" i="32"/>
  <c r="K30" i="32"/>
  <c r="M30" i="32"/>
  <c r="V30" i="32"/>
  <c r="Z30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E37" i="31"/>
  <c r="E35" i="31"/>
  <c r="E33" i="31"/>
  <c r="E31" i="31"/>
  <c r="E36" i="31"/>
  <c r="E34" i="31"/>
  <c r="E32" i="31"/>
  <c r="E28" i="31"/>
  <c r="E26" i="31"/>
  <c r="E25" i="31"/>
  <c r="E27" i="31"/>
  <c r="E29" i="31"/>
  <c r="O20" i="31"/>
  <c r="S20" i="31"/>
  <c r="W20" i="31"/>
  <c r="E57" i="31"/>
  <c r="E52" i="31"/>
  <c r="E50" i="31"/>
  <c r="E48" i="31"/>
  <c r="E46" i="31"/>
  <c r="E44" i="31"/>
  <c r="C44" i="31" s="1"/>
  <c r="E51" i="31"/>
  <c r="E49" i="31"/>
  <c r="E47" i="31"/>
  <c r="E45" i="31"/>
  <c r="H60" i="31"/>
  <c r="L60" i="31"/>
  <c r="P60" i="31"/>
  <c r="T60" i="31"/>
  <c r="P20" i="31"/>
  <c r="I60" i="31"/>
  <c r="Q60" i="31"/>
  <c r="U60" i="31"/>
  <c r="Q20" i="31"/>
  <c r="J60" i="31"/>
  <c r="R60" i="31"/>
  <c r="V60" i="31"/>
  <c r="N20" i="31"/>
  <c r="R20" i="31"/>
  <c r="V20" i="31"/>
  <c r="K60" i="31"/>
  <c r="O60" i="31"/>
  <c r="S60" i="31"/>
  <c r="W60" i="31"/>
  <c r="E53" i="31"/>
  <c r="E54" i="31"/>
  <c r="E55" i="31"/>
  <c r="E56" i="31"/>
  <c r="E17" i="31"/>
  <c r="U20" i="31"/>
  <c r="T20" i="31"/>
  <c r="M20" i="31"/>
  <c r="L20" i="31"/>
  <c r="K20" i="31"/>
  <c r="J20" i="31"/>
  <c r="D17" i="31"/>
  <c r="I20" i="31"/>
  <c r="H20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I20" i="29"/>
  <c r="M20" i="29"/>
  <c r="I30" i="29"/>
  <c r="M30" i="29"/>
  <c r="I50" i="29"/>
  <c r="M50" i="29"/>
  <c r="Q50" i="29"/>
  <c r="U50" i="29"/>
  <c r="M71" i="29"/>
  <c r="U71" i="29"/>
  <c r="K92" i="29"/>
  <c r="O92" i="29"/>
  <c r="S92" i="29"/>
  <c r="W92" i="29"/>
  <c r="K108" i="29"/>
  <c r="O108" i="29"/>
  <c r="S108" i="29"/>
  <c r="W108" i="29"/>
  <c r="U20" i="29"/>
  <c r="E25" i="29"/>
  <c r="J30" i="29"/>
  <c r="N30" i="29"/>
  <c r="E37" i="29"/>
  <c r="K40" i="29"/>
  <c r="J50" i="29"/>
  <c r="N50" i="29"/>
  <c r="R50" i="29"/>
  <c r="V50" i="29"/>
  <c r="J71" i="29"/>
  <c r="N71" i="29"/>
  <c r="R71" i="29"/>
  <c r="V71" i="29"/>
  <c r="H92" i="29"/>
  <c r="P92" i="29"/>
  <c r="T92" i="29"/>
  <c r="H108" i="29"/>
  <c r="P108" i="29"/>
  <c r="T108" i="29"/>
  <c r="K30" i="29"/>
  <c r="O30" i="29"/>
  <c r="H40" i="29"/>
  <c r="L40" i="29"/>
  <c r="P40" i="29"/>
  <c r="T40" i="29"/>
  <c r="K50" i="29"/>
  <c r="S50" i="29"/>
  <c r="W50" i="29"/>
  <c r="K71" i="29"/>
  <c r="O71" i="29"/>
  <c r="S71" i="29"/>
  <c r="W71" i="29"/>
  <c r="I92" i="29"/>
  <c r="M92" i="29"/>
  <c r="Q92" i="29"/>
  <c r="E103" i="29"/>
  <c r="I108" i="29"/>
  <c r="M108" i="29"/>
  <c r="Q108" i="29"/>
  <c r="U108" i="29"/>
  <c r="J40" i="29"/>
  <c r="N40" i="29"/>
  <c r="R40" i="29"/>
  <c r="K20" i="29"/>
  <c r="O20" i="29"/>
  <c r="H20" i="29"/>
  <c r="L20" i="29"/>
  <c r="H30" i="29"/>
  <c r="L30" i="29"/>
  <c r="T30" i="29"/>
  <c r="E35" i="29"/>
  <c r="C35" i="29" s="1"/>
  <c r="I40" i="29"/>
  <c r="M40" i="29"/>
  <c r="Q40" i="29"/>
  <c r="U40" i="29"/>
  <c r="H50" i="29"/>
  <c r="L50" i="29"/>
  <c r="P50" i="29"/>
  <c r="T50" i="29"/>
  <c r="H71" i="29"/>
  <c r="P71" i="29"/>
  <c r="T71" i="29"/>
  <c r="J92" i="29"/>
  <c r="N92" i="29"/>
  <c r="R92" i="29"/>
  <c r="V92" i="29"/>
  <c r="J108" i="29"/>
  <c r="N108" i="29"/>
  <c r="R108" i="29"/>
  <c r="V108" i="29"/>
  <c r="B5" i="29"/>
  <c r="B6" i="29" s="1"/>
  <c r="B7" i="29" s="1"/>
  <c r="B8" i="29" s="1"/>
  <c r="B9" i="29" s="1"/>
  <c r="B10" i="29" s="1"/>
  <c r="B11" i="29" s="1"/>
  <c r="B12" i="29" s="1"/>
  <c r="D17" i="29"/>
  <c r="C25" i="29"/>
  <c r="E47" i="29"/>
  <c r="E46" i="29"/>
  <c r="U30" i="29"/>
  <c r="E97" i="29"/>
  <c r="E105" i="29"/>
  <c r="D15" i="29"/>
  <c r="E17" i="29"/>
  <c r="E16" i="29"/>
  <c r="E15" i="29"/>
  <c r="D13" i="29"/>
  <c r="E14" i="29"/>
  <c r="D37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104" i="29"/>
  <c r="E102" i="29"/>
  <c r="E100" i="29"/>
  <c r="E98" i="29"/>
  <c r="D14" i="29"/>
  <c r="D27" i="29"/>
  <c r="D25" i="29"/>
  <c r="D26" i="29"/>
  <c r="C4" i="29"/>
  <c r="E13" i="29"/>
  <c r="E27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101" i="29"/>
  <c r="D35" i="29"/>
  <c r="D36" i="29"/>
  <c r="Y26" i="29" s="1"/>
  <c r="H24" i="27"/>
  <c r="H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G25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Z26" i="29" l="1"/>
  <c r="B91" i="3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C91" i="31"/>
  <c r="C92" i="31" s="1"/>
  <c r="C93" i="31" s="1"/>
  <c r="C94" i="31" s="1"/>
  <c r="C95" i="31" s="1"/>
  <c r="C96" i="31" s="1"/>
  <c r="C97" i="31" s="1"/>
  <c r="C98" i="31" s="1"/>
  <c r="C99" i="31" s="1"/>
  <c r="C100" i="31" s="1"/>
  <c r="C101" i="31" s="1"/>
  <c r="C102" i="31" s="1"/>
  <c r="C103" i="31" s="1"/>
  <c r="C122" i="31"/>
  <c r="C123" i="31" s="1"/>
  <c r="C124" i="31" s="1"/>
  <c r="C125" i="31" s="1"/>
  <c r="C126" i="31" s="1"/>
  <c r="C127" i="31" s="1"/>
  <c r="C128" i="31" s="1"/>
  <c r="C129" i="31" s="1"/>
  <c r="C130" i="31" s="1"/>
  <c r="C131" i="31" s="1"/>
  <c r="C132" i="31" s="1"/>
  <c r="C133" i="31" s="1"/>
  <c r="C134" i="31" s="1"/>
  <c r="C142" i="31"/>
  <c r="C143" i="31" s="1"/>
  <c r="C144" i="31" s="1"/>
  <c r="C145" i="31" s="1"/>
  <c r="C146" i="31" s="1"/>
  <c r="C147" i="31" s="1"/>
  <c r="C148" i="31" s="1"/>
  <c r="C149" i="31" s="1"/>
  <c r="C150" i="31" s="1"/>
  <c r="C151" i="31" s="1"/>
  <c r="B142" i="31"/>
  <c r="B143" i="31" s="1"/>
  <c r="B144" i="31" s="1"/>
  <c r="B145" i="31" s="1"/>
  <c r="B146" i="31" s="1"/>
  <c r="B147" i="31" s="1"/>
  <c r="B148" i="31" s="1"/>
  <c r="B149" i="31" s="1"/>
  <c r="B150" i="31" s="1"/>
  <c r="B151" i="31" s="1"/>
  <c r="Z27" i="29"/>
  <c r="Z25" i="29"/>
  <c r="G28" i="32"/>
  <c r="E4" i="32"/>
  <c r="C45" i="31"/>
  <c r="C46" i="31" s="1"/>
  <c r="C47" i="31" s="1"/>
  <c r="C48" i="31" s="1"/>
  <c r="C49" i="31" s="1"/>
  <c r="E38" i="31"/>
  <c r="E58" i="31"/>
  <c r="D18" i="31"/>
  <c r="B4" i="31"/>
  <c r="E18" i="31"/>
  <c r="C4" i="31"/>
  <c r="E18" i="29"/>
  <c r="E38" i="29"/>
  <c r="D18" i="29"/>
  <c r="C5" i="29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E90" i="29"/>
  <c r="C76" i="29"/>
  <c r="Y27" i="29"/>
  <c r="E106" i="29"/>
  <c r="E28" i="29"/>
  <c r="E69" i="29"/>
  <c r="C55" i="29"/>
  <c r="D28" i="29"/>
  <c r="B25" i="29"/>
  <c r="C36" i="29"/>
  <c r="C37" i="29" s="1"/>
  <c r="B13" i="29"/>
  <c r="B14" i="29" s="1"/>
  <c r="B15" i="29" s="1"/>
  <c r="B16" i="29" s="1"/>
  <c r="B17" i="29" s="1"/>
  <c r="D38" i="29"/>
  <c r="B35" i="29"/>
  <c r="Y25" i="29"/>
  <c r="E48" i="29"/>
  <c r="C46" i="29"/>
  <c r="C26" i="29"/>
  <c r="C27" i="29" s="1"/>
  <c r="H26" i="27"/>
  <c r="K26" i="27"/>
  <c r="O26" i="27"/>
  <c r="S26" i="27"/>
  <c r="L26" i="27"/>
  <c r="P26" i="27"/>
  <c r="T26" i="27"/>
  <c r="I26" i="27"/>
  <c r="M26" i="27"/>
  <c r="Q26" i="27"/>
  <c r="U26" i="27"/>
  <c r="J26" i="27"/>
  <c r="N26" i="27"/>
  <c r="R26" i="27"/>
  <c r="V26" i="27"/>
  <c r="C50" i="31" l="1"/>
  <c r="C140" i="16" s="1"/>
  <c r="C138" i="16"/>
  <c r="C104" i="31"/>
  <c r="B104" i="31"/>
  <c r="C135" i="31"/>
  <c r="B152" i="31"/>
  <c r="C152" i="31"/>
  <c r="E5" i="32"/>
  <c r="E6" i="32" s="1"/>
  <c r="E7" i="32" s="1"/>
  <c r="C51" i="31"/>
  <c r="C52" i="31" s="1"/>
  <c r="C53" i="31" s="1"/>
  <c r="C54" i="31" s="1"/>
  <c r="C55" i="31" s="1"/>
  <c r="C56" i="31" s="1"/>
  <c r="C57" i="31" s="1"/>
  <c r="C5" i="31"/>
  <c r="C6" i="31" s="1"/>
  <c r="C7" i="31" s="1"/>
  <c r="C8" i="31" s="1"/>
  <c r="C9" i="31" s="1"/>
  <c r="C10" i="31" s="1"/>
  <c r="B5" i="31"/>
  <c r="B6" i="31" s="1"/>
  <c r="B7" i="31" s="1"/>
  <c r="B8" i="31" s="1"/>
  <c r="B9" i="31" s="1"/>
  <c r="B10" i="31" s="1"/>
  <c r="B18" i="29"/>
  <c r="C28" i="29"/>
  <c r="C38" i="29"/>
  <c r="C18" i="29"/>
  <c r="B36" i="29"/>
  <c r="B37" i="29" s="1"/>
  <c r="B26" i="29"/>
  <c r="B27" i="29" s="1"/>
  <c r="C47" i="29"/>
  <c r="C48" i="29" s="1"/>
  <c r="C77" i="29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56" i="29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G18" i="27"/>
  <c r="H18" i="27"/>
  <c r="I18" i="27"/>
  <c r="J18" i="27"/>
  <c r="K18" i="27"/>
  <c r="L18" i="27"/>
  <c r="M18" i="27"/>
  <c r="O18" i="27"/>
  <c r="P18" i="27"/>
  <c r="Q18" i="27"/>
  <c r="R18" i="27"/>
  <c r="S18" i="27"/>
  <c r="T18" i="27"/>
  <c r="U18" i="27"/>
  <c r="V18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C11" i="31" l="1"/>
  <c r="C12" i="31" s="1"/>
  <c r="C13" i="31" s="1"/>
  <c r="C14" i="31" s="1"/>
  <c r="C134" i="16"/>
  <c r="B11" i="31"/>
  <c r="B12" i="31" s="1"/>
  <c r="B13" i="31" s="1"/>
  <c r="B14" i="31" s="1"/>
  <c r="B134" i="16"/>
  <c r="E8" i="32"/>
  <c r="E9" i="32" s="1"/>
  <c r="E10" i="32" s="1"/>
  <c r="E11" i="32" s="1"/>
  <c r="E12" i="32" s="1"/>
  <c r="E13" i="32" s="1"/>
  <c r="E14" i="32" s="1"/>
  <c r="E15" i="32" s="1"/>
  <c r="E16" i="32" s="1"/>
  <c r="E17" i="32" s="1"/>
  <c r="C58" i="31"/>
  <c r="B38" i="29"/>
  <c r="B28" i="29"/>
  <c r="C69" i="29"/>
  <c r="C90" i="29"/>
  <c r="H20" i="27"/>
  <c r="I20" i="27"/>
  <c r="M20" i="27"/>
  <c r="Q20" i="27"/>
  <c r="U20" i="27"/>
  <c r="G20" i="27"/>
  <c r="K20" i="27"/>
  <c r="O20" i="27"/>
  <c r="S20" i="27"/>
  <c r="L20" i="27"/>
  <c r="P20" i="27"/>
  <c r="T20" i="27"/>
  <c r="J20" i="27"/>
  <c r="R20" i="27"/>
  <c r="V20" i="27"/>
  <c r="C11" i="25"/>
  <c r="C12" i="25" s="1"/>
  <c r="B11" i="25"/>
  <c r="B12" i="25" s="1"/>
  <c r="E5" i="25"/>
  <c r="E6" i="25" s="1"/>
  <c r="D5" i="25"/>
  <c r="D6" i="25" s="1"/>
  <c r="C5" i="25"/>
  <c r="C6" i="25" s="1"/>
  <c r="B5" i="25"/>
  <c r="B6" i="25" s="1"/>
  <c r="D12" i="25"/>
  <c r="F6" i="25"/>
  <c r="C15" i="31" l="1"/>
  <c r="C16" i="31" s="1"/>
  <c r="C17" i="31" s="1"/>
  <c r="C135" i="16"/>
  <c r="C137" i="16" s="1"/>
  <c r="B15" i="31"/>
  <c r="B135" i="16"/>
  <c r="E18" i="32"/>
  <c r="E19" i="32" s="1"/>
  <c r="E20" i="32" s="1"/>
  <c r="E21" i="32" s="1"/>
  <c r="E22" i="32" s="1"/>
  <c r="E23" i="32" s="1"/>
  <c r="E24" i="32" s="1"/>
  <c r="E25" i="32" s="1"/>
  <c r="E26" i="32" s="1"/>
  <c r="E27" i="32" s="1"/>
  <c r="B13" i="25"/>
  <c r="B7" i="25"/>
  <c r="B8" i="25" s="1"/>
  <c r="B16" i="31" l="1"/>
  <c r="B17" i="31" s="1"/>
  <c r="C18" i="31"/>
  <c r="C136" i="16" s="1"/>
  <c r="C141" i="16" s="1"/>
  <c r="C142" i="16"/>
  <c r="E28" i="32"/>
  <c r="M101" i="6"/>
  <c r="L101" i="6"/>
  <c r="N101" i="6"/>
  <c r="B18" i="31" l="1"/>
  <c r="B136" i="16" s="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E66" i="21" l="1"/>
  <c r="L69" i="21"/>
  <c r="T69" i="21"/>
  <c r="E64" i="21"/>
  <c r="Q69" i="21"/>
  <c r="E65" i="21"/>
  <c r="J69" i="21"/>
  <c r="N69" i="21"/>
  <c r="R69" i="21"/>
  <c r="V69" i="21"/>
  <c r="H69" i="21"/>
  <c r="P69" i="21"/>
  <c r="I69" i="21"/>
  <c r="M69" i="21"/>
  <c r="U69" i="21"/>
  <c r="K69" i="21"/>
  <c r="O69" i="21"/>
  <c r="S69" i="21"/>
  <c r="W69" i="21"/>
  <c r="D64" i="21"/>
  <c r="D65" i="21"/>
  <c r="D66" i="21"/>
  <c r="E67" i="21" l="1"/>
  <c r="C67" i="21"/>
  <c r="D67" i="21"/>
  <c r="B67" i="21" l="1"/>
  <c r="W102" i="22" l="1"/>
  <c r="V102" i="22"/>
  <c r="U102" i="22"/>
  <c r="T102" i="22"/>
  <c r="S102" i="22"/>
  <c r="R102" i="22"/>
  <c r="Q102" i="22"/>
  <c r="P102" i="22"/>
  <c r="O102" i="22"/>
  <c r="N102" i="22"/>
  <c r="M102" i="22"/>
  <c r="L102" i="22"/>
  <c r="K102" i="22"/>
  <c r="J102" i="22"/>
  <c r="I102" i="22"/>
  <c r="H102" i="22"/>
  <c r="W101" i="22"/>
  <c r="V101" i="22"/>
  <c r="U101" i="22"/>
  <c r="T101" i="22"/>
  <c r="S101" i="22"/>
  <c r="R101" i="22"/>
  <c r="Q101" i="22"/>
  <c r="P101" i="22"/>
  <c r="O101" i="22"/>
  <c r="N101" i="22"/>
  <c r="M101" i="22"/>
  <c r="L101" i="22"/>
  <c r="K101" i="22"/>
  <c r="J101" i="22"/>
  <c r="I101" i="22"/>
  <c r="H101" i="22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W84" i="22"/>
  <c r="V84" i="22"/>
  <c r="U84" i="22"/>
  <c r="T84" i="22"/>
  <c r="S84" i="22"/>
  <c r="R84" i="22"/>
  <c r="Q84" i="22"/>
  <c r="P84" i="22"/>
  <c r="O84" i="22"/>
  <c r="N84" i="22"/>
  <c r="M84" i="22"/>
  <c r="L84" i="22"/>
  <c r="K84" i="22"/>
  <c r="J84" i="22"/>
  <c r="I84" i="22"/>
  <c r="H84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K83" i="22"/>
  <c r="J83" i="22"/>
  <c r="I83" i="22"/>
  <c r="H83" i="22"/>
  <c r="W70" i="22"/>
  <c r="V70" i="22"/>
  <c r="U70" i="22"/>
  <c r="T70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H33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E6" i="22" l="1"/>
  <c r="E10" i="22"/>
  <c r="E14" i="22"/>
  <c r="E7" i="22"/>
  <c r="E4" i="22"/>
  <c r="E8" i="22"/>
  <c r="E5" i="22"/>
  <c r="E9" i="22"/>
  <c r="E13" i="22"/>
  <c r="E11" i="22"/>
  <c r="E12" i="22"/>
  <c r="D17" i="24"/>
  <c r="E23" i="22"/>
  <c r="E27" i="22"/>
  <c r="E31" i="22"/>
  <c r="E24" i="22"/>
  <c r="E32" i="22"/>
  <c r="E25" i="22"/>
  <c r="E22" i="22"/>
  <c r="E26" i="22"/>
  <c r="E30" i="22"/>
  <c r="E28" i="22"/>
  <c r="E29" i="22"/>
  <c r="E58" i="22"/>
  <c r="C58" i="22" s="1"/>
  <c r="E62" i="22"/>
  <c r="E66" i="22"/>
  <c r="E59" i="22"/>
  <c r="E63" i="22"/>
  <c r="E67" i="22"/>
  <c r="E60" i="22"/>
  <c r="E68" i="22"/>
  <c r="E61" i="22"/>
  <c r="E65" i="22"/>
  <c r="E64" i="22"/>
  <c r="D5" i="22"/>
  <c r="D9" i="22"/>
  <c r="D13" i="22"/>
  <c r="D6" i="22"/>
  <c r="D10" i="22"/>
  <c r="D14" i="22"/>
  <c r="D7" i="22"/>
  <c r="D11" i="22"/>
  <c r="D4" i="22"/>
  <c r="D8" i="22"/>
  <c r="D12" i="22"/>
  <c r="D59" i="22"/>
  <c r="D63" i="22"/>
  <c r="D67" i="22"/>
  <c r="D60" i="22"/>
  <c r="D64" i="22"/>
  <c r="D68" i="22"/>
  <c r="D61" i="22"/>
  <c r="D65" i="22"/>
  <c r="D58" i="22"/>
  <c r="D62" i="22"/>
  <c r="D66" i="22"/>
  <c r="D41" i="22"/>
  <c r="D46" i="22"/>
  <c r="D93" i="22"/>
  <c r="D100" i="22"/>
  <c r="D96" i="22"/>
  <c r="D92" i="22"/>
  <c r="D48" i="22"/>
  <c r="D44" i="22"/>
  <c r="D40" i="22"/>
  <c r="D99" i="22"/>
  <c r="D95" i="22"/>
  <c r="D91" i="22"/>
  <c r="D47" i="22"/>
  <c r="D43" i="22"/>
  <c r="D98" i="22"/>
  <c r="D94" i="22"/>
  <c r="D50" i="22"/>
  <c r="D42" i="22"/>
  <c r="D90" i="22"/>
  <c r="D97" i="22"/>
  <c r="D49" i="22"/>
  <c r="D45" i="22"/>
  <c r="P103" i="22"/>
  <c r="Q103" i="22"/>
  <c r="N103" i="22"/>
  <c r="R103" i="22"/>
  <c r="V103" i="22"/>
  <c r="O103" i="22"/>
  <c r="S103" i="22"/>
  <c r="W103" i="22"/>
  <c r="T103" i="22"/>
  <c r="U103" i="22"/>
  <c r="H103" i="22"/>
  <c r="L103" i="22"/>
  <c r="I103" i="22"/>
  <c r="M103" i="22"/>
  <c r="J103" i="22"/>
  <c r="K103" i="22"/>
  <c r="E91" i="22"/>
  <c r="E94" i="22"/>
  <c r="E96" i="22"/>
  <c r="E90" i="22"/>
  <c r="E92" i="22"/>
  <c r="E93" i="22"/>
  <c r="E95" i="22"/>
  <c r="E97" i="22"/>
  <c r="E98" i="22"/>
  <c r="E99" i="22"/>
  <c r="E100" i="22"/>
  <c r="C17" i="24"/>
  <c r="G20" i="24"/>
  <c r="K20" i="24"/>
  <c r="S20" i="24"/>
  <c r="H20" i="24"/>
  <c r="L20" i="24"/>
  <c r="P20" i="24"/>
  <c r="T20" i="24"/>
  <c r="I20" i="24"/>
  <c r="M20" i="24"/>
  <c r="Q20" i="24"/>
  <c r="U20" i="24"/>
  <c r="O20" i="24"/>
  <c r="J20" i="24"/>
  <c r="N20" i="24"/>
  <c r="R20" i="24"/>
  <c r="V20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E79" i="22"/>
  <c r="E82" i="22"/>
  <c r="L85" i="22"/>
  <c r="T85" i="22"/>
  <c r="M85" i="22"/>
  <c r="U85" i="22"/>
  <c r="E77" i="22"/>
  <c r="E81" i="22"/>
  <c r="N85" i="22"/>
  <c r="R85" i="22"/>
  <c r="V85" i="22"/>
  <c r="P85" i="22"/>
  <c r="E76" i="22"/>
  <c r="E80" i="22"/>
  <c r="Q85" i="22"/>
  <c r="E78" i="22"/>
  <c r="K85" i="22"/>
  <c r="O85" i="22"/>
  <c r="S85" i="22"/>
  <c r="W85" i="22"/>
  <c r="I85" i="22"/>
  <c r="H85" i="22"/>
  <c r="J85" i="22"/>
  <c r="D76" i="22"/>
  <c r="D77" i="22"/>
  <c r="D78" i="22"/>
  <c r="D79" i="22"/>
  <c r="D80" i="22"/>
  <c r="D81" i="22"/>
  <c r="D82" i="22"/>
  <c r="V71" i="22"/>
  <c r="W71" i="22"/>
  <c r="T71" i="22"/>
  <c r="U71" i="22"/>
  <c r="P71" i="22"/>
  <c r="Q71" i="22"/>
  <c r="R71" i="22"/>
  <c r="O71" i="22"/>
  <c r="S71" i="22"/>
  <c r="N71" i="22"/>
  <c r="H71" i="22"/>
  <c r="L71" i="22"/>
  <c r="J71" i="22"/>
  <c r="I71" i="22"/>
  <c r="M71" i="22"/>
  <c r="K71" i="22"/>
  <c r="H53" i="22"/>
  <c r="L53" i="22"/>
  <c r="P53" i="22"/>
  <c r="T53" i="22"/>
  <c r="I53" i="22"/>
  <c r="M53" i="22"/>
  <c r="Q53" i="22"/>
  <c r="U53" i="22"/>
  <c r="J53" i="22"/>
  <c r="N53" i="22"/>
  <c r="R53" i="22"/>
  <c r="V53" i="22"/>
  <c r="K53" i="22"/>
  <c r="O53" i="22"/>
  <c r="S53" i="22"/>
  <c r="W53" i="22"/>
  <c r="E40" i="22"/>
  <c r="E41" i="22"/>
  <c r="E42" i="22"/>
  <c r="E43" i="22"/>
  <c r="E44" i="22"/>
  <c r="E45" i="22"/>
  <c r="E46" i="22"/>
  <c r="E47" i="22"/>
  <c r="E48" i="22"/>
  <c r="E49" i="22"/>
  <c r="E50" i="22"/>
  <c r="T35" i="22"/>
  <c r="U35" i="22"/>
  <c r="V35" i="22"/>
  <c r="W35" i="22"/>
  <c r="L35" i="22"/>
  <c r="P35" i="22"/>
  <c r="M35" i="22"/>
  <c r="Q35" i="22"/>
  <c r="N35" i="22"/>
  <c r="R35" i="22"/>
  <c r="O35" i="22"/>
  <c r="S35" i="22"/>
  <c r="J35" i="22"/>
  <c r="H35" i="22"/>
  <c r="K35" i="22"/>
  <c r="U17" i="22"/>
  <c r="V17" i="22"/>
  <c r="W17" i="22"/>
  <c r="O17" i="22"/>
  <c r="S17" i="22"/>
  <c r="P17" i="22"/>
  <c r="Q17" i="22"/>
  <c r="R17" i="22"/>
  <c r="N17" i="22"/>
  <c r="T17" i="22"/>
  <c r="H17" i="22"/>
  <c r="L17" i="22"/>
  <c r="I17" i="22"/>
  <c r="M17" i="22"/>
  <c r="J17" i="22"/>
  <c r="K17" i="22"/>
  <c r="E101" i="22" l="1"/>
  <c r="C90" i="22"/>
  <c r="B90" i="22"/>
  <c r="D101" i="22"/>
  <c r="D18" i="24"/>
  <c r="B4" i="24"/>
  <c r="C18" i="24"/>
  <c r="A4" i="24"/>
  <c r="E83" i="22"/>
  <c r="C59" i="22"/>
  <c r="C60" i="22" s="1"/>
  <c r="C61" i="22" s="1"/>
  <c r="C62" i="22" s="1"/>
  <c r="C63" i="22" s="1"/>
  <c r="C64" i="22" s="1"/>
  <c r="D83" i="22"/>
  <c r="C83" i="22"/>
  <c r="E69" i="22"/>
  <c r="D69" i="22"/>
  <c r="B58" i="22"/>
  <c r="E51" i="22"/>
  <c r="C40" i="22"/>
  <c r="B40" i="22"/>
  <c r="D51" i="22"/>
  <c r="E33" i="22"/>
  <c r="C22" i="22"/>
  <c r="E15" i="22"/>
  <c r="C4" i="22"/>
  <c r="B4" i="22"/>
  <c r="D15" i="22"/>
  <c r="C65" i="22" l="1"/>
  <c r="C66" i="22" s="1"/>
  <c r="C67" i="22" s="1"/>
  <c r="C68" i="22" s="1"/>
  <c r="C69" i="16"/>
  <c r="C91" i="22"/>
  <c r="C92" i="22" s="1"/>
  <c r="C93" i="22" s="1"/>
  <c r="C94" i="22" s="1"/>
  <c r="C95" i="22" s="1"/>
  <c r="C96" i="22" s="1"/>
  <c r="C97" i="22" s="1"/>
  <c r="C98" i="22" s="1"/>
  <c r="C99" i="22" s="1"/>
  <c r="C100" i="22" s="1"/>
  <c r="B91" i="22"/>
  <c r="B92" i="22" s="1"/>
  <c r="B93" i="22" s="1"/>
  <c r="B94" i="22" s="1"/>
  <c r="B95" i="22" s="1"/>
  <c r="B96" i="22" s="1"/>
  <c r="B97" i="22" s="1"/>
  <c r="B98" i="22" s="1"/>
  <c r="B99" i="22" s="1"/>
  <c r="B100" i="22" s="1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59" i="22"/>
  <c r="B60" i="22" s="1"/>
  <c r="B61" i="22" s="1"/>
  <c r="B62" i="22" s="1"/>
  <c r="B63" i="22" s="1"/>
  <c r="B64" i="22" s="1"/>
  <c r="B41" i="22"/>
  <c r="B42" i="22" s="1"/>
  <c r="B43" i="22" s="1"/>
  <c r="B44" i="22" s="1"/>
  <c r="B45" i="22" s="1"/>
  <c r="B46" i="22" s="1"/>
  <c r="B47" i="22" s="1"/>
  <c r="B48" i="22" s="1"/>
  <c r="B49" i="22" s="1"/>
  <c r="B50" i="22" s="1"/>
  <c r="C41" i="22"/>
  <c r="C42" i="22" s="1"/>
  <c r="C43" i="22" s="1"/>
  <c r="C44" i="22" s="1"/>
  <c r="C45" i="22" s="1"/>
  <c r="C46" i="22" s="1"/>
  <c r="C47" i="22" s="1"/>
  <c r="C48" i="22" s="1"/>
  <c r="C49" i="22" s="1"/>
  <c r="C50" i="22" s="1"/>
  <c r="C23" i="22"/>
  <c r="C24" i="22" s="1"/>
  <c r="B5" i="22"/>
  <c r="B6" i="22" s="1"/>
  <c r="B7" i="22" s="1"/>
  <c r="B8" i="22" s="1"/>
  <c r="B9" i="22" s="1"/>
  <c r="B10" i="22" s="1"/>
  <c r="C5" i="22"/>
  <c r="C6" i="22" s="1"/>
  <c r="C7" i="22" s="1"/>
  <c r="C8" i="22" s="1"/>
  <c r="C9" i="22" s="1"/>
  <c r="C10" i="22" s="1"/>
  <c r="C69" i="22" l="1"/>
  <c r="C25" i="22"/>
  <c r="C26" i="22" s="1"/>
  <c r="C27" i="22" s="1"/>
  <c r="C28" i="22" s="1"/>
  <c r="C59" i="16"/>
  <c r="B11" i="22"/>
  <c r="B12" i="22" s="1"/>
  <c r="B13" i="22" s="1"/>
  <c r="B14" i="22" s="1"/>
  <c r="B58" i="16"/>
  <c r="B61" i="16" s="1"/>
  <c r="B65" i="22"/>
  <c r="B66" i="22" s="1"/>
  <c r="B67" i="22" s="1"/>
  <c r="B68" i="22" s="1"/>
  <c r="B69" i="16"/>
  <c r="C11" i="22"/>
  <c r="C12" i="22" s="1"/>
  <c r="C13" i="22" s="1"/>
  <c r="C14" i="22" s="1"/>
  <c r="C58" i="16"/>
  <c r="C61" i="16" s="1"/>
  <c r="C68" i="16" s="1"/>
  <c r="B101" i="22"/>
  <c r="C101" i="22"/>
  <c r="B18" i="24"/>
  <c r="A18" i="24"/>
  <c r="B83" i="22"/>
  <c r="C51" i="22"/>
  <c r="C56" i="16" s="1"/>
  <c r="B51" i="22"/>
  <c r="B56" i="16" s="1"/>
  <c r="B15" i="22" l="1"/>
  <c r="B63" i="16" s="1"/>
  <c r="B67" i="16" s="1"/>
  <c r="C15" i="22"/>
  <c r="C63" i="16" s="1"/>
  <c r="C67" i="16" s="1"/>
  <c r="B69" i="22"/>
  <c r="B57" i="16"/>
  <c r="B70" i="16"/>
  <c r="C57" i="16"/>
  <c r="C70" i="16"/>
  <c r="C29" i="22"/>
  <c r="C66" i="16"/>
  <c r="B62" i="16" l="1"/>
  <c r="B65" i="16" s="1"/>
  <c r="B60" i="16"/>
  <c r="C30" i="22"/>
  <c r="C31" i="22" s="1"/>
  <c r="C32" i="22" s="1"/>
  <c r="C62" i="16"/>
  <c r="C65" i="16" s="1"/>
  <c r="C60" i="16"/>
  <c r="C64" i="16" s="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E24" i="21" l="1"/>
  <c r="E28" i="21"/>
  <c r="E32" i="21"/>
  <c r="E29" i="21"/>
  <c r="E33" i="21"/>
  <c r="E22" i="21"/>
  <c r="C22" i="21" s="1"/>
  <c r="E30" i="21"/>
  <c r="E23" i="21"/>
  <c r="E27" i="21"/>
  <c r="E31" i="21"/>
  <c r="E35" i="21"/>
  <c r="E25" i="21"/>
  <c r="E26" i="21"/>
  <c r="E34" i="21"/>
  <c r="E46" i="21"/>
  <c r="E50" i="21"/>
  <c r="E54" i="21"/>
  <c r="E43" i="21"/>
  <c r="E47" i="21"/>
  <c r="E55" i="21"/>
  <c r="E44" i="21"/>
  <c r="E52" i="21"/>
  <c r="E56" i="21"/>
  <c r="E45" i="21"/>
  <c r="E49" i="21"/>
  <c r="E53" i="21"/>
  <c r="E51" i="21"/>
  <c r="E48" i="21"/>
  <c r="E5" i="21"/>
  <c r="E9" i="21"/>
  <c r="E13" i="21"/>
  <c r="E6" i="21"/>
  <c r="E14" i="21"/>
  <c r="E11" i="21"/>
  <c r="E4" i="21"/>
  <c r="C4" i="21" s="1"/>
  <c r="E8" i="21"/>
  <c r="E12" i="21"/>
  <c r="E10" i="21"/>
  <c r="E7" i="21"/>
  <c r="D7" i="21"/>
  <c r="D11" i="21"/>
  <c r="D4" i="21"/>
  <c r="B4" i="21" s="1"/>
  <c r="D8" i="21"/>
  <c r="D12" i="21"/>
  <c r="D5" i="21"/>
  <c r="D9" i="21"/>
  <c r="D13" i="21"/>
  <c r="D6" i="21"/>
  <c r="D10" i="21"/>
  <c r="D14" i="21"/>
  <c r="D24" i="21"/>
  <c r="D28" i="21"/>
  <c r="D32" i="21"/>
  <c r="D25" i="21"/>
  <c r="D29" i="21"/>
  <c r="D33" i="21"/>
  <c r="D22" i="21"/>
  <c r="B22" i="21" s="1"/>
  <c r="D26" i="21"/>
  <c r="D30" i="21"/>
  <c r="D34" i="21"/>
  <c r="D23" i="21"/>
  <c r="D27" i="21"/>
  <c r="D31" i="21"/>
  <c r="D35" i="21"/>
  <c r="D43" i="21"/>
  <c r="B43" i="21" s="1"/>
  <c r="D47" i="21"/>
  <c r="D51" i="21"/>
  <c r="D55" i="21"/>
  <c r="D44" i="21"/>
  <c r="D48" i="21"/>
  <c r="D52" i="21"/>
  <c r="D56" i="21"/>
  <c r="D45" i="21"/>
  <c r="D49" i="21"/>
  <c r="D53" i="21"/>
  <c r="D46" i="21"/>
  <c r="D50" i="21"/>
  <c r="D54" i="21"/>
  <c r="C33" i="22"/>
  <c r="U38" i="21"/>
  <c r="U59" i="21"/>
  <c r="V38" i="21"/>
  <c r="V59" i="21"/>
  <c r="W38" i="21"/>
  <c r="W59" i="21"/>
  <c r="T59" i="21"/>
  <c r="Q38" i="21"/>
  <c r="Q59" i="21"/>
  <c r="N38" i="21"/>
  <c r="R38" i="21"/>
  <c r="N59" i="21"/>
  <c r="R59" i="21"/>
  <c r="O38" i="21"/>
  <c r="S38" i="21"/>
  <c r="O59" i="21"/>
  <c r="S59" i="21"/>
  <c r="P38" i="21"/>
  <c r="P59" i="21"/>
  <c r="M59" i="21"/>
  <c r="J59" i="21"/>
  <c r="K59" i="21"/>
  <c r="I59" i="21"/>
  <c r="H59" i="21"/>
  <c r="L59" i="21"/>
  <c r="T38" i="21"/>
  <c r="M38" i="21"/>
  <c r="H38" i="21"/>
  <c r="L38" i="21"/>
  <c r="I38" i="21"/>
  <c r="J38" i="21"/>
  <c r="K38" i="21"/>
  <c r="P17" i="21"/>
  <c r="Q17" i="21"/>
  <c r="T17" i="21"/>
  <c r="U17" i="21"/>
  <c r="N17" i="21"/>
  <c r="R17" i="21"/>
  <c r="V17" i="21"/>
  <c r="O17" i="21"/>
  <c r="S17" i="21"/>
  <c r="W17" i="21"/>
  <c r="M17" i="21"/>
  <c r="H17" i="21"/>
  <c r="L17" i="21"/>
  <c r="I17" i="21"/>
  <c r="J17" i="21"/>
  <c r="K17" i="21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W106" i="20"/>
  <c r="V106" i="20"/>
  <c r="U106" i="20"/>
  <c r="T106" i="20"/>
  <c r="S106" i="20"/>
  <c r="R106" i="20"/>
  <c r="Q106" i="20"/>
  <c r="P106" i="20"/>
  <c r="O106" i="20"/>
  <c r="N106" i="20"/>
  <c r="M106" i="20"/>
  <c r="K106" i="20"/>
  <c r="J106" i="20"/>
  <c r="I106" i="20"/>
  <c r="H106" i="20"/>
  <c r="B44" i="21" l="1"/>
  <c r="B45" i="21" s="1"/>
  <c r="B46" i="21" s="1"/>
  <c r="B47" i="21" s="1"/>
  <c r="B48" i="21" s="1"/>
  <c r="B49" i="21" s="1"/>
  <c r="B23" i="21"/>
  <c r="B24" i="21" s="1"/>
  <c r="B25" i="21" s="1"/>
  <c r="B26" i="21" s="1"/>
  <c r="B27" i="21" s="1"/>
  <c r="B28" i="21" s="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C5" i="21"/>
  <c r="C6" i="21" s="1"/>
  <c r="C7" i="21" s="1"/>
  <c r="C8" i="21" s="1"/>
  <c r="C9" i="21" s="1"/>
  <c r="C10" i="21" s="1"/>
  <c r="C11" i="21" s="1"/>
  <c r="C12" i="21" s="1"/>
  <c r="C13" i="21" s="1"/>
  <c r="C14" i="21" s="1"/>
  <c r="D57" i="21"/>
  <c r="E57" i="21"/>
  <c r="C43" i="21"/>
  <c r="C23" i="21"/>
  <c r="C24" i="21" s="1"/>
  <c r="C25" i="21" s="1"/>
  <c r="C26" i="21" s="1"/>
  <c r="C27" i="21" s="1"/>
  <c r="C28" i="21" s="1"/>
  <c r="E36" i="21"/>
  <c r="D36" i="21"/>
  <c r="E15" i="21"/>
  <c r="D15" i="21"/>
  <c r="J108" i="20"/>
  <c r="N108" i="20"/>
  <c r="R108" i="20"/>
  <c r="V108" i="20"/>
  <c r="H108" i="20"/>
  <c r="P108" i="20"/>
  <c r="T108" i="20"/>
  <c r="I108" i="20"/>
  <c r="M108" i="20"/>
  <c r="Q108" i="20"/>
  <c r="U108" i="20"/>
  <c r="K108" i="20"/>
  <c r="O108" i="20"/>
  <c r="S108" i="20"/>
  <c r="W108" i="20"/>
  <c r="B50" i="21" l="1"/>
  <c r="B51" i="21" s="1"/>
  <c r="B52" i="21" s="1"/>
  <c r="B102" i="16"/>
  <c r="B29" i="21"/>
  <c r="B30" i="21" s="1"/>
  <c r="B31" i="21" s="1"/>
  <c r="B32" i="21" s="1"/>
  <c r="B96" i="16"/>
  <c r="C29" i="21"/>
  <c r="C30" i="21" s="1"/>
  <c r="C31" i="21" s="1"/>
  <c r="C32" i="21" s="1"/>
  <c r="C96" i="16"/>
  <c r="C44" i="21"/>
  <c r="C45" i="21" s="1"/>
  <c r="C46" i="21" s="1"/>
  <c r="C47" i="21" s="1"/>
  <c r="C48" i="21" s="1"/>
  <c r="C49" i="21" s="1"/>
  <c r="C15" i="21"/>
  <c r="C95" i="16" s="1"/>
  <c r="C97" i="16" s="1"/>
  <c r="C99" i="16" s="1"/>
  <c r="C101" i="16" s="1"/>
  <c r="E106" i="20"/>
  <c r="B33" i="21" l="1"/>
  <c r="B98" i="16"/>
  <c r="C50" i="21"/>
  <c r="C51" i="21" s="1"/>
  <c r="C52" i="21" s="1"/>
  <c r="C102" i="16"/>
  <c r="C33" i="21"/>
  <c r="C98" i="16"/>
  <c r="B53" i="21"/>
  <c r="B54" i="21" s="1"/>
  <c r="B55" i="21" s="1"/>
  <c r="B56" i="21" s="1"/>
  <c r="B104" i="16"/>
  <c r="B15" i="21"/>
  <c r="B95" i="16" s="1"/>
  <c r="B97" i="16" s="1"/>
  <c r="B99" i="16" s="1"/>
  <c r="B101" i="16" s="1"/>
  <c r="D103" i="16" l="1"/>
  <c r="E103" i="16" s="1"/>
  <c r="F103" i="16" s="1"/>
  <c r="C103" i="16" s="1"/>
  <c r="C105" i="16" s="1"/>
  <c r="C108" i="16" s="1"/>
  <c r="B57" i="21"/>
  <c r="B107" i="16" s="1"/>
  <c r="C53" i="21"/>
  <c r="C104" i="16"/>
  <c r="C34" i="21"/>
  <c r="C35" i="21" s="1"/>
  <c r="B34" i="21"/>
  <c r="B35" i="21" s="1"/>
  <c r="B103" i="16" l="1"/>
  <c r="B105" i="16" s="1"/>
  <c r="B108" i="16" s="1"/>
  <c r="C36" i="21"/>
  <c r="C100" i="16" s="1"/>
  <c r="B36" i="21"/>
  <c r="B100" i="16" s="1"/>
  <c r="D106" i="16" s="1"/>
  <c r="B106" i="16" s="1"/>
  <c r="B109" i="16" s="1"/>
  <c r="C54" i="21"/>
  <c r="C55" i="21" s="1"/>
  <c r="C56" i="21" s="1"/>
  <c r="B106" i="20"/>
  <c r="C106" i="20"/>
  <c r="C57" i="21" l="1"/>
  <c r="C107" i="16" s="1"/>
  <c r="E106" i="16"/>
  <c r="F106" i="16" s="1"/>
  <c r="C106" i="16" s="1"/>
  <c r="C109" i="16" s="1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W69" i="20"/>
  <c r="V69" i="20"/>
  <c r="U69" i="20"/>
  <c r="T69" i="20"/>
  <c r="S69" i="20"/>
  <c r="R69" i="20"/>
  <c r="Q69" i="20"/>
  <c r="P69" i="20"/>
  <c r="O69" i="20"/>
  <c r="N69" i="20"/>
  <c r="M69" i="20"/>
  <c r="K69" i="20"/>
  <c r="J69" i="20"/>
  <c r="I69" i="20"/>
  <c r="H69" i="20"/>
  <c r="U29" i="20"/>
  <c r="T29" i="20"/>
  <c r="O29" i="20"/>
  <c r="N29" i="20"/>
  <c r="M29" i="20"/>
  <c r="L29" i="20"/>
  <c r="K29" i="20"/>
  <c r="J29" i="20"/>
  <c r="I29" i="20"/>
  <c r="H29" i="20"/>
  <c r="W28" i="20"/>
  <c r="V28" i="20"/>
  <c r="U28" i="20"/>
  <c r="T28" i="20"/>
  <c r="S28" i="20"/>
  <c r="S29" i="20" s="1"/>
  <c r="S30" i="20" s="1"/>
  <c r="R28" i="20"/>
  <c r="R29" i="20" s="1"/>
  <c r="R30" i="20" s="1"/>
  <c r="Q28" i="20"/>
  <c r="Q29" i="20" s="1"/>
  <c r="Q30" i="20" s="1"/>
  <c r="P28" i="20"/>
  <c r="P29" i="20" s="1"/>
  <c r="P30" i="20" s="1"/>
  <c r="O28" i="20"/>
  <c r="N28" i="20"/>
  <c r="M28" i="20"/>
  <c r="L28" i="20"/>
  <c r="K28" i="20"/>
  <c r="J28" i="20"/>
  <c r="I28" i="20"/>
  <c r="H28" i="20"/>
  <c r="E68" i="20" l="1"/>
  <c r="E67" i="20"/>
  <c r="E66" i="20"/>
  <c r="E65" i="20"/>
  <c r="E64" i="20"/>
  <c r="E63" i="20"/>
  <c r="E62" i="20"/>
  <c r="N71" i="20"/>
  <c r="R71" i="20"/>
  <c r="V71" i="20"/>
  <c r="O71" i="20"/>
  <c r="S71" i="20"/>
  <c r="W71" i="20"/>
  <c r="D27" i="20"/>
  <c r="E27" i="20"/>
  <c r="P71" i="20"/>
  <c r="Q71" i="20"/>
  <c r="U71" i="20"/>
  <c r="T71" i="20"/>
  <c r="H71" i="20"/>
  <c r="I71" i="20"/>
  <c r="M71" i="20"/>
  <c r="J71" i="20"/>
  <c r="K71" i="20"/>
  <c r="E55" i="20"/>
  <c r="E56" i="20"/>
  <c r="E57" i="20"/>
  <c r="E58" i="20"/>
  <c r="E59" i="20"/>
  <c r="E60" i="20"/>
  <c r="E61" i="20"/>
  <c r="C139" i="16" s="1"/>
  <c r="H30" i="20"/>
  <c r="L30" i="20"/>
  <c r="T30" i="20"/>
  <c r="I30" i="20"/>
  <c r="M30" i="20"/>
  <c r="U30" i="20"/>
  <c r="J30" i="20"/>
  <c r="N30" i="20"/>
  <c r="K30" i="20"/>
  <c r="O30" i="20"/>
  <c r="D25" i="20"/>
  <c r="D26" i="20"/>
  <c r="E25" i="20"/>
  <c r="E26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W48" i="20"/>
  <c r="V48" i="20"/>
  <c r="U48" i="20"/>
  <c r="T48" i="20"/>
  <c r="S48" i="20"/>
  <c r="R48" i="20"/>
  <c r="Q48" i="20"/>
  <c r="P48" i="20"/>
  <c r="N48" i="20"/>
  <c r="M48" i="20"/>
  <c r="L48" i="20"/>
  <c r="K48" i="20"/>
  <c r="J48" i="20"/>
  <c r="I48" i="20"/>
  <c r="H48" i="20"/>
  <c r="U19" i="20"/>
  <c r="T19" i="20"/>
  <c r="P39" i="20"/>
  <c r="Q39" i="20"/>
  <c r="R39" i="20"/>
  <c r="S39" i="20"/>
  <c r="T39" i="20"/>
  <c r="U39" i="20"/>
  <c r="I39" i="20"/>
  <c r="J39" i="20"/>
  <c r="K39" i="20"/>
  <c r="L39" i="20"/>
  <c r="M39" i="20"/>
  <c r="N39" i="20"/>
  <c r="O39" i="20"/>
  <c r="H39" i="20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H19" i="18"/>
  <c r="I19" i="20"/>
  <c r="J19" i="20"/>
  <c r="K19" i="20"/>
  <c r="L19" i="20"/>
  <c r="M19" i="20"/>
  <c r="N19" i="20"/>
  <c r="O19" i="20"/>
  <c r="H19" i="20"/>
  <c r="W38" i="20"/>
  <c r="W39" i="20" s="1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H18" i="20"/>
  <c r="I18" i="20"/>
  <c r="J18" i="20"/>
  <c r="K18" i="20"/>
  <c r="L18" i="20"/>
  <c r="M18" i="20"/>
  <c r="W18" i="20"/>
  <c r="V18" i="20"/>
  <c r="U18" i="20"/>
  <c r="T18" i="20"/>
  <c r="S18" i="20"/>
  <c r="S19" i="20" s="1"/>
  <c r="S20" i="20" s="1"/>
  <c r="R18" i="20"/>
  <c r="R19" i="20" s="1"/>
  <c r="R20" i="20" s="1"/>
  <c r="Q18" i="20"/>
  <c r="Q19" i="20" s="1"/>
  <c r="Q20" i="20" s="1"/>
  <c r="P18" i="20"/>
  <c r="P19" i="20" s="1"/>
  <c r="P20" i="20" s="1"/>
  <c r="O18" i="20"/>
  <c r="N18" i="20"/>
  <c r="U18" i="18"/>
  <c r="U20" i="18" s="1"/>
  <c r="V18" i="18"/>
  <c r="W18" i="18"/>
  <c r="T18" i="18"/>
  <c r="I18" i="18"/>
  <c r="I20" i="18" s="1"/>
  <c r="J18" i="18"/>
  <c r="J20" i="18" s="1"/>
  <c r="K18" i="18"/>
  <c r="K20" i="18" s="1"/>
  <c r="L18" i="18"/>
  <c r="L20" i="18" s="1"/>
  <c r="M18" i="18"/>
  <c r="M20" i="18" s="1"/>
  <c r="N18" i="18"/>
  <c r="N20" i="18" s="1"/>
  <c r="O18" i="18"/>
  <c r="O20" i="18" s="1"/>
  <c r="P18" i="18"/>
  <c r="P20" i="18" s="1"/>
  <c r="Q18" i="18"/>
  <c r="Q20" i="18" s="1"/>
  <c r="R18" i="18"/>
  <c r="R20" i="18" s="1"/>
  <c r="S18" i="18"/>
  <c r="S20" i="18" s="1"/>
  <c r="H18" i="18"/>
  <c r="W29" i="20" l="1"/>
  <c r="W19" i="29"/>
  <c r="W29" i="29"/>
  <c r="V29" i="20"/>
  <c r="V19" i="29"/>
  <c r="V29" i="29"/>
  <c r="T20" i="18"/>
  <c r="E7" i="18"/>
  <c r="E11" i="18"/>
  <c r="E15" i="18"/>
  <c r="E8" i="18"/>
  <c r="E16" i="18"/>
  <c r="E5" i="18"/>
  <c r="E9" i="18"/>
  <c r="E17" i="18"/>
  <c r="E6" i="18"/>
  <c r="E10" i="18"/>
  <c r="E14" i="18"/>
  <c r="E4" i="18"/>
  <c r="E12" i="18"/>
  <c r="E13" i="18"/>
  <c r="E4" i="20"/>
  <c r="E8" i="20"/>
  <c r="E12" i="20"/>
  <c r="E16" i="20"/>
  <c r="E9" i="20"/>
  <c r="E13" i="20"/>
  <c r="E6" i="20"/>
  <c r="E10" i="20"/>
  <c r="E7" i="20"/>
  <c r="E11" i="20"/>
  <c r="E15" i="20"/>
  <c r="E5" i="20"/>
  <c r="E17" i="20"/>
  <c r="E14" i="20"/>
  <c r="D6" i="20"/>
  <c r="D10" i="20"/>
  <c r="D7" i="20"/>
  <c r="D4" i="20"/>
  <c r="B4" i="20" s="1"/>
  <c r="D5" i="20"/>
  <c r="D9" i="20"/>
  <c r="D8" i="20"/>
  <c r="D6" i="18"/>
  <c r="D10" i="18"/>
  <c r="D14" i="18"/>
  <c r="D7" i="18"/>
  <c r="D11" i="18"/>
  <c r="D15" i="18"/>
  <c r="D4" i="18"/>
  <c r="B4" i="18" s="1"/>
  <c r="D8" i="18"/>
  <c r="D12" i="18"/>
  <c r="D16" i="18"/>
  <c r="D5" i="18"/>
  <c r="D9" i="18"/>
  <c r="D13" i="18"/>
  <c r="D17" i="18"/>
  <c r="D14" i="20"/>
  <c r="D11" i="20"/>
  <c r="D15" i="20"/>
  <c r="D12" i="20"/>
  <c r="D16" i="20"/>
  <c r="D13" i="20"/>
  <c r="D17" i="20"/>
  <c r="C25" i="20"/>
  <c r="C26" i="20" s="1"/>
  <c r="C27" i="20" s="1"/>
  <c r="B25" i="20"/>
  <c r="B26" i="20" s="1"/>
  <c r="B27" i="20" s="1"/>
  <c r="W20" i="18"/>
  <c r="V20" i="18"/>
  <c r="V19" i="20"/>
  <c r="W19" i="20"/>
  <c r="H20" i="18"/>
  <c r="C55" i="20"/>
  <c r="E69" i="20"/>
  <c r="N20" i="20"/>
  <c r="E28" i="20"/>
  <c r="D28" i="20"/>
  <c r="J50" i="20"/>
  <c r="N50" i="20"/>
  <c r="R50" i="20"/>
  <c r="V50" i="20"/>
  <c r="K50" i="20"/>
  <c r="S50" i="20"/>
  <c r="W50" i="20"/>
  <c r="J20" i="20"/>
  <c r="H50" i="20"/>
  <c r="L50" i="20"/>
  <c r="P50" i="20"/>
  <c r="T50" i="20"/>
  <c r="I50" i="20"/>
  <c r="M50" i="20"/>
  <c r="Q50" i="20"/>
  <c r="U50" i="20"/>
  <c r="E46" i="20"/>
  <c r="E47" i="20"/>
  <c r="O20" i="20"/>
  <c r="K20" i="20"/>
  <c r="O40" i="20"/>
  <c r="K40" i="20"/>
  <c r="T40" i="20"/>
  <c r="P40" i="20"/>
  <c r="N40" i="20"/>
  <c r="J40" i="20"/>
  <c r="S40" i="20"/>
  <c r="H20" i="20"/>
  <c r="L20" i="20"/>
  <c r="H40" i="20"/>
  <c r="L40" i="20"/>
  <c r="U40" i="20"/>
  <c r="Q40" i="20"/>
  <c r="M20" i="20"/>
  <c r="I20" i="20"/>
  <c r="M40" i="20"/>
  <c r="I40" i="20"/>
  <c r="R40" i="20"/>
  <c r="U20" i="20"/>
  <c r="T20" i="20"/>
  <c r="E37" i="20"/>
  <c r="Z27" i="20" s="1"/>
  <c r="D35" i="20"/>
  <c r="B35" i="20" s="1"/>
  <c r="D36" i="20"/>
  <c r="Y26" i="20" s="1"/>
  <c r="D37" i="20"/>
  <c r="Y27" i="20" s="1"/>
  <c r="V39" i="20"/>
  <c r="E35" i="20"/>
  <c r="C35" i="20" s="1"/>
  <c r="E36" i="20"/>
  <c r="Z26" i="20" s="1"/>
  <c r="Z25" i="20" l="1"/>
  <c r="Y25" i="20"/>
  <c r="B5" i="20"/>
  <c r="B6" i="20" s="1"/>
  <c r="B7" i="20" s="1"/>
  <c r="B8" i="20" s="1"/>
  <c r="B9" i="20" s="1"/>
  <c r="B10" i="20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D18" i="18"/>
  <c r="C56" i="20"/>
  <c r="C57" i="20" s="1"/>
  <c r="C58" i="20" s="1"/>
  <c r="C59" i="20" s="1"/>
  <c r="C46" i="20"/>
  <c r="E48" i="20"/>
  <c r="E38" i="20"/>
  <c r="D18" i="20"/>
  <c r="B36" i="20"/>
  <c r="B37" i="20" s="1"/>
  <c r="B38" i="20" s="1"/>
  <c r="D38" i="20"/>
  <c r="C36" i="20"/>
  <c r="C37" i="20" s="1"/>
  <c r="C4" i="18"/>
  <c r="C5" i="18" s="1"/>
  <c r="C6" i="18" s="1"/>
  <c r="E18" i="18"/>
  <c r="C4" i="20"/>
  <c r="C5" i="20" s="1"/>
  <c r="C6" i="20" s="1"/>
  <c r="C7" i="20" s="1"/>
  <c r="C8" i="20" s="1"/>
  <c r="C9" i="20" s="1"/>
  <c r="C10" i="20" s="1"/>
  <c r="E18" i="20"/>
  <c r="C11" i="20" l="1"/>
  <c r="C12" i="20" s="1"/>
  <c r="C13" i="20" s="1"/>
  <c r="C14" i="20" s="1"/>
  <c r="C6" i="16"/>
  <c r="C60" i="20"/>
  <c r="C11" i="16"/>
  <c r="B11" i="20"/>
  <c r="B12" i="20" s="1"/>
  <c r="B13" i="20" s="1"/>
  <c r="B14" i="20" s="1"/>
  <c r="B6" i="16"/>
  <c r="C47" i="20"/>
  <c r="C38" i="20"/>
  <c r="C7" i="18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5" i="20" l="1"/>
  <c r="C16" i="20" s="1"/>
  <c r="C17" i="20" s="1"/>
  <c r="C7" i="16"/>
  <c r="C61" i="20"/>
  <c r="C14" i="16"/>
  <c r="B15" i="20"/>
  <c r="B16" i="20" s="1"/>
  <c r="B17" i="20" s="1"/>
  <c r="B7" i="16"/>
  <c r="C28" i="20"/>
  <c r="B28" i="20"/>
  <c r="C48" i="20"/>
  <c r="C10" i="16" s="1"/>
  <c r="C18" i="18"/>
  <c r="B18" i="20" l="1"/>
  <c r="B9" i="16" s="1"/>
  <c r="B8" i="16"/>
  <c r="C62" i="20"/>
  <c r="C63" i="20" s="1"/>
  <c r="C64" i="20" s="1"/>
  <c r="C65" i="20" s="1"/>
  <c r="C66" i="20" s="1"/>
  <c r="C67" i="20" s="1"/>
  <c r="C68" i="20" s="1"/>
  <c r="C18" i="20"/>
  <c r="C9" i="16" s="1"/>
  <c r="C18" i="16" s="1"/>
  <c r="C5" i="16"/>
  <c r="C8" i="16"/>
  <c r="C13" i="16"/>
  <c r="C15" i="16" s="1"/>
  <c r="B18" i="18"/>
  <c r="D18" i="16" l="1"/>
  <c r="C69" i="20"/>
  <c r="C12" i="16"/>
  <c r="C16" i="16" s="1"/>
  <c r="C17" i="16"/>
  <c r="N18" i="27"/>
  <c r="B4" i="27" s="1"/>
  <c r="B6" i="27" l="1"/>
  <c r="D6" i="27" s="1"/>
  <c r="B12" i="14" s="1"/>
  <c r="Q135" i="31" s="1"/>
  <c r="B15" i="27"/>
  <c r="D15" i="27" s="1"/>
  <c r="B14" i="27"/>
  <c r="D14" i="27" s="1"/>
  <c r="B5" i="27"/>
  <c r="D5" i="27" s="1"/>
  <c r="B16" i="27"/>
  <c r="D16" i="27" s="1"/>
  <c r="B7" i="27"/>
  <c r="D7" i="27" s="1"/>
  <c r="B13" i="27"/>
  <c r="D13" i="27" s="1"/>
  <c r="B10" i="27"/>
  <c r="D10" i="27" s="1"/>
  <c r="B17" i="27"/>
  <c r="D17" i="27" s="1"/>
  <c r="B8" i="27"/>
  <c r="D8" i="27" s="1"/>
  <c r="D4" i="27"/>
  <c r="B12" i="27"/>
  <c r="D12" i="27" s="1"/>
  <c r="B9" i="27"/>
  <c r="D9" i="27" s="1"/>
  <c r="N20" i="27"/>
  <c r="B11" i="27"/>
  <c r="D11" i="27" s="1"/>
  <c r="Q137" i="31" l="1"/>
  <c r="Q28" i="32"/>
  <c r="M58" i="31"/>
  <c r="K38" i="31"/>
  <c r="G24" i="27"/>
  <c r="G26" i="27" s="1"/>
  <c r="O48" i="29"/>
  <c r="I33" i="22"/>
  <c r="D22" i="22" s="1"/>
  <c r="O48" i="20"/>
  <c r="D47" i="20" s="1"/>
  <c r="B18" i="27"/>
  <c r="D18" i="27"/>
  <c r="B23" i="27" l="1"/>
  <c r="B24" i="27" s="1"/>
  <c r="Q30" i="32"/>
  <c r="K40" i="31"/>
  <c r="M60" i="31"/>
  <c r="D47" i="29"/>
  <c r="D46" i="29"/>
  <c r="O50" i="29"/>
  <c r="D28" i="22"/>
  <c r="D23" i="22"/>
  <c r="D26" i="22"/>
  <c r="D31" i="22"/>
  <c r="I35" i="22"/>
  <c r="D30" i="22"/>
  <c r="D29" i="22"/>
  <c r="D32" i="22"/>
  <c r="D25" i="22"/>
  <c r="O50" i="20"/>
  <c r="D24" i="22"/>
  <c r="D27" i="22"/>
  <c r="D46" i="20"/>
  <c r="D48" i="20" s="1"/>
  <c r="D23" i="27"/>
  <c r="B22" i="22"/>
  <c r="B23" i="22" l="1"/>
  <c r="B24" i="22" s="1"/>
  <c r="B59" i="16" s="1"/>
  <c r="B46" i="29"/>
  <c r="B47" i="29" s="1"/>
  <c r="B48" i="29" s="1"/>
  <c r="D48" i="29"/>
  <c r="B64" i="16"/>
  <c r="D33" i="22"/>
  <c r="B68" i="16"/>
  <c r="B46" i="20"/>
  <c r="B47" i="20" s="1"/>
  <c r="B48" i="20" s="1"/>
  <c r="D24" i="27"/>
  <c r="B5" i="14"/>
  <c r="L90" i="20" l="1"/>
  <c r="R135" i="31"/>
  <c r="R28" i="32"/>
  <c r="N58" i="31"/>
  <c r="L38" i="31"/>
  <c r="B25" i="22"/>
  <c r="B26" i="22" s="1"/>
  <c r="B27" i="22" s="1"/>
  <c r="B28" i="22" s="1"/>
  <c r="B29" i="22" s="1"/>
  <c r="B30" i="22" s="1"/>
  <c r="B31" i="22" s="1"/>
  <c r="B32" i="22" s="1"/>
  <c r="L69" i="29"/>
  <c r="L106" i="29"/>
  <c r="L90" i="29"/>
  <c r="L106" i="20"/>
  <c r="L69" i="20"/>
  <c r="B5" i="16"/>
  <c r="D100" i="20" l="1"/>
  <c r="D105" i="20"/>
  <c r="D103" i="20"/>
  <c r="D104" i="20"/>
  <c r="D98" i="20"/>
  <c r="D97" i="20"/>
  <c r="D102" i="20"/>
  <c r="D101" i="20"/>
  <c r="D99" i="20"/>
  <c r="R137" i="31"/>
  <c r="D123" i="31"/>
  <c r="D128" i="31"/>
  <c r="D129" i="31"/>
  <c r="D126" i="31"/>
  <c r="D134" i="31"/>
  <c r="D125" i="31"/>
  <c r="D127" i="31"/>
  <c r="D132" i="31"/>
  <c r="D133" i="31"/>
  <c r="D130" i="31"/>
  <c r="D131" i="31"/>
  <c r="D122" i="31"/>
  <c r="D124" i="31"/>
  <c r="D121" i="31"/>
  <c r="D36" i="31"/>
  <c r="D31" i="31"/>
  <c r="D35" i="31"/>
  <c r="D30" i="31"/>
  <c r="D37" i="31"/>
  <c r="D34" i="31"/>
  <c r="D33" i="31"/>
  <c r="D32" i="31"/>
  <c r="L92" i="20"/>
  <c r="D85" i="20"/>
  <c r="D76" i="20"/>
  <c r="B76" i="20" s="1"/>
  <c r="D86" i="20"/>
  <c r="D78" i="20"/>
  <c r="D77" i="20"/>
  <c r="D83" i="20"/>
  <c r="D84" i="20"/>
  <c r="D89" i="20"/>
  <c r="D81" i="20"/>
  <c r="D82" i="20"/>
  <c r="D87" i="20"/>
  <c r="D79" i="20"/>
  <c r="D88" i="20"/>
  <c r="D80" i="20"/>
  <c r="B13" i="16"/>
  <c r="B18" i="16"/>
  <c r="B66" i="16"/>
  <c r="R30" i="32"/>
  <c r="F19" i="32"/>
  <c r="F11" i="32"/>
  <c r="F10" i="32"/>
  <c r="F8" i="32"/>
  <c r="F20" i="32"/>
  <c r="F14" i="32"/>
  <c r="F22" i="32"/>
  <c r="F26" i="32"/>
  <c r="F17" i="32"/>
  <c r="F23" i="32"/>
  <c r="F15" i="32"/>
  <c r="F13" i="32"/>
  <c r="F4" i="32"/>
  <c r="F7" i="32"/>
  <c r="F9" i="32"/>
  <c r="F12" i="32"/>
  <c r="F5" i="32"/>
  <c r="F27" i="32"/>
  <c r="F25" i="32"/>
  <c r="F21" i="32"/>
  <c r="F16" i="32"/>
  <c r="F18" i="32"/>
  <c r="F6" i="32"/>
  <c r="F24" i="32"/>
  <c r="L40" i="31"/>
  <c r="D29" i="31"/>
  <c r="D24" i="31"/>
  <c r="D26" i="31"/>
  <c r="B137" i="16" s="1"/>
  <c r="D27" i="31"/>
  <c r="D25" i="31"/>
  <c r="D28" i="31"/>
  <c r="B141" i="16" s="1"/>
  <c r="N60" i="31"/>
  <c r="D53" i="31"/>
  <c r="D45" i="31"/>
  <c r="D51" i="31"/>
  <c r="D57" i="31"/>
  <c r="D50" i="31"/>
  <c r="D49" i="31"/>
  <c r="D48" i="31"/>
  <c r="D54" i="31"/>
  <c r="D55" i="31"/>
  <c r="D46" i="31"/>
  <c r="D52" i="31"/>
  <c r="D44" i="31"/>
  <c r="D47" i="31"/>
  <c r="D56" i="31"/>
  <c r="D89" i="29"/>
  <c r="D85" i="29"/>
  <c r="D81" i="29"/>
  <c r="D77" i="29"/>
  <c r="L92" i="29"/>
  <c r="D88" i="29"/>
  <c r="D84" i="29"/>
  <c r="D80" i="29"/>
  <c r="D76" i="29"/>
  <c r="D87" i="29"/>
  <c r="D83" i="29"/>
  <c r="D79" i="29"/>
  <c r="D86" i="29"/>
  <c r="D82" i="29"/>
  <c r="D78" i="29"/>
  <c r="D104" i="29"/>
  <c r="D99" i="29"/>
  <c r="D100" i="29"/>
  <c r="L108" i="29"/>
  <c r="D105" i="29"/>
  <c r="D97" i="29"/>
  <c r="D103" i="29"/>
  <c r="D98" i="29"/>
  <c r="D101" i="29"/>
  <c r="D102" i="29"/>
  <c r="D66" i="29"/>
  <c r="D62" i="29"/>
  <c r="D58" i="29"/>
  <c r="D65" i="29"/>
  <c r="D61" i="29"/>
  <c r="D57" i="29"/>
  <c r="L71" i="29"/>
  <c r="D68" i="29"/>
  <c r="D64" i="29"/>
  <c r="D60" i="29"/>
  <c r="D56" i="29"/>
  <c r="D67" i="29"/>
  <c r="D63" i="29"/>
  <c r="D59" i="29"/>
  <c r="D55" i="29"/>
  <c r="D58" i="20"/>
  <c r="D59" i="20"/>
  <c r="D60" i="20"/>
  <c r="D61" i="20"/>
  <c r="D62" i="20"/>
  <c r="D63" i="20"/>
  <c r="D64" i="20"/>
  <c r="D65" i="20"/>
  <c r="D66" i="20"/>
  <c r="D67" i="20"/>
  <c r="D68" i="20"/>
  <c r="L71" i="20"/>
  <c r="D55" i="20"/>
  <c r="D56" i="20"/>
  <c r="D57" i="20"/>
  <c r="L108" i="20"/>
  <c r="B33" i="22"/>
  <c r="D135" i="31" l="1"/>
  <c r="B121" i="31"/>
  <c r="B142" i="16"/>
  <c r="B139" i="16"/>
  <c r="B77" i="20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D4" i="32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F28" i="32"/>
  <c r="D38" i="31"/>
  <c r="B44" i="31"/>
  <c r="D58" i="31"/>
  <c r="B55" i="29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D69" i="29"/>
  <c r="D106" i="29"/>
  <c r="D90" i="29"/>
  <c r="B76" i="29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15" i="16"/>
  <c r="D106" i="20"/>
  <c r="B10" i="16"/>
  <c r="B55" i="20"/>
  <c r="D69" i="20"/>
  <c r="B122" i="31" l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D28" i="32"/>
  <c r="B45" i="31"/>
  <c r="B46" i="31" s="1"/>
  <c r="B47" i="31" s="1"/>
  <c r="B48" i="31" s="1"/>
  <c r="B49" i="31" s="1"/>
  <c r="B90" i="29"/>
  <c r="B69" i="29"/>
  <c r="B17" i="16"/>
  <c r="B12" i="16"/>
  <c r="B16" i="16" s="1"/>
  <c r="D16" i="16" s="1"/>
  <c r="B56" i="20"/>
  <c r="B57" i="20" s="1"/>
  <c r="B58" i="20" s="1"/>
  <c r="B59" i="20" s="1"/>
  <c r="B50" i="31" l="1"/>
  <c r="B138" i="16"/>
  <c r="B135" i="31"/>
  <c r="B11" i="16"/>
  <c r="B60" i="20"/>
  <c r="C133" i="16" l="1"/>
  <c r="B133" i="16"/>
  <c r="B51" i="31"/>
  <c r="B140" i="16"/>
  <c r="B14" i="16"/>
  <c r="B61" i="20"/>
  <c r="B62" i="20" s="1"/>
  <c r="B63" i="20" s="1"/>
  <c r="B64" i="20" s="1"/>
  <c r="B65" i="20" s="1"/>
  <c r="B66" i="20" s="1"/>
  <c r="B67" i="20" s="1"/>
  <c r="B68" i="20" s="1"/>
  <c r="B52" i="31" l="1"/>
  <c r="B53" i="31" s="1"/>
  <c r="B54" i="31" s="1"/>
  <c r="B55" i="31" s="1"/>
  <c r="B56" i="31" s="1"/>
  <c r="B57" i="31" s="1"/>
  <c r="B58" i="31" s="1"/>
  <c r="B69" i="20"/>
</calcChain>
</file>

<file path=xl/comments1.xml><?xml version="1.0" encoding="utf-8"?>
<comments xmlns="http://schemas.openxmlformats.org/spreadsheetml/2006/main">
  <authors>
    <author>作者</author>
  </authors>
  <commentList>
    <comment ref="F4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9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90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6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3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5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4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35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52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H2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4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9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90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6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33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51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9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83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101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36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57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F67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  <comment ref="E24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F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18" authorId="0" shapeId="0">
      <text>
        <r>
          <rPr>
            <b/>
            <sz val="9"/>
            <color indexed="81"/>
            <rFont val="宋体"/>
            <charset val="134"/>
          </rPr>
          <t>1段成本</t>
        </r>
      </text>
    </comment>
  </commentList>
</comments>
</file>

<file path=xl/sharedStrings.xml><?xml version="1.0" encoding="utf-8"?>
<sst xmlns="http://schemas.openxmlformats.org/spreadsheetml/2006/main" count="1967" uniqueCount="417">
  <si>
    <t>仙丹</t>
  </si>
  <si>
    <t>灵丹</t>
  </si>
  <si>
    <t>灵石</t>
  </si>
  <si>
    <t>月石</t>
  </si>
  <si>
    <t>烛魔羽毛</t>
  </si>
  <si>
    <t>烛魔黑鳞</t>
  </si>
  <si>
    <t>高级武魂神物</t>
  </si>
  <si>
    <t>进化石</t>
  </si>
  <si>
    <t>2段</t>
  </si>
  <si>
    <t>3段</t>
  </si>
  <si>
    <t>4段</t>
  </si>
  <si>
    <t>5段</t>
  </si>
  <si>
    <t>6段</t>
  </si>
  <si>
    <t>7段</t>
  </si>
  <si>
    <t>8段</t>
  </si>
  <si>
    <t>1段</t>
  </si>
  <si>
    <t>剑灵烛魔武器属性【1段-15段基础属性和通用绿字效果】</t>
  </si>
  <si>
    <t>阶段</t>
  </si>
  <si>
    <t>基础属性</t>
  </si>
  <si>
    <t>技能效果</t>
  </si>
  <si>
    <t>烛魔效果</t>
  </si>
  <si>
    <t>攻击时一定概率触发</t>
  </si>
  <si>
    <t>攻击力*544</t>
  </si>
  <si>
    <t>穿刺*186</t>
  </si>
  <si>
    <t>暴击*434</t>
  </si>
  <si>
    <t>一定概率恢复100%内力</t>
  </si>
  <si>
    <t>每层暴击概率2%，暴击伤害8%，攻击力40（持续时间30秒）</t>
  </si>
  <si>
    <t>5层后变单一BUFF</t>
  </si>
  <si>
    <t>暴击概率10%，暴击伤害40%，暴击时恢复内力10%，攻击力提升200</t>
  </si>
  <si>
    <t>攻击力*551</t>
  </si>
  <si>
    <t>穿刺*190</t>
  </si>
  <si>
    <t>暴击*442</t>
  </si>
  <si>
    <t>每层暴击概率2%，暴击伤害8%，攻击力42（持续时间30秒）</t>
  </si>
  <si>
    <t>暴击概率10%，暴击伤害40%，暴击时恢复内力10%，攻击力提升210</t>
  </si>
  <si>
    <t>攻击力*559</t>
  </si>
  <si>
    <t>穿刺*192</t>
  </si>
  <si>
    <t>暴击*452</t>
  </si>
  <si>
    <t>每层暴击概率2%，暴击伤害10%，攻击力44（持续时间30秒）</t>
  </si>
  <si>
    <t>暴击概率10%，暴击伤害40%，暴击时恢复内力10%，攻击力提升220</t>
  </si>
  <si>
    <t>攻击力*566</t>
  </si>
  <si>
    <t>穿刺*196</t>
  </si>
  <si>
    <t>暴击*460</t>
  </si>
  <si>
    <t>每层暴击概率3%，暴击伤害10%，攻击力46（持续时间30秒）</t>
  </si>
  <si>
    <t>暴击概率15%，暴击伤害50%，暴击时恢复内力10%，攻击力提升230</t>
  </si>
  <si>
    <t>攻击力*574</t>
  </si>
  <si>
    <t>穿刺*200</t>
  </si>
  <si>
    <t>暴击*470</t>
  </si>
  <si>
    <t>每层暴击概率4%，暴击伤害11%，攻击力48（持续时间30秒）</t>
  </si>
  <si>
    <t>暴击概率20%，暴击伤害55%，暴击时恢复内力10%，攻击力提升240</t>
  </si>
  <si>
    <t>效果结束后所有技能CD初始化（持续15S)</t>
  </si>
  <si>
    <t>攻击力*581</t>
  </si>
  <si>
    <t>穿刺*204</t>
  </si>
  <si>
    <t>暴击*478</t>
  </si>
  <si>
    <t>每层暴击概率4%，暴击伤害11%，攻击力52（持续时间30秒）</t>
  </si>
  <si>
    <t>暴击概率20%，暴击伤害55%，暴击时恢复内力10%，攻击力提升260</t>
  </si>
  <si>
    <t>攻击力*589</t>
  </si>
  <si>
    <t>穿刺*208</t>
  </si>
  <si>
    <t>暴击*488</t>
  </si>
  <si>
    <t>每层暴击概率4%，暴击伤害12%，攻击力56（持续时间30秒）</t>
  </si>
  <si>
    <t>暴击概率20%，暴击伤害60%，暴击时恢复内力10%，攻击力提升280</t>
  </si>
  <si>
    <t>攻击力*598</t>
  </si>
  <si>
    <t>穿刺*212</t>
  </si>
  <si>
    <t>暴击*496</t>
  </si>
  <si>
    <t>攻击时一定几率造成1000%的伤害</t>
  </si>
  <si>
    <t>每层暴击概率4%，暴击伤害12%，攻击力60（持续时间30秒）</t>
  </si>
  <si>
    <t>暴击概率20%，暴击伤害60%，暴击时恢复内力10%，攻击力提升300</t>
  </si>
  <si>
    <t>9段</t>
  </si>
  <si>
    <t>攻击力*606</t>
  </si>
  <si>
    <t>穿刺*216</t>
  </si>
  <si>
    <t>暴击*504</t>
  </si>
  <si>
    <t>攻击时一定几率造成1050%的伤害</t>
  </si>
  <si>
    <t>每层暴击概率4%，暴击伤害13%，攻击力64（持续时间30秒）</t>
  </si>
  <si>
    <t>暴击概率20%，暴击伤害65%，暴击时恢复内力10%，攻击力提升320</t>
  </si>
  <si>
    <t>10段</t>
  </si>
  <si>
    <t>攻击力*614</t>
  </si>
  <si>
    <t>穿刺*220</t>
  </si>
  <si>
    <t>暴击*514</t>
  </si>
  <si>
    <t>攻击时一定几率造成1100%的伤害</t>
  </si>
  <si>
    <t>每层暴击概率4%，暴击伤害13%，攻击力68（持续时间30秒）</t>
  </si>
  <si>
    <t>暴击概率20%，暴击伤害65%，暴击时恢复内力10%，攻击力提升340</t>
  </si>
  <si>
    <t>11段</t>
  </si>
  <si>
    <t>攻击力*623</t>
  </si>
  <si>
    <t>穿刺*222</t>
  </si>
  <si>
    <t>暴击*522</t>
  </si>
  <si>
    <t>攻击时一定几率造成1150%的伤害</t>
  </si>
  <si>
    <t>每层暴击概率4%，暴击伤害14%，攻击力72（持续时间30秒）</t>
  </si>
  <si>
    <t>暴击概率20%，暴击伤害70%，暴击时恢复内力10%，攻击力提升360</t>
  </si>
  <si>
    <t>12段</t>
  </si>
  <si>
    <t>攻击力*631</t>
  </si>
  <si>
    <t>穿刺*226</t>
  </si>
  <si>
    <t>暴击*532</t>
  </si>
  <si>
    <t>攻击时一定几率造成1200%的伤害</t>
  </si>
  <si>
    <t>每层暴击概率4%，暴击伤害14%，攻击力76（持续时间30秒）</t>
  </si>
  <si>
    <t>暴击概率20%，暴击伤害70%，暴击时恢复内力10%，攻击力提升380</t>
  </si>
  <si>
    <t>13段</t>
  </si>
  <si>
    <t>攻击力*641</t>
  </si>
  <si>
    <t>穿刺*230</t>
  </si>
  <si>
    <t>暴击*540</t>
  </si>
  <si>
    <t>攻击时一定几率造成1250%的伤害</t>
  </si>
  <si>
    <t>每层暴击概率4%，暴击伤害15%，攻击力78（持续时间30秒）</t>
  </si>
  <si>
    <t>暴击概率20%，暴击伤害75%，暴击时恢复内力10%，攻击力提升400</t>
  </si>
  <si>
    <t>14段</t>
  </si>
  <si>
    <t>攻击力*652</t>
  </si>
  <si>
    <t>穿刺*232</t>
  </si>
  <si>
    <t>暴击*550</t>
  </si>
  <si>
    <t>攻击时一定几率造成1300%的伤害</t>
  </si>
  <si>
    <t>每层暴击概率4%，暴击伤害15%，攻击力82（持续时间30秒）</t>
  </si>
  <si>
    <t>暴击概率20%，暴击伤害75%，暴击时恢复内力10%，攻击力提升420</t>
  </si>
  <si>
    <t>15段</t>
  </si>
  <si>
    <t>攻击力*662</t>
  </si>
  <si>
    <t>穿刺*236</t>
  </si>
  <si>
    <t>暴击*560</t>
  </si>
  <si>
    <t>攻击时一定几率造成1400%的伤害</t>
  </si>
  <si>
    <t>每层暴击概率4%，暴击伤害16%，攻击力90（持续时间30秒）</t>
  </si>
  <si>
    <t>暴击概率20%，暴击伤害80%，暴击时恢复内力10%，攻击力提升250</t>
  </si>
  <si>
    <t>烛魔硬骨</t>
  </si>
  <si>
    <t>高级宝玉神物</t>
  </si>
  <si>
    <t>破天魂石</t>
  </si>
  <si>
    <t>高级破天魂石</t>
  </si>
  <si>
    <t>破天魂神物</t>
  </si>
  <si>
    <t>破天宝玉神物</t>
  </si>
  <si>
    <t>天空碎片</t>
  </si>
  <si>
    <t>太阳珠</t>
  </si>
  <si>
    <t>合计(J)</t>
  </si>
  <si>
    <t>时空碎片</t>
  </si>
  <si>
    <t>宝玉神物</t>
  </si>
  <si>
    <t>传说宝玉</t>
  </si>
  <si>
    <t>材料名</t>
  </si>
  <si>
    <t>价格(J)</t>
  </si>
  <si>
    <t>天元结晶</t>
  </si>
  <si>
    <t>武魂神物</t>
  </si>
  <si>
    <t>天空12-&gt;时空15</t>
  </si>
  <si>
    <t>时空15-&gt;昆仑6</t>
  </si>
  <si>
    <t>昆仑珠</t>
  </si>
  <si>
    <t>高级进化石</t>
  </si>
  <si>
    <t>武器进化</t>
  </si>
  <si>
    <t>红色烛魔黑鳞</t>
  </si>
  <si>
    <t>破天武魂神物</t>
  </si>
  <si>
    <t>烛魔魂</t>
  </si>
  <si>
    <t>烛魔12-&gt;昆仑7</t>
  </si>
  <si>
    <t>烛魔15-&gt;昆仑11</t>
  </si>
  <si>
    <t>进化方式</t>
  </si>
  <si>
    <t>烛魔1-&gt;8</t>
  </si>
  <si>
    <t>烛魔1-&gt;15(保底)</t>
  </si>
  <si>
    <t>烛魔1-&gt;15(必成)</t>
  </si>
  <si>
    <t>天空1-&gt;时空15</t>
  </si>
  <si>
    <t>天空1-&gt;昆仑6</t>
  </si>
  <si>
    <t>烛魔1-&gt;昆仑7</t>
  </si>
  <si>
    <t>天空1-&gt;昆仑8</t>
  </si>
  <si>
    <t>烛魔1-&gt;昆仑8</t>
  </si>
  <si>
    <t>点券</t>
  </si>
  <si>
    <t>建元武魂神物</t>
  </si>
  <si>
    <t>昆仑1-&gt;昆仑6</t>
    <phoneticPr fontId="10" type="noConversion"/>
  </si>
  <si>
    <t>烛魔1-&gt;12(必成)</t>
    <phoneticPr fontId="10" type="noConversion"/>
  </si>
  <si>
    <t>烛魔真气</t>
    <phoneticPr fontId="10" type="noConversion"/>
  </si>
  <si>
    <t>烛魔黑鳞</t>
    <phoneticPr fontId="10" type="noConversion"/>
  </si>
  <si>
    <r>
      <rPr>
        <b/>
        <sz val="11"/>
        <rFont val="宋体"/>
        <family val="2"/>
        <scheme val="minor"/>
      </rPr>
      <t>冥王冤魂</t>
    </r>
    <phoneticPr fontId="10" type="noConversion"/>
  </si>
  <si>
    <t>列1</t>
  </si>
  <si>
    <t>列2</t>
  </si>
  <si>
    <t>列3</t>
  </si>
  <si>
    <t>古代神12</t>
  </si>
  <si>
    <t>破天1-8</t>
  </si>
  <si>
    <t>破天1-12</t>
  </si>
  <si>
    <t>古代神&gt;破天8</t>
  </si>
  <si>
    <t>古代神&gt;破天12</t>
  </si>
  <si>
    <t>黑风1-4</t>
  </si>
  <si>
    <t>黑风1-8</t>
  </si>
  <si>
    <t>古代神&gt;破天12&gt;黑风8</t>
  </si>
  <si>
    <t>古代神&gt;破天8&gt;黑风4</t>
  </si>
  <si>
    <t>破天1-8&gt;黑风4</t>
  </si>
  <si>
    <t>破天1-12&gt;黑风8</t>
  </si>
  <si>
    <t>破天1-8&gt;黑风4&gt;黑风8</t>
  </si>
  <si>
    <t>天空1-&gt;昆仑7</t>
  </si>
  <si>
    <t>昆仑1-&gt;昆仑7</t>
  </si>
  <si>
    <t>建元魂石</t>
  </si>
  <si>
    <t>金价</t>
  </si>
  <si>
    <t>建元魂神物</t>
  </si>
  <si>
    <t>天乾魂神物</t>
  </si>
  <si>
    <t>天空1-12</t>
  </si>
  <si>
    <t>黑风魂</t>
  </si>
  <si>
    <t>`</t>
  </si>
  <si>
    <t>进化阶段</t>
    <phoneticPr fontId="10" type="noConversion"/>
  </si>
  <si>
    <t>首饰进化</t>
    <phoneticPr fontId="10" type="noConversion"/>
  </si>
  <si>
    <t>手镯1-8</t>
    <phoneticPr fontId="10" type="noConversion"/>
  </si>
  <si>
    <t>古代神12&gt;手镯8</t>
    <phoneticPr fontId="10" type="noConversion"/>
  </si>
  <si>
    <t>手续费(J)</t>
    <phoneticPr fontId="10" type="noConversion"/>
  </si>
  <si>
    <t>累计点券</t>
    <phoneticPr fontId="10" type="noConversion"/>
  </si>
  <si>
    <t>累计金币(J)</t>
    <phoneticPr fontId="10" type="noConversion"/>
  </si>
  <si>
    <t>标题</t>
    <phoneticPr fontId="10" type="noConversion"/>
  </si>
  <si>
    <t>列4</t>
  </si>
  <si>
    <t>单价</t>
    <phoneticPr fontId="10" type="noConversion"/>
  </si>
  <si>
    <t>`</t>
    <phoneticPr fontId="10" type="noConversion"/>
  </si>
  <si>
    <t>1段-&gt;2段</t>
    <phoneticPr fontId="10" type="noConversion"/>
  </si>
  <si>
    <t>2段-&gt;3段</t>
    <phoneticPr fontId="10" type="noConversion"/>
  </si>
  <si>
    <t>3段-&gt;4段</t>
    <phoneticPr fontId="10" type="noConversion"/>
  </si>
  <si>
    <t>4段-&gt;5段</t>
    <phoneticPr fontId="10" type="noConversion"/>
  </si>
  <si>
    <t>5段-&gt;6段</t>
    <phoneticPr fontId="10" type="noConversion"/>
  </si>
  <si>
    <t>6段-&gt;7段</t>
    <phoneticPr fontId="10" type="noConversion"/>
  </si>
  <si>
    <t>7段-&gt;8段</t>
    <phoneticPr fontId="10" type="noConversion"/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</si>
  <si>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</si>
  <si>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</si>
  <si>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</si>
  <si>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</si>
  <si>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</si>
  <si>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</si>
  <si>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</si>
  <si>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</si>
  <si>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</si>
  <si>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</si>
  <si>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</si>
  <si>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</si>
  <si>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r>
      <t>神物</t>
    </r>
    <r>
      <rPr>
        <b/>
        <sz val="11"/>
        <color theme="1"/>
        <rFont val="宋体"/>
        <family val="3"/>
        <charset val="128"/>
        <scheme val="minor"/>
      </rPr>
      <t>→</t>
    </r>
    <phoneticPr fontId="10" type="noConversion"/>
  </si>
  <si>
    <t>材料→</t>
    <phoneticPr fontId="10" type="noConversion"/>
  </si>
  <si>
    <t>9段-&gt;10段</t>
    <phoneticPr fontId="10" type="noConversion"/>
  </si>
  <si>
    <t>10段-&gt;11段</t>
    <phoneticPr fontId="10" type="noConversion"/>
  </si>
  <si>
    <t>11段-&gt;12段</t>
    <phoneticPr fontId="10" type="noConversion"/>
  </si>
  <si>
    <t>12段-&gt;13段</t>
    <phoneticPr fontId="10" type="noConversion"/>
  </si>
  <si>
    <t>13段-&gt;14段</t>
    <phoneticPr fontId="10" type="noConversion"/>
  </si>
  <si>
    <t>14段-&gt;15段</t>
    <phoneticPr fontId="10" type="noConversion"/>
  </si>
  <si>
    <t>8段-&gt;9段</t>
    <phoneticPr fontId="10" type="noConversion"/>
  </si>
  <si>
    <t>8段-&gt;9段</t>
    <phoneticPr fontId="10" type="noConversion"/>
  </si>
  <si>
    <t>合计</t>
    <phoneticPr fontId="10" type="noConversion"/>
  </si>
  <si>
    <t>烛魔13-15段 保底</t>
    <phoneticPr fontId="10" type="noConversion"/>
  </si>
  <si>
    <t>金币/点券</t>
    <phoneticPr fontId="10" type="noConversion"/>
  </si>
  <si>
    <t>数量</t>
    <phoneticPr fontId="10" type="noConversion"/>
  </si>
  <si>
    <t>时空进化 必成</t>
    <phoneticPr fontId="10" type="noConversion"/>
  </si>
  <si>
    <t>烛魔13-15段 必成</t>
    <phoneticPr fontId="10" type="noConversion"/>
  </si>
  <si>
    <t>2,000</t>
  </si>
  <si>
    <t>昆仑1-15段必成</t>
    <phoneticPr fontId="10" type="noConversion"/>
  </si>
  <si>
    <t>1段-&gt;2段</t>
  </si>
  <si>
    <t>2段-&gt;3段</t>
  </si>
  <si>
    <t>3段-&gt;4段</t>
  </si>
  <si>
    <t>4段-&gt;5段</t>
  </si>
  <si>
    <t>5段-&gt;6段</t>
  </si>
  <si>
    <t>6段-&gt;7段</t>
  </si>
  <si>
    <t>7段-&gt;8段</t>
  </si>
  <si>
    <t>8段-&gt;9段</t>
  </si>
  <si>
    <t>9段-&gt;10段</t>
  </si>
  <si>
    <t>10段-&gt;11段</t>
  </si>
  <si>
    <t>11段-&gt;12段</t>
  </si>
  <si>
    <t>12段-&gt;13段</t>
  </si>
  <si>
    <t>13段-&gt;14段</t>
  </si>
  <si>
    <t>14段-&gt;15段</t>
  </si>
  <si>
    <t>昆仑1-15段保底</t>
    <phoneticPr fontId="10" type="noConversion"/>
  </si>
  <si>
    <t>武器进化</t>
    <phoneticPr fontId="10" type="noConversion"/>
  </si>
  <si>
    <t>破天魂</t>
    <phoneticPr fontId="10" type="noConversion"/>
  </si>
  <si>
    <t>建元魂</t>
    <phoneticPr fontId="10" type="noConversion"/>
  </si>
  <si>
    <t>天乾魂</t>
    <phoneticPr fontId="10" type="noConversion"/>
  </si>
  <si>
    <t>赤流结晶</t>
  </si>
  <si>
    <t>天乾魂石</t>
  </si>
  <si>
    <t>赤流结晶</t>
    <phoneticPr fontId="10" type="noConversion"/>
  </si>
  <si>
    <t>天乾魂石</t>
    <phoneticPr fontId="10" type="noConversion"/>
  </si>
  <si>
    <t>进化金币(J)</t>
  </si>
  <si>
    <t>进化金币(J)</t>
    <phoneticPr fontId="10" type="noConversion"/>
  </si>
  <si>
    <t>进化点券</t>
  </si>
  <si>
    <t>进化点券</t>
    <phoneticPr fontId="10" type="noConversion"/>
  </si>
  <si>
    <t>500</t>
  </si>
  <si>
    <t>破天首饰1-12段必成</t>
    <phoneticPr fontId="10" type="noConversion"/>
  </si>
  <si>
    <t>红色烛魔硬骨</t>
  </si>
  <si>
    <t>100</t>
  </si>
  <si>
    <t>黑风首饰1-12段必成</t>
    <phoneticPr fontId="10" type="noConversion"/>
  </si>
  <si>
    <t>冥王冤魂</t>
  </si>
  <si>
    <t>超魔灵的心脏</t>
  </si>
  <si>
    <t>进化石</t>
    <phoneticPr fontId="10" type="noConversion"/>
  </si>
  <si>
    <t>建元宝玉神物</t>
  </si>
  <si>
    <t>古代神首饰</t>
    <phoneticPr fontId="10" type="noConversion"/>
  </si>
  <si>
    <t>梵天、阎魔手镯</t>
    <phoneticPr fontId="10" type="noConversion"/>
  </si>
  <si>
    <t>黑蛟麟</t>
  </si>
  <si>
    <t>黑蛟麟</t>
    <phoneticPr fontId="10" type="noConversion"/>
  </si>
  <si>
    <t>200</t>
  </si>
  <si>
    <t>首饰进化</t>
    <phoneticPr fontId="10" type="noConversion"/>
  </si>
  <si>
    <t>古代神12-&gt;破天8</t>
    <phoneticPr fontId="10" type="noConversion"/>
  </si>
  <si>
    <t>破天8-&gt;黑风4</t>
    <phoneticPr fontId="10" type="noConversion"/>
  </si>
  <si>
    <t>破天12-&gt;黑风8</t>
    <phoneticPr fontId="10" type="noConversion"/>
  </si>
  <si>
    <t>破天12-&gt;梵天阎魔8</t>
    <phoneticPr fontId="10" type="noConversion"/>
  </si>
  <si>
    <t>数量</t>
    <phoneticPr fontId="21" type="noConversion"/>
  </si>
  <si>
    <t>单价</t>
    <phoneticPr fontId="21" type="noConversion"/>
  </si>
  <si>
    <t>小计</t>
    <phoneticPr fontId="21" type="noConversion"/>
  </si>
  <si>
    <t>总价</t>
    <phoneticPr fontId="21" type="noConversion"/>
  </si>
  <si>
    <t>灵石</t>
    <phoneticPr fontId="21" type="noConversion"/>
  </si>
  <si>
    <t>仙丹</t>
    <phoneticPr fontId="21" type="noConversion"/>
  </si>
  <si>
    <t>灵丹</t>
    <phoneticPr fontId="21" type="noConversion"/>
  </si>
  <si>
    <t>月石</t>
    <phoneticPr fontId="21" type="noConversion"/>
  </si>
  <si>
    <t>手续费</t>
    <phoneticPr fontId="21" type="noConversion"/>
  </si>
  <si>
    <t>起源之信物</t>
  </si>
  <si>
    <t>高级进化石</t>
    <phoneticPr fontId="10" type="noConversion"/>
  </si>
  <si>
    <t>猛虎腰带</t>
    <phoneticPr fontId="10" type="noConversion"/>
  </si>
  <si>
    <t>无尽斗争印章</t>
  </si>
  <si>
    <t>烛魔1-15段 必成</t>
    <phoneticPr fontId="10" type="noConversion"/>
  </si>
  <si>
    <t>烛魔1-&gt;昆仑11必成</t>
    <phoneticPr fontId="10" type="noConversion"/>
  </si>
  <si>
    <t>古代神&gt;破天8&gt;黑风8</t>
    <phoneticPr fontId="10" type="noConversion"/>
  </si>
  <si>
    <t>天空1-&gt;昆仑11</t>
    <phoneticPr fontId="10" type="noConversion"/>
  </si>
  <si>
    <t>灵核进化</t>
    <phoneticPr fontId="10" type="noConversion"/>
  </si>
  <si>
    <t>破天魂1-&gt;12</t>
    <phoneticPr fontId="10" type="noConversion"/>
  </si>
  <si>
    <t>建元魂1-&gt;12</t>
    <phoneticPr fontId="10" type="noConversion"/>
  </si>
  <si>
    <t>破天魂12-&gt;建元魂8</t>
    <phoneticPr fontId="10" type="noConversion"/>
  </si>
  <si>
    <t>破天魂12-&gt;建元魂12</t>
    <phoneticPr fontId="10" type="noConversion"/>
  </si>
  <si>
    <t>建元魂1-&gt;15</t>
    <phoneticPr fontId="10" type="noConversion"/>
  </si>
  <si>
    <t>建元魂12-&gt;天乾8</t>
    <phoneticPr fontId="10" type="noConversion"/>
  </si>
  <si>
    <t>建元魂15-&gt;天乾11</t>
    <phoneticPr fontId="10" type="noConversion"/>
  </si>
  <si>
    <t>天乾1-&gt;8</t>
    <phoneticPr fontId="10" type="noConversion"/>
  </si>
  <si>
    <t>天乾1-&gt;15</t>
    <phoneticPr fontId="10" type="noConversion"/>
  </si>
  <si>
    <t>天乾1-&gt;11</t>
    <phoneticPr fontId="10" type="noConversion"/>
  </si>
  <si>
    <t>建元魂1-&gt;8</t>
    <phoneticPr fontId="10" type="noConversion"/>
  </si>
  <si>
    <t>破天魂12-&gt;建元魂15</t>
    <phoneticPr fontId="10" type="noConversion"/>
  </si>
  <si>
    <t>建元魂12-&gt;天乾11</t>
    <phoneticPr fontId="10" type="noConversion"/>
  </si>
  <si>
    <t>建元魂12-&gt;天乾15</t>
    <phoneticPr fontId="10" type="noConversion"/>
  </si>
  <si>
    <t>建元魂15-&gt;天乾15</t>
    <phoneticPr fontId="10" type="noConversion"/>
  </si>
  <si>
    <t>灵核进化</t>
    <phoneticPr fontId="10" type="noConversion"/>
  </si>
  <si>
    <t>破天12-&gt;建元8</t>
    <phoneticPr fontId="10" type="noConversion"/>
  </si>
  <si>
    <t>建元12-&gt;天乾8</t>
    <phoneticPr fontId="10" type="noConversion"/>
  </si>
  <si>
    <t>建元15-&gt;天乾11</t>
    <phoneticPr fontId="10" type="noConversion"/>
  </si>
  <si>
    <t>必成/保底</t>
    <phoneticPr fontId="10" type="noConversion"/>
  </si>
  <si>
    <t>黑风羽毛</t>
    <phoneticPr fontId="10" type="noConversion"/>
  </si>
  <si>
    <t>烈焰石</t>
    <phoneticPr fontId="10" type="noConversion"/>
  </si>
  <si>
    <t>常胜牌</t>
    <phoneticPr fontId="10" type="noConversion"/>
  </si>
  <si>
    <t>牌号</t>
    <phoneticPr fontId="10" type="noConversion"/>
  </si>
  <si>
    <t>汇总</t>
  </si>
  <si>
    <t>○</t>
    <phoneticPr fontId="10" type="noConversion"/>
  </si>
  <si>
    <t>○</t>
    <phoneticPr fontId="10" type="noConversion"/>
  </si>
  <si>
    <t>○</t>
    <phoneticPr fontId="10" type="noConversion"/>
  </si>
  <si>
    <t>昆仑/仙仑秘功牌</t>
    <phoneticPr fontId="21" type="noConversion"/>
  </si>
  <si>
    <t>黑风魔女之岩刻</t>
    <phoneticPr fontId="21" type="noConversion"/>
  </si>
  <si>
    <t>黑风魂</t>
    <phoneticPr fontId="21" type="noConversion"/>
  </si>
  <si>
    <t>rmb</t>
    <phoneticPr fontId="21" type="noConversion"/>
  </si>
  <si>
    <t>八卦喂养</t>
    <phoneticPr fontId="21" type="noConversion"/>
  </si>
  <si>
    <t>黑风魔女之岩刻</t>
  </si>
  <si>
    <t>神龙金属</t>
    <phoneticPr fontId="10" type="noConversion"/>
  </si>
  <si>
    <t>飞龙金属</t>
  </si>
  <si>
    <t>飞龙金属</t>
    <phoneticPr fontId="10" type="noConversion"/>
  </si>
  <si>
    <t>稀有元素</t>
  </si>
  <si>
    <t>稀有元素</t>
    <phoneticPr fontId="10" type="noConversion"/>
  </si>
  <si>
    <t>制作物品</t>
    <phoneticPr fontId="10" type="noConversion"/>
  </si>
  <si>
    <t>○</t>
    <phoneticPr fontId="10" type="noConversion"/>
  </si>
  <si>
    <t>合计金币(J)</t>
    <phoneticPr fontId="10" type="noConversion"/>
  </si>
  <si>
    <t>单价</t>
    <phoneticPr fontId="10" type="noConversion"/>
  </si>
  <si>
    <t>数量</t>
    <phoneticPr fontId="10" type="noConversion"/>
  </si>
  <si>
    <t>破天物武魂神物*1</t>
    <phoneticPr fontId="10" type="noConversion"/>
  </si>
  <si>
    <t>破天物武魂神物*3</t>
    <phoneticPr fontId="10" type="noConversion"/>
  </si>
  <si>
    <t>神龙金属</t>
    <phoneticPr fontId="10" type="noConversion"/>
  </si>
  <si>
    <t>神龙木材</t>
    <phoneticPr fontId="10" type="noConversion"/>
  </si>
  <si>
    <t>飞龙木材</t>
    <phoneticPr fontId="10" type="noConversion"/>
  </si>
  <si>
    <t>名匠合成木片*3</t>
    <phoneticPr fontId="10" type="noConversion"/>
  </si>
  <si>
    <t>名匠合成木片*5</t>
    <phoneticPr fontId="10" type="noConversion"/>
  </si>
  <si>
    <t>名匠合成木片*10</t>
    <phoneticPr fontId="10" type="noConversion"/>
  </si>
  <si>
    <t>名匠合成木片包*20</t>
    <phoneticPr fontId="10" type="noConversion"/>
  </si>
  <si>
    <t>名家合成木片*1</t>
    <phoneticPr fontId="10" type="noConversion"/>
  </si>
  <si>
    <t>名家合成木片*2</t>
    <phoneticPr fontId="10" type="noConversion"/>
  </si>
  <si>
    <t>名家合成木片*4</t>
    <phoneticPr fontId="10" type="noConversion"/>
  </si>
  <si>
    <t>高级白青进化石</t>
    <phoneticPr fontId="10" type="noConversion"/>
  </si>
  <si>
    <t>700</t>
  </si>
  <si>
    <t>元初碎片</t>
  </si>
  <si>
    <t>元初碎片</t>
    <phoneticPr fontId="10" type="noConversion"/>
  </si>
  <si>
    <t>烛魔元气石必成</t>
    <phoneticPr fontId="10" type="noConversion"/>
  </si>
  <si>
    <t>昆仑元气石必成</t>
    <phoneticPr fontId="10" type="noConversion"/>
  </si>
  <si>
    <t>烛魔→昆仑元气石必成</t>
    <phoneticPr fontId="10" type="noConversion"/>
  </si>
  <si>
    <t>烛魔8段-&gt;昆仑3段</t>
    <phoneticPr fontId="10" type="noConversion"/>
  </si>
  <si>
    <t>烛魔12段-&gt;昆仑7段</t>
    <phoneticPr fontId="10" type="noConversion"/>
  </si>
  <si>
    <t>烛魔15段-&gt;昆仑11段</t>
    <phoneticPr fontId="10" type="noConversion"/>
  </si>
  <si>
    <t>光辉真气石进化</t>
    <phoneticPr fontId="10" type="noConversion"/>
  </si>
  <si>
    <t>15段-&gt;16段</t>
    <phoneticPr fontId="10" type="noConversion"/>
  </si>
  <si>
    <t>16段-&gt;17段</t>
    <phoneticPr fontId="10" type="noConversion"/>
  </si>
  <si>
    <t>17段-&gt;18段</t>
    <phoneticPr fontId="10" type="noConversion"/>
  </si>
  <si>
    <t>18段-&gt;19段</t>
    <phoneticPr fontId="10" type="noConversion"/>
  </si>
  <si>
    <t>19段-&gt;20段</t>
    <phoneticPr fontId="10" type="noConversion"/>
  </si>
  <si>
    <t>20段-&gt;21段</t>
    <phoneticPr fontId="10" type="noConversion"/>
  </si>
  <si>
    <t>21段-&gt;22段</t>
    <phoneticPr fontId="10" type="noConversion"/>
  </si>
  <si>
    <t>22段-&gt;23段</t>
    <phoneticPr fontId="10" type="noConversion"/>
  </si>
  <si>
    <t>23段-&gt;24段</t>
    <phoneticPr fontId="10" type="noConversion"/>
  </si>
  <si>
    <t>24段-&gt;25段</t>
    <phoneticPr fontId="10" type="noConversion"/>
  </si>
  <si>
    <t>法悦石</t>
  </si>
  <si>
    <t>法悦石</t>
    <phoneticPr fontId="10" type="noConversion"/>
  </si>
  <si>
    <t>天乾武魂神物</t>
    <phoneticPr fontId="10" type="noConversion"/>
  </si>
  <si>
    <t>天乾宝玉神物</t>
    <phoneticPr fontId="10" type="noConversion"/>
  </si>
  <si>
    <t>昆仑15</t>
  </si>
  <si>
    <t>昆仑1</t>
    <phoneticPr fontId="10" type="noConversion"/>
  </si>
  <si>
    <t>昆仑2</t>
  </si>
  <si>
    <t>昆仑3</t>
  </si>
  <si>
    <t>昆仑4</t>
  </si>
  <si>
    <t>昆仑5</t>
  </si>
  <si>
    <t>昆仑6</t>
  </si>
  <si>
    <t>昆仑7</t>
  </si>
  <si>
    <t>昆仑8</t>
  </si>
  <si>
    <t>昆仑9</t>
  </si>
  <si>
    <t>昆仑10</t>
  </si>
  <si>
    <t>昆仑11</t>
  </si>
  <si>
    <t>昆仑12</t>
  </si>
  <si>
    <t>昆仑13</t>
  </si>
  <si>
    <t>昆仑14</t>
  </si>
  <si>
    <t>烛魔1</t>
    <phoneticPr fontId="10" type="noConversion"/>
  </si>
  <si>
    <t>烛魔2</t>
  </si>
  <si>
    <t>烛魔3</t>
  </si>
  <si>
    <t>烛魔4</t>
  </si>
  <si>
    <t>烛魔5</t>
  </si>
  <si>
    <t>烛魔6</t>
  </si>
  <si>
    <t>烛魔7</t>
  </si>
  <si>
    <t>烛魔8</t>
  </si>
  <si>
    <t>烛魔9</t>
  </si>
  <si>
    <t>烛魔10</t>
  </si>
  <si>
    <t>烛魔11</t>
  </si>
  <si>
    <t>烛魔12</t>
  </si>
  <si>
    <t>烛魔13</t>
  </si>
  <si>
    <t>烛魔14</t>
  </si>
  <si>
    <t>烛魔15</t>
  </si>
  <si>
    <t>天空元气石必成</t>
    <phoneticPr fontId="10" type="noConversion"/>
  </si>
  <si>
    <t>时空元气石必成</t>
    <phoneticPr fontId="10" type="noConversion"/>
  </si>
  <si>
    <t>时光碎片</t>
  </si>
  <si>
    <t>时光碎片</t>
    <phoneticPr fontId="10" type="noConversion"/>
  </si>
  <si>
    <t>时空15段-&gt;昆仑6段</t>
    <phoneticPr fontId="10" type="noConversion"/>
  </si>
  <si>
    <t>时光元气石</t>
    <phoneticPr fontId="10" type="noConversion"/>
  </si>
  <si>
    <t>元气石进化</t>
    <phoneticPr fontId="10" type="noConversion"/>
  </si>
  <si>
    <t>烛魔1-&gt;昆仑7-&gt;昆仑11</t>
    <phoneticPr fontId="10" type="noConversion"/>
  </si>
  <si>
    <t>昆仑1-&gt;昆仑8</t>
    <phoneticPr fontId="10" type="noConversion"/>
  </si>
  <si>
    <t>天空1-&gt;昆仑6</t>
    <phoneticPr fontId="10" type="noConversion"/>
  </si>
  <si>
    <t>白青进化石*8</t>
    <phoneticPr fontId="10" type="noConversion"/>
  </si>
  <si>
    <t>白青进化石*16</t>
    <phoneticPr fontId="10" type="noConversion"/>
  </si>
  <si>
    <t>白青进化石*31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</si>
</sst>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_ "/>
    <numFmt numFmtId="177" formatCode="#,##0_);[Red]\(#,##0\)"/>
    <numFmt numFmtId="178" formatCode="#,##0_ "/>
    <numFmt numFmtId="179" formatCode="0_ "/>
    <numFmt numFmtId="180" formatCode="#,###\J"/>
    <numFmt numFmtId="181" formatCode="0_);[Red]\(0\)"/>
    <numFmt numFmtId="182" formatCode="\“\1&quot;段&quot;&quot;成&quot;&quot;本&quot;\”#,###"/>
    <numFmt numFmtId="183" formatCode="0.0_ "/>
    <numFmt numFmtId="184" formatCode="#,##0.0_ "/>
  </numFmts>
  <fonts count="2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28"/>
      <scheme val="minor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9C6500"/>
      <name val="宋体"/>
      <family val="2"/>
      <charset val="128"/>
      <scheme val="minor"/>
    </font>
    <font>
      <sz val="11"/>
      <color theme="0"/>
      <name val="宋体"/>
      <family val="2"/>
      <charset val="128"/>
      <scheme val="minor"/>
    </font>
    <font>
      <b/>
      <sz val="11"/>
      <color rgb="FFFFFFFF"/>
      <name val="宋体"/>
      <family val="2"/>
      <scheme val="minor"/>
    </font>
    <font>
      <sz val="11"/>
      <color rgb="FFFFFFFF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family val="3"/>
      <charset val="128"/>
      <scheme val="minor"/>
    </font>
    <font>
      <b/>
      <sz val="11"/>
      <name val="宋体"/>
      <charset val="134"/>
      <scheme val="minor"/>
    </font>
    <font>
      <b/>
      <sz val="9"/>
      <color indexed="81"/>
      <name val="宋体"/>
      <charset val="134"/>
    </font>
    <font>
      <b/>
      <sz val="18"/>
      <color theme="1"/>
      <name val="宋体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33333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9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202">
    <xf numFmtId="0" fontId="0" fillId="0" borderId="0" xfId="0"/>
    <xf numFmtId="0" fontId="2" fillId="0" borderId="0" xfId="0" applyFont="1"/>
    <xf numFmtId="0" fontId="6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4" fillId="4" borderId="3" xfId="2" applyBorder="1" applyAlignment="1">
      <alignment horizontal="center" vertical="center" wrapText="1"/>
    </xf>
    <xf numFmtId="0" fontId="5" fillId="5" borderId="3" xfId="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Font="1" applyFill="1" applyBorder="1"/>
    <xf numFmtId="0" fontId="0" fillId="0" borderId="3" xfId="0" applyBorder="1"/>
    <xf numFmtId="0" fontId="8" fillId="0" borderId="0" xfId="1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8" fillId="0" borderId="3" xfId="0" applyFont="1" applyFill="1" applyBorder="1" applyAlignment="1">
      <alignment horizontal="left" vertical="center" wrapText="1"/>
    </xf>
    <xf numFmtId="2" fontId="8" fillId="0" borderId="3" xfId="0" applyNumberFormat="1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left" vertical="center" wrapText="1"/>
    </xf>
    <xf numFmtId="2" fontId="12" fillId="0" borderId="3" xfId="0" applyNumberFormat="1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left" vertical="center" wrapText="1"/>
    </xf>
    <xf numFmtId="2" fontId="11" fillId="0" borderId="3" xfId="0" applyNumberFormat="1" applyFont="1" applyFill="1" applyBorder="1" applyAlignment="1">
      <alignment horizontal="right" vertical="center" wrapText="1"/>
    </xf>
    <xf numFmtId="0" fontId="0" fillId="0" borderId="3" xfId="0" applyFill="1" applyBorder="1"/>
    <xf numFmtId="0" fontId="0" fillId="0" borderId="3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left" vertical="center" wrapText="1"/>
    </xf>
    <xf numFmtId="2" fontId="8" fillId="0" borderId="2" xfId="0" applyNumberFormat="1" applyFont="1" applyFill="1" applyBorder="1" applyAlignment="1">
      <alignment horizontal="right" vertical="center" wrapText="1"/>
    </xf>
    <xf numFmtId="0" fontId="0" fillId="0" borderId="2" xfId="0" applyBorder="1"/>
    <xf numFmtId="3" fontId="0" fillId="0" borderId="3" xfId="0" applyNumberFormat="1" applyFont="1" applyFill="1" applyBorder="1"/>
    <xf numFmtId="3" fontId="0" fillId="0" borderId="0" xfId="0" applyNumberFormat="1"/>
    <xf numFmtId="0" fontId="13" fillId="0" borderId="0" xfId="0" applyFont="1"/>
    <xf numFmtId="177" fontId="0" fillId="0" borderId="3" xfId="0" applyNumberFormat="1" applyBorder="1"/>
    <xf numFmtId="0" fontId="0" fillId="0" borderId="4" xfId="0" applyBorder="1"/>
    <xf numFmtId="0" fontId="0" fillId="0" borderId="1" xfId="0" applyBorder="1"/>
    <xf numFmtId="0" fontId="0" fillId="0" borderId="9" xfId="0" applyBorder="1"/>
    <xf numFmtId="0" fontId="0" fillId="14" borderId="2" xfId="0" applyFill="1" applyBorder="1"/>
    <xf numFmtId="0" fontId="0" fillId="0" borderId="8" xfId="0" applyBorder="1"/>
    <xf numFmtId="178" fontId="0" fillId="0" borderId="6" xfId="0" applyNumberFormat="1" applyBorder="1"/>
    <xf numFmtId="178" fontId="0" fillId="0" borderId="3" xfId="0" applyNumberFormat="1" applyBorder="1"/>
    <xf numFmtId="178" fontId="0" fillId="0" borderId="10" xfId="0" applyNumberFormat="1" applyBorder="1"/>
    <xf numFmtId="178" fontId="0" fillId="0" borderId="2" xfId="0" applyNumberFormat="1" applyBorder="1"/>
    <xf numFmtId="0" fontId="1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3" fillId="13" borderId="7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13" fillId="14" borderId="3" xfId="0" applyFont="1" applyFill="1" applyBorder="1"/>
    <xf numFmtId="178" fontId="13" fillId="14" borderId="3" xfId="0" applyNumberFormat="1" applyFont="1" applyFill="1" applyBorder="1"/>
    <xf numFmtId="179" fontId="0" fillId="14" borderId="2" xfId="0" applyNumberFormat="1" applyFill="1" applyBorder="1"/>
    <xf numFmtId="178" fontId="0" fillId="0" borderId="7" xfId="0" applyNumberFormat="1" applyBorder="1"/>
    <xf numFmtId="178" fontId="0" fillId="0" borderId="8" xfId="0" applyNumberFormat="1" applyBorder="1"/>
    <xf numFmtId="0" fontId="13" fillId="0" borderId="8" xfId="0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2" fontId="16" fillId="0" borderId="3" xfId="0" applyNumberFormat="1" applyFont="1" applyFill="1" applyBorder="1" applyAlignment="1">
      <alignment horizontal="right" vertical="center" wrapText="1"/>
    </xf>
    <xf numFmtId="2" fontId="16" fillId="0" borderId="2" xfId="0" applyNumberFormat="1" applyFont="1" applyFill="1" applyBorder="1" applyAlignment="1">
      <alignment horizontal="right" vertical="center" wrapText="1"/>
    </xf>
    <xf numFmtId="178" fontId="13" fillId="10" borderId="3" xfId="0" applyNumberFormat="1" applyFont="1" applyFill="1" applyBorder="1"/>
    <xf numFmtId="0" fontId="2" fillId="0" borderId="2" xfId="0" applyFont="1" applyBorder="1" applyAlignment="1">
      <alignment horizontal="center" vertical="center"/>
    </xf>
    <xf numFmtId="179" fontId="0" fillId="10" borderId="14" xfId="0" applyNumberFormat="1" applyFill="1" applyBorder="1"/>
    <xf numFmtId="0" fontId="0" fillId="0" borderId="2" xfId="0" applyFont="1" applyFill="1" applyBorder="1" applyAlignment="1">
      <alignment horizontal="right"/>
    </xf>
    <xf numFmtId="0" fontId="0" fillId="15" borderId="16" xfId="0" applyFill="1" applyBorder="1" applyAlignment="1">
      <alignment horizontal="center" vertical="center"/>
    </xf>
    <xf numFmtId="0" fontId="0" fillId="0" borderId="7" xfId="0" applyBorder="1"/>
    <xf numFmtId="178" fontId="0" fillId="14" borderId="14" xfId="0" applyNumberFormat="1" applyFill="1" applyBorder="1"/>
    <xf numFmtId="178" fontId="0" fillId="14" borderId="15" xfId="0" applyNumberFormat="1" applyFill="1" applyBorder="1"/>
    <xf numFmtId="178" fontId="0" fillId="14" borderId="16" xfId="0" applyNumberFormat="1" applyFill="1" applyBorder="1" applyAlignment="1">
      <alignment horizontal="right"/>
    </xf>
    <xf numFmtId="182" fontId="0" fillId="14" borderId="16" xfId="0" applyNumberFormat="1" applyFill="1" applyBorder="1" applyAlignment="1">
      <alignment horizontal="center"/>
    </xf>
    <xf numFmtId="0" fontId="0" fillId="14" borderId="17" xfId="0" applyFill="1" applyBorder="1" applyAlignment="1">
      <alignment horizontal="right"/>
    </xf>
    <xf numFmtId="176" fontId="0" fillId="14" borderId="14" xfId="0" applyNumberFormat="1" applyFill="1" applyBorder="1"/>
    <xf numFmtId="179" fontId="0" fillId="14" borderId="14" xfId="0" applyNumberFormat="1" applyFill="1" applyBorder="1"/>
    <xf numFmtId="0" fontId="13" fillId="14" borderId="18" xfId="0" applyFont="1" applyFill="1" applyBorder="1" applyAlignment="1">
      <alignment horizontal="right"/>
    </xf>
    <xf numFmtId="0" fontId="13" fillId="14" borderId="19" xfId="0" applyFont="1" applyFill="1" applyBorder="1" applyAlignment="1">
      <alignment horizontal="right"/>
    </xf>
    <xf numFmtId="0" fontId="0" fillId="14" borderId="16" xfId="0" applyFill="1" applyBorder="1" applyAlignment="1">
      <alignment horizontal="center" vertical="center"/>
    </xf>
    <xf numFmtId="176" fontId="0" fillId="14" borderId="20" xfId="0" applyNumberFormat="1" applyFill="1" applyBorder="1"/>
    <xf numFmtId="181" fontId="0" fillId="14" borderId="20" xfId="0" applyNumberFormat="1" applyFill="1" applyBorder="1"/>
    <xf numFmtId="181" fontId="13" fillId="14" borderId="3" xfId="0" applyNumberFormat="1" applyFont="1" applyFill="1" applyBorder="1"/>
    <xf numFmtId="178" fontId="0" fillId="14" borderId="21" xfId="0" applyNumberFormat="1" applyFill="1" applyBorder="1"/>
    <xf numFmtId="180" fontId="0" fillId="14" borderId="16" xfId="0" applyNumberFormat="1" applyFill="1" applyBorder="1" applyAlignment="1">
      <alignment horizontal="center"/>
    </xf>
    <xf numFmtId="179" fontId="0" fillId="14" borderId="20" xfId="0" applyNumberFormat="1" applyFill="1" applyBorder="1"/>
    <xf numFmtId="3" fontId="0" fillId="15" borderId="16" xfId="0" applyNumberFormat="1" applyFill="1" applyBorder="1" applyAlignment="1">
      <alignment horizontal="center"/>
    </xf>
    <xf numFmtId="178" fontId="0" fillId="0" borderId="22" xfId="0" applyNumberFormat="1" applyBorder="1"/>
    <xf numFmtId="178" fontId="0" fillId="0" borderId="9" xfId="0" applyNumberFormat="1" applyBorder="1"/>
    <xf numFmtId="0" fontId="13" fillId="0" borderId="9" xfId="0" applyFont="1" applyBorder="1" applyAlignment="1">
      <alignment horizontal="center" vertical="center"/>
    </xf>
    <xf numFmtId="178" fontId="0" fillId="8" borderId="3" xfId="0" applyNumberFormat="1" applyFill="1" applyBorder="1"/>
    <xf numFmtId="178" fontId="0" fillId="8" borderId="6" xfId="0" applyNumberFormat="1" applyFill="1" applyBorder="1"/>
    <xf numFmtId="178" fontId="0" fillId="8" borderId="8" xfId="0" applyNumberFormat="1" applyFill="1" applyBorder="1"/>
    <xf numFmtId="178" fontId="0" fillId="8" borderId="7" xfId="0" applyNumberFormat="1" applyFill="1" applyBorder="1"/>
    <xf numFmtId="178" fontId="0" fillId="8" borderId="2" xfId="0" applyNumberFormat="1" applyFill="1" applyBorder="1"/>
    <xf numFmtId="3" fontId="0" fillId="14" borderId="16" xfId="0" applyNumberFormat="1" applyFill="1" applyBorder="1" applyAlignment="1">
      <alignment horizontal="center"/>
    </xf>
    <xf numFmtId="0" fontId="3" fillId="11" borderId="1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9" fillId="8" borderId="0" xfId="0" applyFont="1" applyFill="1" applyBorder="1"/>
    <xf numFmtId="0" fontId="8" fillId="8" borderId="0" xfId="0" applyFont="1" applyFill="1" applyBorder="1"/>
    <xf numFmtId="0" fontId="8" fillId="8" borderId="5" xfId="0" applyFont="1" applyFill="1" applyBorder="1"/>
    <xf numFmtId="2" fontId="8" fillId="17" borderId="3" xfId="0" applyNumberFormat="1" applyFont="1" applyFill="1" applyBorder="1" applyAlignment="1">
      <alignment horizontal="right" vertical="center" wrapText="1"/>
    </xf>
    <xf numFmtId="0" fontId="0" fillId="0" borderId="11" xfId="0" applyFont="1" applyFill="1" applyBorder="1"/>
    <xf numFmtId="0" fontId="9" fillId="18" borderId="3" xfId="0" applyFont="1" applyFill="1" applyBorder="1"/>
    <xf numFmtId="177" fontId="24" fillId="18" borderId="3" xfId="0" applyNumberFormat="1" applyFont="1" applyFill="1" applyBorder="1"/>
    <xf numFmtId="0" fontId="24" fillId="18" borderId="3" xfId="0" applyFont="1" applyFill="1" applyBorder="1"/>
    <xf numFmtId="0" fontId="0" fillId="18" borderId="3" xfId="0" applyFill="1" applyBorder="1"/>
    <xf numFmtId="177" fontId="0" fillId="18" borderId="3" xfId="0" applyNumberFormat="1" applyFill="1" applyBorder="1"/>
    <xf numFmtId="177" fontId="0" fillId="0" borderId="3" xfId="0" applyNumberFormat="1" applyFill="1" applyBorder="1"/>
    <xf numFmtId="177" fontId="25" fillId="0" borderId="0" xfId="0" applyNumberFormat="1" applyFont="1"/>
    <xf numFmtId="0" fontId="25" fillId="0" borderId="0" xfId="0" applyFont="1"/>
    <xf numFmtId="183" fontId="0" fillId="0" borderId="0" xfId="0" applyNumberFormat="1"/>
    <xf numFmtId="178" fontId="0" fillId="0" borderId="3" xfId="0" applyNumberFormat="1" applyFill="1" applyBorder="1"/>
    <xf numFmtId="0" fontId="0" fillId="0" borderId="7" xfId="0" applyBorder="1" applyAlignment="1">
      <alignment horizontal="right"/>
    </xf>
    <xf numFmtId="0" fontId="0" fillId="0" borderId="6" xfId="0" applyBorder="1"/>
    <xf numFmtId="0" fontId="0" fillId="0" borderId="10" xfId="0" applyBorder="1"/>
    <xf numFmtId="0" fontId="0" fillId="19" borderId="3" xfId="0" applyFont="1" applyFill="1" applyBorder="1"/>
    <xf numFmtId="3" fontId="0" fillId="19" borderId="3" xfId="0" applyNumberFormat="1" applyFont="1" applyFill="1" applyBorder="1"/>
    <xf numFmtId="0" fontId="0" fillId="19" borderId="3" xfId="0" applyFill="1" applyBorder="1"/>
    <xf numFmtId="177" fontId="0" fillId="19" borderId="3" xfId="0" applyNumberFormat="1" applyFill="1" applyBorder="1"/>
    <xf numFmtId="3" fontId="0" fillId="18" borderId="3" xfId="0" applyNumberFormat="1" applyFont="1" applyFill="1" applyBorder="1"/>
    <xf numFmtId="178" fontId="0" fillId="0" borderId="6" xfId="0" applyNumberFormat="1" applyFill="1" applyBorder="1"/>
    <xf numFmtId="0" fontId="20" fillId="0" borderId="0" xfId="5">
      <alignment vertical="center"/>
    </xf>
    <xf numFmtId="0" fontId="19" fillId="16" borderId="23" xfId="4" applyBorder="1">
      <alignment vertical="center"/>
    </xf>
    <xf numFmtId="0" fontId="19" fillId="16" borderId="24" xfId="4" applyBorder="1" applyAlignment="1">
      <alignment horizontal="center" vertical="center"/>
    </xf>
    <xf numFmtId="0" fontId="19" fillId="16" borderId="25" xfId="4" applyBorder="1" applyAlignment="1">
      <alignment horizontal="center" vertical="center"/>
    </xf>
    <xf numFmtId="0" fontId="19" fillId="16" borderId="29" xfId="4" applyBorder="1" applyAlignment="1">
      <alignment horizontal="center" vertical="center"/>
    </xf>
    <xf numFmtId="0" fontId="19" fillId="16" borderId="3" xfId="4" applyBorder="1" applyAlignment="1">
      <alignment horizontal="center" vertical="center"/>
    </xf>
    <xf numFmtId="0" fontId="19" fillId="16" borderId="30" xfId="4" applyBorder="1" applyAlignment="1">
      <alignment horizontal="center" vertical="center"/>
    </xf>
    <xf numFmtId="0" fontId="19" fillId="16" borderId="34" xfId="4" applyBorder="1" applyAlignment="1">
      <alignment horizontal="center" vertical="center"/>
    </xf>
    <xf numFmtId="0" fontId="19" fillId="16" borderId="35" xfId="4" applyBorder="1" applyAlignment="1">
      <alignment horizontal="center" vertical="center"/>
    </xf>
    <xf numFmtId="0" fontId="19" fillId="16" borderId="36" xfId="4" applyBorder="1" applyAlignment="1">
      <alignment horizontal="center" vertical="center"/>
    </xf>
    <xf numFmtId="0" fontId="19" fillId="16" borderId="23" xfId="4" applyBorder="1" applyAlignment="1">
      <alignment horizontal="center" vertical="center"/>
    </xf>
    <xf numFmtId="0" fontId="20" fillId="0" borderId="0" xfId="5" applyAlignment="1">
      <alignment horizontal="center" vertical="center"/>
    </xf>
    <xf numFmtId="184" fontId="0" fillId="0" borderId="8" xfId="0" applyNumberFormat="1" applyBorder="1"/>
    <xf numFmtId="184" fontId="0" fillId="0" borderId="3" xfId="0" applyNumberFormat="1" applyBorder="1"/>
    <xf numFmtId="184" fontId="0" fillId="0" borderId="2" xfId="0" applyNumberFormat="1" applyBorder="1"/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20" borderId="0" xfId="0" applyFill="1"/>
    <xf numFmtId="178" fontId="0" fillId="20" borderId="6" xfId="0" applyNumberFormat="1" applyFill="1" applyBorder="1"/>
    <xf numFmtId="178" fontId="0" fillId="20" borderId="3" xfId="0" applyNumberFormat="1" applyFill="1" applyBorder="1"/>
    <xf numFmtId="0" fontId="2" fillId="20" borderId="3" xfId="0" applyFont="1" applyFill="1" applyBorder="1" applyAlignment="1">
      <alignment horizontal="center" vertical="center"/>
    </xf>
    <xf numFmtId="0" fontId="0" fillId="20" borderId="3" xfId="0" applyFill="1" applyBorder="1"/>
    <xf numFmtId="0" fontId="0" fillId="20" borderId="4" xfId="0" applyFill="1" applyBorder="1"/>
    <xf numFmtId="0" fontId="0" fillId="0" borderId="40" xfId="0" applyBorder="1"/>
    <xf numFmtId="0" fontId="0" fillId="0" borderId="41" xfId="0" applyBorder="1"/>
    <xf numFmtId="178" fontId="0" fillId="0" borderId="11" xfId="0" applyNumberFormat="1" applyBorder="1"/>
    <xf numFmtId="178" fontId="0" fillId="0" borderId="41" xfId="0" applyNumberFormat="1" applyBorder="1"/>
    <xf numFmtId="178" fontId="0" fillId="0" borderId="0" xfId="0" applyNumberFormat="1" applyBorder="1"/>
    <xf numFmtId="178" fontId="0" fillId="0" borderId="40" xfId="0" applyNumberFormat="1" applyBorder="1"/>
    <xf numFmtId="0" fontId="0" fillId="0" borderId="11" xfId="0" applyBorder="1"/>
    <xf numFmtId="0" fontId="0" fillId="14" borderId="0" xfId="0" applyFill="1"/>
    <xf numFmtId="178" fontId="0" fillId="14" borderId="3" xfId="0" applyNumberFormat="1" applyFill="1" applyBorder="1"/>
    <xf numFmtId="178" fontId="0" fillId="14" borderId="6" xfId="0" applyNumberFormat="1" applyFill="1" applyBorder="1"/>
    <xf numFmtId="0" fontId="2" fillId="14" borderId="3" xfId="0" applyFont="1" applyFill="1" applyBorder="1" applyAlignment="1">
      <alignment horizontal="center" vertical="center"/>
    </xf>
    <xf numFmtId="0" fontId="0" fillId="14" borderId="3" xfId="0" applyFill="1" applyBorder="1"/>
    <xf numFmtId="0" fontId="0" fillId="14" borderId="4" xfId="0" applyFill="1" applyBorder="1"/>
    <xf numFmtId="178" fontId="0" fillId="14" borderId="11" xfId="0" applyNumberFormat="1" applyFill="1" applyBorder="1"/>
    <xf numFmtId="178" fontId="0" fillId="14" borderId="41" xfId="0" applyNumberFormat="1" applyFill="1" applyBorder="1"/>
    <xf numFmtId="178" fontId="0" fillId="14" borderId="0" xfId="0" applyNumberFormat="1" applyFill="1" applyBorder="1"/>
    <xf numFmtId="178" fontId="0" fillId="14" borderId="40" xfId="0" applyNumberFormat="1" applyFill="1" applyBorder="1"/>
    <xf numFmtId="0" fontId="2" fillId="14" borderId="2" xfId="0" applyFont="1" applyFill="1" applyBorder="1" applyAlignment="1">
      <alignment horizontal="center" vertical="center"/>
    </xf>
    <xf numFmtId="0" fontId="0" fillId="14" borderId="41" xfId="0" applyFill="1" applyBorder="1"/>
    <xf numFmtId="0" fontId="0" fillId="14" borderId="11" xfId="0" applyFill="1" applyBorder="1"/>
    <xf numFmtId="0" fontId="0" fillId="14" borderId="40" xfId="0" applyFill="1" applyBorder="1"/>
    <xf numFmtId="0" fontId="0" fillId="0" borderId="2" xfId="0" applyFill="1" applyBorder="1"/>
    <xf numFmtId="0" fontId="0" fillId="0" borderId="0" xfId="0" applyFill="1"/>
    <xf numFmtId="0" fontId="0" fillId="17" borderId="0" xfId="0" applyFill="1"/>
    <xf numFmtId="178" fontId="0" fillId="17" borderId="3" xfId="0" applyNumberFormat="1" applyFill="1" applyBorder="1"/>
    <xf numFmtId="178" fontId="0" fillId="17" borderId="6" xfId="0" applyNumberFormat="1" applyFill="1" applyBorder="1"/>
    <xf numFmtId="178" fontId="0" fillId="17" borderId="2" xfId="0" applyNumberFormat="1" applyFill="1" applyBorder="1"/>
    <xf numFmtId="0" fontId="13" fillId="17" borderId="3" xfId="0" applyFont="1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/>
    <xf numFmtId="0" fontId="0" fillId="17" borderId="8" xfId="0" applyFill="1" applyBorder="1"/>
    <xf numFmtId="0" fontId="0" fillId="17" borderId="3" xfId="0" applyFill="1" applyBorder="1"/>
    <xf numFmtId="0" fontId="0" fillId="17" borderId="4" xfId="0" applyFill="1" applyBorder="1"/>
    <xf numFmtId="0" fontId="18" fillId="14" borderId="1" xfId="0" applyFont="1" applyFill="1" applyBorder="1" applyAlignment="1">
      <alignment horizontal="center" vertical="center"/>
    </xf>
    <xf numFmtId="0" fontId="18" fillId="14" borderId="37" xfId="0" applyFont="1" applyFill="1" applyBorder="1" applyAlignment="1">
      <alignment horizontal="center" vertical="center"/>
    </xf>
    <xf numFmtId="0" fontId="18" fillId="14" borderId="38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4" borderId="39" xfId="0" applyFont="1" applyFill="1" applyBorder="1" applyAlignment="1">
      <alignment horizontal="center" vertical="center"/>
    </xf>
    <xf numFmtId="0" fontId="18" fillId="14" borderId="3" xfId="0" applyFont="1" applyFill="1" applyBorder="1" applyAlignment="1">
      <alignment horizontal="center" vertical="center"/>
    </xf>
    <xf numFmtId="0" fontId="18" fillId="14" borderId="4" xfId="0" applyFont="1" applyFill="1" applyBorder="1" applyAlignment="1">
      <alignment horizontal="center" vertical="center"/>
    </xf>
    <xf numFmtId="0" fontId="19" fillId="16" borderId="26" xfId="4" applyBorder="1" applyAlignment="1">
      <alignment horizontal="center" vertical="center"/>
    </xf>
    <xf numFmtId="0" fontId="19" fillId="16" borderId="27" xfId="4" applyBorder="1" applyAlignment="1">
      <alignment horizontal="center" vertical="center"/>
    </xf>
    <xf numFmtId="0" fontId="19" fillId="16" borderId="28" xfId="4" applyBorder="1" applyAlignment="1">
      <alignment horizontal="center" vertical="center"/>
    </xf>
    <xf numFmtId="0" fontId="19" fillId="16" borderId="31" xfId="4" applyBorder="1" applyAlignment="1">
      <alignment horizontal="center" vertical="center"/>
    </xf>
    <xf numFmtId="0" fontId="19" fillId="16" borderId="32" xfId="4" applyBorder="1" applyAlignment="1">
      <alignment horizontal="center" vertical="center"/>
    </xf>
    <xf numFmtId="0" fontId="19" fillId="16" borderId="33" xfId="4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4" fillId="4" borderId="3" xfId="2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5" fillId="5" borderId="3" xfId="3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</cellXfs>
  <cellStyles count="8">
    <cellStyle name="差" xfId="4" builtinId="27"/>
    <cellStyle name="常规" xfId="0" builtinId="0"/>
    <cellStyle name="常规 2" xfId="5"/>
    <cellStyle name="好" xfId="1" builtinId="26"/>
    <cellStyle name="好 2" xfId="6"/>
    <cellStyle name="适中" xfId="2" builtinId="28"/>
    <cellStyle name="适中 2" xfId="7"/>
    <cellStyle name="着色 1" xfId="3" builtinId="29"/>
  </cellStyles>
  <dxfs count="1218"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84" formatCode="#,##0.0_ "/>
      <border outline="0">
        <right style="thin">
          <color indexed="64"/>
        </right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84" formatCode="#,##0.0_ "/>
      <border outline="0">
        <right style="thin">
          <color indexed="64"/>
        </right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182" formatCode="\“\1&quot;段&quot;&quot;成&quot;&quot;本&quot;\”#,###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auto="1"/>
        </bottom>
      </border>
    </dxf>
    <dxf>
      <numFmt numFmtId="180" formatCode="#,###\J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rgb="FF000000"/>
        </top>
      </border>
    </dxf>
    <dxf>
      <fill>
        <patternFill patternType="solid">
          <fgColor rgb="FF000000"/>
          <bgColor rgb="FFD9D9D9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0" formatCode="General"/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82" formatCode="\“\1&quot;段&quot;&quot;成&quot;&quot;本&quot;\”#,###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double">
          <color auto="1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#,###\J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/>
        <right/>
        <top style="double">
          <color auto="1"/>
        </top>
        <bottom/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1" formatCode="0_);[Red]\(0\)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0.0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double">
          <color auto="1"/>
        </left>
        <right style="thin">
          <color indexed="64"/>
        </right>
        <top style="double">
          <color auto="1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double">
          <color auto="1"/>
        </top>
        <bottom style="thin">
          <color auto="1"/>
        </bottom>
      </border>
    </dxf>
    <dxf>
      <numFmt numFmtId="178" formatCode="#,##0_ "/>
    </dxf>
    <dxf>
      <border>
        <top style="thin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ont>
        <color rgb="FF92D050"/>
      </font>
    </dxf>
    <dxf>
      <font>
        <color rgb="FF4F81BD"/>
      </font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9"/>
        </left>
        <top style="thin">
          <color theme="9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FFFFCC"/>
      <color rgb="FF4F81B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武器进化（金）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图表!$A$5:$A$18</c:f>
              <c:strCache>
                <c:ptCount val="14"/>
                <c:pt idx="0">
                  <c:v>天空1-&gt;时空15</c:v>
                </c:pt>
                <c:pt idx="1">
                  <c:v>烛魔1-&gt;8</c:v>
                </c:pt>
                <c:pt idx="2">
                  <c:v>烛魔1-&gt;12(必成)</c:v>
                </c:pt>
                <c:pt idx="3">
                  <c:v>烛魔1-&gt;15(保底)</c:v>
                </c:pt>
                <c:pt idx="4">
                  <c:v>烛魔1-&gt;15(必成)</c:v>
                </c:pt>
                <c:pt idx="5">
                  <c:v>天空1-&gt;昆仑6</c:v>
                </c:pt>
                <c:pt idx="6">
                  <c:v>昆仑1-&gt;昆仑6</c:v>
                </c:pt>
                <c:pt idx="7">
                  <c:v>天空1-&gt;昆仑7</c:v>
                </c:pt>
                <c:pt idx="8">
                  <c:v>烛魔1-&gt;昆仑7</c:v>
                </c:pt>
                <c:pt idx="9">
                  <c:v>昆仑1-&gt;昆仑7</c:v>
                </c:pt>
                <c:pt idx="10">
                  <c:v>烛魔1-&gt;昆仑8</c:v>
                </c:pt>
                <c:pt idx="11">
                  <c:v>天空1-&gt;昆仑8</c:v>
                </c:pt>
                <c:pt idx="12">
                  <c:v>天空1-&gt;昆仑11</c:v>
                </c:pt>
                <c:pt idx="13">
                  <c:v>烛魔1-&gt;昆仑11必成</c:v>
                </c:pt>
              </c:strCache>
            </c:strRef>
          </c:cat>
          <c:val>
            <c:numRef>
              <c:f>图表!$B$5:$B$18</c:f>
              <c:numCache>
                <c:formatCode>#,##0</c:formatCode>
                <c:ptCount val="14"/>
                <c:pt idx="0">
                  <c:v>1562.2779838709678</c:v>
                </c:pt>
                <c:pt idx="1">
                  <c:v>0</c:v>
                </c:pt>
                <c:pt idx="2">
                  <c:v>0</c:v>
                </c:pt>
                <c:pt idx="3">
                  <c:v>663.33</c:v>
                </c:pt>
                <c:pt idx="4">
                  <c:v>490.22</c:v>
                </c:pt>
                <c:pt idx="5">
                  <c:v>1915.1140322580645</c:v>
                </c:pt>
                <c:pt idx="6">
                  <c:v>4633.3564516129036</c:v>
                </c:pt>
                <c:pt idx="7">
                  <c:v>2785.4766129032259</c:v>
                </c:pt>
                <c:pt idx="8">
                  <c:v>261.64999999999998</c:v>
                </c:pt>
                <c:pt idx="9">
                  <c:v>5503.7190322580645</c:v>
                </c:pt>
                <c:pt idx="10">
                  <c:v>1231.0625806451612</c:v>
                </c:pt>
                <c:pt idx="11">
                  <c:v>3754.8891935483871</c:v>
                </c:pt>
                <c:pt idx="12">
                  <c:v>8254.320806451613</c:v>
                </c:pt>
                <c:pt idx="13">
                  <c:v>665.44822580645166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2-439B-8974-AB166AAE8A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5149008"/>
        <c:axId val="505137856"/>
      </c:barChart>
      <c:catAx>
        <c:axId val="50514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37856"/>
        <c:crosses val="autoZero"/>
        <c:auto val="1"/>
        <c:lblAlgn val="ctr"/>
        <c:lblOffset val="100"/>
        <c:noMultiLvlLbl val="0"/>
      </c:catAx>
      <c:valAx>
        <c:axId val="5051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1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图表!$A$5:$A$18</c:f>
              <c:strCache>
                <c:ptCount val="14"/>
                <c:pt idx="0">
                  <c:v>天空1-&gt;时空15</c:v>
                </c:pt>
                <c:pt idx="1">
                  <c:v>烛魔1-&gt;8</c:v>
                </c:pt>
                <c:pt idx="2">
                  <c:v>烛魔1-&gt;12(必成)</c:v>
                </c:pt>
                <c:pt idx="3">
                  <c:v>烛魔1-&gt;15(保底)</c:v>
                </c:pt>
                <c:pt idx="4">
                  <c:v>烛魔1-&gt;15(必成)</c:v>
                </c:pt>
                <c:pt idx="5">
                  <c:v>天空1-&gt;昆仑6</c:v>
                </c:pt>
                <c:pt idx="6">
                  <c:v>昆仑1-&gt;昆仑6</c:v>
                </c:pt>
                <c:pt idx="7">
                  <c:v>天空1-&gt;昆仑7</c:v>
                </c:pt>
                <c:pt idx="8">
                  <c:v>烛魔1-&gt;昆仑7</c:v>
                </c:pt>
                <c:pt idx="9">
                  <c:v>昆仑1-&gt;昆仑7</c:v>
                </c:pt>
                <c:pt idx="10">
                  <c:v>烛魔1-&gt;昆仑8</c:v>
                </c:pt>
                <c:pt idx="11">
                  <c:v>天空1-&gt;昆仑8</c:v>
                </c:pt>
                <c:pt idx="12">
                  <c:v>天空1-&gt;昆仑11</c:v>
                </c:pt>
                <c:pt idx="13">
                  <c:v>烛魔1-&gt;昆仑11必成</c:v>
                </c:pt>
              </c:strCache>
            </c:strRef>
          </c:cat>
          <c:val>
            <c:numRef>
              <c:f>图表!$C$5:$C$18</c:f>
              <c:numCache>
                <c:formatCode>#,##0</c:formatCode>
                <c:ptCount val="14"/>
                <c:pt idx="0">
                  <c:v>88250</c:v>
                </c:pt>
                <c:pt idx="1">
                  <c:v>0</c:v>
                </c:pt>
                <c:pt idx="2">
                  <c:v>0</c:v>
                </c:pt>
                <c:pt idx="3">
                  <c:v>43000</c:v>
                </c:pt>
                <c:pt idx="4">
                  <c:v>165000</c:v>
                </c:pt>
                <c:pt idx="5">
                  <c:v>98750</c:v>
                </c:pt>
                <c:pt idx="6">
                  <c:v>22500</c:v>
                </c:pt>
                <c:pt idx="7">
                  <c:v>106250</c:v>
                </c:pt>
                <c:pt idx="8">
                  <c:v>6000</c:v>
                </c:pt>
                <c:pt idx="9">
                  <c:v>30000</c:v>
                </c:pt>
                <c:pt idx="10">
                  <c:v>16500</c:v>
                </c:pt>
                <c:pt idx="11">
                  <c:v>116750</c:v>
                </c:pt>
                <c:pt idx="12">
                  <c:v>154250</c:v>
                </c:pt>
                <c:pt idx="13">
                  <c:v>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2-44B4-A7B8-168C6CD9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329400"/>
        <c:axId val="500332680"/>
      </c:barChart>
      <c:catAx>
        <c:axId val="50032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32680"/>
        <c:crosses val="autoZero"/>
        <c:auto val="1"/>
        <c:lblAlgn val="ctr"/>
        <c:lblOffset val="100"/>
        <c:noMultiLvlLbl val="0"/>
      </c:catAx>
      <c:valAx>
        <c:axId val="50033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2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图表!$A$56:$A$68</c:f>
              <c:strCache>
                <c:ptCount val="13"/>
                <c:pt idx="0">
                  <c:v>古代神12</c:v>
                </c:pt>
                <c:pt idx="1">
                  <c:v>古代神&gt;破天8</c:v>
                </c:pt>
                <c:pt idx="2">
                  <c:v>破天1-8</c:v>
                </c:pt>
                <c:pt idx="3">
                  <c:v>黑风1-4</c:v>
                </c:pt>
                <c:pt idx="4">
                  <c:v>古代神&gt;破天8&gt;黑风4</c:v>
                </c:pt>
                <c:pt idx="5">
                  <c:v>破天1-8&gt;黑风4</c:v>
                </c:pt>
                <c:pt idx="6">
                  <c:v>古代神&gt;破天12</c:v>
                </c:pt>
                <c:pt idx="7">
                  <c:v>破天1-12</c:v>
                </c:pt>
                <c:pt idx="8">
                  <c:v>古代神&gt;破天8&gt;黑风8</c:v>
                </c:pt>
                <c:pt idx="9">
                  <c:v>古代神&gt;破天12&gt;黑风8</c:v>
                </c:pt>
                <c:pt idx="10">
                  <c:v>黑风1-8</c:v>
                </c:pt>
                <c:pt idx="11">
                  <c:v>破天1-12&gt;黑风8</c:v>
                </c:pt>
                <c:pt idx="12">
                  <c:v>破天1-8&gt;黑风4&gt;黑风8</c:v>
                </c:pt>
              </c:strCache>
            </c:strRef>
          </c:cat>
          <c:val>
            <c:numRef>
              <c:f>图表!$B$56:$B$68</c:f>
              <c:numCache>
                <c:formatCode>#,##0</c:formatCode>
                <c:ptCount val="13"/>
                <c:pt idx="0" formatCode="#,##0_);[Red]\(#,##0\)">
                  <c:v>451.49999999999989</c:v>
                </c:pt>
                <c:pt idx="1">
                  <c:v>743.99999999999989</c:v>
                </c:pt>
                <c:pt idx="2">
                  <c:v>1699.85</c:v>
                </c:pt>
                <c:pt idx="3">
                  <c:v>1637.1408064516129</c:v>
                </c:pt>
                <c:pt idx="4">
                  <c:v>903.99999999999989</c:v>
                </c:pt>
                <c:pt idx="5">
                  <c:v>1859.85</c:v>
                </c:pt>
                <c:pt idx="6">
                  <c:v>2453.4</c:v>
                </c:pt>
                <c:pt idx="7">
                  <c:v>3409.2499999999995</c:v>
                </c:pt>
                <c:pt idx="8">
                  <c:v>3380.5550806451611</c:v>
                </c:pt>
                <c:pt idx="9">
                  <c:v>2773.4</c:v>
                </c:pt>
                <c:pt idx="10">
                  <c:v>4113.6958870967746</c:v>
                </c:pt>
                <c:pt idx="11">
                  <c:v>3729.2499999999995</c:v>
                </c:pt>
                <c:pt idx="12">
                  <c:v>4336.4050806451614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E-40A2-9490-ADCC4C98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4610312"/>
        <c:axId val="654610640"/>
      </c:barChart>
      <c:catAx>
        <c:axId val="65461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10640"/>
        <c:crosses val="autoZero"/>
        <c:auto val="1"/>
        <c:lblAlgn val="ctr"/>
        <c:lblOffset val="100"/>
        <c:noMultiLvlLbl val="0"/>
      </c:catAx>
      <c:valAx>
        <c:axId val="6546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1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图表!$A$56:$A$68</c:f>
              <c:strCache>
                <c:ptCount val="13"/>
                <c:pt idx="0">
                  <c:v>古代神12</c:v>
                </c:pt>
                <c:pt idx="1">
                  <c:v>古代神&gt;破天8</c:v>
                </c:pt>
                <c:pt idx="2">
                  <c:v>破天1-8</c:v>
                </c:pt>
                <c:pt idx="3">
                  <c:v>黑风1-4</c:v>
                </c:pt>
                <c:pt idx="4">
                  <c:v>古代神&gt;破天8&gt;黑风4</c:v>
                </c:pt>
                <c:pt idx="5">
                  <c:v>破天1-8&gt;黑风4</c:v>
                </c:pt>
                <c:pt idx="6">
                  <c:v>古代神&gt;破天12</c:v>
                </c:pt>
                <c:pt idx="7">
                  <c:v>破天1-12</c:v>
                </c:pt>
                <c:pt idx="8">
                  <c:v>古代神&gt;破天8&gt;黑风8</c:v>
                </c:pt>
                <c:pt idx="9">
                  <c:v>古代神&gt;破天12&gt;黑风8</c:v>
                </c:pt>
                <c:pt idx="10">
                  <c:v>黑风1-8</c:v>
                </c:pt>
                <c:pt idx="11">
                  <c:v>破天1-12&gt;黑风8</c:v>
                </c:pt>
                <c:pt idx="12">
                  <c:v>破天1-8&gt;黑风4&gt;黑风8</c:v>
                </c:pt>
              </c:strCache>
            </c:strRef>
          </c:cat>
          <c:val>
            <c:numRef>
              <c:f>图表!$C$56:$C$68</c:f>
              <c:numCache>
                <c:formatCode>#,##0_);[Red]\(#,##0\)</c:formatCode>
                <c:ptCount val="13"/>
                <c:pt idx="0">
                  <c:v>91500</c:v>
                </c:pt>
                <c:pt idx="1">
                  <c:v>91500</c:v>
                </c:pt>
                <c:pt idx="2">
                  <c:v>12300</c:v>
                </c:pt>
                <c:pt idx="3">
                  <c:v>6600</c:v>
                </c:pt>
                <c:pt idx="4">
                  <c:v>91500</c:v>
                </c:pt>
                <c:pt idx="5">
                  <c:v>12300</c:v>
                </c:pt>
                <c:pt idx="6">
                  <c:v>183000</c:v>
                </c:pt>
                <c:pt idx="7">
                  <c:v>103800</c:v>
                </c:pt>
                <c:pt idx="8">
                  <c:v>109200</c:v>
                </c:pt>
                <c:pt idx="9">
                  <c:v>183000</c:v>
                </c:pt>
                <c:pt idx="10">
                  <c:v>24300</c:v>
                </c:pt>
                <c:pt idx="11">
                  <c:v>103800</c:v>
                </c:pt>
                <c:pt idx="1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7-487B-924C-4D506619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341064"/>
        <c:axId val="658337784"/>
      </c:barChart>
      <c:catAx>
        <c:axId val="65834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37784"/>
        <c:crosses val="autoZero"/>
        <c:auto val="1"/>
        <c:lblAlgn val="ctr"/>
        <c:lblOffset val="100"/>
        <c:noMultiLvlLbl val="0"/>
      </c:catAx>
      <c:valAx>
        <c:axId val="65833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3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图表!$A$95:$A$109</c:f>
              <c:strCache>
                <c:ptCount val="15"/>
                <c:pt idx="0">
                  <c:v>破天魂1-&gt;12</c:v>
                </c:pt>
                <c:pt idx="1">
                  <c:v>建元魂1-&gt;8</c:v>
                </c:pt>
                <c:pt idx="2">
                  <c:v>破天魂12-&gt;建元魂8</c:v>
                </c:pt>
                <c:pt idx="3">
                  <c:v>建元魂1-&gt;12</c:v>
                </c:pt>
                <c:pt idx="4">
                  <c:v>破天魂12-&gt;建元魂12</c:v>
                </c:pt>
                <c:pt idx="5">
                  <c:v>建元魂1-&gt;15</c:v>
                </c:pt>
                <c:pt idx="6">
                  <c:v>破天魂12-&gt;建元魂15</c:v>
                </c:pt>
                <c:pt idx="7">
                  <c:v>天乾1-&gt;8</c:v>
                </c:pt>
                <c:pt idx="8">
                  <c:v>建元魂12-&gt;天乾8</c:v>
                </c:pt>
                <c:pt idx="9">
                  <c:v>天乾1-&gt;11</c:v>
                </c:pt>
                <c:pt idx="10">
                  <c:v>建元魂12-&gt;天乾11</c:v>
                </c:pt>
                <c:pt idx="11">
                  <c:v>建元魂15-&gt;天乾11</c:v>
                </c:pt>
                <c:pt idx="12">
                  <c:v>天乾1-&gt;15</c:v>
                </c:pt>
                <c:pt idx="13">
                  <c:v>建元魂12-&gt;天乾15</c:v>
                </c:pt>
                <c:pt idx="14">
                  <c:v>建元魂15-&gt;天乾15</c:v>
                </c:pt>
              </c:strCache>
            </c:strRef>
          </c:cat>
          <c:val>
            <c:numRef>
              <c:f>图表!$B$95:$B$109</c:f>
              <c:numCache>
                <c:formatCode>#,##0</c:formatCode>
                <c:ptCount val="15"/>
                <c:pt idx="0" formatCode="#,##0_);[Red]\(#,##0\)">
                  <c:v>1745.5</c:v>
                </c:pt>
                <c:pt idx="1">
                  <c:v>5865.2999999999993</c:v>
                </c:pt>
                <c:pt idx="2">
                  <c:v>1783</c:v>
                </c:pt>
                <c:pt idx="3">
                  <c:v>11875.300000000001</c:v>
                </c:pt>
                <c:pt idx="4">
                  <c:v>7793</c:v>
                </c:pt>
                <c:pt idx="5">
                  <c:v>18055.600000000002</c:v>
                </c:pt>
                <c:pt idx="6">
                  <c:v>13973.3</c:v>
                </c:pt>
                <c:pt idx="7">
                  <c:v>700</c:v>
                </c:pt>
                <c:pt idx="8">
                  <c:v>7793</c:v>
                </c:pt>
                <c:pt idx="9">
                  <c:v>700</c:v>
                </c:pt>
                <c:pt idx="10">
                  <c:v>7793</c:v>
                </c:pt>
                <c:pt idx="11">
                  <c:v>13973.3</c:v>
                </c:pt>
                <c:pt idx="12">
                  <c:v>11747.625</c:v>
                </c:pt>
                <c:pt idx="13">
                  <c:v>18840.625</c:v>
                </c:pt>
                <c:pt idx="14">
                  <c:v>25020.924999999999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2-4FC6-975D-F98A5A1C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195160"/>
        <c:axId val="515194832"/>
      </c:barChart>
      <c:catAx>
        <c:axId val="515195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94832"/>
        <c:crosses val="autoZero"/>
        <c:auto val="1"/>
        <c:lblAlgn val="ctr"/>
        <c:lblOffset val="100"/>
        <c:noMultiLvlLbl val="0"/>
      </c:catAx>
      <c:valAx>
        <c:axId val="5151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9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点券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图表!$A$95:$A$109</c:f>
              <c:strCache>
                <c:ptCount val="15"/>
                <c:pt idx="0">
                  <c:v>破天魂1-&gt;12</c:v>
                </c:pt>
                <c:pt idx="1">
                  <c:v>建元魂1-&gt;8</c:v>
                </c:pt>
                <c:pt idx="2">
                  <c:v>破天魂12-&gt;建元魂8</c:v>
                </c:pt>
                <c:pt idx="3">
                  <c:v>建元魂1-&gt;12</c:v>
                </c:pt>
                <c:pt idx="4">
                  <c:v>破天魂12-&gt;建元魂12</c:v>
                </c:pt>
                <c:pt idx="5">
                  <c:v>建元魂1-&gt;15</c:v>
                </c:pt>
                <c:pt idx="6">
                  <c:v>破天魂12-&gt;建元魂15</c:v>
                </c:pt>
                <c:pt idx="7">
                  <c:v>天乾1-&gt;8</c:v>
                </c:pt>
                <c:pt idx="8">
                  <c:v>建元魂12-&gt;天乾8</c:v>
                </c:pt>
                <c:pt idx="9">
                  <c:v>天乾1-&gt;11</c:v>
                </c:pt>
                <c:pt idx="10">
                  <c:v>建元魂12-&gt;天乾11</c:v>
                </c:pt>
                <c:pt idx="11">
                  <c:v>建元魂15-&gt;天乾11</c:v>
                </c:pt>
                <c:pt idx="12">
                  <c:v>天乾1-&gt;15</c:v>
                </c:pt>
                <c:pt idx="13">
                  <c:v>建元魂12-&gt;天乾15</c:v>
                </c:pt>
                <c:pt idx="14">
                  <c:v>建元魂15-&gt;天乾15</c:v>
                </c:pt>
              </c:strCache>
            </c:strRef>
          </c:cat>
          <c:val>
            <c:numRef>
              <c:f>图表!$C$95:$C$109</c:f>
              <c:numCache>
                <c:formatCode>#,##0_);[Red]\(#,##0\)</c:formatCode>
                <c:ptCount val="15"/>
                <c:pt idx="0">
                  <c:v>72900</c:v>
                </c:pt>
                <c:pt idx="1">
                  <c:v>29100</c:v>
                </c:pt>
                <c:pt idx="2">
                  <c:v>84900</c:v>
                </c:pt>
                <c:pt idx="3">
                  <c:v>104100</c:v>
                </c:pt>
                <c:pt idx="4">
                  <c:v>159900</c:v>
                </c:pt>
                <c:pt idx="5">
                  <c:v>185100</c:v>
                </c:pt>
                <c:pt idx="6">
                  <c:v>240900</c:v>
                </c:pt>
                <c:pt idx="7">
                  <c:v>0</c:v>
                </c:pt>
                <c:pt idx="8">
                  <c:v>159900</c:v>
                </c:pt>
                <c:pt idx="9">
                  <c:v>0</c:v>
                </c:pt>
                <c:pt idx="10">
                  <c:v>159900</c:v>
                </c:pt>
                <c:pt idx="11">
                  <c:v>240900</c:v>
                </c:pt>
                <c:pt idx="12">
                  <c:v>182500</c:v>
                </c:pt>
                <c:pt idx="13">
                  <c:v>342400</c:v>
                </c:pt>
                <c:pt idx="14">
                  <c:v>423400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5-4592-80CA-021C01DA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6706688"/>
        <c:axId val="816707016"/>
      </c:barChart>
      <c:catAx>
        <c:axId val="81670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707016"/>
        <c:crosses val="autoZero"/>
        <c:auto val="1"/>
        <c:lblAlgn val="ctr"/>
        <c:lblOffset val="100"/>
        <c:noMultiLvlLbl val="0"/>
      </c:catAx>
      <c:valAx>
        <c:axId val="8167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7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灵核进化!$H$21:$M$21</c:f>
              <c:strCache>
                <c:ptCount val="6"/>
                <c:pt idx="0">
                  <c:v>仙丹</c:v>
                </c:pt>
                <c:pt idx="1">
                  <c:v>灵丹</c:v>
                </c:pt>
                <c:pt idx="2">
                  <c:v>灵石</c:v>
                </c:pt>
                <c:pt idx="3">
                  <c:v>月石</c:v>
                </c:pt>
                <c:pt idx="4">
                  <c:v>建元魂石</c:v>
                </c:pt>
                <c:pt idx="5">
                  <c:v>天元结晶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0-4742-9AEC-44422F5854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0-4742-9AEC-44422F5854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0-4742-9AEC-44422F5854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0-4742-9AEC-44422F5854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0-4742-9AEC-44422F5854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0-4742-9AEC-44422F58547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灵核进化!$H$21:$M$21</c:f>
              <c:strCache>
                <c:ptCount val="6"/>
                <c:pt idx="0">
                  <c:v>仙丹</c:v>
                </c:pt>
                <c:pt idx="1">
                  <c:v>灵丹</c:v>
                </c:pt>
                <c:pt idx="2">
                  <c:v>灵石</c:v>
                </c:pt>
                <c:pt idx="3">
                  <c:v>月石</c:v>
                </c:pt>
                <c:pt idx="4">
                  <c:v>建元魂石</c:v>
                </c:pt>
                <c:pt idx="5">
                  <c:v>天元结晶</c:v>
                </c:pt>
              </c:strCache>
            </c:strRef>
          </c:cat>
          <c:val>
            <c:numRef>
              <c:f>灵核进化!$H$38:$M$38</c:f>
              <c:numCache>
                <c:formatCode>#,##0_ </c:formatCode>
                <c:ptCount val="6"/>
                <c:pt idx="0">
                  <c:v>2400</c:v>
                </c:pt>
                <c:pt idx="1">
                  <c:v>180</c:v>
                </c:pt>
                <c:pt idx="2">
                  <c:v>69.599999999999994</c:v>
                </c:pt>
                <c:pt idx="3">
                  <c:v>864</c:v>
                </c:pt>
                <c:pt idx="4">
                  <c:v>2229.5</c:v>
                </c:pt>
                <c:pt idx="5">
                  <c:v>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B-469A-9CC2-0C4EA3CF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42629046369197"/>
          <c:y val="0.1480307669874599"/>
          <c:w val="0.16790704286964128"/>
          <c:h val="0.64930883639545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灵核进化!$H$42:$M$42</c:f>
              <c:strCache>
                <c:ptCount val="6"/>
                <c:pt idx="0">
                  <c:v>赤流结晶</c:v>
                </c:pt>
                <c:pt idx="1">
                  <c:v>天乾魂石</c:v>
                </c:pt>
                <c:pt idx="2">
                  <c:v>月石</c:v>
                </c:pt>
                <c:pt idx="3">
                  <c:v>灵石</c:v>
                </c:pt>
                <c:pt idx="4">
                  <c:v>仙丹</c:v>
                </c:pt>
                <c:pt idx="5">
                  <c:v>灵丹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D-4652-A36D-E8204FA3E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D-4652-A36D-E8204FA3E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D-4652-A36D-E8204FA3EE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6D-4652-A36D-E8204FA3E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6D-4652-A36D-E8204FA3E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D-4652-A36D-E8204FA3EE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灵核进化!$H$42:$M$42</c:f>
              <c:strCache>
                <c:ptCount val="6"/>
                <c:pt idx="0">
                  <c:v>赤流结晶</c:v>
                </c:pt>
                <c:pt idx="1">
                  <c:v>天乾魂石</c:v>
                </c:pt>
                <c:pt idx="2">
                  <c:v>月石</c:v>
                </c:pt>
                <c:pt idx="3">
                  <c:v>灵石</c:v>
                </c:pt>
                <c:pt idx="4">
                  <c:v>仙丹</c:v>
                </c:pt>
                <c:pt idx="5">
                  <c:v>灵丹</c:v>
                </c:pt>
              </c:strCache>
            </c:strRef>
          </c:cat>
          <c:val>
            <c:numRef>
              <c:f>灵核进化!$H$59:$M$59</c:f>
              <c:numCache>
                <c:formatCode>#,##0_ </c:formatCode>
                <c:ptCount val="6"/>
                <c:pt idx="0">
                  <c:v>9884</c:v>
                </c:pt>
                <c:pt idx="1">
                  <c:v>10584</c:v>
                </c:pt>
                <c:pt idx="2">
                  <c:v>837</c:v>
                </c:pt>
                <c:pt idx="3">
                  <c:v>74.399999999999991</c:v>
                </c:pt>
                <c:pt idx="4">
                  <c:v>2480</c:v>
                </c:pt>
                <c:pt idx="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83-4A95-BFDE-ADAC24BC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</xdr:rowOff>
    </xdr:from>
    <xdr:to>
      <xdr:col>11</xdr:col>
      <xdr:colOff>304800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232EB-21D7-442F-B800-E4BF78D6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</xdr:row>
      <xdr:rowOff>167640</xdr:rowOff>
    </xdr:from>
    <xdr:to>
      <xdr:col>19</xdr:col>
      <xdr:colOff>297180</xdr:colOff>
      <xdr:row>32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29002-8781-4496-8EEC-FDE27FE1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53</xdr:row>
      <xdr:rowOff>11430</xdr:rowOff>
    </xdr:from>
    <xdr:to>
      <xdr:col>11</xdr:col>
      <xdr:colOff>297180</xdr:colOff>
      <xdr:row>83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490CAE-963A-4ABC-95E7-228C0CAC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52</xdr:row>
      <xdr:rowOff>179070</xdr:rowOff>
    </xdr:from>
    <xdr:to>
      <xdr:col>21</xdr:col>
      <xdr:colOff>365760</xdr:colOff>
      <xdr:row>82</xdr:row>
      <xdr:rowOff>175260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F37A20F-46E9-4BD0-9CE6-A7792151D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93</xdr:row>
      <xdr:rowOff>3810</xdr:rowOff>
    </xdr:from>
    <xdr:to>
      <xdr:col>11</xdr:col>
      <xdr:colOff>297180</xdr:colOff>
      <xdr:row>125</xdr:row>
      <xdr:rowOff>60960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D6463A0-F3BA-4CA7-8AFD-221AA985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</xdr:colOff>
      <xdr:row>92</xdr:row>
      <xdr:rowOff>179070</xdr:rowOff>
    </xdr:from>
    <xdr:to>
      <xdr:col>19</xdr:col>
      <xdr:colOff>335280</xdr:colOff>
      <xdr:row>125</xdr:row>
      <xdr:rowOff>38100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5AADDBA2-6BEE-4694-AFE0-96C03C24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53340</xdr:colOff>
      <xdr:row>95</xdr:row>
      <xdr:rowOff>60960</xdr:rowOff>
    </xdr:from>
    <xdr:to>
      <xdr:col>19</xdr:col>
      <xdr:colOff>320040</xdr:colOff>
      <xdr:row>100</xdr:row>
      <xdr:rowOff>175260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1D04219A-CDD1-4779-982F-E86A685BC30A}"/>
            </a:ext>
          </a:extLst>
        </xdr:cNvPr>
        <xdr:cNvSpPr/>
      </xdr:nvSpPr>
      <xdr:spPr>
        <a:xfrm>
          <a:off x="3718560" y="8656320"/>
          <a:ext cx="9410700" cy="1028700"/>
        </a:xfrm>
        <a:prstGeom prst="rect">
          <a:avLst/>
        </a:prstGeom>
        <a:solidFill>
          <a:schemeClr val="accent5">
            <a:lumMod val="20000"/>
            <a:lumOff val="8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</xdr:colOff>
      <xdr:row>101</xdr:row>
      <xdr:rowOff>22860</xdr:rowOff>
    </xdr:from>
    <xdr:to>
      <xdr:col>19</xdr:col>
      <xdr:colOff>320040</xdr:colOff>
      <xdr:row>106</xdr:row>
      <xdr:rowOff>137160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DCCEB70D-3D56-4B7B-BB65-22CB0F1B78B4}"/>
            </a:ext>
          </a:extLst>
        </xdr:cNvPr>
        <xdr:cNvSpPr/>
      </xdr:nvSpPr>
      <xdr:spPr>
        <a:xfrm>
          <a:off x="3718560" y="9715500"/>
          <a:ext cx="9410700" cy="1028700"/>
        </a:xfrm>
        <a:prstGeom prst="rect">
          <a:avLst/>
        </a:prstGeom>
        <a:solidFill>
          <a:schemeClr val="accent6">
            <a:lumMod val="60000"/>
            <a:lumOff val="4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</xdr:colOff>
      <xdr:row>106</xdr:row>
      <xdr:rowOff>160020</xdr:rowOff>
    </xdr:from>
    <xdr:to>
      <xdr:col>19</xdr:col>
      <xdr:colOff>320040</xdr:colOff>
      <xdr:row>110</xdr:row>
      <xdr:rowOff>121920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9F4B43F0-E9B5-408D-A5DE-4F43C7BF424B}"/>
            </a:ext>
          </a:extLst>
        </xdr:cNvPr>
        <xdr:cNvSpPr/>
      </xdr:nvSpPr>
      <xdr:spPr>
        <a:xfrm>
          <a:off x="3718560" y="10767060"/>
          <a:ext cx="9410700" cy="693420"/>
        </a:xfrm>
        <a:prstGeom prst="rect">
          <a:avLst/>
        </a:prstGeom>
        <a:solidFill>
          <a:schemeClr val="accent5">
            <a:lumMod val="20000"/>
            <a:lumOff val="8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45720</xdr:colOff>
      <xdr:row>110</xdr:row>
      <xdr:rowOff>152400</xdr:rowOff>
    </xdr:from>
    <xdr:to>
      <xdr:col>19</xdr:col>
      <xdr:colOff>312420</xdr:colOff>
      <xdr:row>114</xdr:row>
      <xdr:rowOff>76200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900E1C18-2EBB-4BA2-A5F2-44A93152EFF1}"/>
            </a:ext>
          </a:extLst>
        </xdr:cNvPr>
        <xdr:cNvSpPr/>
      </xdr:nvSpPr>
      <xdr:spPr>
        <a:xfrm>
          <a:off x="3710940" y="11490960"/>
          <a:ext cx="9410700" cy="655320"/>
        </a:xfrm>
        <a:prstGeom prst="rect">
          <a:avLst/>
        </a:prstGeom>
        <a:solidFill>
          <a:schemeClr val="accent6">
            <a:lumMod val="60000"/>
            <a:lumOff val="4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53340</xdr:colOff>
      <xdr:row>114</xdr:row>
      <xdr:rowOff>106680</xdr:rowOff>
    </xdr:from>
    <xdr:to>
      <xdr:col>19</xdr:col>
      <xdr:colOff>320040</xdr:colOff>
      <xdr:row>118</xdr:row>
      <xdr:rowOff>68580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3013E609-FFD5-4501-B275-95A65C061D18}"/>
            </a:ext>
          </a:extLst>
        </xdr:cNvPr>
        <xdr:cNvSpPr/>
      </xdr:nvSpPr>
      <xdr:spPr>
        <a:xfrm>
          <a:off x="3718560" y="12176760"/>
          <a:ext cx="9410700" cy="693420"/>
        </a:xfrm>
        <a:prstGeom prst="rect">
          <a:avLst/>
        </a:prstGeom>
        <a:solidFill>
          <a:schemeClr val="accent5">
            <a:lumMod val="20000"/>
            <a:lumOff val="8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45720</xdr:colOff>
      <xdr:row>118</xdr:row>
      <xdr:rowOff>99060</xdr:rowOff>
    </xdr:from>
    <xdr:to>
      <xdr:col>19</xdr:col>
      <xdr:colOff>312420</xdr:colOff>
      <xdr:row>122</xdr:row>
      <xdr:rowOff>22860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C9A17616-69D5-4A0F-8903-C87BDBF8C457}"/>
            </a:ext>
          </a:extLst>
        </xdr:cNvPr>
        <xdr:cNvSpPr/>
      </xdr:nvSpPr>
      <xdr:spPr>
        <a:xfrm>
          <a:off x="3710940" y="12900660"/>
          <a:ext cx="9410700" cy="655320"/>
        </a:xfrm>
        <a:prstGeom prst="rect">
          <a:avLst/>
        </a:prstGeom>
        <a:solidFill>
          <a:schemeClr val="accent6">
            <a:lumMod val="60000"/>
            <a:lumOff val="40000"/>
            <a:alpha val="14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12</xdr:col>
      <xdr:colOff>495300</xdr:colOff>
      <xdr:row>84</xdr:row>
      <xdr:rowOff>99060</xdr:rowOff>
    </xdr:to>
    <xdr:pic>
      <xdr:nvPicPr>
        <xdr:cNvPr id="2" name="aimg_2705673" descr="http://i1.17173cdn.com/9ih5jd/YWxqaGBf/forum/201707/07/144517ogt7xi11lt00wolp.png">
          <a:extLst>
            <a:ext uri="{FF2B5EF4-FFF2-40B4-BE49-F238E27FC236}">
              <a16:creationId xmlns:a16="http://schemas.microsoft.com/office/drawing/2014/main" id="{A0E0B87C-67BE-4CF7-B13B-020AC69A4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47120"/>
          <a:ext cx="834390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175260</xdr:colOff>
      <xdr:row>20</xdr:row>
      <xdr:rowOff>300990</xdr:rowOff>
    </xdr:from>
    <xdr:to>
      <xdr:col>30</xdr:col>
      <xdr:colOff>480060</xdr:colOff>
      <xdr:row>35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0DD223-D44C-42CA-AEAF-4FCB715CA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41</xdr:row>
      <xdr:rowOff>316230</xdr:rowOff>
    </xdr:from>
    <xdr:to>
      <xdr:col>31</xdr:col>
      <xdr:colOff>190500</xdr:colOff>
      <xdr:row>56</xdr:row>
      <xdr:rowOff>175260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C6B5E5-0EFB-4F96-9A16-120E7BC4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213360</xdr:colOff>
      <xdr:row>54</xdr:row>
      <xdr:rowOff>68580</xdr:rowOff>
    </xdr:to>
    <xdr:pic>
      <xdr:nvPicPr>
        <xdr:cNvPr id="2" name="图片 1" descr="太尚门2.0.png">
          <a:extLst>
            <a:ext uri="{FF2B5EF4-FFF2-40B4-BE49-F238E27FC236}">
              <a16:creationId xmlns:a16="http://schemas.microsoft.com/office/drawing/2014/main" id="{D81BDC37-EE0C-4E92-AD74-BD80A79BE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38160" cy="994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121920</xdr:rowOff>
    </xdr:from>
    <xdr:to>
      <xdr:col>13</xdr:col>
      <xdr:colOff>213360</xdr:colOff>
      <xdr:row>99</xdr:row>
      <xdr:rowOff>91440</xdr:rowOff>
    </xdr:to>
    <xdr:pic>
      <xdr:nvPicPr>
        <xdr:cNvPr id="3" name="图片 2" descr="铁匠坊2.0.png">
          <a:extLst>
            <a:ext uri="{FF2B5EF4-FFF2-40B4-BE49-F238E27FC236}">
              <a16:creationId xmlns:a16="http://schemas.microsoft.com/office/drawing/2014/main" id="{908DE641-0EFD-43BE-BA07-774FE534F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4560"/>
          <a:ext cx="8138160" cy="838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114300</xdr:rowOff>
    </xdr:from>
    <xdr:to>
      <xdr:col>13</xdr:col>
      <xdr:colOff>213360</xdr:colOff>
      <xdr:row>166</xdr:row>
      <xdr:rowOff>0</xdr:rowOff>
    </xdr:to>
    <xdr:pic>
      <xdr:nvPicPr>
        <xdr:cNvPr id="4" name="图片 3" descr="万金堂2.0.png">
          <a:extLst>
            <a:ext uri="{FF2B5EF4-FFF2-40B4-BE49-F238E27FC236}">
              <a16:creationId xmlns:a16="http://schemas.microsoft.com/office/drawing/2014/main" id="{A25FB8E7-C212-4F67-B163-1B7D5C0E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62620"/>
          <a:ext cx="8138160" cy="939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63</xdr:row>
      <xdr:rowOff>146685</xdr:rowOff>
    </xdr:from>
    <xdr:to>
      <xdr:col>12</xdr:col>
      <xdr:colOff>369570</xdr:colOff>
      <xdr:row>89</xdr:row>
      <xdr:rowOff>108585</xdr:rowOff>
    </xdr:to>
    <xdr:pic>
      <xdr:nvPicPr>
        <xdr:cNvPr id="3" name="Picture 2" descr="爆炸灵芝 剑灵昆仑武器属性与成长费用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9380" y="9839325"/>
          <a:ext cx="5238750" cy="6728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91</xdr:row>
      <xdr:rowOff>7620</xdr:rowOff>
    </xdr:from>
    <xdr:to>
      <xdr:col>10</xdr:col>
      <xdr:colOff>7620</xdr:colOff>
      <xdr:row>113</xdr:row>
      <xdr:rowOff>45720</xdr:rowOff>
    </xdr:to>
    <xdr:pic>
      <xdr:nvPicPr>
        <xdr:cNvPr id="4" name="图片 3" descr="黑风八卦牌属性分析">
          <a:extLst>
            <a:ext uri="{FF2B5EF4-FFF2-40B4-BE49-F238E27FC236}">
              <a16:creationId xmlns:a16="http://schemas.microsoft.com/office/drawing/2014/main" id="{9753ED0D-9390-4B04-BE8E-827F9698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17015460"/>
          <a:ext cx="3589020" cy="479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219075</xdr:colOff>
      <xdr:row>62</xdr:row>
      <xdr:rowOff>110490</xdr:rowOff>
    </xdr:to>
    <xdr:pic>
      <xdr:nvPicPr>
        <xdr:cNvPr id="2" name="图片 1" descr="http://wx2.sinaimg.cn/mw1024/005ZYKDsgy1fh9kogtsshj30nr0xen28.jpg">
          <a:extLst>
            <a:ext uri="{FF2B5EF4-FFF2-40B4-BE49-F238E27FC236}">
              <a16:creationId xmlns:a16="http://schemas.microsoft.com/office/drawing/2014/main" id="{052D872A-1E44-4B02-9F2E-378CB43AC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8143875" cy="1144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556260</xdr:colOff>
      <xdr:row>0</xdr:row>
      <xdr:rowOff>0</xdr:rowOff>
    </xdr:from>
    <xdr:to>
      <xdr:col>27</xdr:col>
      <xdr:colOff>331049</xdr:colOff>
      <xdr:row>19</xdr:row>
      <xdr:rowOff>173929</xdr:rowOff>
    </xdr:to>
    <xdr:pic>
      <xdr:nvPicPr>
        <xdr:cNvPr id="3" name="图片 2" descr="光辉真气石1~25段成长配方.png">
          <a:extLst>
            <a:ext uri="{FF2B5EF4-FFF2-40B4-BE49-F238E27FC236}">
              <a16:creationId xmlns:a16="http://schemas.microsoft.com/office/drawing/2014/main" id="{C6E8E558-F6D2-484A-BB9B-2153FE041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481060" y="0"/>
          <a:ext cx="8309189" cy="364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27</xdr:col>
      <xdr:colOff>213360</xdr:colOff>
      <xdr:row>68</xdr:row>
      <xdr:rowOff>114300</xdr:rowOff>
    </xdr:to>
    <xdr:pic>
      <xdr:nvPicPr>
        <xdr:cNvPr id="5" name="图片 4" descr="烛魔昆仑元气石成长配方汇总.png">
          <a:extLst>
            <a:ext uri="{FF2B5EF4-FFF2-40B4-BE49-F238E27FC236}">
              <a16:creationId xmlns:a16="http://schemas.microsoft.com/office/drawing/2014/main" id="{EFAA04D4-6F3A-4397-9124-07106128F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023360"/>
          <a:ext cx="8138160" cy="852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5;&#22825;&#22269;&#36827;&#21270;&#35745;&#31639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"/>
      <sheetName val="价格"/>
      <sheetName val="武器进化"/>
      <sheetName val="首饰进化"/>
      <sheetName val="灵核进化"/>
      <sheetName val="昆仑仙仑秘功牌&amp;八卦喂养"/>
      <sheetName val="制作"/>
      <sheetName val="参照_新版制作"/>
      <sheetName val="参照_烛魔武器效果"/>
      <sheetName val="模板"/>
      <sheetName val="武器进化 (2)"/>
      <sheetName val="模板 (bak)"/>
      <sheetName val="南天国进化计算 - 副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4" name="金价" displayName="金价" ref="A2:B39" totalsRowShown="0" headerRowDxfId="1197" dataDxfId="1196">
  <autoFilter ref="A2:B39"/>
  <sortState ref="A3:B29">
    <sortCondition ref="A2:A29"/>
  </sortState>
  <tableColumns count="2">
    <tableColumn id="1" name="材料名" dataDxfId="1195"/>
    <tableColumn id="2" name="价格(J)" dataDxfId="1194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id="33" name="表_烛魔元气石必成" displayName="表_烛魔元气石必成" ref="B3:W18" totalsRowCount="1" headerRowDxfId="886" totalsRowDxfId="883" headerRowBorderDxfId="885" tableBorderDxfId="884" totalsRowBorderDxfId="882">
  <tableColumns count="22">
    <tableColumn id="1" name="累计金币(J)" totalsRowFunction="max" dataDxfId="881" totalsRowDxfId="880">
      <calculatedColumnFormula>表_烛魔元气石必成[[#This Row],[进化金币(J)]]+IF(ISNUMBER(B3), B3, 表_烛魔元气石必成[[#Totals],[进化阶段]])</calculatedColumnFormula>
    </tableColumn>
    <tableColumn id="2" name="累计点券" totalsRowFunction="max" totalsRowDxfId="879">
      <calculatedColumnFormula>表_烛魔元气石必成[[#This Row],[进化点券]]+IF(ISNUMBER(C3), C3, 0)</calculatedColumnFormula>
    </tableColumn>
    <tableColumn id="3" name="进化金币(J)" totalsRowFunction="sum" dataDxfId="878" totalsRowDxfId="877">
      <calculatedColumnFormula>IF(A4="○",SUMPRODUCT(表_烛魔元气石必成[[#This Row],[元初碎片]:[列12]],表_烛魔元气石必成[[#Totals],[元初碎片]:[列12]])+表_烛魔元气石必成[[#This Row],[手续费(J)]]*折扣,0)</calculatedColumnFormula>
    </tableColumn>
    <tableColumn id="4" name="进化点券" totalsRowFunction="sum" dataDxfId="876" totalsRowDxfId="875">
      <calculatedColumnFormula>IF(A4="○",SUMPRODUCT(表_烛魔元气石必成[[#This Row],[高级武魂神物]:[列16]],表_烛魔元气石必成[[#Totals],[高级武魂神物]:[列16]]),0)</calculatedColumnFormula>
    </tableColumn>
    <tableColumn id="5" name="进化阶段" totalsRowDxfId="874"/>
    <tableColumn id="6" name="手续费(J)" totalsRowLabel="单价" totalsRowDxfId="873"/>
    <tableColumn id="7" name="元初碎片" totalsRowFunction="custom" totalsRowDxfId="872">
      <totalsRowFormula xml:space="preserve"> _xlfn.IFNA(VLOOKUP(表_烛魔元气石必成[[#Headers],[元初碎片]],金价一览,2,0), 0)</totalsRowFormula>
    </tableColumn>
    <tableColumn id="8" name="烛魔羽毛" totalsRowFunction="custom" totalsRowDxfId="871">
      <totalsRowFormula xml:space="preserve"> _xlfn.IFNA(VLOOKUP(表_烛魔元气石必成[[#Headers],[烛魔羽毛]],金价一览,2,0), 0)</totalsRowFormula>
    </tableColumn>
    <tableColumn id="9" name="月石" totalsRowFunction="custom" totalsRowDxfId="870">
      <totalsRowFormula xml:space="preserve"> _xlfn.IFNA(VLOOKUP(表_烛魔元气石必成[[#Headers],[月石]],金价一览,2,0), 0)</totalsRowFormula>
    </tableColumn>
    <tableColumn id="10" name="灵石" totalsRowFunction="custom" totalsRowDxfId="869">
      <totalsRowFormula xml:space="preserve"> _xlfn.IFNA(VLOOKUP(表_烛魔元气石必成[[#Headers],[灵石]],金价一览,2,0), 0)</totalsRowFormula>
    </tableColumn>
    <tableColumn id="11" name="仙丹" totalsRowFunction="custom" totalsRowDxfId="868">
      <totalsRowFormula xml:space="preserve"> _xlfn.IFNA(VLOOKUP(表_烛魔元气石必成[[#Headers],[仙丹]],金价一览,2,0), 0)</totalsRowFormula>
    </tableColumn>
    <tableColumn id="12" name="灵丹" totalsRowFunction="custom" totalsRowDxfId="867">
      <totalsRowFormula xml:space="preserve"> _xlfn.IFNA(VLOOKUP(表_烛魔元气石必成[[#Headers],[灵丹]],金价一览,2,0), 0)</totalsRowFormula>
    </tableColumn>
    <tableColumn id="13" name="列7" totalsRowFunction="custom" totalsRowDxfId="866">
      <totalsRowFormula xml:space="preserve"> _xlfn.IFNA(VLOOKUP(表_烛魔元气石必成[[#Headers],[列7]],金价一览,2,0), 0)</totalsRowFormula>
    </tableColumn>
    <tableColumn id="14" name="列8" totalsRowFunction="custom" totalsRowDxfId="865">
      <totalsRowFormula xml:space="preserve"> _xlfn.IFNA(VLOOKUP(表_烛魔元气石必成[[#Headers],[列8]],金价一览,2,0), 0)</totalsRowFormula>
    </tableColumn>
    <tableColumn id="15" name="列9" totalsRowFunction="custom" totalsRowDxfId="864">
      <totalsRowFormula xml:space="preserve"> _xlfn.IFNA(VLOOKUP(表_烛魔元气石必成[[#Headers],[列9]],金价一览,2,0), 0)</totalsRowFormula>
    </tableColumn>
    <tableColumn id="16" name="列10" totalsRowFunction="custom" totalsRowDxfId="863">
      <totalsRowFormula xml:space="preserve"> _xlfn.IFNA(VLOOKUP(表_烛魔元气石必成[[#Headers],[列10]],金价一览,2,0), 0)</totalsRowFormula>
    </tableColumn>
    <tableColumn id="17" name="列11" totalsRowFunction="custom" totalsRowDxfId="862">
      <totalsRowFormula xml:space="preserve"> _xlfn.IFNA(VLOOKUP(表_烛魔元气石必成[[#Headers],[列11]],金价一览,2,0), 0)</totalsRowFormula>
    </tableColumn>
    <tableColumn id="18" name="列12" totalsRowFunction="custom" totalsRowDxfId="861">
      <totalsRowFormula xml:space="preserve"> _xlfn.IFNA(VLOOKUP(表_烛魔元气石必成[[#Headers],[列12]],金价一览,2,0), 0)</totalsRowFormula>
    </tableColumn>
    <tableColumn id="19" name="高级武魂神物" totalsRowFunction="custom" totalsRowDxfId="860">
      <totalsRowFormula>_xlfn.IFNA(VLOOKUP(表_烛魔元气石必成[[#Headers],[高级武魂神物]],点券一览,2,0),0)</totalsRowFormula>
    </tableColumn>
    <tableColumn id="20" name="破天武魂神物" totalsRowFunction="custom" totalsRowDxfId="859">
      <totalsRowFormula>_xlfn.IFNA(VLOOKUP(表_烛魔元气石必成[[#Headers],[破天武魂神物]],点券一览,2,0),0)</totalsRowFormula>
    </tableColumn>
    <tableColumn id="21" name="列15" totalsRowFunction="custom" totalsRowDxfId="858">
      <totalsRowFormula>_xlfn.IFNA(VLOOKUP(表_烛魔元气石必成[[#Headers],[列15]],点券一览,2,0),0)</totalsRowFormula>
    </tableColumn>
    <tableColumn id="22" name="列16" totalsRowFunction="custom" totalsRowDxfId="857">
      <totalsRowFormula>_xlfn.IFNA(VLOOKUP(表_烛魔元气石必成[[#Headers],[列16]],点券一览,2,0),0)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4" name="表_昆仑元气石必成" displayName="表_昆仑元气石必成" ref="B43:W58" totalsRowCount="1" headerRowDxfId="856" totalsRowDxfId="853" headerRowBorderDxfId="855" tableBorderDxfId="854" totalsRowBorderDxfId="852">
  <tableColumns count="22">
    <tableColumn id="1" name="累计金币(J)" totalsRowFunction="max" dataDxfId="851" totalsRowDxfId="850">
      <calculatedColumnFormula>表_昆仑元气石必成[[#This Row],[进化金币(J)]]+IF(ISNUMBER(B43), B43, 表_昆仑元气石必成[[#Totals],[进化阶段]])</calculatedColumnFormula>
    </tableColumn>
    <tableColumn id="2" name="累计点券" totalsRowFunction="max" totalsRowDxfId="849">
      <calculatedColumnFormula>表_昆仑元气石必成[[#This Row],[进化点券]]+IF(ISNUMBER(C43), C43, 0)</calculatedColumnFormula>
    </tableColumn>
    <tableColumn id="3" name="进化金币(J)" totalsRowFunction="sum" dataDxfId="848" totalsRowDxfId="847">
      <calculatedColumnFormula>IF(A44="○",SUMPRODUCT(表_昆仑元气石必成[[#This Row],[天元结晶]:[列12]],表_昆仑元气石必成[[#Totals],[天元结晶]:[列12]])+表_昆仑元气石必成[[#This Row],[手续费(J)]]*折扣,0)</calculatedColumnFormula>
    </tableColumn>
    <tableColumn id="4" name="进化点券" totalsRowFunction="sum" dataDxfId="846" totalsRowDxfId="845">
      <calculatedColumnFormula>IF(A44="○",SUMPRODUCT(表_昆仑元气石必成[[#This Row],[破天武魂神物]:[列16]],表_昆仑元气石必成[[#Totals],[破天武魂神物]:[列16]]),0)</calculatedColumnFormula>
    </tableColumn>
    <tableColumn id="5" name="进化阶段" totalsRowDxfId="844"/>
    <tableColumn id="6" name="手续费(J)" totalsRowLabel="单价" totalsRowDxfId="843"/>
    <tableColumn id="7" name="天元结晶" totalsRowFunction="custom" totalsRowDxfId="842">
      <totalsRowFormula xml:space="preserve"> _xlfn.IFNA(VLOOKUP(表_昆仑元气石必成[[#Headers],[天元结晶]],金价一览,2,0), 0)</totalsRowFormula>
    </tableColumn>
    <tableColumn id="8" name="黑风魂" totalsRowFunction="custom" totalsRowDxfId="841">
      <totalsRowFormula xml:space="preserve"> _xlfn.IFNA(VLOOKUP(表_昆仑元气石必成[[#Headers],[黑风魂]],金价一览,2,0), 0)</totalsRowFormula>
    </tableColumn>
    <tableColumn id="9" name="昆仑珠" totalsRowFunction="custom" totalsRowDxfId="840">
      <totalsRowFormula xml:space="preserve"> _xlfn.IFNA(VLOOKUP(表_昆仑元气石必成[[#Headers],[昆仑珠]],金价一览,2,0), 0)</totalsRowFormula>
    </tableColumn>
    <tableColumn id="10" name="太阳珠" totalsRowFunction="custom" totalsRowDxfId="839">
      <totalsRowFormula xml:space="preserve"> _xlfn.IFNA(VLOOKUP(表_昆仑元气石必成[[#Headers],[太阳珠]],金价一览,2,0), 0)</totalsRowFormula>
    </tableColumn>
    <tableColumn id="11" name="月石" totalsRowFunction="custom" totalsRowDxfId="838">
      <totalsRowFormula xml:space="preserve"> _xlfn.IFNA(VLOOKUP(表_昆仑元气石必成[[#Headers],[月石]],金价一览,2,0), 0)</totalsRowFormula>
    </tableColumn>
    <tableColumn id="12" name="进化石" totalsRowFunction="custom" totalsRowDxfId="837">
      <totalsRowFormula xml:space="preserve"> _xlfn.IFNA(VLOOKUP(表_昆仑元气石必成[[#Headers],[进化石]],金价一览,2,0), 0)</totalsRowFormula>
    </tableColumn>
    <tableColumn id="13" name="高级进化石" totalsRowFunction="custom" totalsRowDxfId="836">
      <totalsRowFormula xml:space="preserve"> _xlfn.IFNA(VLOOKUP(表_昆仑元气石必成[[#Headers],[高级进化石]],金价一览,2,0), 0)</totalsRowFormula>
    </tableColumn>
    <tableColumn id="14" name="列8" totalsRowFunction="custom" totalsRowDxfId="835">
      <totalsRowFormula xml:space="preserve"> _xlfn.IFNA(VLOOKUP(表_昆仑元气石必成[[#Headers],[列8]],金价一览,2,0), 0)</totalsRowFormula>
    </tableColumn>
    <tableColumn id="15" name="列9" totalsRowFunction="custom" totalsRowDxfId="834">
      <totalsRowFormula xml:space="preserve"> _xlfn.IFNA(VLOOKUP(表_昆仑元气石必成[[#Headers],[列9]],金价一览,2,0), 0)</totalsRowFormula>
    </tableColumn>
    <tableColumn id="16" name="列10" totalsRowFunction="custom" totalsRowDxfId="833">
      <totalsRowFormula xml:space="preserve"> _xlfn.IFNA(VLOOKUP(表_昆仑元气石必成[[#Headers],[列10]],金价一览,2,0), 0)</totalsRowFormula>
    </tableColumn>
    <tableColumn id="17" name="列11" totalsRowFunction="custom" totalsRowDxfId="832">
      <totalsRowFormula xml:space="preserve"> _xlfn.IFNA(VLOOKUP(表_昆仑元气石必成[[#Headers],[列11]],金价一览,2,0), 0)</totalsRowFormula>
    </tableColumn>
    <tableColumn id="18" name="列12" totalsRowFunction="custom" totalsRowDxfId="831">
      <totalsRowFormula xml:space="preserve"> _xlfn.IFNA(VLOOKUP(表_昆仑元气石必成[[#Headers],[列12]],金价一览,2,0), 0)</totalsRowFormula>
    </tableColumn>
    <tableColumn id="19" name="破天武魂神物" totalsRowFunction="custom" dataDxfId="830" totalsRowDxfId="829">
      <totalsRowFormula>_xlfn.IFNA(VLOOKUP(表_昆仑元气石必成[[#Headers],[破天武魂神物]],点券一览,2,0),0)</totalsRowFormula>
    </tableColumn>
    <tableColumn id="20" name="高级武魂神物" totalsRowFunction="custom" dataDxfId="828" totalsRowDxfId="827">
      <totalsRowFormula>_xlfn.IFNA(VLOOKUP(表_昆仑元气石必成[[#Headers],[高级武魂神物]],点券一览,2,0),0)</totalsRowFormula>
    </tableColumn>
    <tableColumn id="21" name="列15" totalsRowFunction="custom" totalsRowDxfId="826">
      <totalsRowFormula>_xlfn.IFNA(VLOOKUP(表_昆仑元气石必成[[#Headers],[列15]],点券一览,2,0),0)</totalsRowFormula>
    </tableColumn>
    <tableColumn id="22" name="列16" totalsRowFunction="custom" totalsRowDxfId="825">
      <totalsRowFormula>_xlfn.IFNA(VLOOKUP(表_昆仑元气石必成[[#Headers],[列16]],点券一览,2,0),0)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5" name="表_烛魔→昆仑元气石必成" displayName="表_烛魔→昆仑元气石必成" ref="B23:W38" totalsRowCount="1" headerRowDxfId="824" totalsRowDxfId="821" headerRowBorderDxfId="823" tableBorderDxfId="822" totalsRowBorderDxfId="820">
  <tableColumns count="22">
    <tableColumn id="1" name="累计金币(J)" totalsRowFunction="max" dataDxfId="819" totalsRowDxfId="818"/>
    <tableColumn id="2" name="累计点券" totalsRowFunction="max" totalsRowDxfId="817"/>
    <tableColumn id="3" name="进化金币(J)" totalsRowFunction="sum" dataDxfId="816" totalsRowDxfId="815">
      <calculatedColumnFormula>IF(A24="○",SUMPRODUCT(表_烛魔→昆仑元气石必成[[#This Row],[天元结晶]:[列12]],表_烛魔→昆仑元气石必成[[#Totals],[天元结晶]:[列12]])+表_烛魔→昆仑元气石必成[[#This Row],[手续费(J)]]*折扣,0)</calculatedColumnFormula>
    </tableColumn>
    <tableColumn id="4" name="进化点券" totalsRowFunction="sum" dataDxfId="814" totalsRowDxfId="813">
      <calculatedColumnFormula>IF(A24="○",SUMPRODUCT(表_烛魔→昆仑元气石必成[[#This Row],[建元武魂神物]:[列16]],表_烛魔→昆仑元气石必成[[#Totals],[建元武魂神物]:[列16]]),0)</calculatedColumnFormula>
    </tableColumn>
    <tableColumn id="5" name="进化阶段" totalsRowDxfId="812"/>
    <tableColumn id="6" name="手续费(J)" totalsRowLabel="单价" totalsRowDxfId="811"/>
    <tableColumn id="7" name="天元结晶" totalsRowFunction="custom" totalsRowDxfId="810">
      <totalsRowFormula xml:space="preserve"> _xlfn.IFNA(VLOOKUP(表_烛魔→昆仑元气石必成[[#Headers],[天元结晶]],金价一览,2,0), 0)</totalsRowFormula>
    </tableColumn>
    <tableColumn id="8" name="月石" totalsRowFunction="custom" totalsRowDxfId="809">
      <totalsRowFormula xml:space="preserve"> _xlfn.IFNA(VLOOKUP(表_烛魔→昆仑元气石必成[[#Headers],[月石]],金价一览,2,0), 0)</totalsRowFormula>
    </tableColumn>
    <tableColumn id="9" name="昆仑珠" totalsRowFunction="custom" totalsRowDxfId="808">
      <totalsRowFormula xml:space="preserve"> _xlfn.IFNA(VLOOKUP(表_烛魔→昆仑元气石必成[[#Headers],[昆仑珠]],金价一览,2,0), 0)</totalsRowFormula>
    </tableColumn>
    <tableColumn id="10" name="进化石" totalsRowFunction="custom" totalsRowDxfId="807">
      <totalsRowFormula xml:space="preserve"> _xlfn.IFNA(VLOOKUP(表_烛魔→昆仑元气石必成[[#Headers],[进化石]],金价一览,2,0), 0)</totalsRowFormula>
    </tableColumn>
    <tableColumn id="11" name="高级进化石" totalsRowFunction="custom" totalsRowDxfId="806">
      <totalsRowFormula xml:space="preserve"> _xlfn.IFNA(VLOOKUP(表_烛魔→昆仑元气石必成[[#Headers],[高级进化石]],金价一览,2,0), 0)</totalsRowFormula>
    </tableColumn>
    <tableColumn id="12" name="太阳珠" totalsRowFunction="custom" totalsRowDxfId="805">
      <totalsRowFormula xml:space="preserve"> _xlfn.IFNA(VLOOKUP(表_烛魔→昆仑元气石必成[[#Headers],[太阳珠]],金价一览,2,0), 0)</totalsRowFormula>
    </tableColumn>
    <tableColumn id="13" name="列7" totalsRowFunction="custom" totalsRowDxfId="804">
      <totalsRowFormula xml:space="preserve"> _xlfn.IFNA(VLOOKUP(表_烛魔→昆仑元气石必成[[#Headers],[列7]],金价一览,2,0), 0)</totalsRowFormula>
    </tableColumn>
    <tableColumn id="14" name="列8" totalsRowFunction="custom" totalsRowDxfId="803">
      <totalsRowFormula xml:space="preserve"> _xlfn.IFNA(VLOOKUP(表_烛魔→昆仑元气石必成[[#Headers],[列8]],金价一览,2,0), 0)</totalsRowFormula>
    </tableColumn>
    <tableColumn id="15" name="列9" totalsRowFunction="custom" totalsRowDxfId="802">
      <totalsRowFormula xml:space="preserve"> _xlfn.IFNA(VLOOKUP(表_烛魔→昆仑元气石必成[[#Headers],[列9]],金价一览,2,0), 0)</totalsRowFormula>
    </tableColumn>
    <tableColumn id="16" name="列10" totalsRowFunction="custom" totalsRowDxfId="801">
      <totalsRowFormula xml:space="preserve"> _xlfn.IFNA(VLOOKUP(表_烛魔→昆仑元气石必成[[#Headers],[列10]],金价一览,2,0), 0)</totalsRowFormula>
    </tableColumn>
    <tableColumn id="17" name="列11" totalsRowFunction="custom" totalsRowDxfId="800">
      <totalsRowFormula xml:space="preserve"> _xlfn.IFNA(VLOOKUP(表_烛魔→昆仑元气石必成[[#Headers],[列11]],金价一览,2,0), 0)</totalsRowFormula>
    </tableColumn>
    <tableColumn id="18" name="列12" totalsRowFunction="custom" totalsRowDxfId="799">
      <totalsRowFormula xml:space="preserve"> _xlfn.IFNA(VLOOKUP(表_烛魔→昆仑元气石必成[[#Headers],[列12]],金价一览,2,0), 0)</totalsRowFormula>
    </tableColumn>
    <tableColumn id="19" name="建元武魂神物" totalsRowFunction="custom" totalsRowDxfId="798">
      <totalsRowFormula>_xlfn.IFNA(VLOOKUP(表_烛魔→昆仑元气石必成[[#Headers],[建元武魂神物]],点券一览,2,0),0)</totalsRowFormula>
    </tableColumn>
    <tableColumn id="20" name="列1" totalsRowFunction="custom" totalsRowDxfId="797">
      <totalsRowFormula>_xlfn.IFNA(VLOOKUP(表_烛魔→昆仑元气石必成[[#Headers],[列1]],点券一览,2,0),0)</totalsRowFormula>
    </tableColumn>
    <tableColumn id="21" name="列15" totalsRowFunction="custom" totalsRowDxfId="796">
      <totalsRowFormula>_xlfn.IFNA(VLOOKUP(表_烛魔→昆仑元气石必成[[#Headers],[列15]],点券一览,2,0),0)</totalsRowFormula>
    </tableColumn>
    <tableColumn id="22" name="列16" totalsRowFunction="custom" totalsRowDxfId="795">
      <totalsRowFormula>_xlfn.IFNA(VLOOKUP(表_烛魔→昆仑元气石必成[[#Headers],[列16]],点券一览,2,0),0)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2" name="表_天空元气石必成" displayName="表_天空元气石必成" ref="B140:W152" totalsRowCount="1" headerRowDxfId="794" totalsRowDxfId="791" headerRowBorderDxfId="793" tableBorderDxfId="792" totalsRowBorderDxfId="790">
  <tableColumns count="22">
    <tableColumn id="1" name="累计金币(J)" totalsRowFunction="max" dataDxfId="789" totalsRowDxfId="788">
      <calculatedColumnFormula>表_天空元气石必成[[#This Row],[进化金币(J)]]+IF(ISNUMBER(B140), B140, 表_天空元气石必成[[#Totals],[进化阶段]])</calculatedColumnFormula>
    </tableColumn>
    <tableColumn id="2" name="累计点券" totalsRowFunction="max" totalsRowDxfId="787">
      <calculatedColumnFormula>表_天空元气石必成[[#This Row],[进化点券]]+IF(ISNUMBER(C140), C140, 0)</calculatedColumnFormula>
    </tableColumn>
    <tableColumn id="3" name="进化金币(J)" totalsRowFunction="sum" dataDxfId="786" totalsRowDxfId="785">
      <calculatedColumnFormula>IF(A141="○",SUMPRODUCT(表_天空元气石必成[[#This Row],[天空碎片]:[列12]],表_天空元气石必成[[#Totals],[天空碎片]:[列12]])+表_天空元气石必成[[#This Row],[手续费(J)]]*折扣,0)</calculatedColumnFormula>
    </tableColumn>
    <tableColumn id="4" name="进化点券" totalsRowFunction="sum" dataDxfId="784" totalsRowDxfId="783">
      <calculatedColumnFormula>IF(A141="○",SUMPRODUCT(表_天空元气石必成[[#This Row],[武魂神物]:[列16]],表_天空元气石必成[[#Totals],[武魂神物]:[列16]]),0)</calculatedColumnFormula>
    </tableColumn>
    <tableColumn id="5" name="进化阶段" totalsRowDxfId="782"/>
    <tableColumn id="6" name="手续费(J)" totalsRowLabel="单价" totalsRowDxfId="781"/>
    <tableColumn id="7" name="天空碎片" totalsRowFunction="custom" totalsRowDxfId="780">
      <totalsRowFormula xml:space="preserve"> _xlfn.IFNA(VLOOKUP(表_天空元气石必成[[#Headers],[天空碎片]],金价一览,2,0), 0)</totalsRowFormula>
    </tableColumn>
    <tableColumn id="8" name="仙丹" totalsRowFunction="custom" totalsRowDxfId="779">
      <totalsRowFormula xml:space="preserve"> _xlfn.IFNA(VLOOKUP(表_天空元气石必成[[#Headers],[仙丹]],金价一览,2,0), 0)</totalsRowFormula>
    </tableColumn>
    <tableColumn id="9" name="灵丹" totalsRowFunction="custom" totalsRowDxfId="778">
      <totalsRowFormula xml:space="preserve"> _xlfn.IFNA(VLOOKUP(表_天空元气石必成[[#Headers],[灵丹]],金价一览,2,0), 0)</totalsRowFormula>
    </tableColumn>
    <tableColumn id="10" name="列4" totalsRowFunction="custom" totalsRowDxfId="777">
      <totalsRowFormula xml:space="preserve"> _xlfn.IFNA(VLOOKUP(表_天空元气石必成[[#Headers],[列4]],金价一览,2,0), 0)</totalsRowFormula>
    </tableColumn>
    <tableColumn id="11" name="列5" totalsRowFunction="custom" totalsRowDxfId="776">
      <totalsRowFormula xml:space="preserve"> _xlfn.IFNA(VLOOKUP(表_天空元气石必成[[#Headers],[列5]],金价一览,2,0), 0)</totalsRowFormula>
    </tableColumn>
    <tableColumn id="12" name="列6" totalsRowFunction="custom" totalsRowDxfId="775">
      <totalsRowFormula xml:space="preserve"> _xlfn.IFNA(VLOOKUP(表_天空元气石必成[[#Headers],[列6]],金价一览,2,0), 0)</totalsRowFormula>
    </tableColumn>
    <tableColumn id="13" name="列7" totalsRowFunction="custom" totalsRowDxfId="774">
      <totalsRowFormula xml:space="preserve"> _xlfn.IFNA(VLOOKUP(表_天空元气石必成[[#Headers],[列7]],金价一览,2,0), 0)</totalsRowFormula>
    </tableColumn>
    <tableColumn id="14" name="列8" totalsRowFunction="custom" totalsRowDxfId="773">
      <totalsRowFormula xml:space="preserve"> _xlfn.IFNA(VLOOKUP(表_天空元气石必成[[#Headers],[列8]],金价一览,2,0), 0)</totalsRowFormula>
    </tableColumn>
    <tableColumn id="15" name="列9" totalsRowFunction="custom" totalsRowDxfId="772">
      <totalsRowFormula xml:space="preserve"> _xlfn.IFNA(VLOOKUP(表_天空元气石必成[[#Headers],[列9]],金价一览,2,0), 0)</totalsRowFormula>
    </tableColumn>
    <tableColumn id="16" name="列10" totalsRowFunction="custom" totalsRowDxfId="771">
      <totalsRowFormula xml:space="preserve"> _xlfn.IFNA(VLOOKUP(表_天空元气石必成[[#Headers],[列10]],金价一览,2,0), 0)</totalsRowFormula>
    </tableColumn>
    <tableColumn id="17" name="列11" totalsRowFunction="custom" totalsRowDxfId="770">
      <totalsRowFormula xml:space="preserve"> _xlfn.IFNA(VLOOKUP(表_天空元气石必成[[#Headers],[列11]],金价一览,2,0), 0)</totalsRowFormula>
    </tableColumn>
    <tableColumn id="18" name="列12" totalsRowFunction="custom" totalsRowDxfId="769">
      <totalsRowFormula xml:space="preserve"> _xlfn.IFNA(VLOOKUP(表_天空元气石必成[[#Headers],[列12]],金价一览,2,0), 0)</totalsRowFormula>
    </tableColumn>
    <tableColumn id="19" name="武魂神物" totalsRowFunction="custom" totalsRowDxfId="768">
      <totalsRowFormula>_xlfn.IFNA(VLOOKUP(表_天空元气石必成[[#Headers],[武魂神物]],点券一览,2,0),0)</totalsRowFormula>
    </tableColumn>
    <tableColumn id="20" name="列14" totalsRowFunction="custom" totalsRowDxfId="767">
      <totalsRowFormula>_xlfn.IFNA(VLOOKUP(表_天空元气石必成[[#Headers],[列14]],点券一览,2,0),0)</totalsRowFormula>
    </tableColumn>
    <tableColumn id="21" name="列15" totalsRowFunction="custom" totalsRowDxfId="766">
      <totalsRowFormula>_xlfn.IFNA(VLOOKUP(表_天空元气石必成[[#Headers],[列15]],点券一览,2,0),0)</totalsRowFormula>
    </tableColumn>
    <tableColumn id="22" name="列16" totalsRowFunction="custom" totalsRowDxfId="765">
      <totalsRowFormula>_xlfn.IFNA(VLOOKUP(表_天空元气石必成[[#Headers],[列16]],点券一览,2,0),0)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7" name="表_时空元气石必成" displayName="表_时空元气石必成" ref="B120:W135" totalsRowCount="1" headerRowDxfId="764" totalsRowDxfId="761" headerRowBorderDxfId="763" tableBorderDxfId="762" totalsRowBorderDxfId="760">
  <tableColumns count="22">
    <tableColumn id="1" name="累计金币(J)" totalsRowFunction="max" dataDxfId="759" totalsRowDxfId="758">
      <calculatedColumnFormula>表_时空元气石必成[[#This Row],[进化金币(J)]]+IF(ISNUMBER(B120), B120, 表_时空元气石必成[[#Totals],[进化阶段]])</calculatedColumnFormula>
    </tableColumn>
    <tableColumn id="2" name="累计点券" totalsRowFunction="max" totalsRowDxfId="757">
      <calculatedColumnFormula>表_时空元气石必成[[#This Row],[进化点券]]+IF(ISNUMBER(C120), C120, 0)</calculatedColumnFormula>
    </tableColumn>
    <tableColumn id="3" name="进化金币(J)" totalsRowFunction="sum" dataDxfId="756" totalsRowDxfId="755">
      <calculatedColumnFormula>IF(A121="○",SUMPRODUCT(表_时空元气石必成[[#This Row],[时空碎片]:[列12]],表_时空元气石必成[[#Totals],[时空碎片]:[列12]])+表_时空元气石必成[[#This Row],[手续费(J)]]*折扣,0)</calculatedColumnFormula>
    </tableColumn>
    <tableColumn id="4" name="进化点券" totalsRowFunction="sum" dataDxfId="754" totalsRowDxfId="753">
      <calculatedColumnFormula>IF(A121="○",SUMPRODUCT(表_时空元气石必成[[#This Row],[武魂神物]:[列16]],表_时空元气石必成[[#Totals],[武魂神物]:[列16]]),0)</calculatedColumnFormula>
    </tableColumn>
    <tableColumn id="5" name="进化阶段" totalsRowDxfId="752"/>
    <tableColumn id="6" name="手续费(J)" totalsRowLabel="单价" totalsRowDxfId="751"/>
    <tableColumn id="7" name="时空碎片" totalsRowFunction="custom" totalsRowDxfId="750">
      <totalsRowFormula xml:space="preserve"> _xlfn.IFNA(VLOOKUP(表_时空元气石必成[[#Headers],[时空碎片]],金价一览,2,0), 0)</totalsRowFormula>
    </tableColumn>
    <tableColumn id="8" name="时光碎片" totalsRowFunction="custom" totalsRowDxfId="749">
      <totalsRowFormula xml:space="preserve"> _xlfn.IFNA(VLOOKUP(表_时空元气石必成[[#Headers],[时光碎片]],金价一览,2,0), 0)</totalsRowFormula>
    </tableColumn>
    <tableColumn id="9" name="昆仑珠" totalsRowFunction="custom" totalsRowDxfId="748">
      <totalsRowFormula xml:space="preserve"> _xlfn.IFNA(VLOOKUP(表_时空元气石必成[[#Headers],[昆仑珠]],金价一览,2,0), 0)</totalsRowFormula>
    </tableColumn>
    <tableColumn id="10" name="太阳珠" totalsRowFunction="custom" totalsRowDxfId="747">
      <totalsRowFormula xml:space="preserve"> _xlfn.IFNA(VLOOKUP(表_时空元气石必成[[#Headers],[太阳珠]],金价一览,2,0), 0)</totalsRowFormula>
    </tableColumn>
    <tableColumn id="11" name="天元结晶" totalsRowFunction="custom" totalsRowDxfId="746">
      <totalsRowFormula xml:space="preserve"> _xlfn.IFNA(VLOOKUP(表_时空元气石必成[[#Headers],[天元结晶]],金价一览,2,0), 0)</totalsRowFormula>
    </tableColumn>
    <tableColumn id="12" name="赤流结晶" totalsRowFunction="custom" totalsRowDxfId="745">
      <totalsRowFormula xml:space="preserve"> _xlfn.IFNA(VLOOKUP(表_时空元气石必成[[#Headers],[赤流结晶]],金价一览,2,0), 0)</totalsRowFormula>
    </tableColumn>
    <tableColumn id="13" name="月石" totalsRowFunction="custom" totalsRowDxfId="744">
      <totalsRowFormula xml:space="preserve"> _xlfn.IFNA(VLOOKUP(表_时空元气石必成[[#Headers],[月石]],金价一览,2,0), 0)</totalsRowFormula>
    </tableColumn>
    <tableColumn id="14" name="灵石" totalsRowFunction="custom" dataDxfId="743" totalsRowDxfId="742">
      <calculatedColumnFormula>表_时空元气石必成[[#This Row],[月石]]*10</calculatedColumnFormula>
      <totalsRowFormula xml:space="preserve"> _xlfn.IFNA(VLOOKUP(表_时空元气石必成[[#Headers],[灵石]],金价一览,2,0), 0)</totalsRowFormula>
    </tableColumn>
    <tableColumn id="15" name="灵丹" totalsRowFunction="custom" totalsRowDxfId="741">
      <totalsRowFormula xml:space="preserve"> _xlfn.IFNA(VLOOKUP(表_时空元气石必成[[#Headers],[灵丹]],金价一览,2,0), 0)</totalsRowFormula>
    </tableColumn>
    <tableColumn id="16" name="进化石" totalsRowFunction="custom" totalsRowDxfId="740">
      <totalsRowFormula xml:space="preserve"> _xlfn.IFNA(VLOOKUP(表_时空元气石必成[[#Headers],[进化石]],金价一览,2,0), 0)</totalsRowFormula>
    </tableColumn>
    <tableColumn id="17" name="高级进化石" totalsRowFunction="custom" totalsRowDxfId="739">
      <totalsRowFormula xml:space="preserve"> _xlfn.IFNA(VLOOKUP(表_时空元气石必成[[#Headers],[高级进化石]],金价一览,2,0), 0)</totalsRowFormula>
    </tableColumn>
    <tableColumn id="18" name="列12" totalsRowFunction="custom" totalsRowDxfId="738">
      <totalsRowFormula xml:space="preserve"> _xlfn.IFNA(VLOOKUP(表_时空元气石必成[[#Headers],[列12]],金价一览,2,0), 0)</totalsRowFormula>
    </tableColumn>
    <tableColumn id="19" name="武魂神物" totalsRowFunction="custom" totalsRowDxfId="737">
      <totalsRowFormula>_xlfn.IFNA(VLOOKUP(表_时空元气石必成[[#Headers],[武魂神物]],点券一览,2,0),0)</totalsRowFormula>
    </tableColumn>
    <tableColumn id="20" name="高级武魂神物" totalsRowFunction="custom" totalsRowDxfId="736">
      <totalsRowFormula>_xlfn.IFNA(VLOOKUP(表_时空元气石必成[[#Headers],[高级武魂神物]],点券一览,2,0),0)</totalsRowFormula>
    </tableColumn>
    <tableColumn id="21" name="建元武魂神物" totalsRowFunction="custom" totalsRowDxfId="735">
      <totalsRowFormula>_xlfn.IFNA(VLOOKUP(表_时空元气石必成[[#Headers],[建元武魂神物]],点券一览,2,0),0)</totalsRowFormula>
    </tableColumn>
    <tableColumn id="22" name="列16" totalsRowFunction="custom" totalsRowDxfId="734">
      <totalsRowFormula>_xlfn.IFNA(VLOOKUP(表_时空元气石必成[[#Headers],[列16]],点券一览,2,0),0)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8" name="表模板_39" displayName="表模板_39" ref="B89:W104" totalsRowCount="1" headerRowDxfId="733" totalsRowDxfId="730" headerRowBorderDxfId="732" tableBorderDxfId="731" totalsRowBorderDxfId="729">
  <autoFilter ref="B89:W103"/>
  <tableColumns count="22">
    <tableColumn id="1" name="累计金币(J)" totalsRowFunction="max" dataDxfId="728" totalsRowDxfId="727">
      <calculatedColumnFormula>表模板_39[[#This Row],[进化金币(J)]]+IF(ISNUMBER(B89), B89, 表模板_39[[#Totals],[进化阶段]])</calculatedColumnFormula>
    </tableColumn>
    <tableColumn id="2" name="累计点券" totalsRowFunction="max" totalsRowDxfId="726">
      <calculatedColumnFormula>表模板_39[[#This Row],[进化点券]]+IF(ISNUMBER(C89), C89, 0)</calculatedColumnFormula>
    </tableColumn>
    <tableColumn id="3" name="进化金币(J)" totalsRowFunction="sum" dataDxfId="725" totalsRowDxfId="724">
      <calculatedColumnFormula>IF(A90="○",SUMPRODUCT(表模板_39[[#This Row],[列1]:[列12]],表模板_39[[#Totals],[列1]:[列12]])+表模板_39[[#This Row],[手续费(J)]]*折扣,0)</calculatedColumnFormula>
    </tableColumn>
    <tableColumn id="4" name="进化点券" totalsRowFunction="sum" dataDxfId="723" totalsRowDxfId="722">
      <calculatedColumnFormula>IF(A90="○",SUMPRODUCT(表模板_39[[#This Row],[列13]:[列16]],表模板_39[[#Totals],[列13]:[列16]]),0)</calculatedColumnFormula>
    </tableColumn>
    <tableColumn id="5" name="进化阶段" totalsRowDxfId="721"/>
    <tableColumn id="6" name="手续费(J)" totalsRowLabel="单价" totalsRowDxfId="720"/>
    <tableColumn id="7" name="列1" totalsRowFunction="custom" totalsRowDxfId="719">
      <totalsRowFormula xml:space="preserve"> _xlfn.IFNA(VLOOKUP(表模板_39[[#Headers],[列1]],金价一览,2,0), 0)</totalsRowFormula>
    </tableColumn>
    <tableColumn id="8" name="列2" totalsRowFunction="custom" totalsRowDxfId="718">
      <totalsRowFormula xml:space="preserve"> _xlfn.IFNA(VLOOKUP(表模板_39[[#Headers],[列2]],金价一览,2,0), 0)</totalsRowFormula>
    </tableColumn>
    <tableColumn id="9" name="列3" totalsRowFunction="custom" totalsRowDxfId="717">
      <totalsRowFormula xml:space="preserve"> _xlfn.IFNA(VLOOKUP(表模板_39[[#Headers],[列3]],金价一览,2,0), 0)</totalsRowFormula>
    </tableColumn>
    <tableColumn id="10" name="列4" totalsRowFunction="custom" totalsRowDxfId="716">
      <totalsRowFormula xml:space="preserve"> _xlfn.IFNA(VLOOKUP(表模板_39[[#Headers],[列4]],金价一览,2,0), 0)</totalsRowFormula>
    </tableColumn>
    <tableColumn id="11" name="列5" totalsRowFunction="custom" totalsRowDxfId="715">
      <totalsRowFormula xml:space="preserve"> _xlfn.IFNA(VLOOKUP(表模板_39[[#Headers],[列5]],金价一览,2,0), 0)</totalsRowFormula>
    </tableColumn>
    <tableColumn id="12" name="列6" totalsRowFunction="custom" totalsRowDxfId="714">
      <totalsRowFormula xml:space="preserve"> _xlfn.IFNA(VLOOKUP(表模板_39[[#Headers],[列6]],金价一览,2,0), 0)</totalsRowFormula>
    </tableColumn>
    <tableColumn id="13" name="列7" totalsRowFunction="custom" totalsRowDxfId="713">
      <totalsRowFormula xml:space="preserve"> _xlfn.IFNA(VLOOKUP(表模板_39[[#Headers],[列7]],金价一览,2,0), 0)</totalsRowFormula>
    </tableColumn>
    <tableColumn id="14" name="列8" totalsRowFunction="custom" totalsRowDxfId="712">
      <totalsRowFormula xml:space="preserve"> _xlfn.IFNA(VLOOKUP(表模板_39[[#Headers],[列8]],金价一览,2,0), 0)</totalsRowFormula>
    </tableColumn>
    <tableColumn id="15" name="列9" totalsRowFunction="custom" totalsRowDxfId="711">
      <totalsRowFormula xml:space="preserve"> _xlfn.IFNA(VLOOKUP(表模板_39[[#Headers],[列9]],金价一览,2,0), 0)</totalsRowFormula>
    </tableColumn>
    <tableColumn id="16" name="列10" totalsRowFunction="custom" totalsRowDxfId="710">
      <totalsRowFormula xml:space="preserve"> _xlfn.IFNA(VLOOKUP(表模板_39[[#Headers],[列10]],金价一览,2,0), 0)</totalsRowFormula>
    </tableColumn>
    <tableColumn id="17" name="列11" totalsRowFunction="custom" totalsRowDxfId="709">
      <totalsRowFormula xml:space="preserve"> _xlfn.IFNA(VLOOKUP(表模板_39[[#Headers],[列11]],金价一览,2,0), 0)</totalsRowFormula>
    </tableColumn>
    <tableColumn id="18" name="列12" totalsRowFunction="custom" totalsRowDxfId="708">
      <totalsRowFormula xml:space="preserve"> _xlfn.IFNA(VLOOKUP(表模板_39[[#Headers],[列12]],金价一览,2,0), 0)</totalsRowFormula>
    </tableColumn>
    <tableColumn id="19" name="列13" totalsRowFunction="custom" totalsRowDxfId="707">
      <totalsRowFormula>_xlfn.IFNA(VLOOKUP(表模板_39[[#Headers],[列13]],点券一览,2,0),0)</totalsRowFormula>
    </tableColumn>
    <tableColumn id="20" name="列14" totalsRowFunction="custom" totalsRowDxfId="706">
      <totalsRowFormula>_xlfn.IFNA(VLOOKUP(表模板_39[[#Headers],[列14]],点券一览,2,0),0)</totalsRowFormula>
    </tableColumn>
    <tableColumn id="21" name="列15" totalsRowFunction="custom" totalsRowDxfId="705">
      <totalsRowFormula>_xlfn.IFNA(VLOOKUP(表模板_39[[#Headers],[列15]],点券一览,2,0),0)</totalsRowFormula>
    </tableColumn>
    <tableColumn id="22" name="列16" totalsRowFunction="custom" totalsRowDxfId="704">
      <totalsRowFormula>_xlfn.IFNA(VLOOKUP(表模板_39[[#Headers],[列16]],点券一览,2,0),0)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6" name="表_光辉真气石进化" displayName="表_光辉真气石进化" ref="D3:Z28" totalsRowCount="1" headerRowDxfId="701" totalsRowDxfId="698" headerRowBorderDxfId="700" tableBorderDxfId="699" totalsRowBorderDxfId="697">
  <tableColumns count="23">
    <tableColumn id="1" name="累计金币(J)" totalsRowFunction="max" dataDxfId="696" totalsRowDxfId="695">
      <calculatedColumnFormula>表_光辉真气石进化[[#This Row],[进化金币(J)]]+IF(ISNUMBER(D3), D3, 表_光辉真气石进化[[#Totals],[进化阶段]])</calculatedColumnFormula>
    </tableColumn>
    <tableColumn id="2" name="累计点券" totalsRowFunction="max" totalsRowDxfId="694">
      <calculatedColumnFormula>表_光辉真气石进化[[#This Row],[进化点券]]+IF(ISNUMBER(E3), E3, 0)</calculatedColumnFormula>
    </tableColumn>
    <tableColumn id="3" name="进化金币(J)" totalsRowFunction="sum" dataDxfId="693" totalsRowDxfId="692">
      <calculatedColumnFormula>IF(A4="○",SUMPRODUCT(表_光辉真气石进化[[#This Row],[黑风魂]:[灵丹]],表_光辉真气石进化[[#Totals],[黑风魂]:[灵丹]])+表_光辉真气石进化[[#This Row],[手续费(J)]]*折扣,0)</calculatedColumnFormula>
    </tableColumn>
    <tableColumn id="4" name="进化点券" totalsRowFunction="sum" dataDxfId="691" totalsRowDxfId="690">
      <calculatedColumnFormula>IF(A4="○",SUMPRODUCT(表_光辉真气石进化[[#This Row],[高级武魂神物]:[列16]],表_光辉真气石进化[[#Totals],[高级武魂神物]:[列16]]),0)</calculatedColumnFormula>
    </tableColumn>
    <tableColumn id="5" name="进化阶段" totalsRowDxfId="689"/>
    <tableColumn id="6" name="手续费(J)" totalsRowLabel="单价" totalsRowDxfId="688"/>
    <tableColumn id="7" name="黑风魂" totalsRowFunction="custom" totalsRowDxfId="687">
      <totalsRowFormula xml:space="preserve"> _xlfn.IFNA(VLOOKUP(表_光辉真气石进化[[#Headers],[黑风魂]],金价一览,2,0), 0)</totalsRowFormula>
    </tableColumn>
    <tableColumn id="8" name="昆仑珠" totalsRowFunction="custom" totalsRowDxfId="686">
      <totalsRowFormula xml:space="preserve"> _xlfn.IFNA(VLOOKUP(表_光辉真气石进化[[#Headers],[昆仑珠]],金价一览,2,0), 0)</totalsRowFormula>
    </tableColumn>
    <tableColumn id="9" name="太阳珠" totalsRowFunction="custom" totalsRowDxfId="685">
      <totalsRowFormula xml:space="preserve"> _xlfn.IFNA(VLOOKUP(表_光辉真气石进化[[#Headers],[太阳珠]],金价一览,2,0), 0)</totalsRowFormula>
    </tableColumn>
    <tableColumn id="10" name="烛魔羽毛" totalsRowFunction="custom" totalsRowDxfId="684">
      <totalsRowFormula xml:space="preserve"> _xlfn.IFNA(VLOOKUP(表_光辉真气石进化[[#Headers],[烛魔羽毛]],金价一览,2,0), 0)</totalsRowFormula>
    </tableColumn>
    <tableColumn id="11" name="天元结晶" totalsRowFunction="custom" totalsRowDxfId="683">
      <totalsRowFormula xml:space="preserve"> _xlfn.IFNA(VLOOKUP(表_光辉真气石进化[[#Headers],[天元结晶]],金价一览,2,0), 0)</totalsRowFormula>
    </tableColumn>
    <tableColumn id="12" name="赤流结晶" totalsRowFunction="custom" totalsRowDxfId="682">
      <totalsRowFormula xml:space="preserve"> _xlfn.IFNA(VLOOKUP(表_光辉真气石进化[[#Headers],[赤流结晶]],金价一览,2,0), 0)</totalsRowFormula>
    </tableColumn>
    <tableColumn id="23" name="法悦石" totalsRowFunction="custom" dataDxfId="681" totalsRowDxfId="680">
      <totalsRowFormula xml:space="preserve"> _xlfn.IFNA(VLOOKUP(表_光辉真气石进化[[#Headers],[法悦石]],金价一览,2,0), 0)</totalsRowFormula>
    </tableColumn>
    <tableColumn id="13" name="进化石" totalsRowFunction="custom" totalsRowDxfId="679">
      <totalsRowFormula xml:space="preserve"> _xlfn.IFNA(VLOOKUP(表_光辉真气石进化[[#Headers],[进化石]],金价一览,2,0), 0)</totalsRowFormula>
    </tableColumn>
    <tableColumn id="14" name="高级进化石" totalsRowFunction="custom" totalsRowDxfId="678">
      <totalsRowFormula xml:space="preserve"> _xlfn.IFNA(VLOOKUP(表_光辉真气石进化[[#Headers],[高级进化石]],金价一览,2,0), 0)</totalsRowFormula>
    </tableColumn>
    <tableColumn id="15" name="月石" totalsRowFunction="custom" totalsRowDxfId="677">
      <totalsRowFormula xml:space="preserve"> _xlfn.IFNA(VLOOKUP(表_光辉真气石进化[[#Headers],[月石]],金价一览,2,0), 0)</totalsRowFormula>
    </tableColumn>
    <tableColumn id="16" name="灵石" totalsRowFunction="custom" totalsRowDxfId="676">
      <totalsRowFormula xml:space="preserve"> _xlfn.IFNA(VLOOKUP(表_光辉真气石进化[[#Headers],[灵石]],金价一览,2,0), 0)</totalsRowFormula>
    </tableColumn>
    <tableColumn id="17" name="仙丹" totalsRowFunction="custom" totalsRowDxfId="675">
      <totalsRowFormula xml:space="preserve"> _xlfn.IFNA(VLOOKUP(表_光辉真气石进化[[#Headers],[仙丹]],金价一览,2,0), 0)</totalsRowFormula>
    </tableColumn>
    <tableColumn id="18" name="灵丹" totalsRowFunction="custom" totalsRowDxfId="674">
      <totalsRowFormula xml:space="preserve"> _xlfn.IFNA(VLOOKUP(表_光辉真气石进化[[#Headers],[灵丹]],金价一览,2,0), 0)</totalsRowFormula>
    </tableColumn>
    <tableColumn id="19" name="高级武魂神物" totalsRowFunction="custom" totalsRowDxfId="673">
      <totalsRowFormula>_xlfn.IFNA(VLOOKUP(表_光辉真气石进化[[#Headers],[高级武魂神物]],点券一览,2,0),0)</totalsRowFormula>
    </tableColumn>
    <tableColumn id="20" name="破天武魂神物" totalsRowFunction="custom" totalsRowDxfId="672">
      <totalsRowFormula>_xlfn.IFNA(VLOOKUP(表_光辉真气石进化[[#Headers],[破天武魂神物]],点券一览,2,0),0)</totalsRowFormula>
    </tableColumn>
    <tableColumn id="21" name="建元武魂神物" totalsRowFunction="custom" totalsRowDxfId="671">
      <totalsRowFormula>_xlfn.IFNA(VLOOKUP(表_光辉真气石进化[[#Headers],[建元武魂神物]],点券一览,2,0),0)</totalsRowFormula>
    </tableColumn>
    <tableColumn id="22" name="列16" totalsRowFunction="custom" totalsRowDxfId="670">
      <totalsRowFormula>_xlfn.IFNA(VLOOKUP(表_光辉真气石进化[[#Headers],[列16]],点券一览,2,0),0)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表_烛魔1到12必成12" displayName="表_烛魔1到12必成12" ref="B3:W18" totalsRowCount="1" headerRowDxfId="655" totalsRowDxfId="652" headerRowBorderDxfId="654" tableBorderDxfId="653" totalsRowBorderDxfId="651">
  <autoFilter ref="B3:W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650" totalsRowDxfId="649">
      <calculatedColumnFormula>表_烛魔1到12必成12[[#This Row],[进化金币(J)]]+IF(ISNUMBER(B3), B3, 表_烛魔1到12必成12[[#Totals],[进化阶段]])</calculatedColumnFormula>
    </tableColumn>
    <tableColumn id="2" name="累计点券" totalsRowFunction="max" totalsRowDxfId="648">
      <calculatedColumnFormula>表_烛魔1到12必成12[[#This Row],[进化点券]]+IF(ISNUMBER(C3), C3, 0)</calculatedColumnFormula>
    </tableColumn>
    <tableColumn id="3" name="进化金币(J)" totalsRowFunction="sum" dataDxfId="647" totalsRowDxfId="646">
      <calculatedColumnFormula>IF(A4="○",SUMPRODUCT(表_烛魔1到12必成12[[#This Row],[仙丹]:[列12]],表_烛魔1到12必成12[[#Totals],[仙丹]:[列12]])+表_烛魔1到12必成12[[#This Row],[手续费(J)]]*折扣,0)</calculatedColumnFormula>
    </tableColumn>
    <tableColumn id="4" name="进化点券" totalsRowFunction="sum" dataDxfId="645" totalsRowDxfId="644">
      <calculatedColumnFormula>IF(A4="○",SUMPRODUCT(表_烛魔1到12必成12[[#This Row],[高级武魂神物]:[列16]],表_烛魔1到12必成12[[#Totals],[高级武魂神物]:[列16]]),0)</calculatedColumnFormula>
    </tableColumn>
    <tableColumn id="5" name="进化阶段" totalsRowDxfId="643"/>
    <tableColumn id="6" name="手续费(J)" totalsRowLabel="单价" totalsRowDxfId="642"/>
    <tableColumn id="7" name="仙丹" totalsRowFunction="custom" totalsRowDxfId="641">
      <totalsRowFormula xml:space="preserve"> _xlfn.IFNA(VLOOKUP(表_烛魔1到12必成12[[#Headers],[仙丹]],金价一览,2,0), 0)</totalsRowFormula>
    </tableColumn>
    <tableColumn id="8" name="灵丹" totalsRowFunction="custom" totalsRowDxfId="640">
      <totalsRowFormula xml:space="preserve"> _xlfn.IFNA(VLOOKUP(表_烛魔1到12必成12[[#Headers],[灵丹]],金价一览,2,0), 0)</totalsRowFormula>
    </tableColumn>
    <tableColumn id="9" name="灵石" totalsRowFunction="custom" totalsRowDxfId="639">
      <totalsRowFormula xml:space="preserve"> _xlfn.IFNA(VLOOKUP(表_烛魔1到12必成12[[#Headers],[灵石]],金价一览,2,0), 0)</totalsRowFormula>
    </tableColumn>
    <tableColumn id="10" name="月石" totalsRowFunction="custom" totalsRowDxfId="638">
      <totalsRowFormula xml:space="preserve"> _xlfn.IFNA(VLOOKUP(表_烛魔1到12必成12[[#Headers],[月石]],金价一览,2,0), 0)</totalsRowFormula>
    </tableColumn>
    <tableColumn id="11" name="烛魔羽毛" totalsRowFunction="custom" totalsRowDxfId="637">
      <totalsRowFormula xml:space="preserve"> _xlfn.IFNA(VLOOKUP(表_烛魔1到12必成12[[#Headers],[烛魔羽毛]],金价一览,2,0), 0)</totalsRowFormula>
    </tableColumn>
    <tableColumn id="12" name="烛魔黑鳞" totalsRowFunction="custom" totalsRowDxfId="636">
      <totalsRowFormula xml:space="preserve"> _xlfn.IFNA(VLOOKUP(表_烛魔1到12必成12[[#Headers],[烛魔黑鳞]],金价一览,2,0), 0)</totalsRowFormula>
    </tableColumn>
    <tableColumn id="13" name="红色烛魔黑鳞" totalsRowFunction="custom" totalsRowDxfId="635">
      <totalsRowFormula xml:space="preserve"> _xlfn.IFNA(VLOOKUP(表_烛魔1到12必成12[[#Headers],[红色烛魔黑鳞]],金价一览,2,0), 0)</totalsRowFormula>
    </tableColumn>
    <tableColumn id="14" name="烛魔魂" totalsRowFunction="custom" totalsRowDxfId="634">
      <totalsRowFormula xml:space="preserve"> _xlfn.IFNA(VLOOKUP(表_烛魔1到12必成12[[#Headers],[烛魔魂]],金价一览,2,0), 0)</totalsRowFormula>
    </tableColumn>
    <tableColumn id="15" name="列9" totalsRowFunction="custom" totalsRowDxfId="633">
      <totalsRowFormula xml:space="preserve"> _xlfn.IFNA(VLOOKUP(表_烛魔1到12必成12[[#Headers],[列9]],金价一览,2,0), 0)</totalsRowFormula>
    </tableColumn>
    <tableColumn id="16" name="列10" totalsRowFunction="custom" totalsRowDxfId="632">
      <totalsRowFormula xml:space="preserve"> _xlfn.IFNA(VLOOKUP(表_烛魔1到12必成12[[#Headers],[列10]],金价一览,2,0), 0)</totalsRowFormula>
    </tableColumn>
    <tableColumn id="17" name="列11" totalsRowFunction="custom" totalsRowDxfId="631">
      <totalsRowFormula xml:space="preserve"> _xlfn.IFNA(VLOOKUP(表_烛魔1到12必成12[[#Headers],[列11]],金价一览,2,0), 0)</totalsRowFormula>
    </tableColumn>
    <tableColumn id="18" name="列12" totalsRowFunction="custom" totalsRowDxfId="630">
      <totalsRowFormula xml:space="preserve"> _xlfn.IFNA(VLOOKUP(表_烛魔1到12必成12[[#Headers],[列12]],金价一览,2,0), 0)</totalsRowFormula>
    </tableColumn>
    <tableColumn id="19" name="高级武魂神物" totalsRowFunction="custom" totalsRowDxfId="629">
      <totalsRowFormula>_xlfn.IFNA(VLOOKUP(表_烛魔1到12必成12[[#Headers],[高级武魂神物]],点券一览,2,0),0)</totalsRowFormula>
    </tableColumn>
    <tableColumn id="20" name="破天武魂神物" totalsRowFunction="custom" totalsRowDxfId="628">
      <totalsRowFormula>_xlfn.IFNA(VLOOKUP(表_烛魔1到12必成12[[#Headers],[破天武魂神物]],点券一览,2,0),0)</totalsRowFormula>
    </tableColumn>
    <tableColumn id="21" name="列15" totalsRowFunction="custom" totalsRowDxfId="627">
      <totalsRowFormula>_xlfn.IFNA(VLOOKUP(表_烛魔1到12必成12[[#Headers],[列15]],点券一览,2,0),0)</totalsRowFormula>
    </tableColumn>
    <tableColumn id="22" name="列16" totalsRowFunction="custom" totalsRowDxfId="626">
      <totalsRowFormula>_xlfn.IFNA(VLOOKUP(表_烛魔1到12必成12[[#Headers],[列16]],点券一览,2,0),0)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3" name="表_烛魔13到15保底14" displayName="表_烛魔13到15保底14" ref="B34:W38" totalsRowCount="1" headerRowDxfId="625" totalsRowDxfId="622" headerRowBorderDxfId="624" tableBorderDxfId="623" totalsRowBorderDxfId="621">
  <autoFilter ref="B34:W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620">
      <calculatedColumnFormula>表_烛魔13到15保底14[[#This Row],[进化金币(J)]]+IF(ISNUMBER(B34), B34, 0)</calculatedColumnFormula>
    </tableColumn>
    <tableColumn id="2" name="累计点券" totalsRowFunction="max" totalsRowDxfId="619">
      <calculatedColumnFormula>表_烛魔13到15保底14[[#This Row],[进化点券]]+IF(ISNUMBER(C34), C34, 0)</calculatedColumnFormula>
    </tableColumn>
    <tableColumn id="3" name="进化金币(J)" totalsRowFunction="sum" totalsRowDxfId="618">
      <calculatedColumnFormula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calculatedColumnFormula>
    </tableColumn>
    <tableColumn id="4" name="进化点券" totalsRowFunction="sum" totalsRowDxfId="617">
      <calculatedColumnFormula>SUMPRODUCT(表_烛魔13到15保底14[[#This Row],[高级武魂神物]:[列16]],表_烛魔13到15保底14[[#Totals],[高级武魂神物]:[列16]])</calculatedColumnFormula>
    </tableColumn>
    <tableColumn id="5" name="进化阶段" totalsRowDxfId="616"/>
    <tableColumn id="6" name="手续费(J)" totalsRowLabel="单价" totalsRowDxfId="615"/>
    <tableColumn id="7" name="仙丹" totalsRowFunction="custom" totalsRowDxfId="614">
      <totalsRowFormula xml:space="preserve"> _xlfn.IFNA(VLOOKUP(表_烛魔13到15保底14[[#Headers],[仙丹]],金价一览,2,0), 0)</totalsRowFormula>
    </tableColumn>
    <tableColumn id="8" name="灵丹" totalsRowFunction="custom" totalsRowDxfId="613">
      <totalsRowFormula xml:space="preserve"> _xlfn.IFNA(VLOOKUP(表_烛魔13到15保底14[[#Headers],[灵丹]],金价一览,2,0), 0)</totalsRowFormula>
    </tableColumn>
    <tableColumn id="9" name="灵石" totalsRowFunction="custom" totalsRowDxfId="612">
      <totalsRowFormula xml:space="preserve"> _xlfn.IFNA(VLOOKUP(表_烛魔13到15保底14[[#Headers],[灵石]],金价一览,2,0), 0)</totalsRowFormula>
    </tableColumn>
    <tableColumn id="10" name="月石" totalsRowFunction="custom" totalsRowDxfId="611">
      <totalsRowFormula xml:space="preserve"> _xlfn.IFNA(VLOOKUP(表_烛魔13到15保底14[[#Headers],[月石]],金价一览,2,0), 0)</totalsRowFormula>
    </tableColumn>
    <tableColumn id="11" name="烛魔羽毛" totalsRowFunction="custom" totalsRowDxfId="610">
      <totalsRowFormula xml:space="preserve"> _xlfn.IFNA(VLOOKUP(表_烛魔13到15保底14[[#Headers],[烛魔羽毛]],金价一览,2,0), 0)</totalsRowFormula>
    </tableColumn>
    <tableColumn id="12" name="烛魔黑鳞" totalsRowFunction="custom" totalsRowDxfId="609">
      <totalsRowFormula xml:space="preserve"> _xlfn.IFNA(VLOOKUP(表_烛魔13到15保底14[[#Headers],[烛魔黑鳞]],金价一览,2,0), 0)</totalsRowFormula>
    </tableColumn>
    <tableColumn id="13" name="红色烛魔黑鳞" totalsRowFunction="custom" totalsRowDxfId="608">
      <totalsRowFormula xml:space="preserve"> _xlfn.IFNA(VLOOKUP(表_烛魔13到15保底14[[#Headers],[红色烛魔黑鳞]],金价一览,2,0), 0)</totalsRowFormula>
    </tableColumn>
    <tableColumn id="14" name="烛魔魂" totalsRowFunction="custom" totalsRowDxfId="607">
      <totalsRowFormula xml:space="preserve"> _xlfn.IFNA(VLOOKUP(表_烛魔13到15保底14[[#Headers],[烛魔魂]],金价一览,2,0), 0)</totalsRowFormula>
    </tableColumn>
    <tableColumn id="15" name="列9" totalsRowFunction="custom" totalsRowDxfId="606">
      <totalsRowFormula xml:space="preserve"> _xlfn.IFNA(VLOOKUP(表_烛魔13到15保底14[[#Headers],[列9]],金价一览,2,0), 0)</totalsRowFormula>
    </tableColumn>
    <tableColumn id="16" name="列10" totalsRowFunction="custom" totalsRowDxfId="605">
      <totalsRowFormula xml:space="preserve"> _xlfn.IFNA(VLOOKUP(表_烛魔13到15保底14[[#Headers],[列10]],金价一览,2,0), 0)</totalsRowFormula>
    </tableColumn>
    <tableColumn id="17" name="列11" totalsRowFunction="custom" totalsRowDxfId="604">
      <totalsRowFormula xml:space="preserve"> _xlfn.IFNA(VLOOKUP(表_烛魔13到15保底14[[#Headers],[列11]],金价一览,2,0), 0)</totalsRowFormula>
    </tableColumn>
    <tableColumn id="18" name="列12" totalsRowFunction="custom" totalsRowDxfId="603">
      <totalsRowFormula xml:space="preserve"> _xlfn.IFNA(VLOOKUP(表_烛魔13到15保底14[[#Headers],[列12]],金价一览,2,0), 0)</totalsRowFormula>
    </tableColumn>
    <tableColumn id="19" name="高级武魂神物" totalsRowFunction="custom" totalsRowDxfId="602">
      <totalsRowFormula>_xlfn.IFNA(VLOOKUP(表_烛魔13到15保底14[[#Headers],[高级武魂神物]],点券一览,2,0),0)</totalsRowFormula>
    </tableColumn>
    <tableColumn id="20" name="列1" totalsRowFunction="custom" totalsRowDxfId="601">
      <totalsRowFormula>_xlfn.IFNA(VLOOKUP(表_烛魔13到15保底14[[#Headers],[列1]],点券一览,2,0),0)</totalsRowFormula>
    </tableColumn>
    <tableColumn id="21" name="列15" totalsRowFunction="custom" totalsRowDxfId="600">
      <totalsRowFormula>_xlfn.IFNA(VLOOKUP(表_烛魔13到15保底14[[#Headers],[列15]],点券一览,2,0),0)</totalsRowFormula>
    </tableColumn>
    <tableColumn id="22" name="列16" totalsRowFunction="custom" totalsRowDxfId="599">
      <totalsRowFormula>_xlfn.IFNA(VLOOKUP(表_烛魔13到15保底14[[#Headers],[列16]],点券一览,2,0),0)</totalsRow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4" name="表_时空必成15" displayName="表_时空必成15" ref="B45:W48" totalsRowCount="1" headerRowDxfId="598" totalsRowDxfId="595" headerRowBorderDxfId="597" tableBorderDxfId="596" totalsRowBorderDxfId="594">
  <autoFilter ref="B45:W4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593">
      <calculatedColumnFormula>表_时空必成15[[#This Row],[进化金币(J)]]+IF(ISNUMBER(B45), B45, 0)</calculatedColumnFormula>
    </tableColumn>
    <tableColumn id="2" name="累计点券" totalsRowFunction="max" totalsRowDxfId="592">
      <calculatedColumnFormula>表_时空必成15[[#This Row],[进化点券]]+IF(ISNUMBER(C45), C45, 0)</calculatedColumnFormula>
    </tableColumn>
    <tableColumn id="3" name="进化金币(J)" totalsRowFunction="sum" totalsRowDxfId="591">
      <calculatedColumnFormula>SUMPRODUCT(表_时空必成15[[#This Row],[天空碎片]:[列12]],表_时空必成15[[#Totals],[天空碎片]:[列12]])+表_时空必成15[[#This Row],[手续费(J)]]*折扣+IF(表_时空必成15[[#This Row],[进化阶段]]="1段-&gt;2段",表_时空必成15[[#Totals],[进化阶段]],0)</calculatedColumnFormula>
    </tableColumn>
    <tableColumn id="4" name="进化点券" totalsRowFunction="sum" totalsRowDxfId="590">
      <calculatedColumnFormula>SUMPRODUCT(表_时空必成15[[#This Row],[武魂神物]:[列16]],表_时空必成15[[#Totals],[武魂神物]:[列16]])</calculatedColumnFormula>
    </tableColumn>
    <tableColumn id="5" name="进化阶段" dataDxfId="589" totalsRowDxfId="588"/>
    <tableColumn id="6" name="手续费(J)" totalsRowLabel="单价" totalsRowDxfId="587"/>
    <tableColumn id="7" name="天空碎片" totalsRowFunction="custom" totalsRowDxfId="586">
      <totalsRowFormula xml:space="preserve"> _xlfn.IFNA(VLOOKUP(表_时空必成15[[#Headers],[天空碎片]],金价一览,2,0), 0)</totalsRowFormula>
    </tableColumn>
    <tableColumn id="8" name="时空碎片" totalsRowFunction="custom" totalsRowDxfId="585">
      <totalsRowFormula xml:space="preserve"> _xlfn.IFNA(VLOOKUP(表_时空必成15[[#Headers],[时空碎片]],金价一览,2,0), 0)</totalsRowFormula>
    </tableColumn>
    <tableColumn id="9" name="天元结晶" totalsRowFunction="custom" totalsRowDxfId="584">
      <totalsRowFormula xml:space="preserve"> _xlfn.IFNA(VLOOKUP(表_时空必成15[[#Headers],[天元结晶]],金价一览,2,0), 0)</totalsRowFormula>
    </tableColumn>
    <tableColumn id="10" name="太阳珠" totalsRowFunction="custom" totalsRowDxfId="583">
      <totalsRowFormula xml:space="preserve"> _xlfn.IFNA(VLOOKUP(表_时空必成15[[#Headers],[太阳珠]],金价一览,2,0), 0)</totalsRowFormula>
    </tableColumn>
    <tableColumn id="11" name="仙丹" totalsRowFunction="custom" totalsRowDxfId="582">
      <totalsRowFormula xml:space="preserve"> _xlfn.IFNA(VLOOKUP(表_时空必成15[[#Headers],[仙丹]],金价一览,2,0), 0)</totalsRowFormula>
    </tableColumn>
    <tableColumn id="12" name="月石" totalsRowFunction="custom" totalsRowDxfId="581">
      <totalsRowFormula xml:space="preserve"> _xlfn.IFNA(VLOOKUP(表_时空必成15[[#Headers],[月石]],金价一览,2,0), 0)</totalsRowFormula>
    </tableColumn>
    <tableColumn id="13" name="灵石" totalsRowFunction="custom" totalsRowDxfId="580">
      <totalsRowFormula xml:space="preserve"> _xlfn.IFNA(VLOOKUP(表_时空必成15[[#Headers],[灵石]],金价一览,2,0), 0)</totalsRowFormula>
    </tableColumn>
    <tableColumn id="14" name="进化石" totalsRowFunction="custom" totalsRowDxfId="579">
      <totalsRowFormula xml:space="preserve"> _xlfn.IFNA(VLOOKUP(表_时空必成15[[#Headers],[进化石]],金价一览,2,0), 0)</totalsRowFormula>
    </tableColumn>
    <tableColumn id="15" name="列9" totalsRowFunction="custom" totalsRowDxfId="578">
      <totalsRowFormula xml:space="preserve"> _xlfn.IFNA(VLOOKUP(表_时空必成15[[#Headers],[列9]],金价一览,2,0), 0)</totalsRowFormula>
    </tableColumn>
    <tableColumn id="16" name="列10" totalsRowFunction="custom" totalsRowDxfId="577">
      <totalsRowFormula xml:space="preserve"> _xlfn.IFNA(VLOOKUP(表_时空必成15[[#Headers],[列10]],金价一览,2,0), 0)</totalsRowFormula>
    </tableColumn>
    <tableColumn id="17" name="列11" totalsRowFunction="custom" totalsRowDxfId="576">
      <totalsRowFormula xml:space="preserve"> _xlfn.IFNA(VLOOKUP(表_时空必成15[[#Headers],[列11]],金价一览,2,0), 0)</totalsRowFormula>
    </tableColumn>
    <tableColumn id="18" name="列12" totalsRowFunction="custom" totalsRowDxfId="575">
      <totalsRowFormula xml:space="preserve"> _xlfn.IFNA(VLOOKUP(表_时空必成15[[#Headers],[列12]],金价一览,2,0), 0)</totalsRowFormula>
    </tableColumn>
    <tableColumn id="19" name="武魂神物" totalsRowFunction="custom" totalsRowDxfId="574">
      <totalsRowFormula>_xlfn.IFNA(VLOOKUP(表_时空必成15[[#Headers],[武魂神物]],点券一览,2,0),0)</totalsRowFormula>
    </tableColumn>
    <tableColumn id="20" name="高级武魂神物" totalsRowFunction="custom" totalsRowDxfId="573">
      <totalsRowFormula>_xlfn.IFNA(VLOOKUP(表_时空必成15[[#Headers],[高级武魂神物]],点券一览,2,0),0)</totalsRowFormula>
    </tableColumn>
    <tableColumn id="21" name="列15" totalsRowFunction="custom" totalsRowDxfId="572">
      <totalsRowFormula>_xlfn.IFNA(VLOOKUP(表_时空必成15[[#Headers],[列15]],点券一览,2,0),0)</totalsRowFormula>
    </tableColumn>
    <tableColumn id="22" name="列16" totalsRowFunction="custom" totalsRowDxfId="571">
      <totalsRowFormula>_xlfn.IFNA(VLOOKUP(表_时空必成15[[#Headers],[列16]],点券一览,2,0),0)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点券" displayName="点券" ref="D2:E15" totalsRowShown="0" headerRowDxfId="1193" dataDxfId="1192" tableBorderDxfId="1191">
  <autoFilter ref="D2:E15"/>
  <sortState ref="D3:E11">
    <sortCondition ref="D2:D11"/>
  </sortState>
  <tableColumns count="2">
    <tableColumn id="1" name="材料名" dataDxfId="1190"/>
    <tableColumn id="2" name="点券" dataDxfId="1189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id="19" name="表_烛魔13到15必成20" displayName="表_烛魔13到15必成20" ref="B24:W28" totalsRowCount="1" headerRowDxfId="570" totalsRowDxfId="567" headerRowBorderDxfId="569" tableBorderDxfId="568" totalsRowBorderDxfId="566">
  <autoFilter ref="B24:W27"/>
  <tableColumns count="22">
    <tableColumn id="1" name="累计金币(J)" totalsRowFunction="max" dataDxfId="565" totalsRowDxfId="564">
      <calculatedColumnFormula>表_烛魔13到15必成20[[#This Row],[进化金币(J)]]+IF(ISNUMBER(B24),B24, 0)</calculatedColumnFormula>
    </tableColumn>
    <tableColumn id="2" name="累计点券" totalsRowFunction="max" dataDxfId="563" totalsRowDxfId="562">
      <calculatedColumnFormula>表_烛魔13到15必成20[[#This Row],[进化点券]]+IF(ISNUMBER(C24),C24, 0)</calculatedColumnFormula>
    </tableColumn>
    <tableColumn id="3" name="进化金币(J)" totalsRowFunction="sum" totalsRowDxfId="561">
      <calculatedColumnFormula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calculatedColumnFormula>
    </tableColumn>
    <tableColumn id="4" name="进化点券" totalsRowFunction="sum" totalsRowDxfId="560">
      <calculatedColumnFormula>SUMPRODUCT(表_烛魔13到15必成20[[#This Row],[高级武魂神物]:[列16]],表_烛魔13到15必成20[[#Totals],[高级武魂神物]:[列16]])</calculatedColumnFormula>
    </tableColumn>
    <tableColumn id="5" name="进化阶段" totalsRowDxfId="559"/>
    <tableColumn id="6" name="手续费(J)" totalsRowLabel="单价" totalsRowDxfId="558"/>
    <tableColumn id="7" name="仙丹" totalsRowFunction="custom" totalsRowDxfId="557">
      <totalsRowFormula xml:space="preserve"> _xlfn.IFNA(VLOOKUP(表_烛魔13到15必成20[[#Headers],[仙丹]],金价一览,2,0), 0)</totalsRowFormula>
    </tableColumn>
    <tableColumn id="8" name="灵丹" totalsRowFunction="custom" totalsRowDxfId="556">
      <totalsRowFormula xml:space="preserve"> _xlfn.IFNA(VLOOKUP(表_烛魔13到15必成20[[#Headers],[灵丹]],金价一览,2,0), 0)</totalsRowFormula>
    </tableColumn>
    <tableColumn id="9" name="灵石" totalsRowFunction="custom" totalsRowDxfId="555">
      <totalsRowFormula xml:space="preserve"> _xlfn.IFNA(VLOOKUP(表_烛魔13到15必成20[[#Headers],[灵石]],金价一览,2,0), 0)</totalsRowFormula>
    </tableColumn>
    <tableColumn id="10" name="月石" totalsRowFunction="custom" totalsRowDxfId="554">
      <totalsRowFormula xml:space="preserve"> _xlfn.IFNA(VLOOKUP(表_烛魔13到15必成20[[#Headers],[月石]],金价一览,2,0), 0)</totalsRowFormula>
    </tableColumn>
    <tableColumn id="11" name="烛魔羽毛" totalsRowFunction="custom" totalsRowDxfId="553">
      <totalsRowFormula xml:space="preserve"> _xlfn.IFNA(VLOOKUP(表_烛魔13到15必成20[[#Headers],[烛魔羽毛]],金价一览,2,0), 0)</totalsRowFormula>
    </tableColumn>
    <tableColumn id="12" name="烛魔黑鳞" totalsRowFunction="custom" totalsRowDxfId="552">
      <totalsRowFormula xml:space="preserve"> _xlfn.IFNA(VLOOKUP(表_烛魔13到15必成20[[#Headers],[烛魔黑鳞]],金价一览,2,0), 0)</totalsRowFormula>
    </tableColumn>
    <tableColumn id="13" name="红色烛魔黑鳞" totalsRowFunction="custom" totalsRowDxfId="551">
      <totalsRowFormula xml:space="preserve"> _xlfn.IFNA(VLOOKUP(表_烛魔13到15必成20[[#Headers],[红色烛魔黑鳞]],金价一览,2,0), 0)</totalsRowFormula>
    </tableColumn>
    <tableColumn id="14" name="烛魔魂" totalsRowFunction="custom" totalsRowDxfId="550">
      <totalsRowFormula xml:space="preserve"> _xlfn.IFNA(VLOOKUP(表_烛魔13到15必成20[[#Headers],[烛魔魂]],金价一览,2,0), 0)</totalsRowFormula>
    </tableColumn>
    <tableColumn id="15" name="列9" totalsRowFunction="custom" totalsRowDxfId="549">
      <totalsRowFormula xml:space="preserve"> _xlfn.IFNA(VLOOKUP(表_烛魔13到15必成20[[#Headers],[列9]],金价一览,2,0), 0)</totalsRowFormula>
    </tableColumn>
    <tableColumn id="16" name="列10" totalsRowFunction="custom" totalsRowDxfId="548">
      <totalsRowFormula xml:space="preserve"> _xlfn.IFNA(VLOOKUP(表_烛魔13到15必成20[[#Headers],[列10]],金价一览,2,0), 0)</totalsRowFormula>
    </tableColumn>
    <tableColumn id="17" name="列11" totalsRowFunction="custom" totalsRowDxfId="547">
      <totalsRowFormula xml:space="preserve"> _xlfn.IFNA(VLOOKUP(表_烛魔13到15必成20[[#Headers],[列11]],金价一览,2,0), 0)</totalsRowFormula>
    </tableColumn>
    <tableColumn id="18" name="列12" totalsRowFunction="custom" totalsRowDxfId="546">
      <totalsRowFormula xml:space="preserve"> _xlfn.IFNA(VLOOKUP(表_烛魔13到15必成20[[#Headers],[列12]],金价一览,2,0), 0)</totalsRowFormula>
    </tableColumn>
    <tableColumn id="19" name="高级武魂神物" totalsRowFunction="custom" totalsRowDxfId="545">
      <totalsRowFormula>_xlfn.IFNA(VLOOKUP(表_烛魔13到15必成20[[#Headers],[高级武魂神物]],点券一览,2,0),0)</totalsRowFormula>
    </tableColumn>
    <tableColumn id="20" name="破天武魂神物" totalsRowFunction="custom" totalsRowDxfId="544">
      <totalsRowFormula>_xlfn.IFNA(VLOOKUP(表_烛魔13到15必成20[[#Headers],[破天武魂神物]],点券一览,2,0),0)</totalsRowFormula>
    </tableColumn>
    <tableColumn id="21" name="列15" totalsRowFunction="custom" totalsRowDxfId="543">
      <totalsRowFormula>_xlfn.IFNA(VLOOKUP(表_烛魔13到15必成20[[#Headers],[列15]],点券一览,2,0),0)</totalsRowFormula>
    </tableColumn>
    <tableColumn id="22" name="列16" totalsRowFunction="custom" totalsRowDxfId="542">
      <totalsRowFormula>_xlfn.IFNA(VLOOKUP(表_烛魔13到15必成20[[#Headers],[列16]],点券一览,2,0),0)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表_昆仑1到15段必成22" displayName="表_昆仑1到15段必成22" ref="B54:W69" totalsRowCount="1" headerRowDxfId="541" totalsRowDxfId="538" headerRowBorderDxfId="540" tableBorderDxfId="539" totalsRowBorderDxfId="537">
  <autoFilter ref="B54:W68"/>
  <tableColumns count="22">
    <tableColumn id="1" name="累计金币(J)" totalsRowFunction="max" dataDxfId="536" totalsRowDxfId="535">
      <calculatedColumnFormula>表_昆仑1到15段必成22[[#This Row],[进化金币(J)]]+IF(ISNUMBER(B54), B54, 表_昆仑1到15段必成22[[#Totals],[进化阶段]])</calculatedColumnFormula>
    </tableColumn>
    <tableColumn id="2" name="累计点券" totalsRowFunction="max" totalsRowDxfId="534">
      <calculatedColumnFormula>表_昆仑1到15段必成22[[#This Row],[进化点券]]+IF(ISNUMBER(C54), C54, 0)</calculatedColumnFormula>
    </tableColumn>
    <tableColumn id="3" name="进化金币(J)" totalsRowFunction="sum" dataDxfId="533" totalsRowDxfId="532">
      <calculatedColumnFormula>SUMPRODUCT(表_昆仑1到15段必成22[[#This Row],[昆仑珠]:[列12]],表_昆仑1到15段必成22[[#Totals],[昆仑珠]:[列12]])+表_昆仑1到15段必成22[[#This Row],[手续费(J)]]*折扣</calculatedColumnFormula>
    </tableColumn>
    <tableColumn id="4" name="进化点券" totalsRowFunction="sum" totalsRowDxfId="531">
      <calculatedColumnFormula>SUMPRODUCT(表_昆仑1到15段必成22[[#This Row],[破天武魂神物]:[列16]],表_昆仑1到15段必成22[[#Totals],[破天武魂神物]:[列16]])</calculatedColumnFormula>
    </tableColumn>
    <tableColumn id="5" name="进化阶段" totalsRowLabel="2,000" totalsRowDxfId="530"/>
    <tableColumn id="6" name="手续费(J)" totalsRowLabel="单价" totalsRowDxfId="529"/>
    <tableColumn id="7" name="昆仑珠" totalsRowFunction="custom" totalsRowDxfId="528">
      <totalsRowFormula xml:space="preserve"> _xlfn.IFNA(VLOOKUP(表_昆仑1到15段必成22[[#Headers],[昆仑珠]],金价一览,2,0), 0)</totalsRowFormula>
    </tableColumn>
    <tableColumn id="8" name="太阳珠" totalsRowFunction="custom" totalsRowDxfId="527">
      <totalsRowFormula xml:space="preserve"> _xlfn.IFNA(VLOOKUP(表_昆仑1到15段必成22[[#Headers],[太阳珠]],金价一览,2,0), 0)</totalsRowFormula>
    </tableColumn>
    <tableColumn id="9" name="天元结晶" totalsRowFunction="custom" totalsRowDxfId="526">
      <totalsRowFormula xml:space="preserve"> _xlfn.IFNA(VLOOKUP(表_昆仑1到15段必成22[[#Headers],[天元结晶]],金价一览,2,0), 0)</totalsRowFormula>
    </tableColumn>
    <tableColumn id="10" name="月石" totalsRowFunction="custom" totalsRowDxfId="525">
      <totalsRowFormula xml:space="preserve"> _xlfn.IFNA(VLOOKUP(表_昆仑1到15段必成22[[#Headers],[月石]],金价一览,2,0), 0)</totalsRowFormula>
    </tableColumn>
    <tableColumn id="11" name="高级进化石" totalsRowFunction="custom" totalsRowDxfId="524">
      <totalsRowFormula xml:space="preserve"> _xlfn.IFNA(VLOOKUP(表_昆仑1到15段必成22[[#Headers],[高级进化石]],金价一览,2,0), 0)</totalsRowFormula>
    </tableColumn>
    <tableColumn id="12" name="黑风魂" totalsRowFunction="custom" totalsRowDxfId="523">
      <totalsRowFormula xml:space="preserve"> _xlfn.IFNA(VLOOKUP(表_昆仑1到15段必成22[[#Headers],[黑风魂]],金价一览,2,0), 0)</totalsRowFormula>
    </tableColumn>
    <tableColumn id="13" name="列7" totalsRowFunction="custom" totalsRowDxfId="522">
      <totalsRowFormula xml:space="preserve"> _xlfn.IFNA(VLOOKUP(表_昆仑1到15段必成22[[#Headers],[列7]],金价一览,2,0), 0)</totalsRowFormula>
    </tableColumn>
    <tableColumn id="14" name="列8" totalsRowFunction="custom" totalsRowDxfId="521">
      <totalsRowFormula xml:space="preserve"> _xlfn.IFNA(VLOOKUP(表_昆仑1到15段必成22[[#Headers],[列8]],金价一览,2,0), 0)</totalsRowFormula>
    </tableColumn>
    <tableColumn id="15" name="列9" totalsRowFunction="custom" totalsRowDxfId="520">
      <totalsRowFormula xml:space="preserve"> _xlfn.IFNA(VLOOKUP(表_昆仑1到15段必成22[[#Headers],[列9]],金价一览,2,0), 0)</totalsRowFormula>
    </tableColumn>
    <tableColumn id="16" name="列10" totalsRowFunction="custom" totalsRowDxfId="519">
      <totalsRowFormula xml:space="preserve"> _xlfn.IFNA(VLOOKUP(表_昆仑1到15段必成22[[#Headers],[列10]],金价一览,2,0), 0)</totalsRowFormula>
    </tableColumn>
    <tableColumn id="17" name="列11" totalsRowFunction="custom" totalsRowDxfId="518">
      <totalsRowFormula xml:space="preserve"> _xlfn.IFNA(VLOOKUP(表_昆仑1到15段必成22[[#Headers],[列11]],金价一览,2,0), 0)</totalsRowFormula>
    </tableColumn>
    <tableColumn id="18" name="列12" totalsRowFunction="custom" totalsRowDxfId="517">
      <totalsRowFormula xml:space="preserve"> _xlfn.IFNA(VLOOKUP(表_昆仑1到15段必成22[[#Headers],[列12]],金价一览,2,0), 0)</totalsRowFormula>
    </tableColumn>
    <tableColumn id="19" name="破天武魂神物" totalsRowFunction="custom" totalsRowDxfId="516">
      <totalsRowFormula>_xlfn.IFNA(VLOOKUP(表_昆仑1到15段必成22[[#Headers],[破天武魂神物]],点券一览,2,0),0)</totalsRowFormula>
    </tableColumn>
    <tableColumn id="20" name="建元武魂神物" totalsRowFunction="custom" totalsRowDxfId="515">
      <totalsRowFormula>_xlfn.IFNA(VLOOKUP(表_昆仑1到15段必成22[[#Headers],[建元武魂神物]],点券一览,2,0),0)</totalsRowFormula>
    </tableColumn>
    <tableColumn id="21" name="列15" totalsRowFunction="custom" totalsRowDxfId="514">
      <totalsRowFormula>_xlfn.IFNA(VLOOKUP(表_昆仑1到15段必成22[[#Headers],[列15]],点券一览,2,0),0)</totalsRowFormula>
    </tableColumn>
    <tableColumn id="22" name="列16" totalsRowFunction="custom" totalsRowDxfId="513">
      <totalsRowFormula>_xlfn.IFNA(VLOOKUP(表_昆仑1到15段必成22[[#Headers],[列16]],点券一览,2,0),0)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表_昆仑1到15段保底31" displayName="表_昆仑1到15段保底31" ref="B75:W90" totalsRowCount="1" headerRowDxfId="512" totalsRowDxfId="509" headerRowBorderDxfId="511" tableBorderDxfId="510" totalsRowBorderDxfId="508">
  <autoFilter ref="B75:W8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507" totalsRowDxfId="506">
      <calculatedColumnFormula>表_昆仑1到15段保底31[[#This Row],[进化金币(J)]]+IF(ISNUMBER(B75), B75, 表_昆仑1到15段保底31[[#Totals],[进化阶段]])</calculatedColumnFormula>
    </tableColumn>
    <tableColumn id="2" name="累计点券" totalsRowFunction="max" totalsRowDxfId="505">
      <calculatedColumnFormula>表_昆仑1到15段保底31[[#This Row],[进化点券]]+IF(ISNUMBER(C75), C75, 0)</calculatedColumnFormula>
    </tableColumn>
    <tableColumn id="3" name="进化金币(J)" totalsRowFunction="sum" dataDxfId="504" totalsRowDxfId="503">
      <calculatedColumnFormula>SUMPRODUCT(表_昆仑1到15段保底31[[#This Row],[昆仑珠]:[列12]],表_昆仑1到15段保底31[[#Totals],[昆仑珠]:[列12]])+表_昆仑1到15段保底31[[#This Row],[手续费(J)]]*折扣</calculatedColumnFormula>
    </tableColumn>
    <tableColumn id="4" name="进化点券" totalsRowFunction="sum" totalsRowDxfId="502">
      <calculatedColumnFormula>SUMPRODUCT(表_昆仑1到15段保底31[[#This Row],[破天武魂神物]:[列16]],表_昆仑1到15段保底31[[#Totals],[破天武魂神物]:[列16]])</calculatedColumnFormula>
    </tableColumn>
    <tableColumn id="5" name="进化阶段" totalsRowLabel="2,000" totalsRowDxfId="501"/>
    <tableColumn id="6" name="手续费(J)" totalsRowLabel="单价" totalsRowDxfId="500"/>
    <tableColumn id="7" name="昆仑珠" totalsRowFunction="custom" totalsRowDxfId="499">
      <totalsRowFormula xml:space="preserve"> _xlfn.IFNA(VLOOKUP(表_昆仑1到15段保底31[[#Headers],[昆仑珠]],金价一览,2,0), 0)</totalsRowFormula>
    </tableColumn>
    <tableColumn id="8" name="太阳珠" totalsRowFunction="custom" totalsRowDxfId="498">
      <totalsRowFormula xml:space="preserve"> _xlfn.IFNA(VLOOKUP(表_昆仑1到15段保底31[[#Headers],[太阳珠]],金价一览,2,0), 0)</totalsRowFormula>
    </tableColumn>
    <tableColumn id="9" name="天元结晶" totalsRowFunction="custom" totalsRowDxfId="497">
      <totalsRowFormula xml:space="preserve"> _xlfn.IFNA(VLOOKUP(表_昆仑1到15段保底31[[#Headers],[天元结晶]],金价一览,2,0), 0)</totalsRowFormula>
    </tableColumn>
    <tableColumn id="10" name="月石" totalsRowFunction="custom" totalsRowDxfId="496">
      <totalsRowFormula xml:space="preserve"> _xlfn.IFNA(VLOOKUP(表_昆仑1到15段保底31[[#Headers],[月石]],金价一览,2,0), 0)</totalsRowFormula>
    </tableColumn>
    <tableColumn id="11" name="高级进化石" totalsRowFunction="custom" totalsRowDxfId="495">
      <totalsRowFormula xml:space="preserve"> _xlfn.IFNA(VLOOKUP(表_昆仑1到15段保底31[[#Headers],[高级进化石]],金价一览,2,0), 0)</totalsRowFormula>
    </tableColumn>
    <tableColumn id="12" name="黑风魂" totalsRowFunction="custom" totalsRowDxfId="494">
      <totalsRowFormula xml:space="preserve"> _xlfn.IFNA(VLOOKUP(表_昆仑1到15段保底31[[#Headers],[黑风魂]],金价一览,2,0), 0)</totalsRowFormula>
    </tableColumn>
    <tableColumn id="13" name="列7" totalsRowFunction="custom" totalsRowDxfId="493">
      <totalsRowFormula xml:space="preserve"> _xlfn.IFNA(VLOOKUP(表_昆仑1到15段保底31[[#Headers],[列7]],金价一览,2,0), 0)</totalsRowFormula>
    </tableColumn>
    <tableColumn id="14" name="列8" totalsRowFunction="custom" totalsRowDxfId="492">
      <totalsRowFormula xml:space="preserve"> _xlfn.IFNA(VLOOKUP(表_昆仑1到15段保底31[[#Headers],[列8]],金价一览,2,0), 0)</totalsRowFormula>
    </tableColumn>
    <tableColumn id="15" name="列9" totalsRowFunction="custom" totalsRowDxfId="491">
      <totalsRowFormula xml:space="preserve"> _xlfn.IFNA(VLOOKUP(表_昆仑1到15段保底31[[#Headers],[列9]],金价一览,2,0), 0)</totalsRowFormula>
    </tableColumn>
    <tableColumn id="16" name="列10" totalsRowFunction="custom" totalsRowDxfId="490">
      <totalsRowFormula xml:space="preserve"> _xlfn.IFNA(VLOOKUP(表_昆仑1到15段保底31[[#Headers],[列10]],金价一览,2,0), 0)</totalsRowFormula>
    </tableColumn>
    <tableColumn id="17" name="列11" totalsRowFunction="custom" totalsRowDxfId="489">
      <totalsRowFormula xml:space="preserve"> _xlfn.IFNA(VLOOKUP(表_昆仑1到15段保底31[[#Headers],[列11]],金价一览,2,0), 0)</totalsRowFormula>
    </tableColumn>
    <tableColumn id="18" name="列12" totalsRowFunction="custom" totalsRowDxfId="488">
      <totalsRowFormula xml:space="preserve"> _xlfn.IFNA(VLOOKUP(表_昆仑1到15段保底31[[#Headers],[列12]],金价一览,2,0), 0)</totalsRowFormula>
    </tableColumn>
    <tableColumn id="19" name="破天武魂神物" totalsRowFunction="custom" totalsRowDxfId="487">
      <totalsRowFormula>_xlfn.IFNA(VLOOKUP(表_昆仑1到15段保底31[[#Headers],[破天武魂神物]],点券一览,2,0),0)</totalsRowFormula>
    </tableColumn>
    <tableColumn id="20" name="列14" totalsRowFunction="custom" totalsRowDxfId="486">
      <totalsRowFormula>_xlfn.IFNA(VLOOKUP(表_昆仑1到15段保底31[[#Headers],[列14]],点券一览,2,0),0)</totalsRowFormula>
    </tableColumn>
    <tableColumn id="21" name="列15" totalsRowFunction="custom" totalsRowDxfId="485">
      <totalsRowFormula>_xlfn.IFNA(VLOOKUP(表_昆仑1到15段保底31[[#Headers],[列15]],点券一览,2,0),0)</totalsRowFormula>
    </tableColumn>
    <tableColumn id="22" name="列16" totalsRowFunction="custom" totalsRowDxfId="484">
      <totalsRowFormula>_xlfn.IFNA(VLOOKUP(表_昆仑1到15段保底31[[#Headers],[列16]],点券一览,2,0),0)</totalsRow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1" name="表_武器进化32" displayName="表_武器进化32" ref="B96:W106" totalsRowCount="1" headerRowDxfId="483" totalsRowDxfId="480" headerRowBorderDxfId="482" tableBorderDxfId="481" totalsRowBorderDxfId="479">
  <autoFilter ref="B96:W10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478"/>
    <tableColumn id="2" name="累计点券" totalsRowFunction="max" totalsRowDxfId="477"/>
    <tableColumn id="3" name="进化金币(J)" totalsRowFunction="sum" totalsRowDxfId="476">
      <calculatedColumnFormula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calculatedColumnFormula>
    </tableColumn>
    <tableColumn id="4" name="进化点券" totalsRowFunction="sum" totalsRowDxfId="475">
      <calculatedColumnFormula>SUMPRODUCT(表_武器进化32[[#This Row],[建元武魂神物]:[列16]],表_武器进化32[[#Totals],[建元武魂神物]:[列16]])</calculatedColumnFormula>
    </tableColumn>
    <tableColumn id="5" name="进化阶段" totalsRowDxfId="474"/>
    <tableColumn id="6" name="手续费(J)" totalsRowLabel="单价" totalsRowDxfId="473"/>
    <tableColumn id="7" name="昆仑珠" totalsRowFunction="custom" totalsRowDxfId="472">
      <totalsRowFormula xml:space="preserve"> _xlfn.IFNA(VLOOKUP(表_武器进化32[[#Headers],[昆仑珠]],金价一览,2,0), 0)</totalsRowFormula>
    </tableColumn>
    <tableColumn id="8" name="太阳珠" totalsRowFunction="custom" totalsRowDxfId="471">
      <totalsRowFormula xml:space="preserve"> _xlfn.IFNA(VLOOKUP(表_武器进化32[[#Headers],[太阳珠]],金价一览,2,0), 0)</totalsRowFormula>
    </tableColumn>
    <tableColumn id="9" name="天元结晶" totalsRowFunction="custom" totalsRowDxfId="470">
      <totalsRowFormula xml:space="preserve"> _xlfn.IFNA(VLOOKUP(表_武器进化32[[#Headers],[天元结晶]],金价一览,2,0), 0)</totalsRowFormula>
    </tableColumn>
    <tableColumn id="10" name="月石" totalsRowFunction="custom" totalsRowDxfId="469">
      <totalsRowFormula xml:space="preserve"> _xlfn.IFNA(VLOOKUP(表_武器进化32[[#Headers],[月石]],金价一览,2,0), 0)</totalsRowFormula>
    </tableColumn>
    <tableColumn id="11" name="高级进化石" totalsRowFunction="custom" totalsRowDxfId="468">
      <totalsRowFormula xml:space="preserve"> _xlfn.IFNA(VLOOKUP(表_武器进化32[[#Headers],[高级进化石]],金价一览,2,0), 0)</totalsRowFormula>
    </tableColumn>
    <tableColumn id="12" name="列6" totalsRowFunction="custom" totalsRowDxfId="467">
      <totalsRowFormula xml:space="preserve"> _xlfn.IFNA(VLOOKUP(表_武器进化32[[#Headers],[列6]],金价一览,2,0), 0)</totalsRowFormula>
    </tableColumn>
    <tableColumn id="13" name="列7" totalsRowFunction="custom" totalsRowDxfId="466">
      <totalsRowFormula xml:space="preserve"> _xlfn.IFNA(VLOOKUP(表_武器进化32[[#Headers],[列7]],金价一览,2,0), 0)</totalsRowFormula>
    </tableColumn>
    <tableColumn id="14" name="列8" totalsRowFunction="custom" totalsRowDxfId="465">
      <totalsRowFormula xml:space="preserve"> _xlfn.IFNA(VLOOKUP(表_武器进化32[[#Headers],[列8]],金价一览,2,0), 0)</totalsRowFormula>
    </tableColumn>
    <tableColumn id="15" name="列9" totalsRowFunction="custom" totalsRowDxfId="464">
      <totalsRowFormula xml:space="preserve"> _xlfn.IFNA(VLOOKUP(表_武器进化32[[#Headers],[列9]],金价一览,2,0), 0)</totalsRowFormula>
    </tableColumn>
    <tableColumn id="16" name="列10" totalsRowFunction="custom" totalsRowDxfId="463">
      <totalsRowFormula xml:space="preserve"> _xlfn.IFNA(VLOOKUP(表_武器进化32[[#Headers],[列10]],金价一览,2,0), 0)</totalsRowFormula>
    </tableColumn>
    <tableColumn id="17" name="列11" totalsRowFunction="custom" totalsRowDxfId="462">
      <totalsRowFormula xml:space="preserve"> _xlfn.IFNA(VLOOKUP(表_武器进化32[[#Headers],[列11]],金价一览,2,0), 0)</totalsRowFormula>
    </tableColumn>
    <tableColumn id="18" name="列12" totalsRowFunction="custom" totalsRowDxfId="461">
      <totalsRowFormula xml:space="preserve"> _xlfn.IFNA(VLOOKUP(表_武器进化32[[#Headers],[列12]],金价一览,2,0), 0)</totalsRowFormula>
    </tableColumn>
    <tableColumn id="19" name="建元武魂神物" totalsRowFunction="custom" totalsRowDxfId="460">
      <totalsRowFormula>_xlfn.IFNA(VLOOKUP(表_武器进化32[[#Headers],[建元武魂神物]],点券一览,2,0),0)</totalsRowFormula>
    </tableColumn>
    <tableColumn id="20" name="列14" totalsRowFunction="custom" totalsRowDxfId="459">
      <totalsRowFormula>_xlfn.IFNA(VLOOKUP(表_武器进化32[[#Headers],[列14]],点券一览,2,0),0)</totalsRowFormula>
    </tableColumn>
    <tableColumn id="21" name="列15" totalsRowFunction="custom" totalsRowDxfId="458">
      <totalsRowFormula>_xlfn.IFNA(VLOOKUP(表_武器进化32[[#Headers],[列15]],点券一览,2,0),0)</totalsRowFormula>
    </tableColumn>
    <tableColumn id="22" name="列16" totalsRowFunction="custom" totalsRowDxfId="457">
      <totalsRowFormula>_xlfn.IFNA(VLOOKUP(表_武器进化32[[#Headers],[列16]],点券一览,2,0),0)</totalsRow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7" name="表_破天首饰必成" displayName="表_破天首饰必成" ref="B3:W15" totalsRowCount="1" headerRowDxfId="444" totalsRowDxfId="441" headerRowBorderDxfId="443" tableBorderDxfId="442" totalsRowBorderDxfId="440">
  <autoFilter ref="B3:W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439" totalsRowDxfId="438">
      <calculatedColumnFormula>表_破天首饰必成[[#This Row],[进化金币(J)]]+IF(ISNUMBER(B3), B3, 表_破天首饰必成[[#Totals],[进化阶段]])</calculatedColumnFormula>
    </tableColumn>
    <tableColumn id="2" name="累计点券" totalsRowFunction="max" totalsRowDxfId="437">
      <calculatedColumnFormula>表_破天首饰必成[[#This Row],[进化点券]]+IF(ISNUMBER(C3), C3, 0)</calculatedColumnFormula>
    </tableColumn>
    <tableColumn id="3" name="进化金币(J)" totalsRowFunction="sum" dataDxfId="436" totalsRowDxfId="435">
      <calculatedColumnFormula>IF(A4="○",SUMPRODUCT(表_破天首饰必成[[#This Row],[烛魔羽毛]:[列12]],表_破天首饰必成[[#Totals],[烛魔羽毛]:[列12]])+表_破天首饰必成[[#This Row],[手续费(J)]],0)</calculatedColumnFormula>
    </tableColumn>
    <tableColumn id="4" name="进化点券" totalsRowFunction="sum" dataDxfId="434" totalsRowDxfId="433">
      <calculatedColumnFormula>IF(A4="○",SUMPRODUCT(表_破天首饰必成[[#This Row],[高级宝玉神物]:[列16]],表_破天首饰必成[[#Totals],[高级宝玉神物]:[列16]]),0)</calculatedColumnFormula>
    </tableColumn>
    <tableColumn id="5" name="进化阶段" totalsRowLabel="100" totalsRowDxfId="432"/>
    <tableColumn id="6" name="手续费(J)" totalsRowLabel="单价" totalsRowDxfId="431"/>
    <tableColumn id="7" name="烛魔羽毛" totalsRowFunction="custom" totalsRowDxfId="430">
      <totalsRowFormula xml:space="preserve"> _xlfn.IFNA(VLOOKUP(表_破天首饰必成[[#Headers],[烛魔羽毛]],金价一览,2,0), 0)</totalsRowFormula>
    </tableColumn>
    <tableColumn id="8" name="烛魔硬骨" totalsRowFunction="custom" totalsRowDxfId="429">
      <totalsRowFormula xml:space="preserve"> _xlfn.IFNA(VLOOKUP(表_破天首饰必成[[#Headers],[烛魔硬骨]],金价一览,2,0), 0)</totalsRowFormula>
    </tableColumn>
    <tableColumn id="9" name="仙丹" totalsRowFunction="custom" totalsRowDxfId="428">
      <totalsRowFormula xml:space="preserve"> _xlfn.IFNA(VLOOKUP(表_破天首饰必成[[#Headers],[仙丹]],金价一览,2,0), 0)</totalsRowFormula>
    </tableColumn>
    <tableColumn id="10" name="月石" totalsRowFunction="custom" totalsRowDxfId="427">
      <totalsRowFormula xml:space="preserve"> _xlfn.IFNA(VLOOKUP(表_破天首饰必成[[#Headers],[月石]],金价一览,2,0), 0)</totalsRowFormula>
    </tableColumn>
    <tableColumn id="11" name="灵丹" totalsRowFunction="custom" totalsRowDxfId="426">
      <totalsRowFormula xml:space="preserve"> _xlfn.IFNA(VLOOKUP(表_破天首饰必成[[#Headers],[灵丹]],金价一览,2,0), 0)</totalsRowFormula>
    </tableColumn>
    <tableColumn id="12" name="灵石" totalsRowFunction="custom" totalsRowDxfId="425">
      <totalsRowFormula xml:space="preserve"> _xlfn.IFNA(VLOOKUP(表_破天首饰必成[[#Headers],[灵石]],金价一览,2,0), 0)</totalsRowFormula>
    </tableColumn>
    <tableColumn id="13" name="红色烛魔硬骨" totalsRowFunction="custom" totalsRowDxfId="424">
      <totalsRowFormula xml:space="preserve"> _xlfn.IFNA(VLOOKUP(表_破天首饰必成[[#Headers],[红色烛魔硬骨]],金价一览,2,0), 0)</totalsRowFormula>
    </tableColumn>
    <tableColumn id="14" name="列8" totalsRowFunction="custom" totalsRowDxfId="423">
      <totalsRowFormula xml:space="preserve"> _xlfn.IFNA(VLOOKUP(表_破天首饰必成[[#Headers],[列8]],金价一览,2,0), 0)</totalsRowFormula>
    </tableColumn>
    <tableColumn id="15" name="列9" totalsRowFunction="custom" totalsRowDxfId="422">
      <totalsRowFormula xml:space="preserve"> _xlfn.IFNA(VLOOKUP(表_破天首饰必成[[#Headers],[列9]],金价一览,2,0), 0)</totalsRowFormula>
    </tableColumn>
    <tableColumn id="16" name="列10" totalsRowFunction="custom" totalsRowDxfId="421">
      <totalsRowFormula xml:space="preserve"> _xlfn.IFNA(VLOOKUP(表_破天首饰必成[[#Headers],[列10]],金价一览,2,0), 0)</totalsRowFormula>
    </tableColumn>
    <tableColumn id="17" name="列11" totalsRowFunction="custom" totalsRowDxfId="420">
      <totalsRowFormula xml:space="preserve"> _xlfn.IFNA(VLOOKUP(表_破天首饰必成[[#Headers],[列11]],金价一览,2,0), 0)</totalsRowFormula>
    </tableColumn>
    <tableColumn id="18" name="列12" totalsRowFunction="custom" totalsRowDxfId="419">
      <totalsRowFormula xml:space="preserve"> _xlfn.IFNA(VLOOKUP(表_破天首饰必成[[#Headers],[列12]],金价一览,2,0), 0)</totalsRowFormula>
    </tableColumn>
    <tableColumn id="19" name="高级宝玉神物" totalsRowFunction="custom" totalsRowDxfId="418">
      <totalsRowFormula>_xlfn.IFNA(VLOOKUP(表_破天首饰必成[[#Headers],[高级宝玉神物]],点券一览,2,0),0)</totalsRowFormula>
    </tableColumn>
    <tableColumn id="20" name="破天宝玉神物" totalsRowFunction="custom" totalsRowDxfId="417">
      <totalsRowFormula>_xlfn.IFNA(VLOOKUP(表_破天首饰必成[[#Headers],[破天宝玉神物]],点券一览,2,0),0)</totalsRowFormula>
    </tableColumn>
    <tableColumn id="21" name="列15" totalsRowFunction="custom" totalsRowDxfId="416">
      <totalsRowFormula>_xlfn.IFNA(VLOOKUP(表_破天首饰必成[[#Headers],[列15]],点券一览,2,0),0)</totalsRowFormula>
    </tableColumn>
    <tableColumn id="22" name="列16" totalsRowFunction="custom" totalsRowDxfId="415">
      <totalsRowFormula>_xlfn.IFNA(VLOOKUP(表_破天首饰必成[[#Headers],[列16]],点券一览,2,0),0)</totalsRow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表_黑风首饰必成" displayName="表_黑风首饰必成" ref="B21:W33" totalsRowCount="1" headerRowDxfId="414" totalsRowDxfId="411" headerRowBorderDxfId="413" tableBorderDxfId="412" totalsRowBorderDxfId="410">
  <autoFilter ref="B21:W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409" totalsRowDxfId="408">
      <calculatedColumnFormula>表_黑风首饰必成[[#This Row],[进化金币(J)]]+IF(ISNUMBER(B21), B21, 表_黑风首饰必成[[#Totals],[进化阶段]])</calculatedColumnFormula>
    </tableColumn>
    <tableColumn id="2" name="累计点券" totalsRowFunction="max" totalsRowDxfId="407">
      <calculatedColumnFormula>表_黑风首饰必成[[#This Row],[进化点券]]+IF(ISNUMBER(C21), C21, 0)</calculatedColumnFormula>
    </tableColumn>
    <tableColumn id="3" name="进化金币(J)" totalsRowFunction="sum" dataDxfId="406" totalsRowDxfId="405">
      <calculatedColumnFormula>IF(A22="○",SUMPRODUCT(表_黑风首饰必成[[#This Row],[天元结晶]:[列12]],表_黑风首饰必成[[#Totals],[天元结晶]:[列12]])+表_黑风首饰必成[[#This Row],[手续费(J)]],0)</calculatedColumnFormula>
    </tableColumn>
    <tableColumn id="4" name="进化点券" totalsRowFunction="sum" dataDxfId="404" totalsRowDxfId="403">
      <calculatedColumnFormula>IF(A22="○",SUMPRODUCT(表_黑风首饰必成[[#This Row],[破天宝玉神物]:[列16]],表_黑风首饰必成[[#Totals],[破天宝玉神物]:[列16]]),0)</calculatedColumnFormula>
    </tableColumn>
    <tableColumn id="5" name="进化阶段" totalsRowLabel="500" totalsRowDxfId="402"/>
    <tableColumn id="6" name="手续费(J)" totalsRowLabel="单价" totalsRowDxfId="401"/>
    <tableColumn id="7" name="天元结晶" totalsRowFunction="custom" totalsRowDxfId="400">
      <totalsRowFormula xml:space="preserve"> _xlfn.IFNA(VLOOKUP(表_黑风首饰必成[[#Headers],[天元结晶]],金价一览,2,0), 0)</totalsRowFormula>
    </tableColumn>
    <tableColumn id="8" name="进化石" totalsRowFunction="custom" totalsRowDxfId="399">
      <totalsRowFormula xml:space="preserve"> _xlfn.IFNA(VLOOKUP(表_黑风首饰必成[[#Headers],[进化石]],金价一览,2,0), 0)</totalsRowFormula>
    </tableColumn>
    <tableColumn id="9" name="冥王冤魂" totalsRowFunction="custom" totalsRowDxfId="398">
      <totalsRowFormula xml:space="preserve"> _xlfn.IFNA(VLOOKUP(表_黑风首饰必成[[#Headers],[冥王冤魂]],金价一览,2,0), 0)</totalsRowFormula>
    </tableColumn>
    <tableColumn id="10" name="超魔灵的心脏" totalsRowFunction="custom" totalsRowDxfId="397">
      <totalsRowFormula xml:space="preserve"> _xlfn.IFNA(VLOOKUP(表_黑风首饰必成[[#Headers],[超魔灵的心脏]],金价一览,2,0), 0)</totalsRowFormula>
    </tableColumn>
    <tableColumn id="11" name="列5" totalsRowFunction="custom" totalsRowDxfId="396">
      <totalsRowFormula xml:space="preserve"> _xlfn.IFNA(VLOOKUP(表_黑风首饰必成[[#Headers],[列5]],金价一览,2,0), 0)</totalsRowFormula>
    </tableColumn>
    <tableColumn id="12" name="列6" totalsRowFunction="custom" totalsRowDxfId="395">
      <totalsRowFormula xml:space="preserve"> _xlfn.IFNA(VLOOKUP(表_黑风首饰必成[[#Headers],[列6]],金价一览,2,0), 0)</totalsRowFormula>
    </tableColumn>
    <tableColumn id="13" name="列7" totalsRowFunction="custom" totalsRowDxfId="394">
      <totalsRowFormula xml:space="preserve"> _xlfn.IFNA(VLOOKUP(表_黑风首饰必成[[#Headers],[列7]],金价一览,2,0), 0)</totalsRowFormula>
    </tableColumn>
    <tableColumn id="14" name="列8" totalsRowFunction="custom" totalsRowDxfId="393">
      <totalsRowFormula xml:space="preserve"> _xlfn.IFNA(VLOOKUP(表_黑风首饰必成[[#Headers],[列8]],金价一览,2,0), 0)</totalsRowFormula>
    </tableColumn>
    <tableColumn id="15" name="列9" totalsRowFunction="custom" totalsRowDxfId="392">
      <totalsRowFormula xml:space="preserve"> _xlfn.IFNA(VLOOKUP(表_黑风首饰必成[[#Headers],[列9]],金价一览,2,0), 0)</totalsRowFormula>
    </tableColumn>
    <tableColumn id="16" name="列10" totalsRowFunction="custom" totalsRowDxfId="391">
      <totalsRowFormula xml:space="preserve"> _xlfn.IFNA(VLOOKUP(表_黑风首饰必成[[#Headers],[列10]],金价一览,2,0), 0)</totalsRowFormula>
    </tableColumn>
    <tableColumn id="17" name="列11" totalsRowFunction="custom" totalsRowDxfId="390">
      <totalsRowFormula xml:space="preserve"> _xlfn.IFNA(VLOOKUP(表_黑风首饰必成[[#Headers],[列11]],金价一览,2,0), 0)</totalsRowFormula>
    </tableColumn>
    <tableColumn id="18" name="列12" totalsRowFunction="custom" totalsRowDxfId="389">
      <totalsRowFormula xml:space="preserve"> _xlfn.IFNA(VLOOKUP(表_黑风首饰必成[[#Headers],[列12]],金价一览,2,0), 0)</totalsRowFormula>
    </tableColumn>
    <tableColumn id="19" name="破天宝玉神物" totalsRowFunction="custom" totalsRowDxfId="388">
      <totalsRowFormula>_xlfn.IFNA(VLOOKUP(表_黑风首饰必成[[#Headers],[破天宝玉神物]],点券一览,2,0),0)</totalsRowFormula>
    </tableColumn>
    <tableColumn id="20" name="建元宝玉神物" totalsRowFunction="custom" totalsRowDxfId="387">
      <totalsRowFormula>_xlfn.IFNA(VLOOKUP(表_黑风首饰必成[[#Headers],[建元宝玉神物]],点券一览,2,0),0)</totalsRowFormula>
    </tableColumn>
    <tableColumn id="21" name="列15" totalsRowFunction="custom" totalsRowDxfId="386">
      <totalsRowFormula>_xlfn.IFNA(VLOOKUP(表_黑风首饰必成[[#Headers],[列15]],点券一览,2,0),0)</totalsRowFormula>
    </tableColumn>
    <tableColumn id="22" name="列16" totalsRowFunction="custom" totalsRowDxfId="385">
      <totalsRowFormula>_xlfn.IFNA(VLOOKUP(表_黑风首饰必成[[#Headers],[列16]],点券一览,2,0),0)</totalsRow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表_古代神首饰" displayName="表_古代神首饰" ref="B39:W51" totalsRowCount="1" headerRowDxfId="384" totalsRowDxfId="381" headerRowBorderDxfId="383" tableBorderDxfId="382" totalsRowBorderDxfId="380">
  <autoFilter ref="B39:W5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379" totalsRowDxfId="378">
      <calculatedColumnFormula>表_古代神首饰[[#This Row],[进化金币(J)]]+IF(ISNUMBER(B39), B39, 表_古代神首饰[[#Totals],[进化阶段]])</calculatedColumnFormula>
    </tableColumn>
    <tableColumn id="2" name="累计点券" totalsRowFunction="max" totalsRowDxfId="377">
      <calculatedColumnFormula>表_古代神首饰[[#This Row],[进化点券]]+IF(ISNUMBER(C39), C39, 0)</calculatedColumnFormula>
    </tableColumn>
    <tableColumn id="3" name="进化金币(J)" totalsRowFunction="sum" dataDxfId="376" totalsRowDxfId="375">
      <calculatedColumnFormula>SUMPRODUCT(表_古代神首饰[[#This Row],[传说宝玉]:[列12]],表_古代神首饰[[#Totals],[传说宝玉]:[列12]])+表_古代神首饰[[#This Row],[手续费(J)]]</calculatedColumnFormula>
    </tableColumn>
    <tableColumn id="4" name="进化点券" totalsRowFunction="sum" totalsRowDxfId="374">
      <calculatedColumnFormula>SUMPRODUCT(表_古代神首饰[[#This Row],[宝玉神物]:[列16]],表_古代神首饰[[#Totals],[宝玉神物]:[列16]])</calculatedColumnFormula>
    </tableColumn>
    <tableColumn id="5" name="进化阶段" totalsRowDxfId="373"/>
    <tableColumn id="6" name="手续费(J)" totalsRowLabel="单价" totalsRowDxfId="372"/>
    <tableColumn id="7" name="传说宝玉" totalsRowFunction="custom" totalsRowDxfId="371">
      <totalsRowFormula xml:space="preserve"> _xlfn.IFNA(VLOOKUP(表_古代神首饰[[#Headers],[传说宝玉]],金价一览,2,0), 0)</totalsRowFormula>
    </tableColumn>
    <tableColumn id="8" name="仙丹" totalsRowFunction="custom" totalsRowDxfId="370">
      <totalsRowFormula xml:space="preserve"> _xlfn.IFNA(VLOOKUP(表_古代神首饰[[#Headers],[仙丹]],金价一览,2,0), 0)</totalsRowFormula>
    </tableColumn>
    <tableColumn id="9" name="灵丹" totalsRowFunction="custom" totalsRowDxfId="369">
      <totalsRowFormula xml:space="preserve"> _xlfn.IFNA(VLOOKUP(表_古代神首饰[[#Headers],[灵丹]],金价一览,2,0), 0)</totalsRowFormula>
    </tableColumn>
    <tableColumn id="10" name="列4" totalsRowFunction="custom" totalsRowDxfId="368">
      <totalsRowFormula xml:space="preserve"> _xlfn.IFNA(VLOOKUP(表_古代神首饰[[#Headers],[列4]],金价一览,2,0), 0)</totalsRowFormula>
    </tableColumn>
    <tableColumn id="11" name="列5" totalsRowFunction="custom" totalsRowDxfId="367">
      <totalsRowFormula xml:space="preserve"> _xlfn.IFNA(VLOOKUP(表_古代神首饰[[#Headers],[列5]],金价一览,2,0), 0)</totalsRowFormula>
    </tableColumn>
    <tableColumn id="12" name="列6" totalsRowFunction="custom" totalsRowDxfId="366">
      <totalsRowFormula xml:space="preserve"> _xlfn.IFNA(VLOOKUP(表_古代神首饰[[#Headers],[列6]],金价一览,2,0), 0)</totalsRowFormula>
    </tableColumn>
    <tableColumn id="13" name="列7" totalsRowFunction="custom" totalsRowDxfId="365">
      <totalsRowFormula xml:space="preserve"> _xlfn.IFNA(VLOOKUP(表_古代神首饰[[#Headers],[列7]],金价一览,2,0), 0)</totalsRowFormula>
    </tableColumn>
    <tableColumn id="14" name="列8" totalsRowFunction="custom" totalsRowDxfId="364">
      <totalsRowFormula xml:space="preserve"> _xlfn.IFNA(VLOOKUP(表_古代神首饰[[#Headers],[列8]],金价一览,2,0), 0)</totalsRowFormula>
    </tableColumn>
    <tableColumn id="15" name="列9" totalsRowFunction="custom" totalsRowDxfId="363">
      <totalsRowFormula xml:space="preserve"> _xlfn.IFNA(VLOOKUP(表_古代神首饰[[#Headers],[列9]],金价一览,2,0), 0)</totalsRowFormula>
    </tableColumn>
    <tableColumn id="16" name="列10" totalsRowFunction="custom" totalsRowDxfId="362">
      <totalsRowFormula xml:space="preserve"> _xlfn.IFNA(VLOOKUP(表_古代神首饰[[#Headers],[列10]],金价一览,2,0), 0)</totalsRowFormula>
    </tableColumn>
    <tableColumn id="17" name="列11" totalsRowFunction="custom" totalsRowDxfId="361">
      <totalsRowFormula xml:space="preserve"> _xlfn.IFNA(VLOOKUP(表_古代神首饰[[#Headers],[列11]],金价一览,2,0), 0)</totalsRowFormula>
    </tableColumn>
    <tableColumn id="18" name="列12" totalsRowFunction="custom" totalsRowDxfId="360">
      <totalsRowFormula xml:space="preserve"> _xlfn.IFNA(VLOOKUP(表_古代神首饰[[#Headers],[列12]],金价一览,2,0), 0)</totalsRowFormula>
    </tableColumn>
    <tableColumn id="19" name="宝玉神物" totalsRowFunction="custom" totalsRowDxfId="359">
      <totalsRowFormula>_xlfn.IFNA(VLOOKUP(表_古代神首饰[[#Headers],[宝玉神物]],点券一览,2,0),0)</totalsRowFormula>
    </tableColumn>
    <tableColumn id="20" name="列14" totalsRowFunction="custom" totalsRowDxfId="358">
      <totalsRowFormula>_xlfn.IFNA(VLOOKUP(表_古代神首饰[[#Headers],[列14]],点券一览,2,0),0)</totalsRowFormula>
    </tableColumn>
    <tableColumn id="21" name="列15" totalsRowFunction="custom" totalsRowDxfId="357">
      <totalsRowFormula>_xlfn.IFNA(VLOOKUP(表_古代神首饰[[#Headers],[列15]],点券一览,2,0),0)</totalsRowFormula>
    </tableColumn>
    <tableColumn id="22" name="列16" totalsRowFunction="custom" totalsRowDxfId="356">
      <totalsRowFormula>_xlfn.IFNA(VLOOKUP(表_古代神首饰[[#Headers],[列16]],点券一览,2,0),0)</totalsRow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5" name="表_梵天阎魔手镯" displayName="表_梵天阎魔手镯" ref="B57:W69" totalsRowCount="1" headerRowDxfId="355" totalsRowDxfId="352" headerRowBorderDxfId="354" tableBorderDxfId="353" totalsRowBorderDxfId="351">
  <autoFilter ref="B57:W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350" totalsRowDxfId="349">
      <calculatedColumnFormula>表_梵天阎魔手镯[[#This Row],[进化金币(J)]]+IF(ISNUMBER(B57), B57, 表_梵天阎魔手镯[[#Totals],[进化阶段]])</calculatedColumnFormula>
    </tableColumn>
    <tableColumn id="2" name="累计点券" totalsRowFunction="max" totalsRowDxfId="348">
      <calculatedColumnFormula>表_梵天阎魔手镯[[#This Row],[进化点券]]+IF(ISNUMBER(C57), C57, 0)</calculatedColumnFormula>
    </tableColumn>
    <tableColumn id="3" name="进化金币(J)" totalsRowFunction="sum" dataDxfId="347" totalsRowDxfId="346">
      <calculatedColumnFormula>IF(A58="○",SUMPRODUCT(表_梵天阎魔手镯[[#This Row],[黑蛟麟]:[列12]],表_梵天阎魔手镯[[#Totals],[黑蛟麟]:[列12]])+表_梵天阎魔手镯[[#This Row],[手续费(J)]],0)</calculatedColumnFormula>
    </tableColumn>
    <tableColumn id="4" name="进化点券" totalsRowFunction="sum" dataDxfId="345" totalsRowDxfId="344">
      <calculatedColumnFormula>IF(A58="○",SUMPRODUCT(表_梵天阎魔手镯[[#This Row],[高级宝玉神物]:[列16]],表_梵天阎魔手镯[[#Totals],[高级宝玉神物]:[列16]]),0)</calculatedColumnFormula>
    </tableColumn>
    <tableColumn id="5" name="进化阶段" totalsRowLabel="200" totalsRowDxfId="343"/>
    <tableColumn id="6" name="手续费(J)" totalsRowLabel="单价" totalsRowDxfId="342"/>
    <tableColumn id="7" name="黑蛟麟" totalsRowFunction="custom" totalsRowDxfId="341">
      <totalsRowFormula xml:space="preserve"> _xlfn.IFNA(VLOOKUP(表_梵天阎魔手镯[[#Headers],[黑蛟麟]],金价一览,2,0), 0)</totalsRowFormula>
    </tableColumn>
    <tableColumn id="8" name="烛魔硬骨" totalsRowFunction="custom" totalsRowDxfId="340">
      <totalsRowFormula xml:space="preserve"> _xlfn.IFNA(VLOOKUP(表_梵天阎魔手镯[[#Headers],[烛魔硬骨]],金价一览,2,0), 0)</totalsRowFormula>
    </tableColumn>
    <tableColumn id="9" name="烛魔羽毛" totalsRowFunction="custom" totalsRowDxfId="339">
      <totalsRowFormula xml:space="preserve"> _xlfn.IFNA(VLOOKUP(表_梵天阎魔手镯[[#Headers],[烛魔羽毛]],金价一览,2,0), 0)</totalsRowFormula>
    </tableColumn>
    <tableColumn id="10" name="月石" totalsRowFunction="custom" totalsRowDxfId="338">
      <totalsRowFormula xml:space="preserve"> _xlfn.IFNA(VLOOKUP(表_梵天阎魔手镯[[#Headers],[月石]],金价一览,2,0), 0)</totalsRowFormula>
    </tableColumn>
    <tableColumn id="11" name="灵石" totalsRowFunction="custom" totalsRowDxfId="337">
      <totalsRowFormula xml:space="preserve"> _xlfn.IFNA(VLOOKUP(表_梵天阎魔手镯[[#Headers],[灵石]],金价一览,2,0), 0)</totalsRowFormula>
    </tableColumn>
    <tableColumn id="12" name="仙丹" totalsRowFunction="custom" totalsRowDxfId="336">
      <totalsRowFormula xml:space="preserve"> _xlfn.IFNA(VLOOKUP(表_梵天阎魔手镯[[#Headers],[仙丹]],金价一览,2,0), 0)</totalsRowFormula>
    </tableColumn>
    <tableColumn id="13" name="灵丹" totalsRowFunction="custom" totalsRowDxfId="335">
      <totalsRowFormula xml:space="preserve"> _xlfn.IFNA(VLOOKUP(表_梵天阎魔手镯[[#Headers],[灵丹]],金价一览,2,0), 0)</totalsRowFormula>
    </tableColumn>
    <tableColumn id="14" name="列8" totalsRowFunction="custom" totalsRowDxfId="334">
      <totalsRowFormula xml:space="preserve"> _xlfn.IFNA(VLOOKUP(表_梵天阎魔手镯[[#Headers],[列8]],金价一览,2,0), 0)</totalsRowFormula>
    </tableColumn>
    <tableColumn id="15" name="列9" totalsRowFunction="custom" totalsRowDxfId="333">
      <totalsRowFormula xml:space="preserve"> _xlfn.IFNA(VLOOKUP(表_梵天阎魔手镯[[#Headers],[列9]],金价一览,2,0), 0)</totalsRowFormula>
    </tableColumn>
    <tableColumn id="16" name="列10" totalsRowFunction="custom" totalsRowDxfId="332">
      <totalsRowFormula xml:space="preserve"> _xlfn.IFNA(VLOOKUP(表_梵天阎魔手镯[[#Headers],[列10]],金价一览,2,0), 0)</totalsRowFormula>
    </tableColumn>
    <tableColumn id="17" name="列11" totalsRowFunction="custom" totalsRowDxfId="331">
      <totalsRowFormula xml:space="preserve"> _xlfn.IFNA(VLOOKUP(表_梵天阎魔手镯[[#Headers],[列11]],金价一览,2,0), 0)</totalsRowFormula>
    </tableColumn>
    <tableColumn id="18" name="列12" totalsRowFunction="custom" totalsRowDxfId="330">
      <totalsRowFormula xml:space="preserve"> _xlfn.IFNA(VLOOKUP(表_梵天阎魔手镯[[#Headers],[列12]],金价一览,2,0), 0)</totalsRowFormula>
    </tableColumn>
    <tableColumn id="19" name="高级宝玉神物" totalsRowFunction="custom" totalsRowDxfId="329">
      <totalsRowFormula>_xlfn.IFNA(VLOOKUP(表_梵天阎魔手镯[[#Headers],[高级宝玉神物]],点券一览,2,0),0)</totalsRowFormula>
    </tableColumn>
    <tableColumn id="20" name="破天宝玉神物" totalsRowFunction="custom" totalsRowDxfId="328">
      <totalsRowFormula>_xlfn.IFNA(VLOOKUP(表_梵天阎魔手镯[[#Headers],[破天宝玉神物]],点券一览,2,0),0)</totalsRowFormula>
    </tableColumn>
    <tableColumn id="21" name="列15" totalsRowFunction="custom" totalsRowDxfId="327">
      <totalsRowFormula>_xlfn.IFNA(VLOOKUP(表_梵天阎魔手镯[[#Headers],[列15]],点券一览,2,0),0)</totalsRowFormula>
    </tableColumn>
    <tableColumn id="22" name="列16" totalsRowFunction="custom" totalsRowDxfId="326">
      <totalsRowFormula>_xlfn.IFNA(VLOOKUP(表_梵天阎魔手镯[[#Headers],[列16]],点券一览,2,0),0)</totalsRow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表_首饰进化" displayName="表_首饰进化" ref="B75:W83" totalsRowCount="1" headerRowDxfId="325" totalsRowDxfId="322" headerRowBorderDxfId="324" tableBorderDxfId="323" totalsRowBorderDxfId="321">
  <autoFilter ref="B75:W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320" totalsRowDxfId="319"/>
    <tableColumn id="2" name="累计点券" totalsRowFunction="max" totalsRowDxfId="318"/>
    <tableColumn id="3" name="进化金币(J)" totalsRowFunction="sum" dataDxfId="317" totalsRowDxfId="316">
      <calculatedColumnFormula>SUMPRODUCT(表_首饰进化[[#This Row],[烛魔羽毛]:[列12]],表_首饰进化[[#Totals],[烛魔羽毛]:[列12]])+表_首饰进化[[#This Row],[手续费(J)]]*折扣</calculatedColumnFormula>
    </tableColumn>
    <tableColumn id="4" name="进化点券" totalsRowFunction="sum" totalsRowDxfId="315">
      <calculatedColumnFormula>SUMPRODUCT(表_首饰进化[[#This Row],[列13]:[列16]],表_首饰进化[[#Totals],[列13]:[列16]])</calculatedColumnFormula>
    </tableColumn>
    <tableColumn id="5" name="进化阶段" totalsRowDxfId="314"/>
    <tableColumn id="6" name="手续费(J)" totalsRowLabel="单价" totalsRowDxfId="313"/>
    <tableColumn id="7" name="烛魔羽毛" totalsRowFunction="custom" totalsRowDxfId="312">
      <totalsRowFormula xml:space="preserve"> _xlfn.IFNA(VLOOKUP(表_首饰进化[[#Headers],[烛魔羽毛]],金价一览,2,0), 0)</totalsRowFormula>
    </tableColumn>
    <tableColumn id="8" name="黑蛟麟" totalsRowFunction="custom" totalsRowDxfId="311">
      <totalsRowFormula xml:space="preserve"> _xlfn.IFNA(VLOOKUP(表_首饰进化[[#Headers],[黑蛟麟]],金价一览,2,0), 0)</totalsRowFormula>
    </tableColumn>
    <tableColumn id="9" name="冥王冤魂" totalsRowFunction="custom" totalsRowDxfId="310">
      <totalsRowFormula xml:space="preserve"> _xlfn.IFNA(VLOOKUP(表_首饰进化[[#Headers],[冥王冤魂]],金价一览,2,0), 0)</totalsRowFormula>
    </tableColumn>
    <tableColumn id="10" name="列4" totalsRowFunction="custom" totalsRowDxfId="309">
      <totalsRowFormula xml:space="preserve"> _xlfn.IFNA(VLOOKUP(表_首饰进化[[#Headers],[列4]],金价一览,2,0), 0)</totalsRowFormula>
    </tableColumn>
    <tableColumn id="11" name="列5" totalsRowFunction="custom" totalsRowDxfId="308">
      <totalsRowFormula xml:space="preserve"> _xlfn.IFNA(VLOOKUP(表_首饰进化[[#Headers],[列5]],金价一览,2,0), 0)</totalsRowFormula>
    </tableColumn>
    <tableColumn id="12" name="列6" totalsRowFunction="custom" totalsRowDxfId="307">
      <totalsRowFormula xml:space="preserve"> _xlfn.IFNA(VLOOKUP(表_首饰进化[[#Headers],[列6]],金价一览,2,0), 0)</totalsRowFormula>
    </tableColumn>
    <tableColumn id="13" name="列7" totalsRowFunction="custom" totalsRowDxfId="306">
      <totalsRowFormula xml:space="preserve"> _xlfn.IFNA(VLOOKUP(表_首饰进化[[#Headers],[列7]],金价一览,2,0), 0)</totalsRowFormula>
    </tableColumn>
    <tableColumn id="14" name="列8" totalsRowFunction="custom" totalsRowDxfId="305">
      <totalsRowFormula xml:space="preserve"> _xlfn.IFNA(VLOOKUP(表_首饰进化[[#Headers],[列8]],金价一览,2,0), 0)</totalsRowFormula>
    </tableColumn>
    <tableColumn id="15" name="列9" totalsRowFunction="custom" totalsRowDxfId="304">
      <totalsRowFormula xml:space="preserve"> _xlfn.IFNA(VLOOKUP(表_首饰进化[[#Headers],[列9]],金价一览,2,0), 0)</totalsRowFormula>
    </tableColumn>
    <tableColumn id="16" name="列10" totalsRowFunction="custom" totalsRowDxfId="303">
      <totalsRowFormula xml:space="preserve"> _xlfn.IFNA(VLOOKUP(表_首饰进化[[#Headers],[列10]],金价一览,2,0), 0)</totalsRowFormula>
    </tableColumn>
    <tableColumn id="17" name="列11" totalsRowFunction="custom" totalsRowDxfId="302">
      <totalsRowFormula xml:space="preserve"> _xlfn.IFNA(VLOOKUP(表_首饰进化[[#Headers],[列11]],金价一览,2,0), 0)</totalsRowFormula>
    </tableColumn>
    <tableColumn id="18" name="列12" totalsRowFunction="custom" totalsRowDxfId="301">
      <totalsRowFormula xml:space="preserve"> _xlfn.IFNA(VLOOKUP(表_首饰进化[[#Headers],[列12]],金价一览,2,0), 0)</totalsRowFormula>
    </tableColumn>
    <tableColumn id="19" name="列13" totalsRowFunction="custom" totalsRowDxfId="300">
      <totalsRowFormula>_xlfn.IFNA(VLOOKUP(表_首饰进化[[#Headers],[列13]],点券一览,2,0),0)</totalsRowFormula>
    </tableColumn>
    <tableColumn id="20" name="列14" totalsRowFunction="custom" totalsRowDxfId="299">
      <totalsRowFormula>_xlfn.IFNA(VLOOKUP(表_首饰进化[[#Headers],[列14]],点券一览,2,0),0)</totalsRowFormula>
    </tableColumn>
    <tableColumn id="21" name="列15" totalsRowFunction="custom" totalsRowDxfId="298">
      <totalsRowFormula>_xlfn.IFNA(VLOOKUP(表_首饰进化[[#Headers],[列15]],点券一览,2,0),0)</totalsRowFormula>
    </tableColumn>
    <tableColumn id="22" name="列16" totalsRowFunction="custom" totalsRowDxfId="297">
      <totalsRowFormula>_xlfn.IFNA(VLOOKUP(表_首饰进化[[#Headers],[列16]],点券一览,2,0),0)</totalsRow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8" name="表模板_29" displayName="表模板_29" ref="B89:W101" totalsRowCount="1" headerRowDxfId="296" totalsRowDxfId="293" headerRowBorderDxfId="295" tableBorderDxfId="294" totalsRowBorderDxfId="292">
  <autoFilter ref="B89:W100"/>
  <tableColumns count="22">
    <tableColumn id="1" name="累计金币(J)" totalsRowFunction="max" dataDxfId="291" totalsRowDxfId="290">
      <calculatedColumnFormula>表模板_29[[#This Row],[进化金币(J)]]+IF(ISNUMBER(B89), B89, 表模板_29[[#Totals],[进化阶段]])</calculatedColumnFormula>
    </tableColumn>
    <tableColumn id="2" name="累计点券" totalsRowFunction="max" totalsRowDxfId="289">
      <calculatedColumnFormula>表模板_29[[#This Row],[进化点券]]+IF(ISNUMBER(C89), C89, 0)</calculatedColumnFormula>
    </tableColumn>
    <tableColumn id="3" name="进化金币(J)" totalsRowFunction="sum" dataDxfId="288" totalsRowDxfId="287">
      <calculatedColumnFormula>SUMPRODUCT(表模板_29[[#This Row],[无尽斗争印章]:[列12]],表模板_29[[#Totals],[无尽斗争印章]:[列12]])+表模板_29[[#This Row],[手续费(J)]]</calculatedColumnFormula>
    </tableColumn>
    <tableColumn id="4" name="进化点券" totalsRowFunction="sum" totalsRowDxfId="286">
      <calculatedColumnFormula>SUMPRODUCT(表模板_29[[#This Row],[高级宝玉神物]:[列16]],表模板_29[[#Totals],[高级宝玉神物]:[列16]])</calculatedColumnFormula>
    </tableColumn>
    <tableColumn id="5" name="进化阶段" totalsRowDxfId="285"/>
    <tableColumn id="6" name="手续费(J)" totalsRowLabel="单价" totalsRowDxfId="284"/>
    <tableColumn id="7" name="无尽斗争印章" totalsRowFunction="custom" totalsRowDxfId="283">
      <totalsRowFormula xml:space="preserve"> _xlfn.IFNA(VLOOKUP(表模板_29[[#Headers],[无尽斗争印章]],金价一览,2,0), 0)</totalsRowFormula>
    </tableColumn>
    <tableColumn id="8" name="烛魔羽毛" totalsRowFunction="custom" totalsRowDxfId="282">
      <totalsRowFormula xml:space="preserve"> _xlfn.IFNA(VLOOKUP(表模板_29[[#Headers],[烛魔羽毛]],金价一览,2,0), 0)</totalsRowFormula>
    </tableColumn>
    <tableColumn id="9" name="月石" totalsRowFunction="custom" totalsRowDxfId="281">
      <totalsRowFormula xml:space="preserve"> _xlfn.IFNA(VLOOKUP(表模板_29[[#Headers],[月石]],金价一览,2,0), 0)</totalsRowFormula>
    </tableColumn>
    <tableColumn id="10" name="灵石" totalsRowFunction="custom" totalsRowDxfId="280">
      <totalsRowFormula xml:space="preserve"> _xlfn.IFNA(VLOOKUP(表模板_29[[#Headers],[灵石]],金价一览,2,0), 0)</totalsRowFormula>
    </tableColumn>
    <tableColumn id="11" name="仙丹" totalsRowFunction="custom" totalsRowDxfId="279">
      <totalsRowFormula xml:space="preserve"> _xlfn.IFNA(VLOOKUP(表模板_29[[#Headers],[仙丹]],金价一览,2,0), 0)</totalsRowFormula>
    </tableColumn>
    <tableColumn id="12" name="灵丹" totalsRowFunction="custom" totalsRowDxfId="278">
      <totalsRowFormula xml:space="preserve"> _xlfn.IFNA(VLOOKUP(表模板_29[[#Headers],[灵丹]],金价一览,2,0), 0)</totalsRowFormula>
    </tableColumn>
    <tableColumn id="13" name="列7" totalsRowFunction="custom" totalsRowDxfId="277">
      <totalsRowFormula xml:space="preserve"> _xlfn.IFNA(VLOOKUP(表模板_29[[#Headers],[列7]],金价一览,2,0), 0)</totalsRowFormula>
    </tableColumn>
    <tableColumn id="14" name="列8" totalsRowFunction="custom" totalsRowDxfId="276">
      <totalsRowFormula xml:space="preserve"> _xlfn.IFNA(VLOOKUP(表模板_29[[#Headers],[列8]],金价一览,2,0), 0)</totalsRowFormula>
    </tableColumn>
    <tableColumn id="15" name="列9" totalsRowFunction="custom" totalsRowDxfId="275">
      <totalsRowFormula xml:space="preserve"> _xlfn.IFNA(VLOOKUP(表模板_29[[#Headers],[列9]],金价一览,2,0), 0)</totalsRowFormula>
    </tableColumn>
    <tableColumn id="16" name="列10" totalsRowFunction="custom" totalsRowDxfId="274">
      <totalsRowFormula xml:space="preserve"> _xlfn.IFNA(VLOOKUP(表模板_29[[#Headers],[列10]],金价一览,2,0), 0)</totalsRowFormula>
    </tableColumn>
    <tableColumn id="17" name="列11" totalsRowFunction="custom" totalsRowDxfId="273">
      <totalsRowFormula xml:space="preserve"> _xlfn.IFNA(VLOOKUP(表模板_29[[#Headers],[列11]],金价一览,2,0), 0)</totalsRowFormula>
    </tableColumn>
    <tableColumn id="18" name="列12" totalsRowFunction="custom" totalsRowDxfId="272">
      <totalsRowFormula xml:space="preserve"> _xlfn.IFNA(VLOOKUP(表模板_29[[#Headers],[列12]],金价一览,2,0), 0)</totalsRowFormula>
    </tableColumn>
    <tableColumn id="19" name="高级宝玉神物" totalsRowFunction="custom" totalsRowDxfId="271">
      <totalsRowFormula>_xlfn.IFNA(VLOOKUP(表模板_29[[#Headers],[高级宝玉神物]],点券一览,2,0),0)</totalsRowFormula>
    </tableColumn>
    <tableColumn id="20" name="破天宝玉神物" totalsRowFunction="custom" totalsRowDxfId="270">
      <totalsRowFormula>_xlfn.IFNA(VLOOKUP(表模板_29[[#Headers],[破天宝玉神物]],点券一览,2,0),0)</totalsRowFormula>
    </tableColumn>
    <tableColumn id="21" name="列15" totalsRowFunction="custom" totalsRowDxfId="269">
      <totalsRowFormula>_xlfn.IFNA(VLOOKUP(表模板_29[[#Headers],[列15]],点券一览,2,0),0)</totalsRowFormula>
    </tableColumn>
    <tableColumn id="22" name="列16" totalsRowFunction="custom" totalsRowDxfId="268">
      <totalsRowFormula>_xlfn.IFNA(VLOOKUP(表模板_29[[#Headers],[列16]],点券一览,2,0),0)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8" name="表_烛魔1到12必成" displayName="表_烛魔1到12必成" ref="B3:W18" totalsRowCount="1" headerRowDxfId="1174" totalsRowDxfId="1171" headerRowBorderDxfId="1173" tableBorderDxfId="1172" totalsRowBorderDxfId="1170">
  <autoFilter ref="B3:W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169" totalsRowDxfId="1168">
      <calculatedColumnFormula>表_烛魔1到12必成[[#This Row],[进化金币(J)]]+IF(ISNUMBER(B3), B3, 表_烛魔1到12必成[[#Totals],[进化阶段]])</calculatedColumnFormula>
    </tableColumn>
    <tableColumn id="2" name="累计点券" totalsRowFunction="max" totalsRowDxfId="1167">
      <calculatedColumnFormula>表_烛魔1到12必成[[#This Row],[进化点券]]+IF(ISNUMBER(C3), C3, 0)</calculatedColumnFormula>
    </tableColumn>
    <tableColumn id="3" name="进化金币(J)" totalsRowFunction="sum" dataDxfId="1166" totalsRowDxfId="1165">
      <calculatedColumnFormula>IF(A4="○",SUMPRODUCT(表_烛魔1到12必成[[#This Row],[仙丹]:[列12]],表_烛魔1到12必成[[#Totals],[仙丹]:[列12]])+表_烛魔1到12必成[[#This Row],[手续费(J)]]*折扣,0)</calculatedColumnFormula>
    </tableColumn>
    <tableColumn id="4" name="进化点券" totalsRowFunction="sum" dataDxfId="1164" totalsRowDxfId="1163">
      <calculatedColumnFormula>IF(A4="○",SUMPRODUCT(表_烛魔1到12必成[[#This Row],[高级武魂神物]:[列16]],表_烛魔1到12必成[[#Totals],[高级武魂神物]:[列16]]),0)</calculatedColumnFormula>
    </tableColumn>
    <tableColumn id="5" name="进化阶段" totalsRowDxfId="1162"/>
    <tableColumn id="6" name="手续费(J)" totalsRowLabel="单价" dataDxfId="1161" totalsRowDxfId="1160"/>
    <tableColumn id="7" name="仙丹" totalsRowFunction="custom" dataDxfId="1159" totalsRowDxfId="1158">
      <totalsRowFormula xml:space="preserve"> _xlfn.IFNA(VLOOKUP(表_烛魔1到12必成[[#Headers],[仙丹]],金价一览,2,0), 0)</totalsRowFormula>
    </tableColumn>
    <tableColumn id="8" name="灵丹" totalsRowFunction="custom" dataDxfId="1157" totalsRowDxfId="1156">
      <totalsRowFormula xml:space="preserve"> _xlfn.IFNA(VLOOKUP(表_烛魔1到12必成[[#Headers],[灵丹]],金价一览,2,0), 0)</totalsRowFormula>
    </tableColumn>
    <tableColumn id="9" name="灵石" totalsRowFunction="custom" dataDxfId="1155" totalsRowDxfId="1154">
      <calculatedColumnFormula>[1]!表_烛魔1到12必成[[#This Row],[灵丹]]</calculatedColumnFormula>
      <totalsRowFormula xml:space="preserve"> _xlfn.IFNA(VLOOKUP(表_烛魔1到12必成[[#Headers],[灵石]],金价一览,2,0), 0)</totalsRowFormula>
    </tableColumn>
    <tableColumn id="10" name="月石" totalsRowFunction="custom" dataDxfId="1153" totalsRowDxfId="1152">
      <calculatedColumnFormula>[1]!表_烛魔1到12必成[[#This Row],[仙丹]]</calculatedColumnFormula>
      <totalsRowFormula xml:space="preserve"> _xlfn.IFNA(VLOOKUP(表_烛魔1到12必成[[#Headers],[月石]],金价一览,2,0), 0)</totalsRowFormula>
    </tableColumn>
    <tableColumn id="11" name="烛魔羽毛" totalsRowFunction="custom" dataDxfId="1151" totalsRowDxfId="1150">
      <totalsRowFormula xml:space="preserve"> _xlfn.IFNA(VLOOKUP(表_烛魔1到12必成[[#Headers],[烛魔羽毛]],金价一览,2,0), 0)</totalsRowFormula>
    </tableColumn>
    <tableColumn id="12" name="烛魔黑鳞" totalsRowFunction="custom" dataDxfId="1149" totalsRowDxfId="1148">
      <totalsRowFormula xml:space="preserve"> _xlfn.IFNA(VLOOKUP(表_烛魔1到12必成[[#Headers],[烛魔黑鳞]],金价一览,2,0), 0)</totalsRowFormula>
    </tableColumn>
    <tableColumn id="13" name="红色烛魔黑鳞" totalsRowFunction="custom" dataDxfId="1147" totalsRowDxfId="1146">
      <totalsRowFormula xml:space="preserve"> _xlfn.IFNA(VLOOKUP(表_烛魔1到12必成[[#Headers],[红色烛魔黑鳞]],金价一览,2,0), 0)</totalsRowFormula>
    </tableColumn>
    <tableColumn id="14" name="烛魔魂" totalsRowFunction="custom" dataDxfId="1145" totalsRowDxfId="1144">
      <totalsRowFormula xml:space="preserve"> _xlfn.IFNA(VLOOKUP(表_烛魔1到12必成[[#Headers],[烛魔魂]],金价一览,2,0), 0)</totalsRowFormula>
    </tableColumn>
    <tableColumn id="15" name="列9" totalsRowFunction="custom" dataDxfId="1143" totalsRowDxfId="1142">
      <totalsRowFormula xml:space="preserve"> _xlfn.IFNA(VLOOKUP(表_烛魔1到12必成[[#Headers],[列9]],金价一览,2,0), 0)</totalsRowFormula>
    </tableColumn>
    <tableColumn id="16" name="列10" totalsRowFunction="custom" dataDxfId="1141" totalsRowDxfId="1140">
      <totalsRowFormula xml:space="preserve"> _xlfn.IFNA(VLOOKUP(表_烛魔1到12必成[[#Headers],[列10]],金价一览,2,0), 0)</totalsRowFormula>
    </tableColumn>
    <tableColumn id="17" name="列11" totalsRowFunction="custom" dataDxfId="1139" totalsRowDxfId="1138">
      <totalsRowFormula xml:space="preserve"> _xlfn.IFNA(VLOOKUP(表_烛魔1到12必成[[#Headers],[列11]],金价一览,2,0), 0)</totalsRowFormula>
    </tableColumn>
    <tableColumn id="18" name="列12" totalsRowFunction="custom" dataDxfId="1137" totalsRowDxfId="1136">
      <totalsRowFormula xml:space="preserve"> _xlfn.IFNA(VLOOKUP(表_烛魔1到12必成[[#Headers],[列12]],金价一览,2,0), 0)</totalsRowFormula>
    </tableColumn>
    <tableColumn id="19" name="高级武魂神物" totalsRowFunction="custom" dataDxfId="1135" totalsRowDxfId="1134">
      <totalsRowFormula>_xlfn.IFNA(VLOOKUP(表_烛魔1到12必成[[#Headers],[高级武魂神物]],点券一览,2,0),0)</totalsRowFormula>
    </tableColumn>
    <tableColumn id="20" name="破天武魂神物" totalsRowFunction="custom" dataDxfId="1133" totalsRowDxfId="1132">
      <totalsRowFormula>_xlfn.IFNA(VLOOKUP(表_烛魔1到12必成[[#Headers],[破天武魂神物]],点券一览,2,0),0)</totalsRowFormula>
    </tableColumn>
    <tableColumn id="21" name="列15" totalsRowFunction="custom" totalsRowDxfId="1131">
      <totalsRowFormula>_xlfn.IFNA(VLOOKUP(表_烛魔1到12必成[[#Headers],[列15]],点券一览,2,0),0)</totalsRowFormula>
    </tableColumn>
    <tableColumn id="22" name="列16" totalsRowFunction="custom" totalsRowDxfId="1130">
      <totalsRowFormula>_xlfn.IFNA(VLOOKUP(表_烛魔1到12必成[[#Headers],[列16]],点券一览,2,0),0)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6" name="表_破天魂" displayName="表_破天魂" ref="B3:W15" totalsRowCount="1" headerRowDxfId="259" totalsRowDxfId="256" headerRowBorderDxfId="258" tableBorderDxfId="257" totalsRowBorderDxfId="255">
  <autoFilter ref="B3:W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254" totalsRowDxfId="253">
      <calculatedColumnFormula>表_破天魂[[#This Row],[进化金币(J)]]+IF(ISNUMBER(B3), B3, 表_破天魂[[#Totals],[进化阶段]])</calculatedColumnFormula>
    </tableColumn>
    <tableColumn id="2" name="累计点券" totalsRowFunction="max" totalsRowDxfId="252">
      <calculatedColumnFormula>表_破天魂[[#This Row],[进化点券]]+IF(ISNUMBER(C3), C3, 0)</calculatedColumnFormula>
    </tableColumn>
    <tableColumn id="3" name="进化金币(J)" totalsRowFunction="sum" dataDxfId="251" totalsRowDxfId="250">
      <calculatedColumnFormula>IF(A4="○",SUMPRODUCT(表_破天魂[[#This Row],[仙丹]:[列12]],表_破天魂[[#Totals],[仙丹]:[列12]])+表_破天魂[[#This Row],[手续费(J)]]*折扣,0)</calculatedColumnFormula>
    </tableColumn>
    <tableColumn id="4" name="进化点券" totalsRowFunction="sum" dataDxfId="249" totalsRowDxfId="248">
      <calculatedColumnFormula>IF(A4="○",SUMPRODUCT(表_破天魂[[#This Row],[破天魂神物]:[列16]],表_破天魂[[#Totals],[破天魂神物]:[列16]]),0)</calculatedColumnFormula>
    </tableColumn>
    <tableColumn id="5" name="进化阶段" totalsRowDxfId="247"/>
    <tableColumn id="6" name="手续费(J)" totalsRowLabel="单价" totalsRowDxfId="246"/>
    <tableColumn id="7" name="仙丹" totalsRowFunction="custom" totalsRowDxfId="245">
      <totalsRowFormula xml:space="preserve"> _xlfn.IFNA(VLOOKUP(表_破天魂[[#Headers],[仙丹]],金价一览,2,0), 0)</totalsRowFormula>
    </tableColumn>
    <tableColumn id="8" name="灵丹" totalsRowFunction="custom" totalsRowDxfId="244">
      <totalsRowFormula xml:space="preserve"> _xlfn.IFNA(VLOOKUP(表_破天魂[[#Headers],[灵丹]],金价一览,2,0), 0)</totalsRowFormula>
    </tableColumn>
    <tableColumn id="9" name="灵石" totalsRowFunction="custom" totalsRowDxfId="243">
      <totalsRowFormula xml:space="preserve"> _xlfn.IFNA(VLOOKUP(表_破天魂[[#Headers],[灵石]],金价一览,2,0), 0)</totalsRowFormula>
    </tableColumn>
    <tableColumn id="10" name="月石" totalsRowFunction="custom" totalsRowDxfId="242">
      <totalsRowFormula xml:space="preserve"> _xlfn.IFNA(VLOOKUP(表_破天魂[[#Headers],[月石]],金价一览,2,0), 0)</totalsRowFormula>
    </tableColumn>
    <tableColumn id="11" name="破天魂石" totalsRowFunction="custom" totalsRowDxfId="241">
      <totalsRowFormula xml:space="preserve"> _xlfn.IFNA(VLOOKUP(表_破天魂[[#Headers],[破天魂石]],金价一览,2,0), 0)</totalsRowFormula>
    </tableColumn>
    <tableColumn id="12" name="高级破天魂石" totalsRowFunction="custom" totalsRowDxfId="240">
      <totalsRowFormula xml:space="preserve"> _xlfn.IFNA(VLOOKUP(表_破天魂[[#Headers],[高级破天魂石]],金价一览,2,0), 0)</totalsRowFormula>
    </tableColumn>
    <tableColumn id="13" name="列7" totalsRowFunction="custom" totalsRowDxfId="239">
      <totalsRowFormula xml:space="preserve"> _xlfn.IFNA(VLOOKUP(表_破天魂[[#Headers],[列7]],金价一览,2,0), 0)</totalsRowFormula>
    </tableColumn>
    <tableColumn id="14" name="列8" totalsRowFunction="custom" totalsRowDxfId="238">
      <totalsRowFormula xml:space="preserve"> _xlfn.IFNA(VLOOKUP(表_破天魂[[#Headers],[列8]],金价一览,2,0), 0)</totalsRowFormula>
    </tableColumn>
    <tableColumn id="15" name="列9" totalsRowFunction="custom" totalsRowDxfId="237">
      <totalsRowFormula xml:space="preserve"> _xlfn.IFNA(VLOOKUP(表_破天魂[[#Headers],[列9]],金价一览,2,0), 0)</totalsRowFormula>
    </tableColumn>
    <tableColumn id="16" name="列10" totalsRowFunction="custom" totalsRowDxfId="236">
      <totalsRowFormula xml:space="preserve"> _xlfn.IFNA(VLOOKUP(表_破天魂[[#Headers],[列10]],金价一览,2,0), 0)</totalsRowFormula>
    </tableColumn>
    <tableColumn id="17" name="列11" totalsRowFunction="custom" totalsRowDxfId="235">
      <totalsRowFormula xml:space="preserve"> _xlfn.IFNA(VLOOKUP(表_破天魂[[#Headers],[列11]],金价一览,2,0), 0)</totalsRowFormula>
    </tableColumn>
    <tableColumn id="18" name="列12" totalsRowFunction="custom" totalsRowDxfId="234">
      <totalsRowFormula xml:space="preserve"> _xlfn.IFNA(VLOOKUP(表_破天魂[[#Headers],[列12]],金价一览,2,0), 0)</totalsRowFormula>
    </tableColumn>
    <tableColumn id="19" name="破天魂神物" totalsRowFunction="custom" totalsRowDxfId="233">
      <totalsRowFormula>_xlfn.IFNA(VLOOKUP(表_破天魂[[#Headers],[破天魂神物]],点券一览,2,0),0)</totalsRowFormula>
    </tableColumn>
    <tableColumn id="20" name="列14" totalsRowFunction="custom" totalsRowDxfId="232">
      <totalsRowFormula>_xlfn.IFNA(VLOOKUP(表_破天魂[[#Headers],[列14]],点券一览,2,0),0)</totalsRowFormula>
    </tableColumn>
    <tableColumn id="21" name="列15" totalsRowFunction="custom" totalsRowDxfId="231">
      <totalsRowFormula>_xlfn.IFNA(VLOOKUP(表_破天魂[[#Headers],[列15]],点券一览,2,0),0)</totalsRowFormula>
    </tableColumn>
    <tableColumn id="22" name="列16" totalsRowFunction="custom" totalsRowDxfId="230">
      <totalsRowFormula>_xlfn.IFNA(VLOOKUP(表_破天魂[[#Headers],[列16]],点券一览,2,0),0)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7" name="表_建元魂" displayName="表_建元魂" ref="B21:W36" totalsRowCount="1" headerRowDxfId="229" totalsRowDxfId="226" headerRowBorderDxfId="228" tableBorderDxfId="227" totalsRowBorderDxfId="225">
  <autoFilter ref="B21:W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224" totalsRowDxfId="223">
      <calculatedColumnFormula>表_建元魂[[#This Row],[进化金币(J)]]+IF(ISNUMBER(B21), B21, 表_建元魂[[#Totals],[进化阶段]])</calculatedColumnFormula>
    </tableColumn>
    <tableColumn id="2" name="累计点券" totalsRowFunction="max" totalsRowDxfId="222">
      <calculatedColumnFormula>表_建元魂[[#This Row],[进化点券]]+IF(ISNUMBER(C21), C21, 0)</calculatedColumnFormula>
    </tableColumn>
    <tableColumn id="3" name="进化金币(J)" totalsRowFunction="sum" dataDxfId="221" totalsRowDxfId="220">
      <calculatedColumnFormula>IF(A22="○",SUMPRODUCT(表_建元魂[[#This Row],[仙丹]:[列12]],表_建元魂[[#Totals],[仙丹]:[列12]])+表_建元魂[[#This Row],[手续费(J)]]*折扣,0)</calculatedColumnFormula>
    </tableColumn>
    <tableColumn id="4" name="进化点券" totalsRowFunction="sum" dataDxfId="219" totalsRowDxfId="218">
      <calculatedColumnFormula>IF(A22="○",SUMPRODUCT(表_建元魂[[#This Row],[破天魂神物]:[列16]],表_建元魂[[#Totals],[破天魂神物]:[列16]]),0)</calculatedColumnFormula>
    </tableColumn>
    <tableColumn id="5" name="进化阶段" totalsRowDxfId="217"/>
    <tableColumn id="6" name="手续费(J)" totalsRowLabel="单价" totalsRowDxfId="216"/>
    <tableColumn id="7" name="仙丹" totalsRowFunction="custom" totalsRowDxfId="215">
      <totalsRowFormula xml:space="preserve"> _xlfn.IFNA(VLOOKUP(表_建元魂[[#Headers],[仙丹]],金价一览,2,0), 0)</totalsRowFormula>
    </tableColumn>
    <tableColumn id="8" name="灵丹" totalsRowFunction="custom" totalsRowDxfId="214">
      <totalsRowFormula xml:space="preserve"> _xlfn.IFNA(VLOOKUP(表_建元魂[[#Headers],[灵丹]],金价一览,2,0), 0)</totalsRowFormula>
    </tableColumn>
    <tableColumn id="9" name="灵石" totalsRowFunction="custom" totalsRowDxfId="213">
      <totalsRowFormula xml:space="preserve"> _xlfn.IFNA(VLOOKUP(表_建元魂[[#Headers],[灵石]],金价一览,2,0), 0)</totalsRowFormula>
    </tableColumn>
    <tableColumn id="10" name="月石" totalsRowFunction="custom" totalsRowDxfId="212">
      <totalsRowFormula xml:space="preserve"> _xlfn.IFNA(VLOOKUP(表_建元魂[[#Headers],[月石]],金价一览,2,0), 0)</totalsRowFormula>
    </tableColumn>
    <tableColumn id="11" name="建元魂石" totalsRowFunction="custom" totalsRowDxfId="211">
      <totalsRowFormula xml:space="preserve"> _xlfn.IFNA(VLOOKUP(表_建元魂[[#Headers],[建元魂石]],金价一览,2,0), 0)</totalsRowFormula>
    </tableColumn>
    <tableColumn id="12" name="天元结晶" totalsRowFunction="custom" totalsRowDxfId="210">
      <totalsRowFormula xml:space="preserve"> _xlfn.IFNA(VLOOKUP(表_建元魂[[#Headers],[天元结晶]],金价一览,2,0), 0)</totalsRowFormula>
    </tableColumn>
    <tableColumn id="13" name="列7" totalsRowFunction="custom" totalsRowDxfId="209">
      <totalsRowFormula xml:space="preserve"> _xlfn.IFNA(VLOOKUP(表_建元魂[[#Headers],[列7]],金价一览,2,0), 0)</totalsRowFormula>
    </tableColumn>
    <tableColumn id="14" name="列8" totalsRowFunction="custom" totalsRowDxfId="208">
      <totalsRowFormula xml:space="preserve"> _xlfn.IFNA(VLOOKUP(表_建元魂[[#Headers],[列8]],金价一览,2,0), 0)</totalsRowFormula>
    </tableColumn>
    <tableColumn id="15" name="列9" totalsRowFunction="custom" totalsRowDxfId="207">
      <totalsRowFormula xml:space="preserve"> _xlfn.IFNA(VLOOKUP(表_建元魂[[#Headers],[列9]],金价一览,2,0), 0)</totalsRowFormula>
    </tableColumn>
    <tableColumn id="16" name="列10" totalsRowFunction="custom" totalsRowDxfId="206">
      <totalsRowFormula xml:space="preserve"> _xlfn.IFNA(VLOOKUP(表_建元魂[[#Headers],[列10]],金价一览,2,0), 0)</totalsRowFormula>
    </tableColumn>
    <tableColumn id="17" name="列11" totalsRowFunction="custom" totalsRowDxfId="205">
      <totalsRowFormula xml:space="preserve"> _xlfn.IFNA(VLOOKUP(表_建元魂[[#Headers],[列11]],金价一览,2,0), 0)</totalsRowFormula>
    </tableColumn>
    <tableColumn id="18" name="列12" totalsRowFunction="custom" totalsRowDxfId="204">
      <totalsRowFormula xml:space="preserve"> _xlfn.IFNA(VLOOKUP(表_建元魂[[#Headers],[列12]],金价一览,2,0), 0)</totalsRowFormula>
    </tableColumn>
    <tableColumn id="19" name="破天魂神物" totalsRowFunction="custom" totalsRowDxfId="203">
      <totalsRowFormula>_xlfn.IFNA(VLOOKUP(表_建元魂[[#Headers],[破天魂神物]],点券一览,2,0),0)</totalsRowFormula>
    </tableColumn>
    <tableColumn id="20" name="列14" totalsRowFunction="custom" totalsRowDxfId="202">
      <totalsRowFormula>_xlfn.IFNA(VLOOKUP(表_建元魂[[#Headers],[列14]],点券一览,2,0),0)</totalsRowFormula>
    </tableColumn>
    <tableColumn id="21" name="列15" totalsRowFunction="custom" totalsRowDxfId="201">
      <totalsRowFormula>_xlfn.IFNA(VLOOKUP(表_建元魂[[#Headers],[列15]],点券一览,2,0),0)</totalsRowFormula>
    </tableColumn>
    <tableColumn id="22" name="列16" totalsRowFunction="custom" totalsRowDxfId="200">
      <totalsRowFormula>_xlfn.IFNA(VLOOKUP(表_建元魂[[#Headers],[列16]],点券一览,2,0),0)</totalsRow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8" name="表_天乾魂" displayName="表_天乾魂" ref="B42:W57" totalsRowCount="1" headerRowDxfId="199" totalsRowDxfId="196" headerRowBorderDxfId="198" tableBorderDxfId="197" totalsRowBorderDxfId="195">
  <autoFilter ref="B42:W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94" totalsRowDxfId="193">
      <calculatedColumnFormula>表_天乾魂[[#This Row],[进化金币(J)]]+IF(ISNUMBER(B42), B42, 表_天乾魂[[#Totals],[进化阶段]])</calculatedColumnFormula>
    </tableColumn>
    <tableColumn id="2" name="累计点券" totalsRowFunction="max" totalsRowDxfId="192">
      <calculatedColumnFormula>表_天乾魂[[#This Row],[进化点券]]+IF(ISNUMBER(C42), C42, 0)</calculatedColumnFormula>
    </tableColumn>
    <tableColumn id="3" name="进化金币(J)" totalsRowFunction="sum" dataDxfId="191" totalsRowDxfId="190">
      <calculatedColumnFormula>IF(A43="○",SUMPRODUCT(表_天乾魂[[#This Row],[赤流结晶]:[列12]],表_天乾魂[[#Totals],[赤流结晶]:[列12]])+表_天乾魂[[#This Row],[手续费(J)]]*折扣,0)</calculatedColumnFormula>
    </tableColumn>
    <tableColumn id="4" name="进化点券" totalsRowFunction="sum" dataDxfId="189" totalsRowDxfId="188">
      <calculatedColumnFormula>IF(A43="○",SUMPRODUCT(表_天乾魂[[#This Row],[天乾魂神物]:[列16]],表_天乾魂[[#Totals],[天乾魂神物]:[列16]]),0)</calculatedColumnFormula>
    </tableColumn>
    <tableColumn id="5" name="进化阶段" totalsRowLabel="700" totalsRowDxfId="187"/>
    <tableColumn id="6" name="手续费(J)" totalsRowLabel="单价" totalsRowDxfId="186"/>
    <tableColumn id="7" name="赤流结晶" totalsRowFunction="custom" totalsRowDxfId="185">
      <totalsRowFormula xml:space="preserve"> _xlfn.IFNA(VLOOKUP(表_天乾魂[[#Headers],[赤流结晶]],金价一览,2,0), 0)</totalsRowFormula>
    </tableColumn>
    <tableColumn id="8" name="天乾魂石" totalsRowFunction="custom" totalsRowDxfId="184">
      <totalsRowFormula xml:space="preserve"> _xlfn.IFNA(VLOOKUP(表_天乾魂[[#Headers],[天乾魂石]],金价一览,2,0), 0)</totalsRowFormula>
    </tableColumn>
    <tableColumn id="9" name="月石" totalsRowFunction="custom" totalsRowDxfId="183">
      <totalsRowFormula xml:space="preserve"> _xlfn.IFNA(VLOOKUP(表_天乾魂[[#Headers],[月石]],金价一览,2,0), 0)</totalsRowFormula>
    </tableColumn>
    <tableColumn id="10" name="灵石" totalsRowFunction="custom" totalsRowDxfId="182">
      <totalsRowFormula xml:space="preserve"> _xlfn.IFNA(VLOOKUP(表_天乾魂[[#Headers],[灵石]],金价一览,2,0), 0)</totalsRowFormula>
    </tableColumn>
    <tableColumn id="11" name="仙丹" totalsRowFunction="custom" totalsRowDxfId="181">
      <totalsRowFormula xml:space="preserve"> _xlfn.IFNA(VLOOKUP(表_天乾魂[[#Headers],[仙丹]],金价一览,2,0), 0)</totalsRowFormula>
    </tableColumn>
    <tableColumn id="12" name="灵丹" totalsRowFunction="custom" totalsRowDxfId="180">
      <totalsRowFormula xml:space="preserve"> _xlfn.IFNA(VLOOKUP(表_天乾魂[[#Headers],[灵丹]],金价一览,2,0), 0)</totalsRowFormula>
    </tableColumn>
    <tableColumn id="13" name="列7" totalsRowFunction="custom" totalsRowDxfId="179">
      <totalsRowFormula xml:space="preserve"> _xlfn.IFNA(VLOOKUP(表_天乾魂[[#Headers],[列7]],金价一览,2,0), 0)</totalsRowFormula>
    </tableColumn>
    <tableColumn id="14" name="列8" totalsRowFunction="custom" totalsRowDxfId="178">
      <totalsRowFormula xml:space="preserve"> _xlfn.IFNA(VLOOKUP(表_天乾魂[[#Headers],[列8]],金价一览,2,0), 0)</totalsRowFormula>
    </tableColumn>
    <tableColumn id="15" name="列9" totalsRowFunction="custom" totalsRowDxfId="177">
      <totalsRowFormula xml:space="preserve"> _xlfn.IFNA(VLOOKUP(表_天乾魂[[#Headers],[列9]],金价一览,2,0), 0)</totalsRowFormula>
    </tableColumn>
    <tableColumn id="16" name="列10" totalsRowFunction="custom" totalsRowDxfId="176">
      <totalsRowFormula xml:space="preserve"> _xlfn.IFNA(VLOOKUP(表_天乾魂[[#Headers],[列10]],金价一览,2,0), 0)</totalsRowFormula>
    </tableColumn>
    <tableColumn id="17" name="列11" totalsRowFunction="custom" totalsRowDxfId="175">
      <totalsRowFormula xml:space="preserve"> _xlfn.IFNA(VLOOKUP(表_天乾魂[[#Headers],[列11]],金价一览,2,0), 0)</totalsRowFormula>
    </tableColumn>
    <tableColumn id="18" name="列12" totalsRowFunction="custom" totalsRowDxfId="174">
      <totalsRowFormula xml:space="preserve"> _xlfn.IFNA(VLOOKUP(表_天乾魂[[#Headers],[列12]],金价一览,2,0), 0)</totalsRowFormula>
    </tableColumn>
    <tableColumn id="19" name="天乾魂神物" totalsRowFunction="custom" totalsRowDxfId="173">
      <totalsRowFormula>_xlfn.IFNA(VLOOKUP(表_天乾魂[[#Headers],[天乾魂神物]],点券一览,2,0),0)</totalsRowFormula>
    </tableColumn>
    <tableColumn id="20" name="列14" totalsRowFunction="custom" totalsRowDxfId="172">
      <totalsRowFormula>_xlfn.IFNA(VLOOKUP(表_天乾魂[[#Headers],[列14]],点券一览,2,0),0)</totalsRowFormula>
    </tableColumn>
    <tableColumn id="21" name="列15" totalsRowFunction="custom" totalsRowDxfId="171">
      <totalsRowFormula>_xlfn.IFNA(VLOOKUP(表_天乾魂[[#Headers],[列15]],点券一览,2,0),0)</totalsRowFormula>
    </tableColumn>
    <tableColumn id="22" name="列16" totalsRowFunction="custom" totalsRowDxfId="170">
      <totalsRowFormula>_xlfn.IFNA(VLOOKUP(表_天乾魂[[#Headers],[列16]],点券一览,2,0),0)</totalsRow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9" name="表_灵核进化" displayName="表_灵核进化" ref="B63:W67" totalsRowCount="1" headerRowDxfId="169" totalsRowDxfId="166" headerRowBorderDxfId="168" tableBorderDxfId="167" totalsRowBorderDxfId="165">
  <autoFilter ref="B63:W6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164" totalsRowDxfId="163"/>
    <tableColumn id="2" name="累计点券" totalsRowFunction="max" totalsRowDxfId="162"/>
    <tableColumn id="3" name="进化金币(J)" totalsRowFunction="sum" dataDxfId="161" totalsRowDxfId="160">
      <calculatedColumnFormula>SUMPRODUCT(表_灵核进化[[#This Row],[赤流结晶]:[列12]],表_灵核进化[[#Totals],[赤流结晶]:[列12]])+表_灵核进化[[#This Row],[手续费(J)]]*折扣</calculatedColumnFormula>
    </tableColumn>
    <tableColumn id="4" name="进化点券" totalsRowFunction="sum" totalsRowDxfId="159">
      <calculatedColumnFormula>SUMPRODUCT(表_灵核进化[[#This Row],[破天魂神物]:[列16]],表_灵核进化[[#Totals],[破天魂神物]:[列16]])</calculatedColumnFormula>
    </tableColumn>
    <tableColumn id="5" name="进化阶段" totalsRowDxfId="158"/>
    <tableColumn id="6" name="手续费(J)" totalsRowLabel="单价" totalsRowDxfId="157"/>
    <tableColumn id="7" name="赤流结晶" totalsRowFunction="custom" totalsRowDxfId="156">
      <totalsRowFormula xml:space="preserve"> _xlfn.IFNA(VLOOKUP(表_灵核进化[[#Headers],[赤流结晶]],金价一览,2,0), 0)</totalsRowFormula>
    </tableColumn>
    <tableColumn id="8" name="列2" totalsRowFunction="custom" totalsRowDxfId="155">
      <totalsRowFormula xml:space="preserve"> _xlfn.IFNA(VLOOKUP(表_灵核进化[[#Headers],[列2]],金价一览,2,0), 0)</totalsRowFormula>
    </tableColumn>
    <tableColumn id="9" name="列3" totalsRowFunction="custom" totalsRowDxfId="154">
      <totalsRowFormula xml:space="preserve"> _xlfn.IFNA(VLOOKUP(表_灵核进化[[#Headers],[列3]],金价一览,2,0), 0)</totalsRowFormula>
    </tableColumn>
    <tableColumn id="10" name="列4" totalsRowFunction="custom" totalsRowDxfId="153">
      <totalsRowFormula xml:space="preserve"> _xlfn.IFNA(VLOOKUP(表_灵核进化[[#Headers],[列4]],金价一览,2,0), 0)</totalsRowFormula>
    </tableColumn>
    <tableColumn id="11" name="列5" totalsRowFunction="custom" totalsRowDxfId="152">
      <totalsRowFormula xml:space="preserve"> _xlfn.IFNA(VLOOKUP(表_灵核进化[[#Headers],[列5]],金价一览,2,0), 0)</totalsRowFormula>
    </tableColumn>
    <tableColumn id="12" name="列6" totalsRowFunction="custom" totalsRowDxfId="151">
      <totalsRowFormula xml:space="preserve"> _xlfn.IFNA(VLOOKUP(表_灵核进化[[#Headers],[列6]],金价一览,2,0), 0)</totalsRowFormula>
    </tableColumn>
    <tableColumn id="13" name="列7" totalsRowFunction="custom" totalsRowDxfId="150">
      <totalsRowFormula xml:space="preserve"> _xlfn.IFNA(VLOOKUP(表_灵核进化[[#Headers],[列7]],金价一览,2,0), 0)</totalsRowFormula>
    </tableColumn>
    <tableColumn id="14" name="列8" totalsRowFunction="custom" totalsRowDxfId="149">
      <totalsRowFormula xml:space="preserve"> _xlfn.IFNA(VLOOKUP(表_灵核进化[[#Headers],[列8]],金价一览,2,0), 0)</totalsRowFormula>
    </tableColumn>
    <tableColumn id="15" name="列9" totalsRowFunction="custom" totalsRowDxfId="148">
      <totalsRowFormula xml:space="preserve"> _xlfn.IFNA(VLOOKUP(表_灵核进化[[#Headers],[列9]],金价一览,2,0), 0)</totalsRowFormula>
    </tableColumn>
    <tableColumn id="16" name="列10" totalsRowFunction="custom" totalsRowDxfId="147">
      <totalsRowFormula xml:space="preserve"> _xlfn.IFNA(VLOOKUP(表_灵核进化[[#Headers],[列10]],金价一览,2,0), 0)</totalsRowFormula>
    </tableColumn>
    <tableColumn id="17" name="列11" totalsRowFunction="custom" totalsRowDxfId="146">
      <totalsRowFormula xml:space="preserve"> _xlfn.IFNA(VLOOKUP(表_灵核进化[[#Headers],[列11]],金价一览,2,0), 0)</totalsRowFormula>
    </tableColumn>
    <tableColumn id="18" name="列12" totalsRowFunction="custom" totalsRowDxfId="145">
      <totalsRowFormula xml:space="preserve"> _xlfn.IFNA(VLOOKUP(表_灵核进化[[#Headers],[列12]],金价一览,2,0), 0)</totalsRowFormula>
    </tableColumn>
    <tableColumn id="19" name="破天魂神物" totalsRowFunction="custom" totalsRowDxfId="144">
      <totalsRowFormula>_xlfn.IFNA(VLOOKUP(表_灵核进化[[#Headers],[破天魂神物]],点券一览,2,0),0)</totalsRowFormula>
    </tableColumn>
    <tableColumn id="20" name="天乾魂神物" totalsRowFunction="custom" totalsRowDxfId="143">
      <totalsRowFormula>_xlfn.IFNA(VLOOKUP(表_灵核进化[[#Headers],[天乾魂神物]],点券一览,2,0),0)</totalsRowFormula>
    </tableColumn>
    <tableColumn id="21" name="列15" totalsRowFunction="custom" totalsRowDxfId="142">
      <totalsRowFormula>_xlfn.IFNA(VLOOKUP(表_灵核进化[[#Headers],[列15]],点券一览,2,0),0)</totalsRowFormula>
    </tableColumn>
    <tableColumn id="22" name="列16" totalsRowFunction="custom" totalsRowDxfId="141">
      <totalsRowFormula>_xlfn.IFNA(VLOOKUP(表_灵核进化[[#Headers],[列16]],点券一览,2,0),0)</totalsRow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" name="表_制作" displayName="表_制作" ref="B3:V18" totalsRowCount="1" headerRowDxfId="136" totalsRowDxfId="133" headerRowBorderDxfId="135" tableBorderDxfId="134" totalsRowBorderDxfId="132">
  <autoFilter ref="B3:V17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3" name="合计金币(J)" totalsRowFunction="sum" dataDxfId="131" totalsRowDxfId="130">
      <calculatedColumnFormula>IF(A4="○",SUMPRODUCT(表_制作[[#This Row],[神龙金属]:[列12]],表_制作[[#Totals],[神龙金属]:[列12]])+表_制作[[#This Row],[手续费(J)]]*折扣,0)</calculatedColumnFormula>
    </tableColumn>
    <tableColumn id="2" name="数量" dataDxfId="129" totalsRowDxfId="128"/>
    <tableColumn id="4" name="单价" totalsRowFunction="sum" dataDxfId="127" totalsRowDxfId="126">
      <calculatedColumnFormula>表_制作[[#This Row],[合计金币(J)]]/表_制作[[#This Row],[数量]]</calculatedColumnFormula>
    </tableColumn>
    <tableColumn id="5" name="制作物品" dataDxfId="125" totalsRowDxfId="124"/>
    <tableColumn id="6" name="手续费(J)" totalsRowLabel="单价" dataDxfId="123" totalsRowDxfId="122"/>
    <tableColumn id="7" name="神龙金属" totalsRowFunction="custom" totalsRowDxfId="121">
      <totalsRowFormula xml:space="preserve"> _xlfn.IFNA(VLOOKUP(表_制作[[#Headers],[神龙金属]],金价一览,2,0), 0)</totalsRowFormula>
    </tableColumn>
    <tableColumn id="8" name="飞龙金属" totalsRowFunction="custom" totalsRowDxfId="120">
      <totalsRowFormula xml:space="preserve"> _xlfn.IFNA(VLOOKUP(表_制作[[#Headers],[飞龙金属]],金价一览,2,0), 0)</totalsRowFormula>
    </tableColumn>
    <tableColumn id="9" name="灵石" totalsRowFunction="custom" totalsRowDxfId="119">
      <totalsRowFormula xml:space="preserve"> _xlfn.IFNA(VLOOKUP(表_制作[[#Headers],[灵石]],金价一览,2,0), 0)</totalsRowFormula>
    </tableColumn>
    <tableColumn id="10" name="月石" totalsRowFunction="custom" totalsRowDxfId="118">
      <totalsRowFormula xml:space="preserve"> _xlfn.IFNA(VLOOKUP(表_制作[[#Headers],[月石]],金价一览,2,0), 0)</totalsRowFormula>
    </tableColumn>
    <tableColumn id="11" name="灵丹" totalsRowFunction="custom" totalsRowDxfId="117">
      <totalsRowFormula xml:space="preserve"> _xlfn.IFNA(VLOOKUP(表_制作[[#Headers],[灵丹]],金价一览,2,0), 0)</totalsRowFormula>
    </tableColumn>
    <tableColumn id="12" name="仙丹" totalsRowFunction="custom" totalsRowDxfId="116">
      <totalsRowFormula xml:space="preserve"> _xlfn.IFNA(VLOOKUP(表_制作[[#Headers],[仙丹]],金价一览,2,0), 0)</totalsRowFormula>
    </tableColumn>
    <tableColumn id="13" name="稀有元素" totalsRowFunction="custom" totalsRowDxfId="115">
      <totalsRowFormula xml:space="preserve"> _xlfn.IFNA(VLOOKUP(表_制作[[#Headers],[稀有元素]],金价一览,2,0), 0)</totalsRowFormula>
    </tableColumn>
    <tableColumn id="14" name="列8" totalsRowFunction="custom" totalsRowDxfId="114">
      <totalsRowFormula xml:space="preserve"> _xlfn.IFNA(VLOOKUP(表_制作[[#Headers],[列8]],金价一览,2,0), 0)</totalsRowFormula>
    </tableColumn>
    <tableColumn id="15" name="列9" totalsRowFunction="custom" totalsRowDxfId="113">
      <totalsRowFormula xml:space="preserve"> _xlfn.IFNA(VLOOKUP(表_制作[[#Headers],[列9]],金价一览,2,0), 0)</totalsRowFormula>
    </tableColumn>
    <tableColumn id="16" name="列10" totalsRowFunction="custom" totalsRowDxfId="112">
      <totalsRowFormula xml:space="preserve"> _xlfn.IFNA(VLOOKUP(表_制作[[#Headers],[列10]],金价一览,2,0), 0)</totalsRowFormula>
    </tableColumn>
    <tableColumn id="17" name="列11" totalsRowFunction="custom" totalsRowDxfId="111">
      <totalsRowFormula xml:space="preserve"> _xlfn.IFNA(VLOOKUP(表_制作[[#Headers],[列11]],金价一览,2,0), 0)</totalsRowFormula>
    </tableColumn>
    <tableColumn id="18" name="列12" totalsRowFunction="custom" totalsRowDxfId="110">
      <totalsRowFormula xml:space="preserve"> _xlfn.IFNA(VLOOKUP(表_制作[[#Headers],[列12]],金价一览,2,0), 0)</totalsRowFormula>
    </tableColumn>
    <tableColumn id="19" name="列13" totalsRowFunction="custom" totalsRowDxfId="109">
      <totalsRowFormula>_xlfn.IFNA(VLOOKUP(表_制作[[#Headers],[列13]],点券一览,2,0),0)</totalsRowFormula>
    </tableColumn>
    <tableColumn id="20" name="列14" totalsRowFunction="custom" totalsRowDxfId="108">
      <totalsRowFormula>_xlfn.IFNA(VLOOKUP(表_制作[[#Headers],[列14]],点券一览,2,0),0)</totalsRowFormula>
    </tableColumn>
    <tableColumn id="21" name="列15" totalsRowFunction="custom" totalsRowDxfId="107">
      <totalsRowFormula>_xlfn.IFNA(VLOOKUP(表_制作[[#Headers],[列15]],点券一览,2,0),0)</totalsRowFormula>
    </tableColumn>
    <tableColumn id="22" name="列16" totalsRowFunction="custom" totalsRowDxfId="106">
      <totalsRowFormula>_xlfn.IFNA(VLOOKUP(表_制作[[#Headers],[列16]],点券一览,2,0),0)</totalsRow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" name="表_制作4" displayName="表_制作4" ref="B22:V24" totalsRowCount="1" headerRowDxfId="105" totalsRowDxfId="102" headerRowBorderDxfId="104" tableBorderDxfId="103" totalsRowBorderDxfId="101">
  <tableColumns count="21">
    <tableColumn id="3" name="合计金币(J)" totalsRowFunction="sum" dataDxfId="100" totalsRowDxfId="99">
      <calculatedColumnFormula>IF(A23="○",SUMPRODUCT(表_制作4[[#This Row],[进化石]:[列12]],表_制作4[[#Totals],[进化石]:[列12]])+表_制作4[[#This Row],[手续费(J)]]*折扣,0)</calculatedColumnFormula>
    </tableColumn>
    <tableColumn id="2" name="数量" dataDxfId="98" totalsRowDxfId="97"/>
    <tableColumn id="4" name="单价" totalsRowFunction="sum" dataDxfId="96" totalsRowDxfId="95">
      <calculatedColumnFormula>表_制作4[[#This Row],[合计金币(J)]]/表_制作4[[#This Row],[数量]]</calculatedColumnFormula>
    </tableColumn>
    <tableColumn id="5" name="制作物品" dataDxfId="94" totalsRowDxfId="93"/>
    <tableColumn id="6" name="手续费(J)" totalsRowLabel="单价" dataDxfId="92" totalsRowDxfId="91"/>
    <tableColumn id="7" name="进化石" totalsRowFunction="custom" totalsRowDxfId="90">
      <totalsRowFormula xml:space="preserve"> _xlfn.IFNA(VLOOKUP(表_制作4[[#Headers],[进化石]],金价一览,2,0), 0)</totalsRowFormula>
    </tableColumn>
    <tableColumn id="8" name="灵石" totalsRowFunction="custom" totalsRowDxfId="89">
      <totalsRowFormula xml:space="preserve"> _xlfn.IFNA(VLOOKUP(表_制作4[[#Headers],[灵石]],金价一览,2,0), 0)</totalsRowFormula>
    </tableColumn>
    <tableColumn id="9" name="月石" totalsRowFunction="custom" totalsRowDxfId="88">
      <totalsRowFormula xml:space="preserve"> _xlfn.IFNA(VLOOKUP(表_制作4[[#Headers],[月石]],金价一览,2,0), 0)</totalsRowFormula>
    </tableColumn>
    <tableColumn id="10" name="灵丹" totalsRowFunction="custom" totalsRowDxfId="87">
      <totalsRowFormula xml:space="preserve"> _xlfn.IFNA(VLOOKUP(表_制作4[[#Headers],[灵丹]],金价一览,2,0), 0)</totalsRowFormula>
    </tableColumn>
    <tableColumn id="11" name="仙丹" totalsRowFunction="custom" totalsRowDxfId="86">
      <totalsRowFormula xml:space="preserve"> _xlfn.IFNA(VLOOKUP(表_制作4[[#Headers],[仙丹]],金价一览,2,0), 0)</totalsRowFormula>
    </tableColumn>
    <tableColumn id="12" name="起源之信物" totalsRowFunction="custom" totalsRowDxfId="85">
      <totalsRowFormula xml:space="preserve"> _xlfn.IFNA(VLOOKUP(表_制作4[[#Headers],[起源之信物]],金价一览,2,0), 0)</totalsRowFormula>
    </tableColumn>
    <tableColumn id="13" name="列1" totalsRowFunction="custom" totalsRowDxfId="84">
      <totalsRowFormula xml:space="preserve"> _xlfn.IFNA(VLOOKUP(表_制作4[[#Headers],[列1]],金价一览,2,0), 0)</totalsRowFormula>
    </tableColumn>
    <tableColumn id="14" name="列8" totalsRowFunction="custom" totalsRowDxfId="83">
      <totalsRowFormula xml:space="preserve"> _xlfn.IFNA(VLOOKUP(表_制作4[[#Headers],[列8]],金价一览,2,0), 0)</totalsRowFormula>
    </tableColumn>
    <tableColumn id="15" name="列9" totalsRowFunction="custom" totalsRowDxfId="82">
      <totalsRowFormula xml:space="preserve"> _xlfn.IFNA(VLOOKUP(表_制作4[[#Headers],[列9]],金价一览,2,0), 0)</totalsRowFormula>
    </tableColumn>
    <tableColumn id="16" name="列10" totalsRowFunction="custom" totalsRowDxfId="81">
      <totalsRowFormula xml:space="preserve"> _xlfn.IFNA(VLOOKUP(表_制作4[[#Headers],[列10]],金价一览,2,0), 0)</totalsRowFormula>
    </tableColumn>
    <tableColumn id="17" name="列11" totalsRowFunction="custom" totalsRowDxfId="80">
      <totalsRowFormula xml:space="preserve"> _xlfn.IFNA(VLOOKUP(表_制作4[[#Headers],[列11]],金价一览,2,0), 0)</totalsRowFormula>
    </tableColumn>
    <tableColumn id="18" name="列12" totalsRowFunction="custom" totalsRowDxfId="79">
      <totalsRowFormula xml:space="preserve"> _xlfn.IFNA(VLOOKUP(表_制作4[[#Headers],[列12]],金价一览,2,0), 0)</totalsRowFormula>
    </tableColumn>
    <tableColumn id="19" name="列13" totalsRowFunction="custom" totalsRowDxfId="78">
      <totalsRowFormula>_xlfn.IFNA(VLOOKUP(表_制作4[[#Headers],[列13]],点券一览,2,0),0)</totalsRowFormula>
    </tableColumn>
    <tableColumn id="20" name="列14" totalsRowFunction="custom" totalsRowDxfId="77">
      <totalsRowFormula>_xlfn.IFNA(VLOOKUP(表_制作4[[#Headers],[列14]],点券一览,2,0),0)</totalsRowFormula>
    </tableColumn>
    <tableColumn id="21" name="列15" totalsRowFunction="custom" totalsRowDxfId="76">
      <totalsRowFormula>_xlfn.IFNA(VLOOKUP(表_制作4[[#Headers],[列15]],点券一览,2,0),0)</totalsRowFormula>
    </tableColumn>
    <tableColumn id="22" name="列16" totalsRowFunction="custom" totalsRowDxfId="75">
      <totalsRowFormula>_xlfn.IFNA(VLOOKUP(表_制作4[[#Headers],[列16]],点券一览,2,0),0)</totalsRow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1" name="表1" displayName="表1" ref="K92:N101" totalsRowCount="1" headerRowDxfId="74" headerRowBorderDxfId="73" tableBorderDxfId="72" totalsRowBorderDxfId="71">
  <tableColumns count="4">
    <tableColumn id="1" name="牌号" totalsRowLabel="汇总" dataDxfId="70" totalsRowDxfId="69"/>
    <tableColumn id="2" name="黑风羽毛" totalsRowFunction="sum" dataDxfId="68" totalsRowDxfId="67"/>
    <tableColumn id="3" name="烈焰石" totalsRowFunction="sum" dataDxfId="66" totalsRowDxfId="65"/>
    <tableColumn id="4" name="常胜牌" totalsRowFunction="sum" dataDxfId="64" totalsRowDxfId="6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" name="表模板" displayName="表模板" ref="B3:W18" totalsRowCount="1" headerRowDxfId="60" totalsRowDxfId="57" headerRowBorderDxfId="59" tableBorderDxfId="58" totalsRowBorderDxfId="56">
  <autoFilter ref="B3:W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55" totalsRowDxfId="54">
      <calculatedColumnFormula>表模板[[#This Row],[进化金币(J)]]+IF(ISNUMBER(B3), B3, 表模板[[#Totals],[进化阶段]])</calculatedColumnFormula>
    </tableColumn>
    <tableColumn id="2" name="累计点券" totalsRowFunction="max" totalsRowDxfId="53">
      <calculatedColumnFormula>表模板[[#This Row],[进化点券]]+IF(ISNUMBER(C3), C3, 0)</calculatedColumnFormula>
    </tableColumn>
    <tableColumn id="3" name="进化金币(J)" totalsRowFunction="sum" dataDxfId="52" totalsRowDxfId="51">
      <calculatedColumnFormula>IF(A4="○",SUMPRODUCT(表模板[[#This Row],[列1]:[列12]],表模板[[#Totals],[列1]:[列12]])+表模板[[#This Row],[手续费(J)]]*折扣,0)</calculatedColumnFormula>
    </tableColumn>
    <tableColumn id="4" name="进化点券" totalsRowFunction="sum" dataDxfId="50" totalsRowDxfId="49">
      <calculatedColumnFormula>IF(A4="○",SUMPRODUCT(表模板[[#This Row],[列13]:[列16]],表模板[[#Totals],[列13]:[列16]]),0)</calculatedColumnFormula>
    </tableColumn>
    <tableColumn id="5" name="进化阶段" totalsRowDxfId="48"/>
    <tableColumn id="6" name="手续费(J)" totalsRowLabel="单价" totalsRowDxfId="47"/>
    <tableColumn id="7" name="列1" totalsRowFunction="custom" totalsRowDxfId="46">
      <totalsRowFormula xml:space="preserve"> _xlfn.IFNA(VLOOKUP(表模板[[#Headers],[列1]],金价一览,2,0), 0)</totalsRowFormula>
    </tableColumn>
    <tableColumn id="8" name="列2" totalsRowFunction="custom" totalsRowDxfId="45">
      <totalsRowFormula xml:space="preserve"> _xlfn.IFNA(VLOOKUP(表模板[[#Headers],[列2]],金价一览,2,0), 0)</totalsRowFormula>
    </tableColumn>
    <tableColumn id="9" name="列3" totalsRowFunction="custom" totalsRowDxfId="44">
      <totalsRowFormula xml:space="preserve"> _xlfn.IFNA(VLOOKUP(表模板[[#Headers],[列3]],金价一览,2,0), 0)</totalsRowFormula>
    </tableColumn>
    <tableColumn id="10" name="列4" totalsRowFunction="custom" totalsRowDxfId="43">
      <totalsRowFormula xml:space="preserve"> _xlfn.IFNA(VLOOKUP(表模板[[#Headers],[列4]],金价一览,2,0), 0)</totalsRowFormula>
    </tableColumn>
    <tableColumn id="11" name="列5" totalsRowFunction="custom" totalsRowDxfId="42">
      <totalsRowFormula xml:space="preserve"> _xlfn.IFNA(VLOOKUP(表模板[[#Headers],[列5]],金价一览,2,0), 0)</totalsRowFormula>
    </tableColumn>
    <tableColumn id="12" name="列6" totalsRowFunction="custom" totalsRowDxfId="41">
      <totalsRowFormula xml:space="preserve"> _xlfn.IFNA(VLOOKUP(表模板[[#Headers],[列6]],金价一览,2,0), 0)</totalsRowFormula>
    </tableColumn>
    <tableColumn id="13" name="列7" totalsRowFunction="custom" totalsRowDxfId="40">
      <totalsRowFormula xml:space="preserve"> _xlfn.IFNA(VLOOKUP(表模板[[#Headers],[列7]],金价一览,2,0), 0)</totalsRowFormula>
    </tableColumn>
    <tableColumn id="14" name="列8" totalsRowFunction="custom" totalsRowDxfId="39">
      <totalsRowFormula xml:space="preserve"> _xlfn.IFNA(VLOOKUP(表模板[[#Headers],[列8]],金价一览,2,0), 0)</totalsRowFormula>
    </tableColumn>
    <tableColumn id="15" name="列9" totalsRowFunction="custom" totalsRowDxfId="38">
      <totalsRowFormula xml:space="preserve"> _xlfn.IFNA(VLOOKUP(表模板[[#Headers],[列9]],金价一览,2,0), 0)</totalsRowFormula>
    </tableColumn>
    <tableColumn id="16" name="列10" totalsRowFunction="custom" totalsRowDxfId="37">
      <totalsRowFormula xml:space="preserve"> _xlfn.IFNA(VLOOKUP(表模板[[#Headers],[列10]],金价一览,2,0), 0)</totalsRowFormula>
    </tableColumn>
    <tableColumn id="17" name="列11" totalsRowFunction="custom" totalsRowDxfId="36">
      <totalsRowFormula xml:space="preserve"> _xlfn.IFNA(VLOOKUP(表模板[[#Headers],[列11]],金价一览,2,0), 0)</totalsRowFormula>
    </tableColumn>
    <tableColumn id="18" name="列12" totalsRowFunction="custom" totalsRowDxfId="35">
      <totalsRowFormula xml:space="preserve"> _xlfn.IFNA(VLOOKUP(表模板[[#Headers],[列12]],金价一览,2,0), 0)</totalsRowFormula>
    </tableColumn>
    <tableColumn id="19" name="列13" totalsRowFunction="custom" totalsRowDxfId="34">
      <totalsRowFormula>_xlfn.IFNA(VLOOKUP(表模板[[#Headers],[列13]],点券一览,2,0),0)</totalsRowFormula>
    </tableColumn>
    <tableColumn id="20" name="列14" totalsRowFunction="custom" totalsRowDxfId="33">
      <totalsRowFormula>_xlfn.IFNA(VLOOKUP(表模板[[#Headers],[列14]],点券一览,2,0),0)</totalsRowFormula>
    </tableColumn>
    <tableColumn id="21" name="列15" totalsRowFunction="custom" totalsRowDxfId="32">
      <totalsRowFormula>_xlfn.IFNA(VLOOKUP(表模板[[#Headers],[列15]],点券一览,2,0),0)</totalsRowFormula>
    </tableColumn>
    <tableColumn id="22" name="列16" totalsRowFunction="custom" totalsRowDxfId="31">
      <totalsRowFormula>_xlfn.IFNA(VLOOKUP(表模板[[#Headers],[列16]],点券一览,2,0),0)</totalsRow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7" name="表模板_28" displayName="表模板_28" ref="A3:V18" totalsRowCount="1" headerRowDxfId="28" totalsRowDxfId="25" headerRowBorderDxfId="27" tableBorderDxfId="26" totalsRowBorderDxfId="24">
  <autoFilter ref="A3:V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23" totalsRowDxfId="22">
      <calculatedColumnFormula>表模板_28[[#This Row],[进化金币(J)]]+IF(ISNUMBER(A3), A3, 表模板_28[[#Totals],[进化阶段]])</calculatedColumnFormula>
    </tableColumn>
    <tableColumn id="2" name="累计点券" totalsRowFunction="max" totalsRowDxfId="21">
      <calculatedColumnFormula>表模板_28[[#This Row],[进化点券]]+IF(ISNUMBER(B3), B3, 0)</calculatedColumnFormula>
    </tableColumn>
    <tableColumn id="3" name="进化金币(J)" totalsRowFunction="sum" dataDxfId="20" totalsRowDxfId="19">
      <calculatedColumnFormula>SUMPRODUCT(表模板_28[[#This Row],[列1]:[列12]],表模板_28[[#Totals],[列1]:[列12]])+表模板_28[[#This Row],[手续费(J)]]*折扣</calculatedColumnFormula>
    </tableColumn>
    <tableColumn id="4" name="进化点券" totalsRowFunction="sum" totalsRowDxfId="18">
      <calculatedColumnFormula>SUMPRODUCT(表模板_28[[#This Row],[列13]:[列16]],表模板_28[[#Totals],[列13]:[列16]])</calculatedColumnFormula>
    </tableColumn>
    <tableColumn id="5" name="进化阶段" totalsRowDxfId="17"/>
    <tableColumn id="6" name="手续费(J)" totalsRowLabel="单价" totalsRowDxfId="16"/>
    <tableColumn id="7" name="列1" totalsRowFunction="custom" totalsRowDxfId="15">
      <totalsRowFormula xml:space="preserve"> _xlfn.IFNA(VLOOKUP(表模板_28[[#Headers],[列1]],金价一览,2,0), 0)</totalsRowFormula>
    </tableColumn>
    <tableColumn id="8" name="列2" totalsRowFunction="custom" totalsRowDxfId="14">
      <totalsRowFormula xml:space="preserve"> _xlfn.IFNA(VLOOKUP(表模板_28[[#Headers],[列2]],金价一览,2,0), 0)</totalsRowFormula>
    </tableColumn>
    <tableColumn id="9" name="列3" totalsRowFunction="custom" totalsRowDxfId="13">
      <totalsRowFormula xml:space="preserve"> _xlfn.IFNA(VLOOKUP(表模板_28[[#Headers],[列3]],金价一览,2,0), 0)</totalsRowFormula>
    </tableColumn>
    <tableColumn id="10" name="列4" totalsRowFunction="custom" totalsRowDxfId="12">
      <totalsRowFormula xml:space="preserve"> _xlfn.IFNA(VLOOKUP(表模板_28[[#Headers],[列4]],金价一览,2,0), 0)</totalsRowFormula>
    </tableColumn>
    <tableColumn id="11" name="列5" totalsRowFunction="custom" totalsRowDxfId="11">
      <totalsRowFormula xml:space="preserve"> _xlfn.IFNA(VLOOKUP(表模板_28[[#Headers],[列5]],金价一览,2,0), 0)</totalsRowFormula>
    </tableColumn>
    <tableColumn id="12" name="列6" totalsRowFunction="custom" totalsRowDxfId="10">
      <totalsRowFormula xml:space="preserve"> _xlfn.IFNA(VLOOKUP(表模板_28[[#Headers],[列6]],金价一览,2,0), 0)</totalsRowFormula>
    </tableColumn>
    <tableColumn id="13" name="列7" totalsRowFunction="custom" totalsRowDxfId="9">
      <totalsRowFormula xml:space="preserve"> _xlfn.IFNA(VLOOKUP(表模板_28[[#Headers],[列7]],金价一览,2,0), 0)</totalsRowFormula>
    </tableColumn>
    <tableColumn id="14" name="列8" totalsRowFunction="custom" totalsRowDxfId="8">
      <totalsRowFormula xml:space="preserve"> _xlfn.IFNA(VLOOKUP(表模板_28[[#Headers],[列8]],金价一览,2,0), 0)</totalsRowFormula>
    </tableColumn>
    <tableColumn id="15" name="列9" totalsRowFunction="custom" totalsRowDxfId="7">
      <totalsRowFormula xml:space="preserve"> _xlfn.IFNA(VLOOKUP(表模板_28[[#Headers],[列9]],金价一览,2,0), 0)</totalsRowFormula>
    </tableColumn>
    <tableColumn id="16" name="列10" totalsRowFunction="custom" totalsRowDxfId="6">
      <totalsRowFormula xml:space="preserve"> _xlfn.IFNA(VLOOKUP(表模板_28[[#Headers],[列10]],金价一览,2,0), 0)</totalsRowFormula>
    </tableColumn>
    <tableColumn id="17" name="列11" totalsRowFunction="custom" totalsRowDxfId="5">
      <totalsRowFormula xml:space="preserve"> _xlfn.IFNA(VLOOKUP(表模板_28[[#Headers],[列11]],金价一览,2,0), 0)</totalsRowFormula>
    </tableColumn>
    <tableColumn id="18" name="列12" totalsRowFunction="custom" totalsRowDxfId="4">
      <totalsRowFormula xml:space="preserve"> _xlfn.IFNA(VLOOKUP(表模板_28[[#Headers],[列12]],金价一览,2,0), 0)</totalsRowFormula>
    </tableColumn>
    <tableColumn id="19" name="列13" totalsRowFunction="custom" totalsRowDxfId="3">
      <totalsRowFormula>_xlfn.IFNA(VLOOKUP(表模板_28[[#Headers],[列13]],点券一览,2,0),0)</totalsRowFormula>
    </tableColumn>
    <tableColumn id="20" name="列14" totalsRowFunction="custom" totalsRowDxfId="2">
      <totalsRowFormula>_xlfn.IFNA(VLOOKUP(表模板_28[[#Headers],[列14]],点券一览,2,0),0)</totalsRowFormula>
    </tableColumn>
    <tableColumn id="21" name="列15" totalsRowFunction="custom" totalsRowDxfId="1">
      <totalsRowFormula>_xlfn.IFNA(VLOOKUP(表模板_28[[#Headers],[列15]],点券一览,2,0),0)</totalsRowFormula>
    </tableColumn>
    <tableColumn id="22" name="列16" totalsRowFunction="custom" totalsRowDxfId="0">
      <totalsRowFormula>_xlfn.IFNA(VLOOKUP(表模板_28[[#Headers],[列16]],点券一览,2,0),0)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表_烛魔13到15保底" displayName="表_烛魔13到15保底" ref="B34:W38" totalsRowCount="1" headerRowDxfId="1129" totalsRowDxfId="1126" headerRowBorderDxfId="1128" tableBorderDxfId="1127" totalsRowBorderDxfId="1125">
  <autoFilter ref="B34:W3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1124">
      <calculatedColumnFormula>表_烛魔13到15保底[[#This Row],[进化金币(J)]]+IF(ISNUMBER(B34), B34, 0)</calculatedColumnFormula>
    </tableColumn>
    <tableColumn id="2" name="累计点券" totalsRowFunction="max" totalsRowDxfId="1123">
      <calculatedColumnFormula>表_烛魔13到15保底[[#This Row],[进化点券]]+IF(ISNUMBER(C34), C34, 0)</calculatedColumnFormula>
    </tableColumn>
    <tableColumn id="3" name="进化金币(J)" totalsRowFunction="sum" totalsRowDxfId="1122">
      <calculatedColumnFormula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calculatedColumnFormula>
    </tableColumn>
    <tableColumn id="4" name="进化点券" totalsRowFunction="sum" totalsRowDxfId="1121">
      <calculatedColumnFormula>SUMPRODUCT(表_烛魔13到15保底[[#This Row],[高级武魂神物]:[列16]],表_烛魔13到15保底[[#Totals],[高级武魂神物]:[列16]])</calculatedColumnFormula>
    </tableColumn>
    <tableColumn id="5" name="进化阶段" totalsRowDxfId="1120"/>
    <tableColumn id="6" name="手续费(J)" totalsRowLabel="单价" dataDxfId="1119" totalsRowDxfId="1118"/>
    <tableColumn id="7" name="仙丹" totalsRowFunction="custom" dataDxfId="1117" totalsRowDxfId="1116">
      <totalsRowFormula xml:space="preserve"> _xlfn.IFNA(VLOOKUP(表_烛魔13到15保底[[#Headers],[仙丹]],金价一览,2,0), 0)</totalsRowFormula>
    </tableColumn>
    <tableColumn id="8" name="灵丹" totalsRowFunction="custom" dataDxfId="1115" totalsRowDxfId="1114">
      <totalsRowFormula xml:space="preserve"> _xlfn.IFNA(VLOOKUP(表_烛魔13到15保底[[#Headers],[灵丹]],金价一览,2,0), 0)</totalsRowFormula>
    </tableColumn>
    <tableColumn id="9" name="灵石" totalsRowFunction="custom" dataDxfId="1113" totalsRowDxfId="1112">
      <totalsRowFormula xml:space="preserve"> _xlfn.IFNA(VLOOKUP(表_烛魔13到15保底[[#Headers],[灵石]],金价一览,2,0), 0)</totalsRowFormula>
    </tableColumn>
    <tableColumn id="10" name="月石" totalsRowFunction="custom" dataDxfId="1111" totalsRowDxfId="1110">
      <totalsRowFormula xml:space="preserve"> _xlfn.IFNA(VLOOKUP(表_烛魔13到15保底[[#Headers],[月石]],金价一览,2,0), 0)</totalsRowFormula>
    </tableColumn>
    <tableColumn id="11" name="烛魔羽毛" totalsRowFunction="custom" dataDxfId="1109" totalsRowDxfId="1108">
      <totalsRowFormula xml:space="preserve"> _xlfn.IFNA(VLOOKUP(表_烛魔13到15保底[[#Headers],[烛魔羽毛]],金价一览,2,0), 0)</totalsRowFormula>
    </tableColumn>
    <tableColumn id="12" name="烛魔黑鳞" totalsRowFunction="custom" dataDxfId="1107" totalsRowDxfId="1106">
      <totalsRowFormula xml:space="preserve"> _xlfn.IFNA(VLOOKUP(表_烛魔13到15保底[[#Headers],[烛魔黑鳞]],金价一览,2,0), 0)</totalsRowFormula>
    </tableColumn>
    <tableColumn id="13" name="红色烛魔黑鳞" totalsRowFunction="custom" dataDxfId="1105" totalsRowDxfId="1104">
      <totalsRowFormula xml:space="preserve"> _xlfn.IFNA(VLOOKUP(表_烛魔13到15保底[[#Headers],[红色烛魔黑鳞]],金价一览,2,0), 0)</totalsRowFormula>
    </tableColumn>
    <tableColumn id="14" name="烛魔魂" totalsRowFunction="custom" dataDxfId="1103" totalsRowDxfId="1102">
      <totalsRowFormula xml:space="preserve"> _xlfn.IFNA(VLOOKUP(表_烛魔13到15保底[[#Headers],[烛魔魂]],金价一览,2,0), 0)</totalsRowFormula>
    </tableColumn>
    <tableColumn id="15" name="列9" totalsRowFunction="custom" dataDxfId="1101" totalsRowDxfId="1100">
      <totalsRowFormula xml:space="preserve"> _xlfn.IFNA(VLOOKUP(表_烛魔13到15保底[[#Headers],[列9]],金价一览,2,0), 0)</totalsRowFormula>
    </tableColumn>
    <tableColumn id="16" name="列10" totalsRowFunction="custom" dataDxfId="1099" totalsRowDxfId="1098">
      <totalsRowFormula xml:space="preserve"> _xlfn.IFNA(VLOOKUP(表_烛魔13到15保底[[#Headers],[列10]],金价一览,2,0), 0)</totalsRowFormula>
    </tableColumn>
    <tableColumn id="17" name="列11" totalsRowFunction="custom" dataDxfId="1097" totalsRowDxfId="1096">
      <totalsRowFormula xml:space="preserve"> _xlfn.IFNA(VLOOKUP(表_烛魔13到15保底[[#Headers],[列11]],金价一览,2,0), 0)</totalsRowFormula>
    </tableColumn>
    <tableColumn id="18" name="列12" totalsRowFunction="custom" dataDxfId="1095" totalsRowDxfId="1094">
      <totalsRowFormula xml:space="preserve"> _xlfn.IFNA(VLOOKUP(表_烛魔13到15保底[[#Headers],[列12]],金价一览,2,0), 0)</totalsRowFormula>
    </tableColumn>
    <tableColumn id="19" name="高级武魂神物" totalsRowFunction="custom" dataDxfId="1093" totalsRowDxfId="1092">
      <totalsRowFormula>_xlfn.IFNA(VLOOKUP(表_烛魔13到15保底[[#Headers],[高级武魂神物]],点券一览,2,0),0)</totalsRowFormula>
    </tableColumn>
    <tableColumn id="20" name="列1" totalsRowFunction="custom" dataDxfId="1091" totalsRowDxfId="1090">
      <totalsRowFormula>_xlfn.IFNA(VLOOKUP(表_烛魔13到15保底[[#Headers],[列1]],点券一览,2,0),0)</totalsRowFormula>
    </tableColumn>
    <tableColumn id="21" name="列15" totalsRowFunction="custom" totalsRowDxfId="1089">
      <totalsRowFormula>_xlfn.IFNA(VLOOKUP(表_烛魔13到15保底[[#Headers],[列15]],点券一览,2,0),0)</totalsRowFormula>
    </tableColumn>
    <tableColumn id="22" name="列16" totalsRowFunction="custom" totalsRowDxfId="1088">
      <totalsRowFormula>_xlfn.IFNA(VLOOKUP(表_烛魔13到15保底[[#Headers],[列16]],点券一览,2,0),0)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2" name="表_时空必成" displayName="表_时空必成" ref="B45:W48" totalsRowCount="1" headerRowDxfId="1087" totalsRowDxfId="1084" headerRowBorderDxfId="1086" tableBorderDxfId="1085" totalsRowBorderDxfId="1083">
  <autoFilter ref="B45:W4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1082">
      <calculatedColumnFormula>表_时空必成[[#This Row],[进化金币(J)]]+IF(ISNUMBER(B45), B45, 0)</calculatedColumnFormula>
    </tableColumn>
    <tableColumn id="2" name="累计点券" totalsRowFunction="max" totalsRowDxfId="1081">
      <calculatedColumnFormula>表_时空必成[[#This Row],[进化点券]]+IF(ISNUMBER(C45), C45, 0)</calculatedColumnFormula>
    </tableColumn>
    <tableColumn id="3" name="进化金币(J)" totalsRowFunction="sum" totalsRowDxfId="1080">
      <calculatedColumnFormula>SUMPRODUCT(表_时空必成[[#This Row],[天空碎片]:[列12]],表_时空必成[[#Totals],[天空碎片]:[列12]])+表_时空必成[[#This Row],[手续费(J)]]*折扣+IF(表_时空必成[[#This Row],[进化阶段]]="1段-&gt;2段",表_时空必成[[#Totals],[进化阶段]],0)</calculatedColumnFormula>
    </tableColumn>
    <tableColumn id="4" name="进化点券" totalsRowFunction="sum" totalsRowDxfId="1079">
      <calculatedColumnFormula>SUMPRODUCT(表_时空必成[[#This Row],[武魂神物]:[列16]],表_时空必成[[#Totals],[武魂神物]:[列16]])</calculatedColumnFormula>
    </tableColumn>
    <tableColumn id="5" name="进化阶段" dataDxfId="1078" totalsRowDxfId="1077"/>
    <tableColumn id="6" name="手续费(J)" totalsRowLabel="单价" dataDxfId="1076" totalsRowDxfId="1075"/>
    <tableColumn id="7" name="天空碎片" totalsRowFunction="custom" dataDxfId="1074" totalsRowDxfId="1073">
      <totalsRowFormula xml:space="preserve"> _xlfn.IFNA(VLOOKUP(表_时空必成[[#Headers],[天空碎片]],金价一览,2,0), 0)</totalsRowFormula>
    </tableColumn>
    <tableColumn id="8" name="时空碎片" totalsRowFunction="custom" dataDxfId="1072" totalsRowDxfId="1071">
      <totalsRowFormula xml:space="preserve"> _xlfn.IFNA(VLOOKUP(表_时空必成[[#Headers],[时空碎片]],金价一览,2,0), 0)</totalsRowFormula>
    </tableColumn>
    <tableColumn id="9" name="天元结晶" totalsRowFunction="custom" dataDxfId="1070" totalsRowDxfId="1069">
      <totalsRowFormula xml:space="preserve"> _xlfn.IFNA(VLOOKUP(表_时空必成[[#Headers],[天元结晶]],金价一览,2,0), 0)</totalsRowFormula>
    </tableColumn>
    <tableColumn id="10" name="太阳珠" totalsRowFunction="custom" dataDxfId="1068" totalsRowDxfId="1067">
      <totalsRowFormula xml:space="preserve"> _xlfn.IFNA(VLOOKUP(表_时空必成[[#Headers],[太阳珠]],金价一览,2,0), 0)</totalsRowFormula>
    </tableColumn>
    <tableColumn id="11" name="仙丹" totalsRowFunction="custom" dataDxfId="1066" totalsRowDxfId="1065">
      <totalsRowFormula xml:space="preserve"> _xlfn.IFNA(VLOOKUP(表_时空必成[[#Headers],[仙丹]],金价一览,2,0), 0)</totalsRowFormula>
    </tableColumn>
    <tableColumn id="12" name="月石" totalsRowFunction="custom" dataDxfId="1064" totalsRowDxfId="1063">
      <totalsRowFormula xml:space="preserve"> _xlfn.IFNA(VLOOKUP(表_时空必成[[#Headers],[月石]],金价一览,2,0), 0)</totalsRowFormula>
    </tableColumn>
    <tableColumn id="13" name="灵石" totalsRowFunction="custom" dataDxfId="1062" totalsRowDxfId="1061">
      <totalsRowFormula xml:space="preserve"> _xlfn.IFNA(VLOOKUP(表_时空必成[[#Headers],[灵石]],金价一览,2,0), 0)</totalsRowFormula>
    </tableColumn>
    <tableColumn id="14" name="进化石" totalsRowFunction="custom" dataDxfId="1060" totalsRowDxfId="1059">
      <totalsRowFormula xml:space="preserve"> _xlfn.IFNA(VLOOKUP(表_时空必成[[#Headers],[进化石]],金价一览,2,0), 0)</totalsRowFormula>
    </tableColumn>
    <tableColumn id="15" name="列9" totalsRowFunction="custom" dataDxfId="1058" totalsRowDxfId="1057">
      <totalsRowFormula xml:space="preserve"> _xlfn.IFNA(VLOOKUP(表_时空必成[[#Headers],[列9]],金价一览,2,0), 0)</totalsRowFormula>
    </tableColumn>
    <tableColumn id="16" name="列10" totalsRowFunction="custom" dataDxfId="1056" totalsRowDxfId="1055">
      <totalsRowFormula xml:space="preserve"> _xlfn.IFNA(VLOOKUP(表_时空必成[[#Headers],[列10]],金价一览,2,0), 0)</totalsRowFormula>
    </tableColumn>
    <tableColumn id="17" name="列11" totalsRowFunction="custom" dataDxfId="1054" totalsRowDxfId="1053">
      <totalsRowFormula xml:space="preserve"> _xlfn.IFNA(VLOOKUP(表_时空必成[[#Headers],[列11]],金价一览,2,0), 0)</totalsRowFormula>
    </tableColumn>
    <tableColumn id="18" name="列12" totalsRowFunction="custom" dataDxfId="1052" totalsRowDxfId="1051">
      <totalsRowFormula xml:space="preserve"> _xlfn.IFNA(VLOOKUP(表_时空必成[[#Headers],[列12]],金价一览,2,0), 0)</totalsRowFormula>
    </tableColumn>
    <tableColumn id="19" name="武魂神物" totalsRowFunction="custom" dataDxfId="1050" totalsRowDxfId="1049">
      <totalsRowFormula>_xlfn.IFNA(VLOOKUP(表_时空必成[[#Headers],[武魂神物]],点券一览,2,0),0)</totalsRowFormula>
    </tableColumn>
    <tableColumn id="20" name="高级武魂神物" totalsRowFunction="custom" dataDxfId="1048" totalsRowDxfId="1047">
      <totalsRowFormula>_xlfn.IFNA(VLOOKUP(表_时空必成[[#Headers],[高级武魂神物]],点券一览,2,0),0)</totalsRowFormula>
    </tableColumn>
    <tableColumn id="21" name="列15" totalsRowFunction="custom" totalsRowDxfId="1046">
      <totalsRowFormula>_xlfn.IFNA(VLOOKUP(表_时空必成[[#Headers],[列15]],点券一览,2,0),0)</totalsRowFormula>
    </tableColumn>
    <tableColumn id="22" name="列16" totalsRowFunction="custom" totalsRowDxfId="1045">
      <totalsRowFormula>_xlfn.IFNA(VLOOKUP(表_时空必成[[#Headers],[列16]],点券一览,2,0),0)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表_烛魔13到15必成" displayName="表_烛魔13到15必成" ref="B24:W28" totalsRowCount="1" headerRowDxfId="1044" totalsRowDxfId="1041" headerRowBorderDxfId="1043" tableBorderDxfId="1042" totalsRowBorderDxfId="1040">
  <autoFilter ref="B24:W27"/>
  <tableColumns count="22">
    <tableColumn id="1" name="累计金币(J)" totalsRowFunction="max" dataDxfId="1039" totalsRowDxfId="1038">
      <calculatedColumnFormula>表_烛魔13到15必成[[#This Row],[进化金币(J)]]+IF(ISNUMBER(B24),B24, 0)</calculatedColumnFormula>
    </tableColumn>
    <tableColumn id="2" name="累计点券" totalsRowFunction="max" dataDxfId="1037" totalsRowDxfId="1036">
      <calculatedColumnFormula>表_烛魔13到15必成[[#This Row],[进化点券]]+IF(ISNUMBER(C24),C24, 0)</calculatedColumnFormula>
    </tableColumn>
    <tableColumn id="3" name="进化金币(J)" totalsRowFunction="sum" totalsRowDxfId="1035">
      <calculatedColumnFormula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calculatedColumnFormula>
    </tableColumn>
    <tableColumn id="4" name="进化点券" totalsRowFunction="sum" totalsRowDxfId="1034">
      <calculatedColumnFormula>SUMPRODUCT(表_烛魔13到15必成[[#This Row],[高级武魂神物]:[列16]],表_烛魔13到15必成[[#Totals],[高级武魂神物]:[列16]])</calculatedColumnFormula>
    </tableColumn>
    <tableColumn id="5" name="进化阶段" totalsRowDxfId="1033"/>
    <tableColumn id="6" name="手续费(J)" totalsRowLabel="单价" dataDxfId="1032" totalsRowDxfId="1031"/>
    <tableColumn id="7" name="仙丹" totalsRowFunction="custom" dataDxfId="1030" totalsRowDxfId="1029">
      <totalsRowFormula xml:space="preserve"> _xlfn.IFNA(VLOOKUP(表_烛魔13到15必成[[#Headers],[仙丹]],金价一览,2,0), 0)</totalsRowFormula>
    </tableColumn>
    <tableColumn id="8" name="灵丹" totalsRowFunction="custom" dataDxfId="1028" totalsRowDxfId="1027">
      <totalsRowFormula xml:space="preserve"> _xlfn.IFNA(VLOOKUP(表_烛魔13到15必成[[#Headers],[灵丹]],金价一览,2,0), 0)</totalsRowFormula>
    </tableColumn>
    <tableColumn id="9" name="灵石" totalsRowFunction="custom" dataDxfId="1026" totalsRowDxfId="1025">
      <totalsRowFormula xml:space="preserve"> _xlfn.IFNA(VLOOKUP(表_烛魔13到15必成[[#Headers],[灵石]],金价一览,2,0), 0)</totalsRowFormula>
    </tableColumn>
    <tableColumn id="10" name="月石" totalsRowFunction="custom" dataDxfId="1024" totalsRowDxfId="1023">
      <totalsRowFormula xml:space="preserve"> _xlfn.IFNA(VLOOKUP(表_烛魔13到15必成[[#Headers],[月石]],金价一览,2,0), 0)</totalsRowFormula>
    </tableColumn>
    <tableColumn id="11" name="烛魔羽毛" totalsRowFunction="custom" dataDxfId="1022" totalsRowDxfId="1021">
      <totalsRowFormula xml:space="preserve"> _xlfn.IFNA(VLOOKUP(表_烛魔13到15必成[[#Headers],[烛魔羽毛]],金价一览,2,0), 0)</totalsRowFormula>
    </tableColumn>
    <tableColumn id="12" name="烛魔黑鳞" totalsRowFunction="custom" dataDxfId="1020" totalsRowDxfId="1019">
      <totalsRowFormula xml:space="preserve"> _xlfn.IFNA(VLOOKUP(表_烛魔13到15必成[[#Headers],[烛魔黑鳞]],金价一览,2,0), 0)</totalsRowFormula>
    </tableColumn>
    <tableColumn id="13" name="红色烛魔黑鳞" totalsRowFunction="custom" dataDxfId="1018" totalsRowDxfId="1017">
      <totalsRowFormula xml:space="preserve"> _xlfn.IFNA(VLOOKUP(表_烛魔13到15必成[[#Headers],[红色烛魔黑鳞]],金价一览,2,0), 0)</totalsRowFormula>
    </tableColumn>
    <tableColumn id="14" name="烛魔魂" totalsRowFunction="custom" dataDxfId="1016" totalsRowDxfId="1015">
      <totalsRowFormula xml:space="preserve"> _xlfn.IFNA(VLOOKUP(表_烛魔13到15必成[[#Headers],[烛魔魂]],金价一览,2,0), 0)</totalsRowFormula>
    </tableColumn>
    <tableColumn id="15" name="列9" totalsRowFunction="custom" dataDxfId="1014" totalsRowDxfId="1013">
      <totalsRowFormula xml:space="preserve"> _xlfn.IFNA(VLOOKUP(表_烛魔13到15必成[[#Headers],[列9]],金价一览,2,0), 0)</totalsRowFormula>
    </tableColumn>
    <tableColumn id="16" name="列10" totalsRowFunction="custom" dataDxfId="1012" totalsRowDxfId="1011">
      <totalsRowFormula xml:space="preserve"> _xlfn.IFNA(VLOOKUP(表_烛魔13到15必成[[#Headers],[列10]],金价一览,2,0), 0)</totalsRowFormula>
    </tableColumn>
    <tableColumn id="17" name="列11" totalsRowFunction="custom" dataDxfId="1010" totalsRowDxfId="1009">
      <totalsRowFormula xml:space="preserve"> _xlfn.IFNA(VLOOKUP(表_烛魔13到15必成[[#Headers],[列11]],金价一览,2,0), 0)</totalsRowFormula>
    </tableColumn>
    <tableColumn id="18" name="列12" totalsRowFunction="custom" dataDxfId="1008" totalsRowDxfId="1007">
      <totalsRowFormula xml:space="preserve"> _xlfn.IFNA(VLOOKUP(表_烛魔13到15必成[[#Headers],[列12]],金价一览,2,0), 0)</totalsRowFormula>
    </tableColumn>
    <tableColumn id="19" name="高级武魂神物" totalsRowFunction="custom" dataDxfId="1006" totalsRowDxfId="1005">
      <totalsRowFormula>_xlfn.IFNA(VLOOKUP(表_烛魔13到15必成[[#Headers],[高级武魂神物]],点券一览,2,0),0)</totalsRowFormula>
    </tableColumn>
    <tableColumn id="20" name="破天武魂神物" totalsRowFunction="custom" dataDxfId="1004" totalsRowDxfId="1003">
      <totalsRowFormula>_xlfn.IFNA(VLOOKUP(表_烛魔13到15必成[[#Headers],[破天武魂神物]],点券一览,2,0),0)</totalsRowFormula>
    </tableColumn>
    <tableColumn id="21" name="列15" totalsRowFunction="custom" totalsRowDxfId="1002">
      <totalsRowFormula>_xlfn.IFNA(VLOOKUP(表_烛魔13到15必成[[#Headers],[列15]],点券一览,2,0),0)</totalsRowFormula>
    </tableColumn>
    <tableColumn id="22" name="列16" totalsRowFunction="custom" totalsRowDxfId="1001">
      <totalsRowFormula>_xlfn.IFNA(VLOOKUP(表_烛魔13到15必成[[#Headers],[列16]],点券一览,2,0),0)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表_昆仑1到15段必成" displayName="表_昆仑1到15段必成" ref="B54:W69" totalsRowCount="1" headerRowDxfId="1000" totalsRowDxfId="997" headerRowBorderDxfId="999" tableBorderDxfId="998" totalsRowBorderDxfId="996">
  <autoFilter ref="B54:W68"/>
  <tableColumns count="22">
    <tableColumn id="1" name="累计金币(J)" totalsRowFunction="max" dataDxfId="995" totalsRowDxfId="994">
      <calculatedColumnFormula>表_昆仑1到15段必成[[#This Row],[进化金币(J)]]+IF(ISNUMBER(B54), B54, 表_昆仑1到15段必成[[#Totals],[进化阶段]])</calculatedColumnFormula>
    </tableColumn>
    <tableColumn id="2" name="累计点券" totalsRowFunction="max" totalsRowDxfId="993">
      <calculatedColumnFormula>表_昆仑1到15段必成[[#This Row],[进化点券]]+IF(ISNUMBER(C54), C54, 0)</calculatedColumnFormula>
    </tableColumn>
    <tableColumn id="3" name="进化金币(J)" totalsRowFunction="sum" dataDxfId="992" totalsRowDxfId="991">
      <calculatedColumnFormula>SUMPRODUCT(表_昆仑1到15段必成[[#This Row],[昆仑珠]:[列12]],表_昆仑1到15段必成[[#Totals],[昆仑珠]:[列12]])+表_昆仑1到15段必成[[#This Row],[手续费(J)]]*折扣</calculatedColumnFormula>
    </tableColumn>
    <tableColumn id="4" name="进化点券" totalsRowFunction="sum" totalsRowDxfId="990">
      <calculatedColumnFormula>SUMPRODUCT(表_昆仑1到15段必成[[#This Row],[破天武魂神物]:[列16]],表_昆仑1到15段必成[[#Totals],[破天武魂神物]:[列16]])</calculatedColumnFormula>
    </tableColumn>
    <tableColumn id="5" name="进化阶段" totalsRowLabel="2,000" totalsRowDxfId="989"/>
    <tableColumn id="6" name="手续费(J)" totalsRowLabel="单价" dataDxfId="988" totalsRowDxfId="987"/>
    <tableColumn id="7" name="昆仑珠" totalsRowFunction="custom" dataDxfId="986" totalsRowDxfId="985">
      <totalsRowFormula xml:space="preserve"> _xlfn.IFNA(VLOOKUP(表_昆仑1到15段必成[[#Headers],[昆仑珠]],金价一览,2,0), 0)</totalsRowFormula>
    </tableColumn>
    <tableColumn id="8" name="太阳珠" totalsRowFunction="custom" dataDxfId="984" totalsRowDxfId="983">
      <totalsRowFormula xml:space="preserve"> _xlfn.IFNA(VLOOKUP(表_昆仑1到15段必成[[#Headers],[太阳珠]],金价一览,2,0), 0)</totalsRowFormula>
    </tableColumn>
    <tableColumn id="9" name="天元结晶" totalsRowFunction="custom" dataDxfId="982" totalsRowDxfId="981">
      <totalsRowFormula xml:space="preserve"> _xlfn.IFNA(VLOOKUP(表_昆仑1到15段必成[[#Headers],[天元结晶]],金价一览,2,0), 0)</totalsRowFormula>
    </tableColumn>
    <tableColumn id="10" name="月石" totalsRowFunction="custom" dataDxfId="980" totalsRowDxfId="979">
      <totalsRowFormula xml:space="preserve"> _xlfn.IFNA(VLOOKUP(表_昆仑1到15段必成[[#Headers],[月石]],金价一览,2,0), 0)</totalsRowFormula>
    </tableColumn>
    <tableColumn id="11" name="高级进化石" totalsRowFunction="custom" dataDxfId="978" totalsRowDxfId="977">
      <totalsRowFormula xml:space="preserve"> _xlfn.IFNA(VLOOKUP(表_昆仑1到15段必成[[#Headers],[高级进化石]],金价一览,2,0), 0)</totalsRowFormula>
    </tableColumn>
    <tableColumn id="12" name="黑风魂" totalsRowFunction="custom" dataDxfId="976" totalsRowDxfId="975">
      <totalsRowFormula xml:space="preserve"> _xlfn.IFNA(VLOOKUP(表_昆仑1到15段必成[[#Headers],[黑风魂]],金价一览,2,0), 0)</totalsRowFormula>
    </tableColumn>
    <tableColumn id="13" name="列7" totalsRowFunction="custom" dataDxfId="974" totalsRowDxfId="973">
      <totalsRowFormula xml:space="preserve"> _xlfn.IFNA(VLOOKUP(表_昆仑1到15段必成[[#Headers],[列7]],金价一览,2,0), 0)</totalsRowFormula>
    </tableColumn>
    <tableColumn id="14" name="列8" totalsRowFunction="custom" dataDxfId="972" totalsRowDxfId="971">
      <totalsRowFormula xml:space="preserve"> _xlfn.IFNA(VLOOKUP(表_昆仑1到15段必成[[#Headers],[列8]],金价一览,2,0), 0)</totalsRowFormula>
    </tableColumn>
    <tableColumn id="15" name="列9" totalsRowFunction="custom" dataDxfId="970" totalsRowDxfId="969">
      <totalsRowFormula xml:space="preserve"> _xlfn.IFNA(VLOOKUP(表_昆仑1到15段必成[[#Headers],[列9]],金价一览,2,0), 0)</totalsRowFormula>
    </tableColumn>
    <tableColumn id="16" name="列10" totalsRowFunction="custom" dataDxfId="968" totalsRowDxfId="967">
      <totalsRowFormula xml:space="preserve"> _xlfn.IFNA(VLOOKUP(表_昆仑1到15段必成[[#Headers],[列10]],金价一览,2,0), 0)</totalsRowFormula>
    </tableColumn>
    <tableColumn id="17" name="列11" totalsRowFunction="custom" dataDxfId="966" totalsRowDxfId="965">
      <totalsRowFormula xml:space="preserve"> _xlfn.IFNA(VLOOKUP(表_昆仑1到15段必成[[#Headers],[列11]],金价一览,2,0), 0)</totalsRowFormula>
    </tableColumn>
    <tableColumn id="18" name="列12" totalsRowFunction="custom" dataDxfId="964" totalsRowDxfId="963">
      <totalsRowFormula xml:space="preserve"> _xlfn.IFNA(VLOOKUP(表_昆仑1到15段必成[[#Headers],[列12]],金价一览,2,0), 0)</totalsRowFormula>
    </tableColumn>
    <tableColumn id="19" name="破天武魂神物" totalsRowFunction="custom" dataDxfId="962" totalsRowDxfId="961">
      <totalsRowFormula>_xlfn.IFNA(VLOOKUP(表_昆仑1到15段必成[[#Headers],[破天武魂神物]],点券一览,2,0),0)</totalsRowFormula>
    </tableColumn>
    <tableColumn id="20" name="建元武魂神物" totalsRowFunction="custom" dataDxfId="960" totalsRowDxfId="959">
      <totalsRowFormula>_xlfn.IFNA(VLOOKUP(表_昆仑1到15段必成[[#Headers],[建元武魂神物]],点券一览,2,0),0)</totalsRowFormula>
    </tableColumn>
    <tableColumn id="21" name="列15" totalsRowFunction="custom" totalsRowDxfId="958">
      <totalsRowFormula>_xlfn.IFNA(VLOOKUP(表_昆仑1到15段必成[[#Headers],[列15]],点券一览,2,0),0)</totalsRowFormula>
    </tableColumn>
    <tableColumn id="22" name="列16" totalsRowFunction="custom" totalsRowDxfId="957">
      <totalsRowFormula>_xlfn.IFNA(VLOOKUP(表_昆仑1到15段必成[[#Headers],[列16]],点券一览,2,0),0)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表_武器进化" displayName="表_武器进化" ref="B96:W106" totalsRowCount="1" headerRowDxfId="956" totalsRowDxfId="953" headerRowBorderDxfId="955" tableBorderDxfId="954" totalsRowBorderDxfId="952">
  <autoFilter ref="B96:W10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totalsRowDxfId="951"/>
    <tableColumn id="2" name="累计点券" totalsRowFunction="max" totalsRowDxfId="950"/>
    <tableColumn id="3" name="进化金币(J)" totalsRowFunction="sum" dataDxfId="949" totalsRowDxfId="948">
      <calculatedColumnFormula>SUMPRODUCT(表_武器进化[[#This Row],[昆仑珠]:[列12]],表_武器进化[[#Totals],[昆仑珠]:[列12]])+表_武器进化[[#This Row],[手续费(J)]]*折扣+IF(表_武器进化[[#This Row],[进化阶段]]="1段-&gt;2段",表_武器进化[[#Totals],[进化阶段]],0)</calculatedColumnFormula>
    </tableColumn>
    <tableColumn id="4" name="进化点券" totalsRowFunction="sum" dataDxfId="947" totalsRowDxfId="946">
      <calculatedColumnFormula>SUMPRODUCT(表_武器进化[[#This Row],[建元武魂神物]:[列16]],表_武器进化[[#Totals],[建元武魂神物]:[列16]])</calculatedColumnFormula>
    </tableColumn>
    <tableColumn id="5" name="进化阶段" totalsRowDxfId="945"/>
    <tableColumn id="6" name="手续费(J)" totalsRowLabel="单价" totalsRowDxfId="944"/>
    <tableColumn id="7" name="昆仑珠" totalsRowFunction="custom" totalsRowDxfId="943">
      <totalsRowFormula xml:space="preserve"> _xlfn.IFNA(VLOOKUP(表_武器进化[[#Headers],[昆仑珠]],金价一览,2,0), 0)</totalsRowFormula>
    </tableColumn>
    <tableColumn id="8" name="太阳珠" totalsRowFunction="custom" totalsRowDxfId="942">
      <totalsRowFormula xml:space="preserve"> _xlfn.IFNA(VLOOKUP(表_武器进化[[#Headers],[太阳珠]],金价一览,2,0), 0)</totalsRowFormula>
    </tableColumn>
    <tableColumn id="9" name="天元结晶" totalsRowFunction="custom" totalsRowDxfId="941">
      <totalsRowFormula xml:space="preserve"> _xlfn.IFNA(VLOOKUP(表_武器进化[[#Headers],[天元结晶]],金价一览,2,0), 0)</totalsRowFormula>
    </tableColumn>
    <tableColumn id="10" name="月石" totalsRowFunction="custom" totalsRowDxfId="940">
      <totalsRowFormula xml:space="preserve"> _xlfn.IFNA(VLOOKUP(表_武器进化[[#Headers],[月石]],金价一览,2,0), 0)</totalsRowFormula>
    </tableColumn>
    <tableColumn id="11" name="进化石" totalsRowFunction="custom" totalsRowDxfId="939">
      <totalsRowFormula xml:space="preserve"> _xlfn.IFNA(VLOOKUP(表_武器进化[[#Headers],[进化石]],金价一览,2,0), 0)</totalsRowFormula>
    </tableColumn>
    <tableColumn id="12" name="列6" totalsRowFunction="custom" totalsRowDxfId="938">
      <totalsRowFormula xml:space="preserve"> _xlfn.IFNA(VLOOKUP(表_武器进化[[#Headers],[列6]],金价一览,2,0), 0)</totalsRowFormula>
    </tableColumn>
    <tableColumn id="13" name="列7" totalsRowFunction="custom" totalsRowDxfId="937">
      <totalsRowFormula xml:space="preserve"> _xlfn.IFNA(VLOOKUP(表_武器进化[[#Headers],[列7]],金价一览,2,0), 0)</totalsRowFormula>
    </tableColumn>
    <tableColumn id="14" name="列8" totalsRowFunction="custom" totalsRowDxfId="936">
      <totalsRowFormula xml:space="preserve"> _xlfn.IFNA(VLOOKUP(表_武器进化[[#Headers],[列8]],金价一览,2,0), 0)</totalsRowFormula>
    </tableColumn>
    <tableColumn id="15" name="列9" totalsRowFunction="custom" totalsRowDxfId="935">
      <totalsRowFormula xml:space="preserve"> _xlfn.IFNA(VLOOKUP(表_武器进化[[#Headers],[列9]],金价一览,2,0), 0)</totalsRowFormula>
    </tableColumn>
    <tableColumn id="16" name="列10" totalsRowFunction="custom" totalsRowDxfId="934">
      <totalsRowFormula xml:space="preserve"> _xlfn.IFNA(VLOOKUP(表_武器进化[[#Headers],[列10]],金价一览,2,0), 0)</totalsRowFormula>
    </tableColumn>
    <tableColumn id="17" name="列11" totalsRowFunction="custom" totalsRowDxfId="933">
      <totalsRowFormula xml:space="preserve"> _xlfn.IFNA(VLOOKUP(表_武器进化[[#Headers],[列11]],金价一览,2,0), 0)</totalsRowFormula>
    </tableColumn>
    <tableColumn id="18" name="列12" totalsRowFunction="custom" totalsRowDxfId="932">
      <totalsRowFormula xml:space="preserve"> _xlfn.IFNA(VLOOKUP(表_武器进化[[#Headers],[列12]],金价一览,2,0), 0)</totalsRowFormula>
    </tableColumn>
    <tableColumn id="19" name="建元武魂神物" totalsRowFunction="custom" totalsRowDxfId="931">
      <totalsRowFormula>_xlfn.IFNA(VLOOKUP(表_武器进化[[#Headers],[建元武魂神物]],点券一览,2,0),0)</totalsRowFormula>
    </tableColumn>
    <tableColumn id="20" name="列14" totalsRowFunction="custom" totalsRowDxfId="930">
      <totalsRowFormula>_xlfn.IFNA(VLOOKUP(表_武器进化[[#Headers],[列14]],点券一览,2,0),0)</totalsRowFormula>
    </tableColumn>
    <tableColumn id="21" name="列15" totalsRowFunction="custom" totalsRowDxfId="929">
      <totalsRowFormula>_xlfn.IFNA(VLOOKUP(表_武器进化[[#Headers],[列15]],点券一览,2,0),0)</totalsRowFormula>
    </tableColumn>
    <tableColumn id="22" name="列16" totalsRowFunction="custom" totalsRowDxfId="928">
      <totalsRowFormula>_xlfn.IFNA(VLOOKUP(表_武器进化[[#Headers],[列16]],点券一览,2,0),0)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表_昆仑1到15段保底" displayName="表_昆仑1到15段保底" ref="B75:W90" totalsRowCount="1" headerRowDxfId="927" totalsRowDxfId="924" headerRowBorderDxfId="926" tableBorderDxfId="925" totalsRowBorderDxfId="923">
  <autoFilter ref="B75:W8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name="累计金币(J)" totalsRowFunction="max" dataDxfId="922" totalsRowDxfId="921">
      <calculatedColumnFormula>表_昆仑1到15段保底[[#This Row],[进化金币(J)]]+IF(ISNUMBER(B75), B75, 表_昆仑1到15段保底[[#Totals],[进化阶段]])</calculatedColumnFormula>
    </tableColumn>
    <tableColumn id="2" name="累计点券" totalsRowFunction="max" totalsRowDxfId="920">
      <calculatedColumnFormula>表_昆仑1到15段保底[[#This Row],[进化点券]]+IF(ISNUMBER(C75), C75, 0)</calculatedColumnFormula>
    </tableColumn>
    <tableColumn id="3" name="进化金币(J)" totalsRowFunction="sum" dataDxfId="919" totalsRowDxfId="918">
      <calculatedColumnFormula>SUMPRODUCT(表_昆仑1到15段保底[[#This Row],[昆仑珠]:[列12]],表_昆仑1到15段保底[[#Totals],[昆仑珠]:[列12]])+表_昆仑1到15段保底[[#This Row],[手续费(J)]]*折扣</calculatedColumnFormula>
    </tableColumn>
    <tableColumn id="4" name="进化点券" totalsRowFunction="sum" totalsRowDxfId="917">
      <calculatedColumnFormula>SUMPRODUCT(表_昆仑1到15段保底[[#This Row],[破天武魂神物]:[列16]],表_昆仑1到15段保底[[#Totals],[破天武魂神物]:[列16]])</calculatedColumnFormula>
    </tableColumn>
    <tableColumn id="5" name="进化阶段" totalsRowLabel="2,000" totalsRowDxfId="916"/>
    <tableColumn id="6" name="手续费(J)" totalsRowLabel="单价" totalsRowDxfId="915"/>
    <tableColumn id="7" name="昆仑珠" totalsRowFunction="custom" totalsRowDxfId="914">
      <totalsRowFormula xml:space="preserve"> _xlfn.IFNA(VLOOKUP(表_昆仑1到15段保底[[#Headers],[昆仑珠]],金价一览,2,0), 0)</totalsRowFormula>
    </tableColumn>
    <tableColumn id="8" name="太阳珠" totalsRowFunction="custom" totalsRowDxfId="913">
      <totalsRowFormula xml:space="preserve"> _xlfn.IFNA(VLOOKUP(表_昆仑1到15段保底[[#Headers],[太阳珠]],金价一览,2,0), 0)</totalsRowFormula>
    </tableColumn>
    <tableColumn id="9" name="天元结晶" totalsRowFunction="custom" totalsRowDxfId="912">
      <totalsRowFormula xml:space="preserve"> _xlfn.IFNA(VLOOKUP(表_昆仑1到15段保底[[#Headers],[天元结晶]],金价一览,2,0), 0)</totalsRowFormula>
    </tableColumn>
    <tableColumn id="10" name="月石" totalsRowFunction="custom" totalsRowDxfId="911">
      <totalsRowFormula xml:space="preserve"> _xlfn.IFNA(VLOOKUP(表_昆仑1到15段保底[[#Headers],[月石]],金价一览,2,0), 0)</totalsRowFormula>
    </tableColumn>
    <tableColumn id="11" name="高级进化石" totalsRowFunction="custom" totalsRowDxfId="910">
      <totalsRowFormula xml:space="preserve"> _xlfn.IFNA(VLOOKUP(表_昆仑1到15段保底[[#Headers],[高级进化石]],金价一览,2,0), 0)</totalsRowFormula>
    </tableColumn>
    <tableColumn id="12" name="黑风魂" totalsRowFunction="custom" totalsRowDxfId="909">
      <totalsRowFormula xml:space="preserve"> _xlfn.IFNA(VLOOKUP(表_昆仑1到15段保底[[#Headers],[黑风魂]],金价一览,2,0), 0)</totalsRowFormula>
    </tableColumn>
    <tableColumn id="13" name="列7" totalsRowFunction="custom" totalsRowDxfId="908">
      <totalsRowFormula xml:space="preserve"> _xlfn.IFNA(VLOOKUP(表_昆仑1到15段保底[[#Headers],[列7]],金价一览,2,0), 0)</totalsRowFormula>
    </tableColumn>
    <tableColumn id="14" name="列8" totalsRowFunction="custom" totalsRowDxfId="907">
      <totalsRowFormula xml:space="preserve"> _xlfn.IFNA(VLOOKUP(表_昆仑1到15段保底[[#Headers],[列8]],金价一览,2,0), 0)</totalsRowFormula>
    </tableColumn>
    <tableColumn id="15" name="列9" totalsRowFunction="custom" totalsRowDxfId="906">
      <totalsRowFormula xml:space="preserve"> _xlfn.IFNA(VLOOKUP(表_昆仑1到15段保底[[#Headers],[列9]],金价一览,2,0), 0)</totalsRowFormula>
    </tableColumn>
    <tableColumn id="16" name="列10" totalsRowFunction="custom" totalsRowDxfId="905">
      <totalsRowFormula xml:space="preserve"> _xlfn.IFNA(VLOOKUP(表_昆仑1到15段保底[[#Headers],[列10]],金价一览,2,0), 0)</totalsRowFormula>
    </tableColumn>
    <tableColumn id="17" name="列11" totalsRowFunction="custom" totalsRowDxfId="904">
      <totalsRowFormula xml:space="preserve"> _xlfn.IFNA(VLOOKUP(表_昆仑1到15段保底[[#Headers],[列11]],金价一览,2,0), 0)</totalsRowFormula>
    </tableColumn>
    <tableColumn id="18" name="列12" totalsRowFunction="custom" totalsRowDxfId="903">
      <totalsRowFormula xml:space="preserve"> _xlfn.IFNA(VLOOKUP(表_昆仑1到15段保底[[#Headers],[列12]],金价一览,2,0), 0)</totalsRowFormula>
    </tableColumn>
    <tableColumn id="19" name="破天武魂神物" totalsRowFunction="custom" totalsRowDxfId="902">
      <totalsRowFormula>_xlfn.IFNA(VLOOKUP(表_昆仑1到15段保底[[#Headers],[破天武魂神物]],点券一览,2,0),0)</totalsRowFormula>
    </tableColumn>
    <tableColumn id="20" name="列14" totalsRowFunction="custom" totalsRowDxfId="901">
      <totalsRowFormula>_xlfn.IFNA(VLOOKUP(表_昆仑1到15段保底[[#Headers],[列14]],点券一览,2,0),0)</totalsRowFormula>
    </tableColumn>
    <tableColumn id="21" name="列15" totalsRowFunction="custom" totalsRowDxfId="900">
      <totalsRowFormula>_xlfn.IFNA(VLOOKUP(表_昆仑1到15段保底[[#Headers],[列15]],点券一览,2,0),0)</totalsRowFormula>
    </tableColumn>
    <tableColumn id="22" name="列16" totalsRowFunction="custom" totalsRowDxfId="899">
      <totalsRowFormula>_xlfn.IFNA(VLOOKUP(表_昆仑1到15段保底[[#Headers],[列16]],点券一览,2,0),0)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table" Target="../tables/table3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comments" Target="../comments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10" Type="http://schemas.openxmlformats.org/officeDocument/2006/relationships/comments" Target="../comments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vmlDrawing" Target="../drawings/vmlDrawing6.vml"/><Relationship Id="rId7" Type="http://schemas.openxmlformats.org/officeDocument/2006/relationships/table" Target="../tables/table3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2"/>
  <sheetViews>
    <sheetView workbookViewId="0">
      <selection activeCell="C18" sqref="C18"/>
    </sheetView>
  </sheetViews>
  <sheetFormatPr defaultRowHeight="14.4" outlineLevelRow="1" x14ac:dyDescent="0.25"/>
  <cols>
    <col min="1" max="1" width="20.77734375" customWidth="1"/>
    <col min="2" max="2" width="11.5546875" customWidth="1"/>
    <col min="3" max="3" width="12.21875" customWidth="1"/>
  </cols>
  <sheetData>
    <row r="2" spans="1:6" x14ac:dyDescent="0.25">
      <c r="A2" s="1" t="s">
        <v>135</v>
      </c>
    </row>
    <row r="3" spans="1:6" outlineLevel="1" x14ac:dyDescent="0.25"/>
    <row r="4" spans="1:6" outlineLevel="1" x14ac:dyDescent="0.25">
      <c r="A4" s="13" t="s">
        <v>141</v>
      </c>
      <c r="B4" s="14" t="s">
        <v>123</v>
      </c>
      <c r="C4" s="14" t="s">
        <v>150</v>
      </c>
    </row>
    <row r="5" spans="1:6" outlineLevel="1" x14ac:dyDescent="0.25">
      <c r="A5" s="10" t="s">
        <v>145</v>
      </c>
      <c r="B5" s="26">
        <f>表_时空必成[[#Totals],[累计金币(J)]]</f>
        <v>1562.2779838709678</v>
      </c>
      <c r="C5" s="26">
        <f>表_时空必成[[#Totals],[累计点券]]</f>
        <v>88250</v>
      </c>
    </row>
    <row r="6" spans="1:6" outlineLevel="1" x14ac:dyDescent="0.25">
      <c r="A6" s="10" t="s">
        <v>142</v>
      </c>
      <c r="B6" s="26">
        <f>武器进化!B$10</f>
        <v>0</v>
      </c>
      <c r="C6" s="26">
        <f>武器进化!C$10</f>
        <v>0</v>
      </c>
      <c r="F6" t="s">
        <v>180</v>
      </c>
    </row>
    <row r="7" spans="1:6" outlineLevel="1" x14ac:dyDescent="0.25">
      <c r="A7" s="21" t="s">
        <v>153</v>
      </c>
      <c r="B7" s="26">
        <f>武器进化!B$14</f>
        <v>0</v>
      </c>
      <c r="C7" s="26">
        <f>武器进化!C$14</f>
        <v>0</v>
      </c>
    </row>
    <row r="8" spans="1:6" outlineLevel="1" x14ac:dyDescent="0.25">
      <c r="A8" s="10" t="s">
        <v>143</v>
      </c>
      <c r="B8" s="26">
        <f>B7+表_烛魔13到15保底[[#Totals],[累计金币(J)]]</f>
        <v>663.33</v>
      </c>
      <c r="C8" s="26">
        <f>C7+表_烛魔13到15保底[[#Totals],[累计点券]]</f>
        <v>43000</v>
      </c>
    </row>
    <row r="9" spans="1:6" outlineLevel="1" x14ac:dyDescent="0.25">
      <c r="A9" s="10" t="s">
        <v>144</v>
      </c>
      <c r="B9" s="26">
        <f>表_烛魔1到12必成[[#Totals],[累计金币(J)]]</f>
        <v>490.22</v>
      </c>
      <c r="C9" s="26">
        <f>表_烛魔1到12必成[[#Totals],[累计点券]]</f>
        <v>165000</v>
      </c>
    </row>
    <row r="10" spans="1:6" outlineLevel="1" x14ac:dyDescent="0.25">
      <c r="A10" s="119" t="s">
        <v>146</v>
      </c>
      <c r="B10" s="120">
        <f>表_时空必成[[#Totals],[累计金币(J)]]+武器进化!D$97</f>
        <v>1915.1140322580645</v>
      </c>
      <c r="C10" s="120">
        <f>表_时空必成[[#Totals],[累计点券]]+武器进化!E$97</f>
        <v>98750</v>
      </c>
    </row>
    <row r="11" spans="1:6" outlineLevel="1" x14ac:dyDescent="0.25">
      <c r="A11" s="121" t="s">
        <v>152</v>
      </c>
      <c r="B11" s="120">
        <f>武器进化!B$59</f>
        <v>4633.3564516129036</v>
      </c>
      <c r="C11" s="120">
        <f>武器进化!C$59</f>
        <v>22500</v>
      </c>
    </row>
    <row r="12" spans="1:6" outlineLevel="1" x14ac:dyDescent="0.25">
      <c r="A12" s="10" t="s">
        <v>172</v>
      </c>
      <c r="B12" s="26">
        <f>B10+武器进化!D$60</f>
        <v>2785.4766129032259</v>
      </c>
      <c r="C12" s="26">
        <f>C10+武器进化!E$60</f>
        <v>106250</v>
      </c>
    </row>
    <row r="13" spans="1:6" outlineLevel="1" x14ac:dyDescent="0.25">
      <c r="A13" s="10" t="s">
        <v>147</v>
      </c>
      <c r="B13" s="26">
        <f>B7+武器进化!D$98</f>
        <v>261.64999999999998</v>
      </c>
      <c r="C13" s="26">
        <f>C7+武器进化!E$98</f>
        <v>6000</v>
      </c>
    </row>
    <row r="14" spans="1:6" outlineLevel="1" x14ac:dyDescent="0.25">
      <c r="A14" s="21" t="s">
        <v>173</v>
      </c>
      <c r="B14" s="26">
        <f>武器进化!B$60</f>
        <v>5503.7190322580645</v>
      </c>
      <c r="C14" s="26">
        <f>武器进化!C$60</f>
        <v>30000</v>
      </c>
    </row>
    <row r="15" spans="1:6" outlineLevel="1" x14ac:dyDescent="0.25">
      <c r="A15" s="119" t="s">
        <v>149</v>
      </c>
      <c r="B15" s="120">
        <f>B13+武器进化!D$61</f>
        <v>1231.0625806451612</v>
      </c>
      <c r="C15" s="120">
        <f>C13+武器进化!E$61</f>
        <v>16500</v>
      </c>
    </row>
    <row r="16" spans="1:6" outlineLevel="1" x14ac:dyDescent="0.25">
      <c r="A16" s="119" t="s">
        <v>148</v>
      </c>
      <c r="B16" s="120">
        <f>B12+武器进化!D$61</f>
        <v>3754.8891935483871</v>
      </c>
      <c r="C16" s="120">
        <f>C12+武器进化!E$61</f>
        <v>116750</v>
      </c>
      <c r="D16" s="27">
        <f>B15-B16</f>
        <v>-2523.8266129032259</v>
      </c>
    </row>
    <row r="17" spans="1:4" outlineLevel="1" x14ac:dyDescent="0.25">
      <c r="A17" s="10" t="s">
        <v>291</v>
      </c>
      <c r="B17" s="26">
        <f>B10+SUM(武器进化!D60:D64)</f>
        <v>8254.320806451613</v>
      </c>
      <c r="C17" s="26">
        <f>C10+SUM(武器进化!E60:E64)</f>
        <v>154250</v>
      </c>
    </row>
    <row r="18" spans="1:4" outlineLevel="1" x14ac:dyDescent="0.25">
      <c r="A18" s="10" t="s">
        <v>289</v>
      </c>
      <c r="B18" s="120">
        <f>B9+武器进化!D99</f>
        <v>665.44822580645166</v>
      </c>
      <c r="C18" s="26">
        <f>C9+武器进化!E99</f>
        <v>174000</v>
      </c>
      <c r="D18" s="27">
        <f>C18-C15</f>
        <v>157500</v>
      </c>
    </row>
    <row r="19" spans="1:4" outlineLevel="1" x14ac:dyDescent="0.25">
      <c r="A19" s="105"/>
    </row>
    <row r="20" spans="1:4" outlineLevel="1" x14ac:dyDescent="0.25"/>
    <row r="21" spans="1:4" outlineLevel="1" x14ac:dyDescent="0.25"/>
    <row r="22" spans="1:4" outlineLevel="1" x14ac:dyDescent="0.25"/>
    <row r="23" spans="1:4" outlineLevel="1" x14ac:dyDescent="0.25"/>
    <row r="24" spans="1:4" outlineLevel="1" x14ac:dyDescent="0.25"/>
    <row r="25" spans="1:4" outlineLevel="1" x14ac:dyDescent="0.25"/>
    <row r="26" spans="1:4" outlineLevel="1" x14ac:dyDescent="0.25"/>
    <row r="27" spans="1:4" outlineLevel="1" x14ac:dyDescent="0.25"/>
    <row r="28" spans="1:4" outlineLevel="1" x14ac:dyDescent="0.25"/>
    <row r="29" spans="1:4" outlineLevel="1" x14ac:dyDescent="0.25"/>
    <row r="30" spans="1:4" outlineLevel="1" x14ac:dyDescent="0.25"/>
    <row r="31" spans="1:4" outlineLevel="1" x14ac:dyDescent="0.25"/>
    <row r="32" spans="1:4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spans="1:3" outlineLevel="1" x14ac:dyDescent="0.25"/>
    <row r="50" spans="1:3" outlineLevel="1" x14ac:dyDescent="0.25"/>
    <row r="51" spans="1:3" outlineLevel="1" x14ac:dyDescent="0.25"/>
    <row r="53" spans="1:3" x14ac:dyDescent="0.25">
      <c r="A53" s="28" t="s">
        <v>182</v>
      </c>
    </row>
    <row r="54" spans="1:3" outlineLevel="1" x14ac:dyDescent="0.25"/>
    <row r="55" spans="1:3" outlineLevel="1" x14ac:dyDescent="0.25">
      <c r="A55" s="13" t="s">
        <v>141</v>
      </c>
      <c r="B55" s="14" t="s">
        <v>123</v>
      </c>
      <c r="C55" s="14" t="s">
        <v>150</v>
      </c>
    </row>
    <row r="56" spans="1:3" outlineLevel="1" x14ac:dyDescent="0.25">
      <c r="A56" s="11" t="s">
        <v>160</v>
      </c>
      <c r="B56" s="29">
        <f>表_古代神首饰[[#Totals],[累计金币(J)]]</f>
        <v>451.49999999999989</v>
      </c>
      <c r="C56" s="29">
        <f>表_古代神首饰[[#Totals],[累计点券]]</f>
        <v>91500</v>
      </c>
    </row>
    <row r="57" spans="1:3" outlineLevel="1" x14ac:dyDescent="0.25">
      <c r="A57" s="121" t="s">
        <v>163</v>
      </c>
      <c r="B57" s="120">
        <f>B56+首饰进化!D76</f>
        <v>743.99999999999989</v>
      </c>
      <c r="C57" s="122">
        <f>C56+首饰进化!E76</f>
        <v>91500</v>
      </c>
    </row>
    <row r="58" spans="1:3" outlineLevel="1" x14ac:dyDescent="0.25">
      <c r="A58" s="121" t="s">
        <v>161</v>
      </c>
      <c r="B58" s="120">
        <f>首饰进化!B10</f>
        <v>1699.85</v>
      </c>
      <c r="C58" s="122">
        <f>首饰进化!C10</f>
        <v>12300</v>
      </c>
    </row>
    <row r="59" spans="1:3" outlineLevel="1" x14ac:dyDescent="0.25">
      <c r="A59" s="11" t="s">
        <v>165</v>
      </c>
      <c r="B59" s="26">
        <f>首饰进化!B24</f>
        <v>1637.1408064516129</v>
      </c>
      <c r="C59" s="29">
        <f>首饰进化!C24</f>
        <v>6600</v>
      </c>
    </row>
    <row r="60" spans="1:3" outlineLevel="1" x14ac:dyDescent="0.25">
      <c r="A60" s="11" t="s">
        <v>168</v>
      </c>
      <c r="B60" s="26">
        <f>B57+首饰进化!D77</f>
        <v>903.99999999999989</v>
      </c>
      <c r="C60" s="29">
        <f>C57+首饰进化!E77</f>
        <v>91500</v>
      </c>
    </row>
    <row r="61" spans="1:3" outlineLevel="1" x14ac:dyDescent="0.25">
      <c r="A61" s="11" t="s">
        <v>169</v>
      </c>
      <c r="B61" s="26">
        <f>B58+首饰进化!D77</f>
        <v>1859.85</v>
      </c>
      <c r="C61" s="29">
        <f>C58+首饰进化!E77</f>
        <v>12300</v>
      </c>
    </row>
    <row r="62" spans="1:3" outlineLevel="1" x14ac:dyDescent="0.25">
      <c r="A62" s="121" t="s">
        <v>164</v>
      </c>
      <c r="B62" s="120">
        <f>B57+SUM(首饰进化!D11:D14)</f>
        <v>2453.4</v>
      </c>
      <c r="C62" s="122">
        <f>C57+SUM(首饰进化!E11:E14)</f>
        <v>183000</v>
      </c>
    </row>
    <row r="63" spans="1:3" outlineLevel="1" x14ac:dyDescent="0.25">
      <c r="A63" s="121" t="s">
        <v>162</v>
      </c>
      <c r="B63" s="120">
        <f>表_破天首饰必成[[#Totals],[累计金币(J)]]</f>
        <v>3409.2499999999995</v>
      </c>
      <c r="C63" s="122">
        <f>表_破天首饰必成[[#Totals],[累计点券]]</f>
        <v>103800</v>
      </c>
    </row>
    <row r="64" spans="1:3" outlineLevel="1" x14ac:dyDescent="0.25">
      <c r="A64" s="11" t="s">
        <v>290</v>
      </c>
      <c r="B64" s="26">
        <f>B60+SUM(首饰进化!D25:D28)</f>
        <v>3380.5550806451611</v>
      </c>
      <c r="C64" s="29">
        <f>C60+SUM(首饰进化!E25:E28)</f>
        <v>109200</v>
      </c>
    </row>
    <row r="65" spans="1:3" outlineLevel="1" x14ac:dyDescent="0.25">
      <c r="A65" s="11" t="s">
        <v>167</v>
      </c>
      <c r="B65" s="26">
        <f>B62+首饰进化!D78</f>
        <v>2773.4</v>
      </c>
      <c r="C65" s="29">
        <f>C62+首饰进化!E78</f>
        <v>183000</v>
      </c>
    </row>
    <row r="66" spans="1:3" outlineLevel="1" x14ac:dyDescent="0.25">
      <c r="A66" s="11" t="s">
        <v>166</v>
      </c>
      <c r="B66" s="26">
        <f>首饰进化!B28</f>
        <v>4113.6958870967746</v>
      </c>
      <c r="C66" s="29">
        <f>首饰进化!C28</f>
        <v>24300</v>
      </c>
    </row>
    <row r="67" spans="1:3" outlineLevel="1" x14ac:dyDescent="0.25">
      <c r="A67" s="11" t="s">
        <v>170</v>
      </c>
      <c r="B67" s="26">
        <f>B63+首饰进化!D78</f>
        <v>3729.2499999999995</v>
      </c>
      <c r="C67" s="29">
        <f>C63+首饰进化!E78</f>
        <v>103800</v>
      </c>
    </row>
    <row r="68" spans="1:3" outlineLevel="1" x14ac:dyDescent="0.25">
      <c r="A68" s="11" t="s">
        <v>171</v>
      </c>
      <c r="B68" s="26">
        <f>B61+SUM(首饰进化!D25:D28)</f>
        <v>4336.4050806451614</v>
      </c>
      <c r="C68" s="29">
        <f>C61+SUM(首饰进化!E25:E28)</f>
        <v>30000</v>
      </c>
    </row>
    <row r="69" spans="1:3" outlineLevel="1" x14ac:dyDescent="0.25">
      <c r="A69" s="121" t="s">
        <v>183</v>
      </c>
      <c r="B69" s="122">
        <f>首饰进化!B64</f>
        <v>3904.2999999999997</v>
      </c>
      <c r="C69" s="122">
        <f>首饰进化!C64</f>
        <v>20400</v>
      </c>
    </row>
    <row r="70" spans="1:3" outlineLevel="1" x14ac:dyDescent="0.25">
      <c r="A70" s="121" t="s">
        <v>184</v>
      </c>
      <c r="B70" s="122">
        <f>B56+首饰进化!D79</f>
        <v>4701.5</v>
      </c>
      <c r="C70" s="122">
        <f>C56+首饰进化!E79</f>
        <v>91500</v>
      </c>
    </row>
    <row r="71" spans="1:3" outlineLevel="1" x14ac:dyDescent="0.25"/>
    <row r="72" spans="1:3" outlineLevel="1" x14ac:dyDescent="0.25"/>
    <row r="73" spans="1:3" outlineLevel="1" x14ac:dyDescent="0.25"/>
    <row r="74" spans="1:3" outlineLevel="1" x14ac:dyDescent="0.25"/>
    <row r="75" spans="1:3" outlineLevel="1" x14ac:dyDescent="0.25"/>
    <row r="76" spans="1:3" outlineLevel="1" x14ac:dyDescent="0.25"/>
    <row r="77" spans="1:3" outlineLevel="1" x14ac:dyDescent="0.25"/>
    <row r="78" spans="1:3" outlineLevel="1" x14ac:dyDescent="0.25"/>
    <row r="79" spans="1:3" outlineLevel="1" x14ac:dyDescent="0.25"/>
    <row r="80" spans="1:3" outlineLevel="1" x14ac:dyDescent="0.25"/>
    <row r="81" spans="1:3" outlineLevel="1" x14ac:dyDescent="0.25"/>
    <row r="82" spans="1:3" outlineLevel="1" x14ac:dyDescent="0.25"/>
    <row r="83" spans="1:3" outlineLevel="1" x14ac:dyDescent="0.25"/>
    <row r="84" spans="1:3" outlineLevel="1" x14ac:dyDescent="0.25"/>
    <row r="85" spans="1:3" outlineLevel="1" x14ac:dyDescent="0.25"/>
    <row r="86" spans="1:3" outlineLevel="1" x14ac:dyDescent="0.25"/>
    <row r="87" spans="1:3" outlineLevel="1" x14ac:dyDescent="0.25"/>
    <row r="88" spans="1:3" outlineLevel="1" x14ac:dyDescent="0.25"/>
    <row r="89" spans="1:3" outlineLevel="1" x14ac:dyDescent="0.25"/>
    <row r="90" spans="1:3" outlineLevel="1" x14ac:dyDescent="0.25"/>
    <row r="91" spans="1:3" outlineLevel="1" x14ac:dyDescent="0.25"/>
    <row r="93" spans="1:3" x14ac:dyDescent="0.25">
      <c r="A93" s="28" t="s">
        <v>292</v>
      </c>
    </row>
    <row r="94" spans="1:3" outlineLevel="1" x14ac:dyDescent="0.25">
      <c r="A94" s="13" t="s">
        <v>141</v>
      </c>
      <c r="B94" s="14" t="s">
        <v>123</v>
      </c>
      <c r="C94" s="14" t="s">
        <v>150</v>
      </c>
    </row>
    <row r="95" spans="1:3" outlineLevel="1" x14ac:dyDescent="0.25">
      <c r="A95" s="11" t="s">
        <v>293</v>
      </c>
      <c r="B95" s="29">
        <f>表_破天魂[[#Totals],[累计金币(J)]]</f>
        <v>1745.5</v>
      </c>
      <c r="C95" s="29">
        <f>表_破天魂[[#Totals],[累计点券]]</f>
        <v>72900</v>
      </c>
    </row>
    <row r="96" spans="1:3" outlineLevel="1" x14ac:dyDescent="0.25">
      <c r="A96" s="106" t="s">
        <v>303</v>
      </c>
      <c r="B96" s="123">
        <f>灵核进化!B28</f>
        <v>5865.2999999999993</v>
      </c>
      <c r="C96" s="107">
        <f>灵核进化!C28</f>
        <v>29100</v>
      </c>
    </row>
    <row r="97" spans="1:6" outlineLevel="1" x14ac:dyDescent="0.25">
      <c r="A97" s="108" t="s">
        <v>295</v>
      </c>
      <c r="B97" s="123">
        <f>B95+灵核进化!D64</f>
        <v>1783</v>
      </c>
      <c r="C97" s="107">
        <f>C95+灵核进化!E64</f>
        <v>84900</v>
      </c>
    </row>
    <row r="98" spans="1:6" outlineLevel="1" x14ac:dyDescent="0.25">
      <c r="A98" s="11" t="s">
        <v>294</v>
      </c>
      <c r="B98" s="26">
        <f>灵核进化!B32</f>
        <v>11875.300000000001</v>
      </c>
      <c r="C98" s="29">
        <f>灵核进化!C32</f>
        <v>104100</v>
      </c>
    </row>
    <row r="99" spans="1:6" outlineLevel="1" x14ac:dyDescent="0.25">
      <c r="A99" s="11" t="s">
        <v>296</v>
      </c>
      <c r="B99" s="26">
        <f>B97+SUM(灵核进化!D29:D32)</f>
        <v>7793</v>
      </c>
      <c r="C99" s="29">
        <f>C97+SUM(灵核进化!E29:E32)</f>
        <v>159900</v>
      </c>
    </row>
    <row r="100" spans="1:6" outlineLevel="1" x14ac:dyDescent="0.25">
      <c r="A100" s="109" t="s">
        <v>297</v>
      </c>
      <c r="B100" s="123">
        <f>表_建元魂[[#Totals],[累计金币(J)]]</f>
        <v>18055.600000000002</v>
      </c>
      <c r="C100" s="110">
        <f>表_建元魂[[#Totals],[累计点券]]</f>
        <v>185100</v>
      </c>
    </row>
    <row r="101" spans="1:6" outlineLevel="1" x14ac:dyDescent="0.25">
      <c r="A101" s="109" t="s">
        <v>304</v>
      </c>
      <c r="B101" s="123">
        <f>B99+SUM(灵核进化!D33:D35)</f>
        <v>13973.3</v>
      </c>
      <c r="C101" s="110">
        <f>C99+SUM(灵核进化!E33:E35)</f>
        <v>240900</v>
      </c>
    </row>
    <row r="102" spans="1:6" outlineLevel="1" x14ac:dyDescent="0.25">
      <c r="A102" s="11" t="s">
        <v>300</v>
      </c>
      <c r="B102" s="26">
        <f>灵核进化!B49</f>
        <v>700</v>
      </c>
      <c r="C102" s="29">
        <f>灵核进化!C49</f>
        <v>0</v>
      </c>
    </row>
    <row r="103" spans="1:6" outlineLevel="1" x14ac:dyDescent="0.25">
      <c r="A103" s="11" t="s">
        <v>298</v>
      </c>
      <c r="B103" s="26">
        <f>D103</f>
        <v>7793</v>
      </c>
      <c r="C103" s="29">
        <f ca="1">F103</f>
        <v>159900</v>
      </c>
      <c r="D103" s="112">
        <f>MIN(B98:B99)</f>
        <v>7793</v>
      </c>
      <c r="E103" s="113">
        <f>MATCH(D103,B98:B99,0)</f>
        <v>2</v>
      </c>
      <c r="F103" s="113">
        <f ca="1">OFFSET(C98,E103-1,0,1,1)</f>
        <v>159900</v>
      </c>
    </row>
    <row r="104" spans="1:6" outlineLevel="1" x14ac:dyDescent="0.25">
      <c r="A104" s="109" t="s">
        <v>302</v>
      </c>
      <c r="B104" s="123">
        <f>灵核进化!B52</f>
        <v>700</v>
      </c>
      <c r="C104" s="110">
        <f>灵核进化!C52</f>
        <v>0</v>
      </c>
      <c r="D104" s="113"/>
      <c r="E104" s="113"/>
      <c r="F104" s="113"/>
    </row>
    <row r="105" spans="1:6" outlineLevel="1" x14ac:dyDescent="0.25">
      <c r="A105" s="109" t="s">
        <v>305</v>
      </c>
      <c r="B105" s="123">
        <f>B103+SUM(灵核进化!D50:D52)</f>
        <v>7793</v>
      </c>
      <c r="C105" s="110">
        <f ca="1">C103+SUM(灵核进化!E50:E52)</f>
        <v>159900</v>
      </c>
      <c r="D105" s="112"/>
      <c r="E105" s="113"/>
      <c r="F105" s="113"/>
    </row>
    <row r="106" spans="1:6" outlineLevel="1" x14ac:dyDescent="0.25">
      <c r="A106" s="109" t="s">
        <v>299</v>
      </c>
      <c r="B106" s="123">
        <f>D106</f>
        <v>13973.3</v>
      </c>
      <c r="C106" s="110">
        <f ca="1">F106</f>
        <v>240900</v>
      </c>
      <c r="D106" s="112">
        <f>MIN(B100:B101)</f>
        <v>13973.3</v>
      </c>
      <c r="E106" s="113">
        <f>MATCH(D106,B100:B101,0)</f>
        <v>2</v>
      </c>
      <c r="F106" s="113">
        <f ca="1">OFFSET(C100,E106-1,0,1,1)</f>
        <v>240900</v>
      </c>
    </row>
    <row r="107" spans="1:6" outlineLevel="1" x14ac:dyDescent="0.25">
      <c r="A107" s="21" t="s">
        <v>301</v>
      </c>
      <c r="B107" s="26">
        <f>表_天乾魂[[#Totals],[累计金币(J)]]</f>
        <v>11747.625</v>
      </c>
      <c r="C107" s="111">
        <f>表_天乾魂[[#Totals],[累计点券]]</f>
        <v>182500</v>
      </c>
    </row>
    <row r="108" spans="1:6" outlineLevel="1" x14ac:dyDescent="0.25">
      <c r="A108" s="21" t="s">
        <v>306</v>
      </c>
      <c r="B108" s="26">
        <f>B105+SUM(灵核进化!D53:D56)</f>
        <v>18840.625</v>
      </c>
      <c r="C108" s="111">
        <f ca="1">C105+SUM(灵核进化!E53:E56)</f>
        <v>342400</v>
      </c>
    </row>
    <row r="109" spans="1:6" outlineLevel="1" x14ac:dyDescent="0.25">
      <c r="A109" s="21" t="s">
        <v>307</v>
      </c>
      <c r="B109" s="26">
        <f>B106+SUM(灵核进化!D53:D56)</f>
        <v>25020.924999999999</v>
      </c>
      <c r="C109" s="111">
        <f ca="1">C106+SUM(灵核进化!E53:E56)</f>
        <v>423400</v>
      </c>
    </row>
    <row r="110" spans="1:6" outlineLevel="1" x14ac:dyDescent="0.25"/>
    <row r="111" spans="1:6" outlineLevel="1" x14ac:dyDescent="0.25"/>
    <row r="112" spans="1:6" outlineLevel="1" x14ac:dyDescent="0.25"/>
    <row r="113" outlineLevel="1" x14ac:dyDescent="0.25"/>
    <row r="114" outlineLevel="1" x14ac:dyDescent="0.25"/>
    <row r="115" outlineLevel="1" x14ac:dyDescent="0.25"/>
    <row r="116" outlineLevel="1" x14ac:dyDescent="0.25"/>
    <row r="117" outlineLevel="1" x14ac:dyDescent="0.25"/>
    <row r="118" outlineLevel="1" x14ac:dyDescent="0.25"/>
    <row r="119" outlineLevel="1" x14ac:dyDescent="0.25"/>
    <row r="120" outlineLevel="1" x14ac:dyDescent="0.25"/>
    <row r="121" outlineLevel="1" x14ac:dyDescent="0.25"/>
    <row r="122" outlineLevel="1" x14ac:dyDescent="0.25"/>
    <row r="123" outlineLevel="1" x14ac:dyDescent="0.25"/>
    <row r="124" outlineLevel="1" x14ac:dyDescent="0.25"/>
    <row r="125" outlineLevel="1" x14ac:dyDescent="0.25"/>
    <row r="126" outlineLevel="1" x14ac:dyDescent="0.25"/>
    <row r="127" outlineLevel="1" x14ac:dyDescent="0.25"/>
    <row r="128" outlineLevel="1" x14ac:dyDescent="0.25"/>
    <row r="131" spans="1:3" x14ac:dyDescent="0.25">
      <c r="A131" t="s">
        <v>410</v>
      </c>
    </row>
    <row r="132" spans="1:3" x14ac:dyDescent="0.25">
      <c r="A132" s="13" t="s">
        <v>141</v>
      </c>
      <c r="B132" s="14" t="s">
        <v>123</v>
      </c>
      <c r="C132" s="14" t="s">
        <v>150</v>
      </c>
    </row>
    <row r="133" spans="1:3" x14ac:dyDescent="0.25">
      <c r="A133" s="10" t="s">
        <v>413</v>
      </c>
      <c r="B133" s="26">
        <f>表_时空元气石必成[[#Totals],[累计金币(J)]]+表_天空元气石必成[[#Totals],[累计金币(J)]]+元气石进化!D30</f>
        <v>1405.1969354838709</v>
      </c>
      <c r="C133" s="26">
        <f>表_时空元气石必成[[#Totals],[累计金币(J)]]+表_天空元气石必成[[#Totals],[累计金币(J)]]+元气石进化!E30</f>
        <v>5672.6</v>
      </c>
    </row>
    <row r="134" spans="1:3" x14ac:dyDescent="0.25">
      <c r="A134" s="10" t="s">
        <v>142</v>
      </c>
      <c r="B134" s="26">
        <f>元气石进化!B10</f>
        <v>0</v>
      </c>
      <c r="C134" s="26">
        <f>元气石进化!C10</f>
        <v>0</v>
      </c>
    </row>
    <row r="135" spans="1:3" x14ac:dyDescent="0.25">
      <c r="A135" s="21" t="s">
        <v>153</v>
      </c>
      <c r="B135" s="26">
        <f>元气石进化!B14</f>
        <v>1094.25</v>
      </c>
      <c r="C135" s="26">
        <f>元气石进化!C14</f>
        <v>22500</v>
      </c>
    </row>
    <row r="136" spans="1:3" x14ac:dyDescent="0.25">
      <c r="A136" s="10" t="s">
        <v>144</v>
      </c>
      <c r="B136" s="26">
        <f>表_烛魔元气石必成[[#Totals],[累计金币(J)]]</f>
        <v>3847.59</v>
      </c>
      <c r="C136" s="26">
        <f>表_烛魔元气石必成[[#Totals],[累计点券]]</f>
        <v>69000</v>
      </c>
    </row>
    <row r="137" spans="1:3" x14ac:dyDescent="0.25">
      <c r="A137" s="10" t="s">
        <v>147</v>
      </c>
      <c r="B137" s="26">
        <f>B135+元气石进化!D26</f>
        <v>1508.4812903225807</v>
      </c>
      <c r="C137" s="26">
        <f>C135+元气石进化!E26</f>
        <v>25500</v>
      </c>
    </row>
    <row r="138" spans="1:3" x14ac:dyDescent="0.25">
      <c r="A138" s="21" t="s">
        <v>173</v>
      </c>
      <c r="B138" s="26">
        <f>元气石进化!B49</f>
        <v>1442.8958870967745</v>
      </c>
      <c r="C138" s="26">
        <f>元气石进化!C49</f>
        <v>61500</v>
      </c>
    </row>
    <row r="139" spans="1:3" x14ac:dyDescent="0.25">
      <c r="A139" s="10" t="s">
        <v>149</v>
      </c>
      <c r="B139" s="26">
        <f>B137+元气石进化!D26</f>
        <v>1922.7125806451613</v>
      </c>
      <c r="C139" s="26">
        <f>C137+武器进化!E$61</f>
        <v>36000</v>
      </c>
    </row>
    <row r="140" spans="1:3" x14ac:dyDescent="0.25">
      <c r="A140" s="21" t="s">
        <v>412</v>
      </c>
      <c r="B140" s="26">
        <f>元气石进化!B50</f>
        <v>1925.6492741935485</v>
      </c>
      <c r="C140" s="26">
        <f>元气石进化!C50</f>
        <v>81000</v>
      </c>
    </row>
    <row r="141" spans="1:3" x14ac:dyDescent="0.25">
      <c r="A141" s="10" t="s">
        <v>289</v>
      </c>
      <c r="B141" s="26">
        <f>B136+元气石进化!D28</f>
        <v>4005.9525806451616</v>
      </c>
      <c r="C141" s="26">
        <f>C136+元气石进化!E28</f>
        <v>70500</v>
      </c>
    </row>
    <row r="142" spans="1:3" x14ac:dyDescent="0.25">
      <c r="A142" s="10" t="s">
        <v>411</v>
      </c>
      <c r="B142" s="26">
        <f>B137+元气石进化!D50+元气石进化!D51+元气石进化!D52+元气石进化!D53</f>
        <v>3826.6087903225807</v>
      </c>
      <c r="C142" s="26">
        <f>C137+元气石进化!E50+元气石进化!E51+元气石进化!E52+元气石进化!E53</f>
        <v>54000</v>
      </c>
    </row>
  </sheetData>
  <phoneticPr fontId="10" type="noConversion"/>
  <conditionalFormatting sqref="B12:B14">
    <cfRule type="top10" dxfId="1217" priority="32" bottom="1" rank="1"/>
  </conditionalFormatting>
  <conditionalFormatting sqref="B10:B11">
    <cfRule type="top10" dxfId="1216" priority="31" bottom="1" rank="1"/>
  </conditionalFormatting>
  <conditionalFormatting sqref="B15:B16">
    <cfRule type="top10" dxfId="1215" priority="30" bottom="1" rank="1"/>
  </conditionalFormatting>
  <conditionalFormatting sqref="B17:B18">
    <cfRule type="top10" dxfId="1214" priority="29" bottom="1" rank="1"/>
  </conditionalFormatting>
  <conditionalFormatting sqref="B59:B61">
    <cfRule type="top10" dxfId="1213" priority="24" bottom="1" rank="1"/>
  </conditionalFormatting>
  <conditionalFormatting sqref="B57:B58">
    <cfRule type="top10" dxfId="1212" priority="23" bottom="1" rank="1"/>
  </conditionalFormatting>
  <conditionalFormatting sqref="B62:B63">
    <cfRule type="top10" dxfId="1211" priority="22" bottom="1" rank="1"/>
  </conditionalFormatting>
  <conditionalFormatting sqref="B64:B68">
    <cfRule type="top10" dxfId="1210" priority="21" bottom="1" rank="1"/>
  </conditionalFormatting>
  <conditionalFormatting sqref="B96:B97">
    <cfRule type="top10" dxfId="1209" priority="20" bottom="1" rank="1"/>
  </conditionalFormatting>
  <conditionalFormatting sqref="B100:B101">
    <cfRule type="top10" dxfId="1208" priority="19" bottom="1" rank="1"/>
  </conditionalFormatting>
  <conditionalFormatting sqref="B98:B99">
    <cfRule type="top10" dxfId="1207" priority="18" bottom="1" rank="1"/>
  </conditionalFormatting>
  <conditionalFormatting sqref="B102:B103">
    <cfRule type="top10" dxfId="1206" priority="17" bottom="1" rank="1"/>
  </conditionalFormatting>
  <conditionalFormatting sqref="B104:B106">
    <cfRule type="top10" dxfId="1205" priority="16" bottom="1" rank="1"/>
  </conditionalFormatting>
  <conditionalFormatting sqref="B107:B109">
    <cfRule type="top10" dxfId="1204" priority="15" bottom="1" rank="1"/>
  </conditionalFormatting>
  <conditionalFormatting sqref="B137:B138">
    <cfRule type="top10" dxfId="1203" priority="6" bottom="1" rank="1"/>
  </conditionalFormatting>
  <conditionalFormatting sqref="C137:C138">
    <cfRule type="top10" dxfId="1202" priority="5" bottom="1" rank="1"/>
  </conditionalFormatting>
  <conditionalFormatting sqref="B139:B140">
    <cfRule type="top10" dxfId="1201" priority="4" bottom="1" rank="1"/>
  </conditionalFormatting>
  <conditionalFormatting sqref="C139:C140">
    <cfRule type="top10" dxfId="1200" priority="3" bottom="1" rank="1"/>
  </conditionalFormatting>
  <conditionalFormatting sqref="B141:B142">
    <cfRule type="top10" dxfId="1199" priority="2" bottom="1" rank="1"/>
  </conditionalFormatting>
  <conditionalFormatting sqref="C141:C142">
    <cfRule type="top10" dxfId="1198" priority="1" bottom="1" rank="1"/>
  </conditionalFormatting>
  <pageMargins left="0.7" right="0.7" top="0.75" bottom="0.75" header="0.3" footer="0.3"/>
  <pageSetup paperSize="9" orientation="portrait" r:id="rId1"/>
  <ignoredErrors>
    <ignoredError sqref="B138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26"/>
  <sheetViews>
    <sheetView zoomScale="85" zoomScaleNormal="85" workbookViewId="0">
      <pane xSplit="4" topLeftCell="E1" activePane="topRight" state="frozen"/>
      <selection pane="topRight" activeCell="H6" sqref="H6"/>
    </sheetView>
  </sheetViews>
  <sheetFormatPr defaultRowHeight="14.4" x14ac:dyDescent="0.25"/>
  <cols>
    <col min="1" max="1" width="8.88671875" customWidth="1"/>
    <col min="2" max="2" width="16.88671875" customWidth="1"/>
    <col min="3" max="3" width="11.88671875" customWidth="1"/>
    <col min="4" max="4" width="11.109375" customWidth="1"/>
    <col min="5" max="5" width="20" customWidth="1"/>
    <col min="6" max="6" width="15.44140625" customWidth="1"/>
    <col min="7" max="17" width="15.77734375" customWidth="1"/>
    <col min="18" max="18" width="13.88671875" customWidth="1"/>
    <col min="19" max="19" width="12.88671875" customWidth="1"/>
    <col min="20" max="20" width="13.21875" customWidth="1"/>
    <col min="21" max="21" width="13.88671875" customWidth="1"/>
  </cols>
  <sheetData>
    <row r="2" spans="1:22" x14ac:dyDescent="0.25">
      <c r="F2" s="43" t="s">
        <v>212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42" t="s">
        <v>211</v>
      </c>
      <c r="S2" s="41"/>
      <c r="T2" s="41"/>
      <c r="U2" s="41"/>
    </row>
    <row r="3" spans="1:22" ht="34.200000000000003" customHeight="1" thickBot="1" x14ac:dyDescent="0.3">
      <c r="B3" s="98" t="s">
        <v>334</v>
      </c>
      <c r="C3" s="98" t="s">
        <v>336</v>
      </c>
      <c r="D3" s="98" t="s">
        <v>335</v>
      </c>
      <c r="E3" s="98" t="s">
        <v>332</v>
      </c>
      <c r="F3" s="58" t="s">
        <v>185</v>
      </c>
      <c r="G3" s="59" t="s">
        <v>339</v>
      </c>
      <c r="H3" s="60" t="s">
        <v>328</v>
      </c>
      <c r="I3" s="60" t="s">
        <v>2</v>
      </c>
      <c r="J3" s="60" t="s">
        <v>3</v>
      </c>
      <c r="K3" s="60" t="s">
        <v>1</v>
      </c>
      <c r="L3" s="60" t="s">
        <v>0</v>
      </c>
      <c r="M3" s="60" t="s">
        <v>330</v>
      </c>
      <c r="N3" s="60" t="s">
        <v>202</v>
      </c>
      <c r="O3" s="60" t="s">
        <v>203</v>
      </c>
      <c r="P3" s="60" t="s">
        <v>204</v>
      </c>
      <c r="Q3" s="60" t="s">
        <v>205</v>
      </c>
      <c r="R3" s="61" t="s">
        <v>206</v>
      </c>
      <c r="S3" s="62" t="s">
        <v>207</v>
      </c>
      <c r="T3" s="62" t="s">
        <v>208</v>
      </c>
      <c r="U3" s="62" t="s">
        <v>209</v>
      </c>
      <c r="V3" s="62" t="s">
        <v>210</v>
      </c>
    </row>
    <row r="4" spans="1:22" ht="15" thickTop="1" x14ac:dyDescent="0.25">
      <c r="A4" t="s">
        <v>333</v>
      </c>
      <c r="B4" s="55">
        <f>IF(A4="○",SUMPRODUCT(表_制作[[#This Row],[神龙金属]:[列12]],表_制作[[#Totals],[神龙金属]:[列12]])+表_制作[[#This Row],[手续费(J)]]*折扣,0)</f>
        <v>68.699999999999989</v>
      </c>
      <c r="C4" s="55">
        <v>8</v>
      </c>
      <c r="D4" s="137">
        <f>表_制作[[#This Row],[合计金币(J)]]/表_制作[[#This Row],[数量]]</f>
        <v>8.5874999999999986</v>
      </c>
      <c r="E4" s="140" t="s">
        <v>414</v>
      </c>
      <c r="F4" s="34">
        <v>0.8</v>
      </c>
      <c r="G4" s="34">
        <v>6</v>
      </c>
      <c r="H4" s="34">
        <v>6</v>
      </c>
      <c r="I4" s="34">
        <v>95</v>
      </c>
      <c r="J4" s="34">
        <v>9</v>
      </c>
      <c r="K4" s="34">
        <v>95</v>
      </c>
      <c r="L4" s="34">
        <v>9</v>
      </c>
      <c r="M4" s="34">
        <v>1</v>
      </c>
      <c r="N4" s="34"/>
      <c r="O4" s="34"/>
      <c r="P4" s="34"/>
      <c r="Q4" s="34"/>
      <c r="R4" s="32"/>
      <c r="S4" s="34"/>
      <c r="T4" s="34"/>
      <c r="U4" s="34"/>
      <c r="V4" s="34"/>
    </row>
    <row r="5" spans="1:22" x14ac:dyDescent="0.25">
      <c r="A5" t="s">
        <v>333</v>
      </c>
      <c r="B5" s="36">
        <f>IF(A5="○",SUMPRODUCT(表_制作[[#This Row],[神龙金属]:[列12]],表_制作[[#Totals],[神龙金属]:[列12]])+表_制作[[#This Row],[手续费(J)]]*折扣,0)</f>
        <v>128.84</v>
      </c>
      <c r="C5" s="36">
        <v>16</v>
      </c>
      <c r="D5" s="138">
        <f>表_制作[[#This Row],[合计金币(J)]]/表_制作[[#This Row],[数量]]</f>
        <v>8.0525000000000002</v>
      </c>
      <c r="E5" s="140" t="s">
        <v>415</v>
      </c>
      <c r="F5" s="11">
        <v>1.52</v>
      </c>
      <c r="G5" s="11">
        <v>13</v>
      </c>
      <c r="H5" s="11">
        <v>13</v>
      </c>
      <c r="I5" s="11">
        <v>175</v>
      </c>
      <c r="J5" s="11">
        <v>17</v>
      </c>
      <c r="K5" s="11">
        <v>175</v>
      </c>
      <c r="L5" s="11">
        <v>17</v>
      </c>
      <c r="M5" s="11">
        <v>2</v>
      </c>
      <c r="N5" s="11"/>
      <c r="O5" s="11"/>
      <c r="P5" s="11"/>
      <c r="Q5" s="11"/>
      <c r="R5" s="30"/>
      <c r="S5" s="34"/>
      <c r="T5" s="34"/>
      <c r="U5" s="34"/>
      <c r="V5" s="34"/>
    </row>
    <row r="6" spans="1:22" x14ac:dyDescent="0.25">
      <c r="A6" t="s">
        <v>333</v>
      </c>
      <c r="B6" s="36">
        <f>IF(A6="○",SUMPRODUCT(表_制作[[#This Row],[神龙金属]:[列12]],表_制作[[#Totals],[神龙金属]:[列12]])+表_制作[[#This Row],[手续费(J)]]*折扣,0)</f>
        <v>240.49250000000001</v>
      </c>
      <c r="C6" s="36">
        <v>31</v>
      </c>
      <c r="D6" s="138">
        <f>表_制作[[#This Row],[合计金币(J)]]/表_制作[[#This Row],[数量]]</f>
        <v>7.7578225806451613</v>
      </c>
      <c r="E6" s="140" t="s">
        <v>416</v>
      </c>
      <c r="F6" s="11">
        <v>2.79</v>
      </c>
      <c r="G6" s="11">
        <v>27</v>
      </c>
      <c r="H6" s="11">
        <v>27</v>
      </c>
      <c r="I6" s="11">
        <v>320</v>
      </c>
      <c r="J6" s="11">
        <v>32</v>
      </c>
      <c r="K6" s="11">
        <v>320</v>
      </c>
      <c r="L6" s="11">
        <v>32</v>
      </c>
      <c r="M6" s="11">
        <v>3</v>
      </c>
      <c r="N6" s="11"/>
      <c r="O6" s="11"/>
      <c r="P6" s="11"/>
      <c r="Q6" s="11"/>
      <c r="R6" s="30"/>
      <c r="S6" s="34"/>
      <c r="T6" s="34"/>
      <c r="U6" s="34"/>
      <c r="V6" s="34"/>
    </row>
    <row r="7" spans="1:22" x14ac:dyDescent="0.25">
      <c r="A7" t="s">
        <v>333</v>
      </c>
      <c r="B7" s="36">
        <f>IF(A7="○",SUMPRODUCT(表_制作[[#This Row],[神龙金属]:[列12]],表_制作[[#Totals],[神龙金属]:[列12]])+表_制作[[#This Row],[手续费(J)]]*折扣,0)</f>
        <v>145.85</v>
      </c>
      <c r="C7" s="36">
        <v>1</v>
      </c>
      <c r="D7" s="138">
        <f>表_制作[[#This Row],[合计金币(J)]]/表_制作[[#This Row],[数量]]</f>
        <v>145.85</v>
      </c>
      <c r="E7" s="141" t="s">
        <v>337</v>
      </c>
      <c r="F7" s="11">
        <v>10.8</v>
      </c>
      <c r="G7" s="11">
        <v>23</v>
      </c>
      <c r="H7" s="11">
        <v>23</v>
      </c>
      <c r="I7" s="11">
        <v>70</v>
      </c>
      <c r="J7" s="11">
        <v>23</v>
      </c>
      <c r="K7" s="11">
        <v>70</v>
      </c>
      <c r="L7" s="11">
        <v>23</v>
      </c>
      <c r="M7" s="11">
        <v>3</v>
      </c>
      <c r="N7" s="11"/>
      <c r="O7" s="11"/>
      <c r="P7" s="11"/>
      <c r="Q7" s="11"/>
      <c r="R7" s="30"/>
      <c r="S7" s="34"/>
      <c r="T7" s="34"/>
      <c r="U7" s="34"/>
      <c r="V7" s="34"/>
    </row>
    <row r="8" spans="1:22" x14ac:dyDescent="0.25">
      <c r="A8" t="s">
        <v>333</v>
      </c>
      <c r="B8" s="36">
        <f>IF(A8="○",SUMPRODUCT(表_制作[[#This Row],[神龙金属]:[列12]],表_制作[[#Totals],[神龙金属]:[列12]])+表_制作[[#This Row],[手续费(J)]]*折扣,0)</f>
        <v>407.87249999999995</v>
      </c>
      <c r="C8" s="36">
        <v>3</v>
      </c>
      <c r="D8" s="138">
        <f>表_制作[[#This Row],[合计金币(J)]]/表_制作[[#This Row],[数量]]</f>
        <v>135.95749999999998</v>
      </c>
      <c r="E8" s="141" t="s">
        <v>338</v>
      </c>
      <c r="F8" s="11">
        <v>40.950000000000003</v>
      </c>
      <c r="G8" s="11">
        <v>85</v>
      </c>
      <c r="H8" s="11">
        <v>85</v>
      </c>
      <c r="I8" s="11">
        <v>191</v>
      </c>
      <c r="J8" s="11">
        <v>63</v>
      </c>
      <c r="K8" s="11">
        <v>191</v>
      </c>
      <c r="L8" s="11">
        <v>63</v>
      </c>
      <c r="M8" s="11">
        <v>6</v>
      </c>
      <c r="N8" s="11"/>
      <c r="O8" s="11"/>
      <c r="P8" s="11"/>
      <c r="Q8" s="11"/>
      <c r="R8" s="30"/>
      <c r="S8" s="11"/>
      <c r="T8" s="11"/>
      <c r="U8" s="11"/>
      <c r="V8" s="11"/>
    </row>
    <row r="9" spans="1:22" x14ac:dyDescent="0.25">
      <c r="A9" t="s">
        <v>333</v>
      </c>
      <c r="B9" s="38">
        <f>IF(A9="○",SUMPRODUCT(表_制作[[#This Row],[神龙金属]:[列12]],表_制作[[#Totals],[神龙金属]:[列12]])+表_制作[[#This Row],[手续费(J)]]*折扣,0)</f>
        <v>20.594999999999999</v>
      </c>
      <c r="C9" s="38">
        <v>3</v>
      </c>
      <c r="D9" s="139">
        <f>表_制作[[#This Row],[合计金币(J)]]/表_制作[[#This Row],[数量]]</f>
        <v>6.8649999999999993</v>
      </c>
      <c r="E9" s="141" t="s">
        <v>342</v>
      </c>
      <c r="F9" s="25">
        <v>4.5</v>
      </c>
      <c r="G9" s="25">
        <v>12</v>
      </c>
      <c r="H9" s="25">
        <v>12</v>
      </c>
      <c r="I9" s="25">
        <v>82</v>
      </c>
      <c r="J9" s="25"/>
      <c r="K9" s="25">
        <v>82</v>
      </c>
      <c r="L9" s="25"/>
      <c r="M9" s="25"/>
      <c r="N9" s="25"/>
      <c r="O9" s="25"/>
      <c r="P9" s="25"/>
      <c r="Q9" s="25"/>
      <c r="R9" s="31"/>
      <c r="S9" s="25"/>
      <c r="T9" s="25"/>
      <c r="U9" s="25"/>
      <c r="V9" s="25"/>
    </row>
    <row r="10" spans="1:22" x14ac:dyDescent="0.25">
      <c r="A10" t="s">
        <v>333</v>
      </c>
      <c r="B10" s="36">
        <f>IF(A10="○",SUMPRODUCT(表_制作[[#This Row],[神龙金属]:[列12]],表_制作[[#Totals],[神龙金属]:[列12]])+表_制作[[#This Row],[手续费(J)]]*折扣,0)</f>
        <v>95.242499999999993</v>
      </c>
      <c r="C10" s="36">
        <v>5</v>
      </c>
      <c r="D10" s="138">
        <f>表_制作[[#This Row],[合计金币(J)]]/表_制作[[#This Row],[数量]]</f>
        <v>19.048499999999997</v>
      </c>
      <c r="E10" s="141" t="s">
        <v>343</v>
      </c>
      <c r="F10" s="11">
        <v>7.11</v>
      </c>
      <c r="G10" s="11">
        <v>25</v>
      </c>
      <c r="H10" s="11">
        <v>25</v>
      </c>
      <c r="I10" s="11">
        <v>46</v>
      </c>
      <c r="J10" s="11">
        <v>15</v>
      </c>
      <c r="K10" s="11">
        <v>46</v>
      </c>
      <c r="L10" s="11">
        <v>15</v>
      </c>
      <c r="M10" s="11"/>
      <c r="N10" s="11"/>
      <c r="O10" s="11"/>
      <c r="P10" s="11"/>
      <c r="Q10" s="11"/>
      <c r="R10" s="30"/>
      <c r="S10" s="11"/>
      <c r="T10" s="11"/>
      <c r="U10" s="11"/>
      <c r="V10" s="11"/>
    </row>
    <row r="11" spans="1:22" x14ac:dyDescent="0.25">
      <c r="A11" t="s">
        <v>333</v>
      </c>
      <c r="B11" s="36">
        <f>IF(A11="○",SUMPRODUCT(表_制作[[#This Row],[神龙金属]:[列12]],表_制作[[#Totals],[神龙金属]:[列12]])+表_制作[[#This Row],[手续费(J)]]*折扣,0)</f>
        <v>183.755</v>
      </c>
      <c r="C11" s="36">
        <v>10</v>
      </c>
      <c r="D11" s="138">
        <f>表_制作[[#This Row],[合计金币(J)]]/表_制作[[#This Row],[数量]]</f>
        <v>18.375499999999999</v>
      </c>
      <c r="E11" s="141" t="s">
        <v>344</v>
      </c>
      <c r="F11" s="11">
        <v>13.5</v>
      </c>
      <c r="G11" s="11">
        <v>56</v>
      </c>
      <c r="H11" s="11">
        <v>56</v>
      </c>
      <c r="I11" s="11">
        <v>88</v>
      </c>
      <c r="J11" s="11">
        <v>29</v>
      </c>
      <c r="K11" s="11">
        <v>88</v>
      </c>
      <c r="L11" s="11">
        <v>29</v>
      </c>
      <c r="M11" s="11"/>
      <c r="N11" s="11"/>
      <c r="O11" s="11"/>
      <c r="P11" s="11"/>
      <c r="Q11" s="11"/>
      <c r="R11" s="30"/>
      <c r="S11" s="11"/>
      <c r="T11" s="11"/>
      <c r="U11" s="11"/>
      <c r="V11" s="11"/>
    </row>
    <row r="12" spans="1:22" x14ac:dyDescent="0.25">
      <c r="A12" t="s">
        <v>333</v>
      </c>
      <c r="B12" s="36">
        <f>IF(A12="○",SUMPRODUCT(表_制作[[#This Row],[神龙金属]:[列12]],表_制作[[#Totals],[神龙金属]:[列12]])+表_制作[[#This Row],[手续费(J)]]*折扣,0)</f>
        <v>740.58</v>
      </c>
      <c r="C12" s="36">
        <v>20</v>
      </c>
      <c r="D12" s="138">
        <f>表_制作[[#This Row],[合计金币(J)]]/表_制作[[#This Row],[数量]]</f>
        <v>37.029000000000003</v>
      </c>
      <c r="E12" s="141" t="s">
        <v>345</v>
      </c>
      <c r="F12" s="11">
        <v>54</v>
      </c>
      <c r="G12" s="11">
        <v>85</v>
      </c>
      <c r="H12" s="11">
        <v>85</v>
      </c>
      <c r="I12" s="11">
        <v>353</v>
      </c>
      <c r="J12" s="11">
        <v>117</v>
      </c>
      <c r="K12" s="11">
        <v>353</v>
      </c>
      <c r="L12" s="11">
        <v>117</v>
      </c>
      <c r="M12" s="11">
        <v>11</v>
      </c>
      <c r="N12" s="11"/>
      <c r="O12" s="11"/>
      <c r="P12" s="11"/>
      <c r="Q12" s="11"/>
      <c r="R12" s="30"/>
      <c r="S12" s="11"/>
      <c r="T12" s="11"/>
      <c r="U12" s="11"/>
      <c r="V12" s="11"/>
    </row>
    <row r="13" spans="1:22" x14ac:dyDescent="0.25">
      <c r="A13" t="s">
        <v>333</v>
      </c>
      <c r="B13" s="36">
        <f>IF(A13="○",SUMPRODUCT(表_制作[[#This Row],[神龙金属]:[列12]],表_制作[[#Totals],[神龙金属]:[列12]])+表_制作[[#This Row],[手续费(J)]]*折扣,0)</f>
        <v>683.76</v>
      </c>
      <c r="C13" s="36">
        <v>1</v>
      </c>
      <c r="D13" s="138">
        <f>表_制作[[#This Row],[合计金币(J)]]/表_制作[[#This Row],[数量]]</f>
        <v>683.76</v>
      </c>
      <c r="E13" s="141" t="s">
        <v>346</v>
      </c>
      <c r="F13" s="11">
        <v>50</v>
      </c>
      <c r="G13" s="11">
        <v>23</v>
      </c>
      <c r="H13" s="11">
        <v>23</v>
      </c>
      <c r="I13" s="11">
        <v>326</v>
      </c>
      <c r="J13" s="11">
        <v>108</v>
      </c>
      <c r="K13" s="11">
        <v>326</v>
      </c>
      <c r="L13" s="11">
        <v>108</v>
      </c>
      <c r="M13" s="11">
        <v>10</v>
      </c>
      <c r="N13" s="11"/>
      <c r="O13" s="11"/>
      <c r="P13" s="11"/>
      <c r="Q13" s="11"/>
      <c r="R13" s="30"/>
      <c r="S13" s="11"/>
      <c r="T13" s="11"/>
      <c r="U13" s="11"/>
      <c r="V13" s="11"/>
    </row>
    <row r="14" spans="1:22" x14ac:dyDescent="0.25">
      <c r="A14" t="s">
        <v>333</v>
      </c>
      <c r="B14" s="36">
        <f>IF(A14="○",SUMPRODUCT(表_制作[[#This Row],[神龙金属]:[列12]],表_制作[[#Totals],[神龙金属]:[列12]])+表_制作[[#This Row],[手续费(J)]]*折扣,0)</f>
        <v>1303.3999999999999</v>
      </c>
      <c r="C14" s="36">
        <v>2</v>
      </c>
      <c r="D14" s="138">
        <f>表_制作[[#This Row],[合计金币(J)]]/表_制作[[#This Row],[数量]]</f>
        <v>651.69999999999993</v>
      </c>
      <c r="E14" s="141" t="s">
        <v>347</v>
      </c>
      <c r="F14" s="11">
        <v>94.8</v>
      </c>
      <c r="G14" s="11">
        <v>51</v>
      </c>
      <c r="H14" s="11">
        <v>51</v>
      </c>
      <c r="I14" s="11">
        <v>620</v>
      </c>
      <c r="J14" s="11">
        <v>206</v>
      </c>
      <c r="K14" s="11">
        <v>620</v>
      </c>
      <c r="L14" s="11">
        <v>206</v>
      </c>
      <c r="M14" s="11">
        <v>19</v>
      </c>
      <c r="N14" s="11"/>
      <c r="O14" s="11"/>
      <c r="P14" s="11"/>
      <c r="Q14" s="11"/>
      <c r="R14" s="30"/>
      <c r="S14" s="11"/>
      <c r="T14" s="11"/>
      <c r="U14" s="11"/>
      <c r="V14" s="11"/>
    </row>
    <row r="15" spans="1:22" x14ac:dyDescent="0.25">
      <c r="A15" t="s">
        <v>333</v>
      </c>
      <c r="B15" s="36">
        <f>IF(A15="○",SUMPRODUCT(表_制作[[#This Row],[神龙金属]:[列12]],表_制作[[#Totals],[神龙金属]:[列12]])+表_制作[[#This Row],[手续费(J)]]*折扣,0)</f>
        <v>2479.16</v>
      </c>
      <c r="C15" s="36">
        <v>4</v>
      </c>
      <c r="D15" s="138">
        <f>表_制作[[#This Row],[合计金币(J)]]/表_制作[[#This Row],[数量]]</f>
        <v>619.79</v>
      </c>
      <c r="E15" s="141" t="s">
        <v>348</v>
      </c>
      <c r="F15" s="11">
        <v>180</v>
      </c>
      <c r="G15" s="11">
        <v>114</v>
      </c>
      <c r="H15" s="11">
        <v>114</v>
      </c>
      <c r="I15" s="11">
        <v>1176</v>
      </c>
      <c r="J15" s="11">
        <v>392</v>
      </c>
      <c r="K15" s="11">
        <v>1176</v>
      </c>
      <c r="L15" s="11">
        <v>392</v>
      </c>
      <c r="M15" s="11">
        <v>36</v>
      </c>
      <c r="N15" s="11"/>
      <c r="O15" s="11"/>
      <c r="P15" s="11"/>
      <c r="Q15" s="11"/>
      <c r="R15" s="30"/>
      <c r="S15" s="11"/>
      <c r="T15" s="11"/>
      <c r="U15" s="11"/>
      <c r="V15" s="11"/>
    </row>
    <row r="16" spans="1:22" x14ac:dyDescent="0.25">
      <c r="A16" t="s">
        <v>333</v>
      </c>
      <c r="B16" s="36">
        <f>IF(A16="○",SUMPRODUCT(表_制作[[#This Row],[神龙金属]:[列12]],表_制作[[#Totals],[神龙金属]:[列12]])+表_制作[[#This Row],[手续费(J)]]*折扣,0)</f>
        <v>0</v>
      </c>
      <c r="C16" s="36">
        <v>1</v>
      </c>
      <c r="D16" s="138">
        <f>表_制作[[#This Row],[合计金币(J)]]/表_制作[[#This Row],[数量]]</f>
        <v>0</v>
      </c>
      <c r="E16" s="14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30"/>
      <c r="S16" s="11"/>
      <c r="T16" s="11"/>
      <c r="U16" s="11"/>
      <c r="V16" s="11"/>
    </row>
    <row r="17" spans="1:22" ht="15" thickBot="1" x14ac:dyDescent="0.3">
      <c r="A17" t="s">
        <v>333</v>
      </c>
      <c r="B17" s="38">
        <f>IF(A17="○",SUMPRODUCT(表_制作[[#This Row],[神龙金属]:[列12]],表_制作[[#Totals],[神龙金属]:[列12]])+表_制作[[#This Row],[手续费(J)]]*折扣,0)</f>
        <v>0</v>
      </c>
      <c r="C17" s="38">
        <v>1</v>
      </c>
      <c r="D17" s="139">
        <f>表_制作[[#This Row],[合计金币(J)]]/表_制作[[#This Row],[数量]]</f>
        <v>0</v>
      </c>
      <c r="E17" s="142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31"/>
      <c r="S17" s="25"/>
      <c r="T17" s="25"/>
      <c r="U17" s="25"/>
      <c r="V17" s="25"/>
    </row>
    <row r="18" spans="1:22" ht="15" thickTop="1" x14ac:dyDescent="0.25">
      <c r="B18" s="73">
        <f>SUBTOTAL(109,表_制作[合计金币(J)])</f>
        <v>6498.2474999999995</v>
      </c>
      <c r="C18" s="73"/>
      <c r="D18" s="74">
        <f>SUBTOTAL(109,表_制作[单价])</f>
        <v>2342.7733225806451</v>
      </c>
      <c r="E18" s="88"/>
      <c r="F18" s="76" t="s">
        <v>190</v>
      </c>
      <c r="G18" s="77">
        <f xml:space="preserve"> _xlfn.IFNA(VLOOKUP(表_制作[[#Headers],[神龙金属]],金价一览,2,0), 0)</f>
        <v>0</v>
      </c>
      <c r="H18" s="77">
        <f xml:space="preserve"> _xlfn.IFNA(VLOOKUP(表_制作[[#Headers],[飞龙金属]],金价一览,2,0), 0)</f>
        <v>0</v>
      </c>
      <c r="I18" s="77">
        <f xml:space="preserve"> _xlfn.IFNA(VLOOKUP(表_制作[[#Headers],[灵石]],金价一览,2,0), 0)</f>
        <v>0.06</v>
      </c>
      <c r="J18" s="77">
        <f xml:space="preserve"> _xlfn.IFNA(VLOOKUP(表_制作[[#Headers],[月石]],金价一览,2,0), 0)</f>
        <v>1.35</v>
      </c>
      <c r="K18" s="77">
        <f xml:space="preserve"> _xlfn.IFNA(VLOOKUP(表_制作[[#Headers],[灵丹]],金价一览,2,0), 0)</f>
        <v>0.15</v>
      </c>
      <c r="L18" s="77">
        <f xml:space="preserve"> _xlfn.IFNA(VLOOKUP(表_制作[[#Headers],[仙丹]],金价一览,2,0), 0)</f>
        <v>4</v>
      </c>
      <c r="M18" s="77">
        <f xml:space="preserve"> _xlfn.IFNA(VLOOKUP(表_制作[[#Headers],[稀有元素]],金价一览,2,0), 0)</f>
        <v>0</v>
      </c>
      <c r="N18" s="77">
        <f xml:space="preserve"> _xlfn.IFNA(VLOOKUP(表_制作[[#Headers],[列8]],金价一览,2,0), 0)</f>
        <v>0</v>
      </c>
      <c r="O18" s="77">
        <f xml:space="preserve"> _xlfn.IFNA(VLOOKUP(表_制作[[#Headers],[列9]],金价一览,2,0), 0)</f>
        <v>0</v>
      </c>
      <c r="P18" s="77">
        <f xml:space="preserve"> _xlfn.IFNA(VLOOKUP(表_制作[[#Headers],[列10]],金价一览,2,0), 0)</f>
        <v>0</v>
      </c>
      <c r="Q18" s="77">
        <f xml:space="preserve"> _xlfn.IFNA(VLOOKUP(表_制作[[#Headers],[列11]],金价一览,2,0), 0)</f>
        <v>0</v>
      </c>
      <c r="R18" s="77">
        <f xml:space="preserve"> _xlfn.IFNA(VLOOKUP(表_制作[[#Headers],[列12]],金价一览,2,0), 0)</f>
        <v>0</v>
      </c>
      <c r="S18" s="78">
        <f>_xlfn.IFNA(VLOOKUP(表_制作[[#Headers],[列13]],点券一览,2,0),0)</f>
        <v>0</v>
      </c>
      <c r="T18" s="78">
        <f>_xlfn.IFNA(VLOOKUP(表_制作[[#Headers],[列14]],点券一览,2,0),0)</f>
        <v>0</v>
      </c>
      <c r="U18" s="78">
        <f>_xlfn.IFNA(VLOOKUP(表_制作[[#Headers],[列15]],点券一览,2,0),0)</f>
        <v>0</v>
      </c>
      <c r="V18" s="78">
        <f>_xlfn.IFNA(VLOOKUP(表_制作[[#Headers],[列16]],点券一览,2,0),0)</f>
        <v>0</v>
      </c>
    </row>
    <row r="19" spans="1:22" ht="15.6" customHeight="1" x14ac:dyDescent="0.25">
      <c r="B19" s="182"/>
      <c r="C19" s="183"/>
      <c r="D19" s="183"/>
      <c r="E19" s="184"/>
      <c r="F19" s="79" t="s">
        <v>224</v>
      </c>
      <c r="G19" s="52">
        <f>SUM(表_制作[[#Data],[神龙金属]])</f>
        <v>520</v>
      </c>
      <c r="H19" s="52">
        <f>SUM(表_制作[[#Data],[飞龙金属]])</f>
        <v>520</v>
      </c>
      <c r="I19" s="52">
        <f>SUM(表_制作[[#Data],[灵石]])</f>
        <v>3542</v>
      </c>
      <c r="J19" s="52">
        <f>SUM(表_制作[[#Data],[月石]])</f>
        <v>1011</v>
      </c>
      <c r="K19" s="52">
        <f>SUM(表_制作[[#Data],[灵丹]])</f>
        <v>3542</v>
      </c>
      <c r="L19" s="52">
        <f>SUM(表_制作[[#Data],[仙丹]])</f>
        <v>1011</v>
      </c>
      <c r="M19" s="52">
        <f>SUM(表_制作[[#Data],[稀有元素]])</f>
        <v>91</v>
      </c>
      <c r="N19" s="52">
        <f>SUM(表_制作[[#Data],[列8]])</f>
        <v>0</v>
      </c>
      <c r="O19" s="52">
        <f>SUM(表_制作[[#Data],[列9]])</f>
        <v>0</v>
      </c>
      <c r="P19" s="52">
        <f>SUM(表_制作[[#Data],[列10]])</f>
        <v>0</v>
      </c>
      <c r="Q19" s="52">
        <f>SUM(表_制作[[#Data],[列11]])</f>
        <v>0</v>
      </c>
      <c r="R19" s="52">
        <f>SUM(表_制作[[#Data],[列12]])</f>
        <v>0</v>
      </c>
      <c r="S19" s="52">
        <f>SUM(表_制作[[#Data],[列13]])</f>
        <v>0</v>
      </c>
      <c r="T19" s="52">
        <f>SUM(表_制作[[#Data],[列14]])</f>
        <v>0</v>
      </c>
      <c r="U19" s="52">
        <f>SUM(表_制作[[#Data],[列15]])</f>
        <v>0</v>
      </c>
      <c r="V19" s="52">
        <f>SUM(表_制作[[#Data],[列16]])</f>
        <v>0</v>
      </c>
    </row>
    <row r="20" spans="1:22" ht="15.6" customHeight="1" x14ac:dyDescent="0.25">
      <c r="B20" s="185"/>
      <c r="C20" s="186"/>
      <c r="D20" s="186"/>
      <c r="E20" s="187"/>
      <c r="F20" s="80" t="s">
        <v>223</v>
      </c>
      <c r="G20" s="52">
        <f>G19*表_制作[[#Totals],[神龙金属]]</f>
        <v>0</v>
      </c>
      <c r="H20" s="52">
        <f>H19*表_制作[[#Totals],[飞龙金属]]</f>
        <v>0</v>
      </c>
      <c r="I20" s="52">
        <f>I19*表_制作[[#Totals],[灵石]]</f>
        <v>212.51999999999998</v>
      </c>
      <c r="J20" s="52">
        <f>J19*表_制作[[#Totals],[月石]]</f>
        <v>1364.8500000000001</v>
      </c>
      <c r="K20" s="52">
        <f>K19*表_制作[[#Totals],[灵丹]]</f>
        <v>531.29999999999995</v>
      </c>
      <c r="L20" s="52">
        <f>L19*表_制作[[#Totals],[仙丹]]</f>
        <v>4044</v>
      </c>
      <c r="M20" s="52">
        <f>M19*表_制作[[#Totals],[稀有元素]]</f>
        <v>0</v>
      </c>
      <c r="N20" s="52">
        <f>N19*表_制作[[#Totals],[列8]]</f>
        <v>0</v>
      </c>
      <c r="O20" s="52">
        <f>O19*表_制作[[#Totals],[列9]]</f>
        <v>0</v>
      </c>
      <c r="P20" s="52">
        <f>P19*表_制作[[#Totals],[列10]]</f>
        <v>0</v>
      </c>
      <c r="Q20" s="52">
        <f>Q19*表_制作[[#Totals],[列11]]</f>
        <v>0</v>
      </c>
      <c r="R20" s="52">
        <f>R19*表_制作[[#Totals],[列12]]</f>
        <v>0</v>
      </c>
      <c r="S20" s="52">
        <f>S19*表_制作[[#Totals],[列13]]</f>
        <v>0</v>
      </c>
      <c r="T20" s="52">
        <f>T19*表_制作[[#Totals],[列14]]</f>
        <v>0</v>
      </c>
      <c r="U20" s="52">
        <f>U19*表_制作[[#Totals],[列15]]</f>
        <v>0</v>
      </c>
      <c r="V20" s="52">
        <f>V19*表_制作[[#Totals],[列16]]</f>
        <v>0</v>
      </c>
    </row>
    <row r="22" spans="1:22" ht="34.200000000000003" customHeight="1" thickBot="1" x14ac:dyDescent="0.3">
      <c r="B22" s="98" t="s">
        <v>334</v>
      </c>
      <c r="C22" s="98" t="s">
        <v>336</v>
      </c>
      <c r="D22" s="98" t="s">
        <v>335</v>
      </c>
      <c r="E22" s="98" t="s">
        <v>332</v>
      </c>
      <c r="F22" s="58" t="s">
        <v>185</v>
      </c>
      <c r="G22" s="59" t="s">
        <v>7</v>
      </c>
      <c r="H22" s="60" t="s">
        <v>2</v>
      </c>
      <c r="I22" s="60" t="s">
        <v>3</v>
      </c>
      <c r="J22" s="60" t="s">
        <v>1</v>
      </c>
      <c r="K22" s="60" t="s">
        <v>0</v>
      </c>
      <c r="L22" s="60" t="s">
        <v>284</v>
      </c>
      <c r="M22" s="60" t="s">
        <v>157</v>
      </c>
      <c r="N22" s="60" t="s">
        <v>202</v>
      </c>
      <c r="O22" s="60" t="s">
        <v>203</v>
      </c>
      <c r="P22" s="60" t="s">
        <v>204</v>
      </c>
      <c r="Q22" s="60" t="s">
        <v>205</v>
      </c>
      <c r="R22" s="61" t="s">
        <v>206</v>
      </c>
      <c r="S22" s="62" t="s">
        <v>207</v>
      </c>
      <c r="T22" s="62" t="s">
        <v>208</v>
      </c>
      <c r="U22" s="62" t="s">
        <v>209</v>
      </c>
      <c r="V22" s="62" t="s">
        <v>210</v>
      </c>
    </row>
    <row r="23" spans="1:22" ht="15.6" thickTop="1" thickBot="1" x14ac:dyDescent="0.3">
      <c r="A23" t="s">
        <v>333</v>
      </c>
      <c r="B23" s="55">
        <f>IF(A23="○",SUMPRODUCT(表_制作4[[#This Row],[进化石]:[列12]],表_制作4[[#Totals],[进化石]:[列12]])+表_制作4[[#This Row],[手续费(J)]]*折扣,0)</f>
        <v>187.28129032258065</v>
      </c>
      <c r="C23" s="55">
        <v>1</v>
      </c>
      <c r="D23" s="137">
        <f>表_制作4[[#This Row],[合计金币(J)]]/表_制作4[[#This Row],[数量]]</f>
        <v>187.28129032258065</v>
      </c>
      <c r="E23" s="140" t="s">
        <v>349</v>
      </c>
      <c r="F23" s="34">
        <v>50</v>
      </c>
      <c r="G23" s="34">
        <v>4</v>
      </c>
      <c r="H23" s="34">
        <v>150</v>
      </c>
      <c r="I23" s="34">
        <v>15</v>
      </c>
      <c r="J23" s="34">
        <v>150</v>
      </c>
      <c r="K23" s="34">
        <v>15</v>
      </c>
      <c r="L23" s="34">
        <v>1</v>
      </c>
      <c r="M23" s="34"/>
      <c r="N23" s="34"/>
      <c r="O23" s="34"/>
      <c r="P23" s="34"/>
      <c r="Q23" s="34"/>
      <c r="R23" s="32"/>
      <c r="S23" s="34"/>
      <c r="T23" s="34"/>
      <c r="U23" s="34"/>
      <c r="V23" s="34"/>
    </row>
    <row r="24" spans="1:22" ht="15" thickTop="1" x14ac:dyDescent="0.25">
      <c r="B24" s="73">
        <f>SUBTOTAL(109,表_制作4[合计金币(J)])</f>
        <v>187.28129032258065</v>
      </c>
      <c r="C24" s="73"/>
      <c r="D24" s="74">
        <f>SUBTOTAL(109,表_制作4[单价])</f>
        <v>187.28129032258065</v>
      </c>
      <c r="E24" s="88"/>
      <c r="F24" s="76" t="s">
        <v>190</v>
      </c>
      <c r="G24" s="77">
        <f xml:space="preserve"> _xlfn.IFNA(VLOOKUP(表_制作4[[#Headers],[进化石]],金价一览,2,0), 0)</f>
        <v>7.7578225806451613</v>
      </c>
      <c r="H24" s="77">
        <f xml:space="preserve"> _xlfn.IFNA(VLOOKUP(表_制作4[[#Headers],[灵石]],金价一览,2,0), 0)</f>
        <v>0.06</v>
      </c>
      <c r="I24" s="77">
        <f xml:space="preserve"> _xlfn.IFNA(VLOOKUP(表_制作4[[#Headers],[月石]],金价一览,2,0), 0)</f>
        <v>1.35</v>
      </c>
      <c r="J24" s="77">
        <f xml:space="preserve"> _xlfn.IFNA(VLOOKUP(表_制作4[[#Headers],[灵丹]],金价一览,2,0), 0)</f>
        <v>0.15</v>
      </c>
      <c r="K24" s="77">
        <f xml:space="preserve"> _xlfn.IFNA(VLOOKUP(表_制作4[[#Headers],[仙丹]],金价一览,2,0), 0)</f>
        <v>4</v>
      </c>
      <c r="L24" s="77">
        <f xml:space="preserve"> _xlfn.IFNA(VLOOKUP(表_制作4[[#Headers],[起源之信物]],金价一览,2,0), 0)</f>
        <v>7</v>
      </c>
      <c r="M24" s="77">
        <f xml:space="preserve"> _xlfn.IFNA(VLOOKUP(表_制作4[[#Headers],[列1]],金价一览,2,0), 0)</f>
        <v>0</v>
      </c>
      <c r="N24" s="77">
        <f xml:space="preserve"> _xlfn.IFNA(VLOOKUP(表_制作4[[#Headers],[列8]],金价一览,2,0), 0)</f>
        <v>0</v>
      </c>
      <c r="O24" s="77">
        <f xml:space="preserve"> _xlfn.IFNA(VLOOKUP(表_制作4[[#Headers],[列9]],金价一览,2,0), 0)</f>
        <v>0</v>
      </c>
      <c r="P24" s="77">
        <f xml:space="preserve"> _xlfn.IFNA(VLOOKUP(表_制作4[[#Headers],[列10]],金价一览,2,0), 0)</f>
        <v>0</v>
      </c>
      <c r="Q24" s="77">
        <f xml:space="preserve"> _xlfn.IFNA(VLOOKUP(表_制作4[[#Headers],[列11]],金价一览,2,0), 0)</f>
        <v>0</v>
      </c>
      <c r="R24" s="77">
        <f xml:space="preserve"> _xlfn.IFNA(VLOOKUP(表_制作4[[#Headers],[列12]],金价一览,2,0), 0)</f>
        <v>0</v>
      </c>
      <c r="S24" s="78">
        <f>_xlfn.IFNA(VLOOKUP(表_制作4[[#Headers],[列13]],点券一览,2,0),0)</f>
        <v>0</v>
      </c>
      <c r="T24" s="78">
        <f>_xlfn.IFNA(VLOOKUP(表_制作4[[#Headers],[列14]],点券一览,2,0),0)</f>
        <v>0</v>
      </c>
      <c r="U24" s="78">
        <f>_xlfn.IFNA(VLOOKUP(表_制作4[[#Headers],[列15]],点券一览,2,0),0)</f>
        <v>0</v>
      </c>
      <c r="V24" s="78">
        <f>_xlfn.IFNA(VLOOKUP(表_制作4[[#Headers],[列16]],点券一览,2,0),0)</f>
        <v>0</v>
      </c>
    </row>
    <row r="25" spans="1:22" ht="15.6" customHeight="1" x14ac:dyDescent="0.25">
      <c r="B25" s="182"/>
      <c r="C25" s="183"/>
      <c r="D25" s="183"/>
      <c r="E25" s="184"/>
      <c r="F25" s="79" t="s">
        <v>224</v>
      </c>
      <c r="G25" s="52">
        <f>SUM(表_制作4[[#Data],[进化石]])</f>
        <v>4</v>
      </c>
      <c r="H25" s="52">
        <f>SUM(表_制作4[[#Data],[灵石]])</f>
        <v>150</v>
      </c>
      <c r="I25" s="52">
        <f>SUM(表_制作4[[#Data],[月石]])</f>
        <v>15</v>
      </c>
      <c r="J25" s="52">
        <f>SUM(表_制作4[[#Data],[灵丹]])</f>
        <v>150</v>
      </c>
      <c r="K25" s="52">
        <f>SUM(表_制作4[[#Data],[仙丹]])</f>
        <v>15</v>
      </c>
      <c r="L25" s="52">
        <f>SUM(表_制作4[[#Data],[起源之信物]])</f>
        <v>1</v>
      </c>
      <c r="M25" s="52">
        <f>SUM(表_制作4[[#Data],[列1]])</f>
        <v>0</v>
      </c>
      <c r="N25" s="52">
        <f>SUM(表_制作4[[#Data],[列8]])</f>
        <v>0</v>
      </c>
      <c r="O25" s="52">
        <f>SUM(表_制作4[[#Data],[列9]])</f>
        <v>0</v>
      </c>
      <c r="P25" s="52">
        <f>SUM(表_制作4[[#Data],[列10]])</f>
        <v>0</v>
      </c>
      <c r="Q25" s="52">
        <f>SUM(表_制作4[[#Data],[列11]])</f>
        <v>0</v>
      </c>
      <c r="R25" s="52">
        <f>SUM(表_制作4[[#Data],[列12]])</f>
        <v>0</v>
      </c>
      <c r="S25" s="52">
        <f>SUM(表_制作4[[#Data],[列13]])</f>
        <v>0</v>
      </c>
      <c r="T25" s="52">
        <f>SUM(表_制作4[[#Data],[列14]])</f>
        <v>0</v>
      </c>
      <c r="U25" s="52">
        <f>SUM(表_制作4[[#Data],[列15]])</f>
        <v>0</v>
      </c>
      <c r="V25" s="52">
        <f>SUM(表_制作4[[#Data],[列16]])</f>
        <v>0</v>
      </c>
    </row>
    <row r="26" spans="1:22" ht="15.6" customHeight="1" x14ac:dyDescent="0.25">
      <c r="B26" s="185"/>
      <c r="C26" s="186"/>
      <c r="D26" s="186"/>
      <c r="E26" s="187"/>
      <c r="F26" s="80" t="s">
        <v>223</v>
      </c>
      <c r="G26" s="52">
        <f>G25*表_制作4[[#Totals],[进化石]]</f>
        <v>31.031290322580645</v>
      </c>
      <c r="H26" s="52">
        <f>H25*表_制作4[[#Totals],[灵石]]</f>
        <v>9</v>
      </c>
      <c r="I26" s="52">
        <f>I25*表_制作4[[#Totals],[月石]]</f>
        <v>20.25</v>
      </c>
      <c r="J26" s="52">
        <f>J25*表_制作4[[#Totals],[灵丹]]</f>
        <v>22.5</v>
      </c>
      <c r="K26" s="52">
        <f>K25*表_制作4[[#Totals],[仙丹]]</f>
        <v>60</v>
      </c>
      <c r="L26" s="52">
        <f>L25*表_制作4[[#Totals],[起源之信物]]</f>
        <v>7</v>
      </c>
      <c r="M26" s="52">
        <f>M25*表_制作4[[#Totals],[列1]]</f>
        <v>0</v>
      </c>
      <c r="N26" s="52">
        <f>N25*表_制作4[[#Totals],[列8]]</f>
        <v>0</v>
      </c>
      <c r="O26" s="52">
        <f>O25*表_制作4[[#Totals],[列9]]</f>
        <v>0</v>
      </c>
      <c r="P26" s="52">
        <f>P25*表_制作4[[#Totals],[列10]]</f>
        <v>0</v>
      </c>
      <c r="Q26" s="52">
        <f>Q25*表_制作4[[#Totals],[列11]]</f>
        <v>0</v>
      </c>
      <c r="R26" s="52">
        <f>R25*表_制作4[[#Totals],[列12]]</f>
        <v>0</v>
      </c>
      <c r="S26" s="52">
        <f>S25*表_制作4[[#Totals],[列13]]</f>
        <v>0</v>
      </c>
      <c r="T26" s="52">
        <f>T25*表_制作4[[#Totals],[列14]]</f>
        <v>0</v>
      </c>
      <c r="U26" s="52">
        <f>U25*表_制作4[[#Totals],[列15]]</f>
        <v>0</v>
      </c>
      <c r="V26" s="52">
        <f>V25*表_制作4[[#Totals],[列16]]</f>
        <v>0</v>
      </c>
    </row>
  </sheetData>
  <mergeCells count="2">
    <mergeCell ref="B19:E20"/>
    <mergeCell ref="B25:E26"/>
  </mergeCells>
  <phoneticPr fontId="10" type="noConversion"/>
  <conditionalFormatting sqref="G3:R3">
    <cfRule type="containsText" dxfId="140" priority="4" operator="containsText" text="列">
      <formula>NOT(ISERROR(SEARCH("列",G3)))</formula>
    </cfRule>
  </conditionalFormatting>
  <conditionalFormatting sqref="S3:V3">
    <cfRule type="containsText" dxfId="139" priority="3" operator="containsText" text="列">
      <formula>NOT(ISERROR(SEARCH("列",S3)))</formula>
    </cfRule>
  </conditionalFormatting>
  <conditionalFormatting sqref="G22:R22">
    <cfRule type="containsText" dxfId="138" priority="2" operator="containsText" text="列">
      <formula>NOT(ISERROR(SEARCH("列",G22)))</formula>
    </cfRule>
  </conditionalFormatting>
  <conditionalFormatting sqref="S22:V22">
    <cfRule type="containsText" dxfId="137" priority="1" operator="containsText" text="列">
      <formula>NOT(ISERROR(SEARCH("列",S22)))</formula>
    </cfRule>
  </conditionalFormatting>
  <dataValidations count="2">
    <dataValidation type="list" allowBlank="1" showInputMessage="1" showErrorMessage="1" sqref="S3:V3 S22:V22">
      <formula1>神物名</formula1>
    </dataValidation>
    <dataValidation type="list" allowBlank="1" showInputMessage="1" showErrorMessage="1" error="不存在的材料名" sqref="G3:R3 G22:R22">
      <formula1>材料名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8" workbookViewId="0">
      <selection activeCell="D108" sqref="D108"/>
    </sheetView>
  </sheetViews>
  <sheetFormatPr defaultRowHeight="14.4" x14ac:dyDescent="0.25"/>
  <cols>
    <col min="1" max="1" width="8.88671875" customWidth="1"/>
  </cols>
  <sheetData/>
  <phoneticPr fontId="1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1"/>
  <sheetViews>
    <sheetView workbookViewId="0">
      <selection activeCell="L104" sqref="L104"/>
    </sheetView>
  </sheetViews>
  <sheetFormatPr defaultRowHeight="14.4" x14ac:dyDescent="0.25"/>
  <cols>
    <col min="1" max="1" width="12.88671875" customWidth="1"/>
    <col min="2" max="2" width="15.44140625" customWidth="1"/>
    <col min="3" max="3" width="16.5546875" customWidth="1"/>
    <col min="4" max="4" width="46.88671875" customWidth="1"/>
    <col min="12" max="12" width="11.33203125" customWidth="1"/>
    <col min="13" max="14" width="9.21875" customWidth="1"/>
  </cols>
  <sheetData>
    <row r="1" spans="1:4" x14ac:dyDescent="0.25">
      <c r="A1" s="200" t="s">
        <v>16</v>
      </c>
      <c r="B1" s="200"/>
      <c r="C1" s="200"/>
      <c r="D1" s="200"/>
    </row>
    <row r="2" spans="1:4" x14ac:dyDescent="0.25">
      <c r="A2" s="201" t="s">
        <v>17</v>
      </c>
      <c r="B2" s="201" t="s">
        <v>18</v>
      </c>
      <c r="C2" s="201" t="s">
        <v>19</v>
      </c>
      <c r="D2" s="2" t="s">
        <v>20</v>
      </c>
    </row>
    <row r="3" spans="1:4" x14ac:dyDescent="0.25">
      <c r="A3" s="201"/>
      <c r="B3" s="201"/>
      <c r="C3" s="201"/>
      <c r="D3" s="3"/>
    </row>
    <row r="4" spans="1:4" x14ac:dyDescent="0.25">
      <c r="A4" s="201"/>
      <c r="B4" s="201"/>
      <c r="C4" s="201"/>
      <c r="D4" s="2" t="s">
        <v>21</v>
      </c>
    </row>
    <row r="5" spans="1:4" ht="28.8" x14ac:dyDescent="0.25">
      <c r="A5" s="196" t="s">
        <v>15</v>
      </c>
      <c r="B5" s="4" t="s">
        <v>22</v>
      </c>
      <c r="C5" s="196" t="s">
        <v>25</v>
      </c>
      <c r="D5" s="4" t="s">
        <v>26</v>
      </c>
    </row>
    <row r="6" spans="1:4" x14ac:dyDescent="0.25">
      <c r="A6" s="196"/>
      <c r="B6" s="5"/>
      <c r="C6" s="196"/>
      <c r="D6" s="5"/>
    </row>
    <row r="7" spans="1:4" x14ac:dyDescent="0.25">
      <c r="A7" s="196"/>
      <c r="B7" s="4" t="s">
        <v>23</v>
      </c>
      <c r="C7" s="196"/>
      <c r="D7" s="4" t="s">
        <v>27</v>
      </c>
    </row>
    <row r="8" spans="1:4" x14ac:dyDescent="0.25">
      <c r="A8" s="196"/>
      <c r="B8" s="5"/>
      <c r="C8" s="196"/>
      <c r="D8" s="5"/>
    </row>
    <row r="9" spans="1:4" ht="28.8" x14ac:dyDescent="0.25">
      <c r="A9" s="196"/>
      <c r="B9" s="4" t="s">
        <v>24</v>
      </c>
      <c r="C9" s="196"/>
      <c r="D9" s="4" t="s">
        <v>28</v>
      </c>
    </row>
    <row r="10" spans="1:4" ht="28.8" hidden="1" x14ac:dyDescent="0.25">
      <c r="A10" s="196" t="s">
        <v>8</v>
      </c>
      <c r="B10" s="4" t="s">
        <v>29</v>
      </c>
      <c r="C10" s="196" t="s">
        <v>25</v>
      </c>
      <c r="D10" s="4" t="s">
        <v>32</v>
      </c>
    </row>
    <row r="11" spans="1:4" hidden="1" x14ac:dyDescent="0.25">
      <c r="A11" s="196"/>
      <c r="B11" s="5"/>
      <c r="C11" s="196"/>
      <c r="D11" s="5"/>
    </row>
    <row r="12" spans="1:4" hidden="1" x14ac:dyDescent="0.25">
      <c r="A12" s="196"/>
      <c r="B12" s="4" t="s">
        <v>30</v>
      </c>
      <c r="C12" s="196"/>
      <c r="D12" s="4" t="s">
        <v>27</v>
      </c>
    </row>
    <row r="13" spans="1:4" hidden="1" x14ac:dyDescent="0.25">
      <c r="A13" s="196"/>
      <c r="B13" s="5"/>
      <c r="C13" s="196"/>
      <c r="D13" s="5"/>
    </row>
    <row r="14" spans="1:4" ht="28.8" hidden="1" x14ac:dyDescent="0.25">
      <c r="A14" s="196"/>
      <c r="B14" s="4" t="s">
        <v>31</v>
      </c>
      <c r="C14" s="196"/>
      <c r="D14" s="4" t="s">
        <v>33</v>
      </c>
    </row>
    <row r="15" spans="1:4" ht="28.8" x14ac:dyDescent="0.25">
      <c r="A15" s="199" t="s">
        <v>9</v>
      </c>
      <c r="B15" s="8" t="s">
        <v>34</v>
      </c>
      <c r="C15" s="199" t="s">
        <v>25</v>
      </c>
      <c r="D15" s="8" t="s">
        <v>37</v>
      </c>
    </row>
    <row r="16" spans="1:4" x14ac:dyDescent="0.25">
      <c r="A16" s="199"/>
      <c r="B16" s="8"/>
      <c r="C16" s="199"/>
      <c r="D16" s="8"/>
    </row>
    <row r="17" spans="1:4" x14ac:dyDescent="0.25">
      <c r="A17" s="199"/>
      <c r="B17" s="8" t="s">
        <v>35</v>
      </c>
      <c r="C17" s="199"/>
      <c r="D17" s="8" t="s">
        <v>27</v>
      </c>
    </row>
    <row r="18" spans="1:4" x14ac:dyDescent="0.25">
      <c r="A18" s="199"/>
      <c r="B18" s="8"/>
      <c r="C18" s="199"/>
      <c r="D18" s="8"/>
    </row>
    <row r="19" spans="1:4" ht="28.8" x14ac:dyDescent="0.25">
      <c r="A19" s="199"/>
      <c r="B19" s="8" t="s">
        <v>36</v>
      </c>
      <c r="C19" s="199"/>
      <c r="D19" s="8" t="s">
        <v>38</v>
      </c>
    </row>
    <row r="20" spans="1:4" ht="28.8" hidden="1" x14ac:dyDescent="0.25">
      <c r="A20" s="196" t="s">
        <v>10</v>
      </c>
      <c r="B20" s="4" t="s">
        <v>39</v>
      </c>
      <c r="C20" s="196" t="s">
        <v>25</v>
      </c>
      <c r="D20" s="4" t="s">
        <v>42</v>
      </c>
    </row>
    <row r="21" spans="1:4" hidden="1" x14ac:dyDescent="0.25">
      <c r="A21" s="196"/>
      <c r="B21" s="5"/>
      <c r="C21" s="196"/>
      <c r="D21" s="5"/>
    </row>
    <row r="22" spans="1:4" hidden="1" x14ac:dyDescent="0.25">
      <c r="A22" s="196"/>
      <c r="B22" s="4" t="s">
        <v>40</v>
      </c>
      <c r="C22" s="196"/>
      <c r="D22" s="4" t="s">
        <v>27</v>
      </c>
    </row>
    <row r="23" spans="1:4" hidden="1" x14ac:dyDescent="0.25">
      <c r="A23" s="196"/>
      <c r="B23" s="5"/>
      <c r="C23" s="196"/>
      <c r="D23" s="5"/>
    </row>
    <row r="24" spans="1:4" ht="28.8" hidden="1" x14ac:dyDescent="0.25">
      <c r="A24" s="196"/>
      <c r="B24" s="4" t="s">
        <v>41</v>
      </c>
      <c r="C24" s="196"/>
      <c r="D24" s="4" t="s">
        <v>43</v>
      </c>
    </row>
    <row r="25" spans="1:4" ht="28.8" x14ac:dyDescent="0.25">
      <c r="A25" s="198" t="s">
        <v>11</v>
      </c>
      <c r="B25" s="6" t="s">
        <v>44</v>
      </c>
      <c r="C25" s="198" t="s">
        <v>25</v>
      </c>
      <c r="D25" s="6" t="s">
        <v>47</v>
      </c>
    </row>
    <row r="26" spans="1:4" x14ac:dyDescent="0.25">
      <c r="A26" s="198"/>
      <c r="B26" s="6"/>
      <c r="C26" s="198"/>
      <c r="D26" s="6"/>
    </row>
    <row r="27" spans="1:4" x14ac:dyDescent="0.25">
      <c r="A27" s="198"/>
      <c r="B27" s="6" t="s">
        <v>45</v>
      </c>
      <c r="C27" s="198"/>
      <c r="D27" s="6" t="s">
        <v>27</v>
      </c>
    </row>
    <row r="28" spans="1:4" x14ac:dyDescent="0.25">
      <c r="A28" s="198"/>
      <c r="B28" s="6"/>
      <c r="C28" s="198"/>
      <c r="D28" s="6"/>
    </row>
    <row r="29" spans="1:4" ht="28.8" x14ac:dyDescent="0.25">
      <c r="A29" s="198"/>
      <c r="B29" s="6" t="s">
        <v>46</v>
      </c>
      <c r="C29" s="198"/>
      <c r="D29" s="6" t="s">
        <v>48</v>
      </c>
    </row>
    <row r="30" spans="1:4" x14ac:dyDescent="0.25">
      <c r="A30" s="198"/>
      <c r="B30" s="6"/>
      <c r="C30" s="198"/>
      <c r="D30" s="6"/>
    </row>
    <row r="31" spans="1:4" x14ac:dyDescent="0.25">
      <c r="A31" s="198"/>
      <c r="B31" s="6"/>
      <c r="C31" s="198"/>
      <c r="D31" s="6" t="s">
        <v>49</v>
      </c>
    </row>
    <row r="32" spans="1:4" ht="28.8" hidden="1" x14ac:dyDescent="0.25">
      <c r="A32" s="196" t="s">
        <v>12</v>
      </c>
      <c r="B32" s="4" t="s">
        <v>50</v>
      </c>
      <c r="C32" s="196" t="s">
        <v>25</v>
      </c>
      <c r="D32" s="4" t="s">
        <v>53</v>
      </c>
    </row>
    <row r="33" spans="1:4" hidden="1" x14ac:dyDescent="0.25">
      <c r="A33" s="196"/>
      <c r="B33" s="5"/>
      <c r="C33" s="196"/>
      <c r="D33" s="5"/>
    </row>
    <row r="34" spans="1:4" hidden="1" x14ac:dyDescent="0.25">
      <c r="A34" s="196"/>
      <c r="B34" s="4" t="s">
        <v>51</v>
      </c>
      <c r="C34" s="196"/>
      <c r="D34" s="4" t="s">
        <v>27</v>
      </c>
    </row>
    <row r="35" spans="1:4" hidden="1" x14ac:dyDescent="0.25">
      <c r="A35" s="196"/>
      <c r="B35" s="5"/>
      <c r="C35" s="196"/>
      <c r="D35" s="5"/>
    </row>
    <row r="36" spans="1:4" ht="28.8" hidden="1" x14ac:dyDescent="0.25">
      <c r="A36" s="196"/>
      <c r="B36" s="4" t="s">
        <v>52</v>
      </c>
      <c r="C36" s="196"/>
      <c r="D36" s="4" t="s">
        <v>54</v>
      </c>
    </row>
    <row r="37" spans="1:4" hidden="1" x14ac:dyDescent="0.25">
      <c r="A37" s="196"/>
      <c r="B37" s="5"/>
      <c r="C37" s="196"/>
      <c r="D37" s="5"/>
    </row>
    <row r="38" spans="1:4" hidden="1" x14ac:dyDescent="0.25">
      <c r="A38" s="196"/>
      <c r="B38" s="5"/>
      <c r="C38" s="196"/>
      <c r="D38" s="4" t="s">
        <v>49</v>
      </c>
    </row>
    <row r="39" spans="1:4" ht="28.8" hidden="1" x14ac:dyDescent="0.25">
      <c r="A39" s="196" t="s">
        <v>13</v>
      </c>
      <c r="B39" s="4" t="s">
        <v>55</v>
      </c>
      <c r="C39" s="196" t="s">
        <v>25</v>
      </c>
      <c r="D39" s="4" t="s">
        <v>58</v>
      </c>
    </row>
    <row r="40" spans="1:4" hidden="1" x14ac:dyDescent="0.25">
      <c r="A40" s="196"/>
      <c r="B40" s="5"/>
      <c r="C40" s="196"/>
      <c r="D40" s="5"/>
    </row>
    <row r="41" spans="1:4" hidden="1" x14ac:dyDescent="0.25">
      <c r="A41" s="196"/>
      <c r="B41" s="4" t="s">
        <v>56</v>
      </c>
      <c r="C41" s="196"/>
      <c r="D41" s="4" t="s">
        <v>27</v>
      </c>
    </row>
    <row r="42" spans="1:4" hidden="1" x14ac:dyDescent="0.25">
      <c r="A42" s="196"/>
      <c r="B42" s="5"/>
      <c r="C42" s="196"/>
      <c r="D42" s="5"/>
    </row>
    <row r="43" spans="1:4" ht="28.8" hidden="1" x14ac:dyDescent="0.25">
      <c r="A43" s="196"/>
      <c r="B43" s="4" t="s">
        <v>57</v>
      </c>
      <c r="C43" s="196"/>
      <c r="D43" s="4" t="s">
        <v>59</v>
      </c>
    </row>
    <row r="44" spans="1:4" hidden="1" x14ac:dyDescent="0.25">
      <c r="A44" s="196"/>
      <c r="B44" s="5"/>
      <c r="C44" s="196"/>
      <c r="D44" s="5"/>
    </row>
    <row r="45" spans="1:4" hidden="1" x14ac:dyDescent="0.25">
      <c r="A45" s="196"/>
      <c r="B45" s="5"/>
      <c r="C45" s="196"/>
      <c r="D45" s="4" t="s">
        <v>49</v>
      </c>
    </row>
    <row r="46" spans="1:4" ht="28.8" x14ac:dyDescent="0.25">
      <c r="A46" s="197" t="s">
        <v>14</v>
      </c>
      <c r="B46" s="7" t="s">
        <v>60</v>
      </c>
      <c r="C46" s="7" t="s">
        <v>25</v>
      </c>
      <c r="D46" s="7" t="s">
        <v>64</v>
      </c>
    </row>
    <row r="47" spans="1:4" x14ac:dyDescent="0.25">
      <c r="A47" s="197"/>
      <c r="B47" s="7"/>
      <c r="C47" s="7"/>
      <c r="D47" s="7"/>
    </row>
    <row r="48" spans="1:4" ht="28.8" x14ac:dyDescent="0.25">
      <c r="A48" s="197"/>
      <c r="B48" s="7" t="s">
        <v>61</v>
      </c>
      <c r="C48" s="7" t="s">
        <v>63</v>
      </c>
      <c r="D48" s="7" t="s">
        <v>27</v>
      </c>
    </row>
    <row r="49" spans="1:4" x14ac:dyDescent="0.25">
      <c r="A49" s="197"/>
      <c r="B49" s="7"/>
      <c r="C49" s="7"/>
      <c r="D49" s="7"/>
    </row>
    <row r="50" spans="1:4" ht="28.8" x14ac:dyDescent="0.25">
      <c r="A50" s="197"/>
      <c r="B50" s="7" t="s">
        <v>62</v>
      </c>
      <c r="C50" s="7"/>
      <c r="D50" s="7" t="s">
        <v>65</v>
      </c>
    </row>
    <row r="51" spans="1:4" x14ac:dyDescent="0.25">
      <c r="A51" s="197"/>
      <c r="B51" s="7"/>
      <c r="C51" s="7"/>
      <c r="D51" s="7"/>
    </row>
    <row r="52" spans="1:4" x14ac:dyDescent="0.25">
      <c r="A52" s="197"/>
      <c r="B52" s="7"/>
      <c r="C52" s="7"/>
      <c r="D52" s="7" t="s">
        <v>49</v>
      </c>
    </row>
    <row r="53" spans="1:4" ht="28.8" x14ac:dyDescent="0.25">
      <c r="A53" s="196" t="s">
        <v>66</v>
      </c>
      <c r="B53" s="4" t="s">
        <v>67</v>
      </c>
      <c r="C53" s="4" t="s">
        <v>25</v>
      </c>
      <c r="D53" s="4" t="s">
        <v>71</v>
      </c>
    </row>
    <row r="54" spans="1:4" x14ac:dyDescent="0.25">
      <c r="A54" s="196"/>
      <c r="B54" s="5"/>
      <c r="C54" s="5"/>
      <c r="D54" s="5"/>
    </row>
    <row r="55" spans="1:4" ht="28.8" x14ac:dyDescent="0.25">
      <c r="A55" s="196"/>
      <c r="B55" s="4" t="s">
        <v>68</v>
      </c>
      <c r="C55" s="4" t="s">
        <v>70</v>
      </c>
      <c r="D55" s="4" t="s">
        <v>27</v>
      </c>
    </row>
    <row r="56" spans="1:4" x14ac:dyDescent="0.25">
      <c r="A56" s="196"/>
      <c r="B56" s="5"/>
      <c r="C56" s="5"/>
      <c r="D56" s="5"/>
    </row>
    <row r="57" spans="1:4" ht="28.8" x14ac:dyDescent="0.25">
      <c r="A57" s="196"/>
      <c r="B57" s="4" t="s">
        <v>69</v>
      </c>
      <c r="C57" s="5"/>
      <c r="D57" s="4" t="s">
        <v>72</v>
      </c>
    </row>
    <row r="58" spans="1:4" x14ac:dyDescent="0.25">
      <c r="A58" s="196"/>
      <c r="B58" s="5"/>
      <c r="C58" s="5"/>
      <c r="D58" s="5"/>
    </row>
    <row r="59" spans="1:4" x14ac:dyDescent="0.25">
      <c r="A59" s="196"/>
      <c r="B59" s="5"/>
      <c r="C59" s="5"/>
      <c r="D59" s="4" t="s">
        <v>49</v>
      </c>
    </row>
    <row r="60" spans="1:4" ht="28.8" x14ac:dyDescent="0.25">
      <c r="A60" s="196" t="s">
        <v>73</v>
      </c>
      <c r="B60" s="4" t="s">
        <v>74</v>
      </c>
      <c r="C60" s="4" t="s">
        <v>25</v>
      </c>
      <c r="D60" s="4" t="s">
        <v>78</v>
      </c>
    </row>
    <row r="61" spans="1:4" x14ac:dyDescent="0.25">
      <c r="A61" s="196"/>
      <c r="B61" s="5"/>
      <c r="C61" s="5"/>
      <c r="D61" s="5"/>
    </row>
    <row r="62" spans="1:4" ht="28.8" x14ac:dyDescent="0.25">
      <c r="A62" s="196"/>
      <c r="B62" s="4" t="s">
        <v>75</v>
      </c>
      <c r="C62" s="4" t="s">
        <v>77</v>
      </c>
      <c r="D62" s="4" t="s">
        <v>27</v>
      </c>
    </row>
    <row r="63" spans="1:4" x14ac:dyDescent="0.25">
      <c r="A63" s="196"/>
      <c r="B63" s="5"/>
      <c r="C63" s="5"/>
      <c r="D63" s="5"/>
    </row>
    <row r="64" spans="1:4" ht="28.8" x14ac:dyDescent="0.25">
      <c r="A64" s="196"/>
      <c r="B64" s="4" t="s">
        <v>76</v>
      </c>
      <c r="C64" s="5"/>
      <c r="D64" s="4" t="s">
        <v>79</v>
      </c>
    </row>
    <row r="65" spans="1:4" x14ac:dyDescent="0.25">
      <c r="A65" s="196"/>
      <c r="B65" s="5"/>
      <c r="C65" s="5"/>
      <c r="D65" s="5"/>
    </row>
    <row r="66" spans="1:4" x14ac:dyDescent="0.25">
      <c r="A66" s="196"/>
      <c r="B66" s="5"/>
      <c r="C66" s="5"/>
      <c r="D66" s="4" t="s">
        <v>49</v>
      </c>
    </row>
    <row r="67" spans="1:4" ht="28.8" x14ac:dyDescent="0.25">
      <c r="A67" s="196" t="s">
        <v>80</v>
      </c>
      <c r="B67" s="4" t="s">
        <v>81</v>
      </c>
      <c r="C67" s="4" t="s">
        <v>25</v>
      </c>
      <c r="D67" s="4" t="s">
        <v>85</v>
      </c>
    </row>
    <row r="68" spans="1:4" x14ac:dyDescent="0.25">
      <c r="A68" s="196"/>
      <c r="B68" s="5"/>
      <c r="C68" s="5"/>
      <c r="D68" s="5"/>
    </row>
    <row r="69" spans="1:4" ht="28.8" x14ac:dyDescent="0.25">
      <c r="A69" s="196"/>
      <c r="B69" s="4" t="s">
        <v>82</v>
      </c>
      <c r="C69" s="4" t="s">
        <v>84</v>
      </c>
      <c r="D69" s="4" t="s">
        <v>27</v>
      </c>
    </row>
    <row r="70" spans="1:4" x14ac:dyDescent="0.25">
      <c r="A70" s="196"/>
      <c r="B70" s="5"/>
      <c r="C70" s="5"/>
      <c r="D70" s="5"/>
    </row>
    <row r="71" spans="1:4" ht="28.8" x14ac:dyDescent="0.25">
      <c r="A71" s="196"/>
      <c r="B71" s="4" t="s">
        <v>83</v>
      </c>
      <c r="C71" s="5"/>
      <c r="D71" s="4" t="s">
        <v>86</v>
      </c>
    </row>
    <row r="72" spans="1:4" x14ac:dyDescent="0.25">
      <c r="A72" s="196"/>
      <c r="B72" s="5"/>
      <c r="C72" s="5"/>
      <c r="D72" s="5"/>
    </row>
    <row r="73" spans="1:4" x14ac:dyDescent="0.25">
      <c r="A73" s="196"/>
      <c r="B73" s="5"/>
      <c r="C73" s="5"/>
      <c r="D73" s="4" t="s">
        <v>49</v>
      </c>
    </row>
    <row r="74" spans="1:4" ht="28.8" x14ac:dyDescent="0.25">
      <c r="A74" s="196" t="s">
        <v>87</v>
      </c>
      <c r="B74" s="4" t="s">
        <v>88</v>
      </c>
      <c r="C74" s="4" t="s">
        <v>25</v>
      </c>
      <c r="D74" s="4" t="s">
        <v>92</v>
      </c>
    </row>
    <row r="75" spans="1:4" x14ac:dyDescent="0.25">
      <c r="A75" s="196"/>
      <c r="B75" s="5"/>
      <c r="C75" s="5"/>
      <c r="D75" s="5"/>
    </row>
    <row r="76" spans="1:4" ht="28.8" x14ac:dyDescent="0.25">
      <c r="A76" s="196"/>
      <c r="B76" s="4" t="s">
        <v>89</v>
      </c>
      <c r="C76" s="4" t="s">
        <v>91</v>
      </c>
      <c r="D76" s="4" t="s">
        <v>27</v>
      </c>
    </row>
    <row r="77" spans="1:4" x14ac:dyDescent="0.25">
      <c r="A77" s="196"/>
      <c r="B77" s="5"/>
      <c r="C77" s="5"/>
      <c r="D77" s="5"/>
    </row>
    <row r="78" spans="1:4" ht="28.8" x14ac:dyDescent="0.25">
      <c r="A78" s="196"/>
      <c r="B78" s="4" t="s">
        <v>90</v>
      </c>
      <c r="C78" s="5"/>
      <c r="D78" s="4" t="s">
        <v>93</v>
      </c>
    </row>
    <row r="79" spans="1:4" x14ac:dyDescent="0.25">
      <c r="A79" s="196"/>
      <c r="B79" s="5"/>
      <c r="C79" s="5"/>
      <c r="D79" s="5"/>
    </row>
    <row r="80" spans="1:4" x14ac:dyDescent="0.25">
      <c r="A80" s="196"/>
      <c r="B80" s="5"/>
      <c r="C80" s="5"/>
      <c r="D80" s="4" t="s">
        <v>49</v>
      </c>
    </row>
    <row r="81" spans="1:14" ht="28.8" x14ac:dyDescent="0.25">
      <c r="A81" s="196" t="s">
        <v>94</v>
      </c>
      <c r="B81" s="4" t="s">
        <v>95</v>
      </c>
      <c r="C81" s="4" t="s">
        <v>25</v>
      </c>
      <c r="D81" s="4" t="s">
        <v>99</v>
      </c>
    </row>
    <row r="82" spans="1:14" x14ac:dyDescent="0.25">
      <c r="A82" s="196"/>
      <c r="B82" s="5"/>
      <c r="C82" s="5"/>
      <c r="D82" s="5"/>
    </row>
    <row r="83" spans="1:14" ht="28.8" x14ac:dyDescent="0.25">
      <c r="A83" s="196"/>
      <c r="B83" s="4" t="s">
        <v>96</v>
      </c>
      <c r="C83" s="4" t="s">
        <v>98</v>
      </c>
      <c r="D83" s="4" t="s">
        <v>27</v>
      </c>
    </row>
    <row r="84" spans="1:14" x14ac:dyDescent="0.25">
      <c r="A84" s="196"/>
      <c r="B84" s="5"/>
      <c r="C84" s="5"/>
      <c r="D84" s="5"/>
    </row>
    <row r="85" spans="1:14" ht="28.8" x14ac:dyDescent="0.25">
      <c r="A85" s="196"/>
      <c r="B85" s="4" t="s">
        <v>97</v>
      </c>
      <c r="C85" s="5"/>
      <c r="D85" s="4" t="s">
        <v>100</v>
      </c>
    </row>
    <row r="86" spans="1:14" x14ac:dyDescent="0.25">
      <c r="A86" s="196"/>
      <c r="B86" s="5"/>
      <c r="C86" s="5"/>
      <c r="D86" s="5"/>
    </row>
    <row r="87" spans="1:14" x14ac:dyDescent="0.25">
      <c r="A87" s="196"/>
      <c r="B87" s="5"/>
      <c r="C87" s="5"/>
      <c r="D87" s="4" t="s">
        <v>49</v>
      </c>
    </row>
    <row r="88" spans="1:14" ht="28.8" x14ac:dyDescent="0.25">
      <c r="A88" s="196" t="s">
        <v>101</v>
      </c>
      <c r="B88" s="4" t="s">
        <v>102</v>
      </c>
      <c r="C88" s="4" t="s">
        <v>25</v>
      </c>
      <c r="D88" s="4" t="s">
        <v>106</v>
      </c>
    </row>
    <row r="89" spans="1:14" x14ac:dyDescent="0.25">
      <c r="A89" s="196"/>
      <c r="B89" s="5"/>
      <c r="C89" s="5"/>
      <c r="D89" s="5"/>
    </row>
    <row r="90" spans="1:14" ht="28.8" x14ac:dyDescent="0.25">
      <c r="A90" s="196"/>
      <c r="B90" s="4" t="s">
        <v>103</v>
      </c>
      <c r="C90" s="4" t="s">
        <v>105</v>
      </c>
      <c r="D90" s="4" t="s">
        <v>27</v>
      </c>
    </row>
    <row r="91" spans="1:14" x14ac:dyDescent="0.25">
      <c r="A91" s="196"/>
      <c r="B91" s="5"/>
      <c r="C91" s="5"/>
      <c r="D91" s="5"/>
    </row>
    <row r="92" spans="1:14" ht="28.8" x14ac:dyDescent="0.25">
      <c r="A92" s="196"/>
      <c r="B92" s="4" t="s">
        <v>104</v>
      </c>
      <c r="C92" s="5"/>
      <c r="D92" s="4" t="s">
        <v>107</v>
      </c>
      <c r="K92" s="116" t="s">
        <v>316</v>
      </c>
      <c r="L92" s="34" t="s">
        <v>313</v>
      </c>
      <c r="M92" s="34" t="s">
        <v>314</v>
      </c>
      <c r="N92" s="32" t="s">
        <v>315</v>
      </c>
    </row>
    <row r="93" spans="1:14" x14ac:dyDescent="0.25">
      <c r="A93" s="196"/>
      <c r="B93" s="5"/>
      <c r="C93" s="5"/>
      <c r="D93" s="5"/>
      <c r="K93" s="117">
        <v>1</v>
      </c>
      <c r="L93" s="11"/>
      <c r="M93" s="11"/>
      <c r="N93" s="30"/>
    </row>
    <row r="94" spans="1:14" x14ac:dyDescent="0.25">
      <c r="A94" s="196"/>
      <c r="B94" s="5"/>
      <c r="C94" s="5"/>
      <c r="D94" s="4" t="s">
        <v>49</v>
      </c>
      <c r="K94" s="117">
        <v>2</v>
      </c>
      <c r="L94" s="11">
        <v>20</v>
      </c>
      <c r="M94" s="11">
        <v>3</v>
      </c>
      <c r="N94" s="30">
        <v>3</v>
      </c>
    </row>
    <row r="95" spans="1:14" ht="28.8" x14ac:dyDescent="0.25">
      <c r="A95" s="196" t="s">
        <v>108</v>
      </c>
      <c r="B95" s="4" t="s">
        <v>109</v>
      </c>
      <c r="C95" s="4" t="s">
        <v>25</v>
      </c>
      <c r="D95" s="4" t="s">
        <v>113</v>
      </c>
      <c r="K95" s="117">
        <v>3</v>
      </c>
      <c r="L95" s="11"/>
      <c r="M95" s="11"/>
      <c r="N95" s="30"/>
    </row>
    <row r="96" spans="1:14" x14ac:dyDescent="0.25">
      <c r="A96" s="196"/>
      <c r="B96" s="5"/>
      <c r="C96" s="5"/>
      <c r="D96" s="5"/>
      <c r="K96" s="117">
        <v>4</v>
      </c>
      <c r="L96" s="11">
        <v>25</v>
      </c>
      <c r="M96" s="11">
        <v>4</v>
      </c>
      <c r="N96" s="30">
        <v>3</v>
      </c>
    </row>
    <row r="97" spans="1:14" ht="28.8" x14ac:dyDescent="0.25">
      <c r="A97" s="196"/>
      <c r="B97" s="4" t="s">
        <v>110</v>
      </c>
      <c r="C97" s="4" t="s">
        <v>112</v>
      </c>
      <c r="D97" s="4" t="s">
        <v>27</v>
      </c>
      <c r="K97" s="117">
        <v>5</v>
      </c>
      <c r="L97" s="11">
        <v>30</v>
      </c>
      <c r="M97" s="11">
        <v>4</v>
      </c>
      <c r="N97" s="30">
        <v>4</v>
      </c>
    </row>
    <row r="98" spans="1:14" x14ac:dyDescent="0.25">
      <c r="A98" s="196"/>
      <c r="B98" s="5"/>
      <c r="C98" s="5"/>
      <c r="D98" s="5"/>
      <c r="K98" s="117">
        <v>6</v>
      </c>
      <c r="L98" s="11">
        <v>30</v>
      </c>
      <c r="M98" s="11">
        <v>4</v>
      </c>
      <c r="N98" s="30">
        <v>4</v>
      </c>
    </row>
    <row r="99" spans="1:14" ht="28.8" x14ac:dyDescent="0.25">
      <c r="A99" s="196"/>
      <c r="B99" s="4" t="s">
        <v>111</v>
      </c>
      <c r="C99" s="5"/>
      <c r="D99" s="4" t="s">
        <v>114</v>
      </c>
      <c r="K99" s="117">
        <v>7</v>
      </c>
      <c r="L99" s="11">
        <v>40</v>
      </c>
      <c r="M99" s="11">
        <v>5</v>
      </c>
      <c r="N99" s="30">
        <v>5</v>
      </c>
    </row>
    <row r="100" spans="1:14" x14ac:dyDescent="0.25">
      <c r="A100" s="196"/>
      <c r="B100" s="5"/>
      <c r="C100" s="5"/>
      <c r="D100" s="5"/>
      <c r="K100" s="118">
        <v>8</v>
      </c>
      <c r="L100" s="25">
        <v>40</v>
      </c>
      <c r="M100" s="25">
        <v>5</v>
      </c>
      <c r="N100" s="31">
        <v>5</v>
      </c>
    </row>
    <row r="101" spans="1:14" x14ac:dyDescent="0.25">
      <c r="A101" s="196"/>
      <c r="B101" s="5"/>
      <c r="C101" s="5"/>
      <c r="D101" s="4" t="s">
        <v>49</v>
      </c>
      <c r="K101" s="118" t="s">
        <v>317</v>
      </c>
      <c r="L101" s="25">
        <f>SUBTOTAL(109,表1[黑风羽毛])</f>
        <v>185</v>
      </c>
      <c r="M101" s="25">
        <f>SUBTOTAL(109,表1[烈焰石])</f>
        <v>25</v>
      </c>
      <c r="N101" s="31">
        <f>SUBTOTAL(109,表1[常胜牌])</f>
        <v>24</v>
      </c>
    </row>
  </sheetData>
  <mergeCells count="26">
    <mergeCell ref="A1:D1"/>
    <mergeCell ref="A2:A4"/>
    <mergeCell ref="B2:B4"/>
    <mergeCell ref="C2:C4"/>
    <mergeCell ref="A5:A9"/>
    <mergeCell ref="C5:C9"/>
    <mergeCell ref="A10:A14"/>
    <mergeCell ref="C10:C14"/>
    <mergeCell ref="A15:A19"/>
    <mergeCell ref="C15:C19"/>
    <mergeCell ref="A20:A24"/>
    <mergeCell ref="C20:C24"/>
    <mergeCell ref="A25:A31"/>
    <mergeCell ref="C25:C31"/>
    <mergeCell ref="A32:A38"/>
    <mergeCell ref="C32:C38"/>
    <mergeCell ref="A39:A45"/>
    <mergeCell ref="C39:C45"/>
    <mergeCell ref="A88:A94"/>
    <mergeCell ref="A95:A101"/>
    <mergeCell ref="A46:A52"/>
    <mergeCell ref="A53:A59"/>
    <mergeCell ref="A60:A66"/>
    <mergeCell ref="A67:A73"/>
    <mergeCell ref="A74:A80"/>
    <mergeCell ref="A81:A87"/>
  </mergeCells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W25"/>
  <sheetViews>
    <sheetView zoomScale="85" zoomScaleNormal="85" workbookViewId="0">
      <pane xSplit="6" topLeftCell="G1" activePane="topRight" state="frozen"/>
      <selection pane="topRight" activeCell="A2" sqref="A2:XFD20"/>
    </sheetView>
  </sheetViews>
  <sheetFormatPr defaultRowHeight="14.4" x14ac:dyDescent="0.25"/>
  <cols>
    <col min="1" max="1" width="8.88671875" customWidth="1"/>
    <col min="2" max="2" width="13.77734375" customWidth="1"/>
    <col min="3" max="3" width="14.77734375" customWidth="1"/>
    <col min="4" max="4" width="16.88671875" customWidth="1"/>
    <col min="5" max="5" width="11.88671875" customWidth="1"/>
    <col min="6" max="6" width="20.33203125" customWidth="1"/>
    <col min="7" max="7" width="13.77734375" customWidth="1"/>
    <col min="8" max="8" width="15.44140625" customWidth="1"/>
    <col min="9" max="19" width="15.77734375" customWidth="1"/>
    <col min="20" max="20" width="13.88671875" customWidth="1"/>
    <col min="21" max="21" width="12.88671875" customWidth="1"/>
    <col min="22" max="22" width="13.21875" customWidth="1"/>
    <col min="23" max="23" width="13.88671875" customWidth="1"/>
  </cols>
  <sheetData>
    <row r="2" spans="1:23" x14ac:dyDescent="0.25">
      <c r="B2" s="28" t="s">
        <v>188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98" t="s">
        <v>253</v>
      </c>
      <c r="E3" s="98" t="s">
        <v>255</v>
      </c>
      <c r="F3" s="58" t="s">
        <v>181</v>
      </c>
      <c r="G3" s="58" t="s">
        <v>185</v>
      </c>
      <c r="H3" s="59" t="s">
        <v>157</v>
      </c>
      <c r="I3" s="60" t="s">
        <v>158</v>
      </c>
      <c r="J3" s="60" t="s">
        <v>159</v>
      </c>
      <c r="K3" s="60" t="s">
        <v>189</v>
      </c>
      <c r="L3" s="60" t="s">
        <v>199</v>
      </c>
      <c r="M3" s="60" t="s">
        <v>200</v>
      </c>
      <c r="N3" s="60" t="s">
        <v>201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207</v>
      </c>
      <c r="U3" s="62" t="s">
        <v>208</v>
      </c>
      <c r="V3" s="62" t="s">
        <v>209</v>
      </c>
      <c r="W3" s="62" t="s">
        <v>210</v>
      </c>
    </row>
    <row r="4" spans="1:23" ht="15" thickTop="1" x14ac:dyDescent="0.25">
      <c r="A4" t="s">
        <v>318</v>
      </c>
      <c r="B4" s="55">
        <f>表模板[[#This Row],[进化金币(J)]]+IF(ISNUMBER(B3), B3, 表模板[[#Totals],[进化阶段]])</f>
        <v>0</v>
      </c>
      <c r="C4" s="54">
        <f>表模板[[#This Row],[进化点券]]+IF(ISNUMBER(C3), C3, 0)</f>
        <v>0</v>
      </c>
      <c r="D4" s="55">
        <f>IF(A4="○",SUMPRODUCT(表模板[[#This Row],[列1]:[列12]],表模板[[#Totals],[列1]:[列12]])+表模板[[#This Row],[手续费(J)]]*折扣,0)</f>
        <v>0</v>
      </c>
      <c r="E4" s="55">
        <f>IF(A4="○",SUMPRODUCT(表模板[[#This Row],[列13]:[列16]],表模板[[#Totals],[列13]:[列16]]),0)</f>
        <v>0</v>
      </c>
      <c r="F4" s="56" t="s">
        <v>192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2"/>
      <c r="T4" s="34"/>
      <c r="U4" s="34"/>
      <c r="V4" s="34"/>
      <c r="W4" s="34"/>
    </row>
    <row r="5" spans="1:23" x14ac:dyDescent="0.25">
      <c r="A5" t="s">
        <v>318</v>
      </c>
      <c r="B5" s="36">
        <f>表模板[[#This Row],[进化金币(J)]]+IF(ISNUMBER(B4), B4, 表模板[[#Totals],[进化阶段]])</f>
        <v>0</v>
      </c>
      <c r="C5" s="35">
        <f>表模板[[#This Row],[进化点券]]+IF(ISNUMBER(C4), C4, 0)</f>
        <v>0</v>
      </c>
      <c r="D5" s="36">
        <f>IF(A5="○",SUMPRODUCT(表模板[[#This Row],[列1]:[列12]],表模板[[#Totals],[列1]:[列12]])+表模板[[#This Row],[手续费(J)]]*折扣,0)</f>
        <v>0</v>
      </c>
      <c r="E5" s="36">
        <f>IF(A5="○",SUMPRODUCT(表模板[[#This Row],[列13]:[列16]],表模板[[#Totals],[列13]:[列16]]),0)</f>
        <v>0</v>
      </c>
      <c r="F5" s="39" t="s">
        <v>193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30"/>
      <c r="T5" s="34"/>
      <c r="U5" s="34"/>
      <c r="V5" s="34"/>
      <c r="W5" s="34"/>
    </row>
    <row r="6" spans="1:23" x14ac:dyDescent="0.25">
      <c r="A6" t="s">
        <v>318</v>
      </c>
      <c r="B6" s="36">
        <f>表模板[[#This Row],[进化金币(J)]]+IF(ISNUMBER(B5), B5, 表模板[[#Totals],[进化阶段]])</f>
        <v>0</v>
      </c>
      <c r="C6" s="35">
        <f>表模板[[#This Row],[进化点券]]+IF(ISNUMBER(C5), C5, 0)</f>
        <v>0</v>
      </c>
      <c r="D6" s="36">
        <f>IF(A6="○",SUMPRODUCT(表模板[[#This Row],[列1]:[列12]],表模板[[#Totals],[列1]:[列12]])+表模板[[#This Row],[手续费(J)]]*折扣,0)</f>
        <v>0</v>
      </c>
      <c r="E6" s="36">
        <f>IF(A6="○",SUMPRODUCT(表模板[[#This Row],[列13]:[列16]],表模板[[#Totals],[列13]:[列16]]),0)</f>
        <v>0</v>
      </c>
      <c r="F6" s="39" t="s">
        <v>194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30"/>
      <c r="T6" s="34"/>
      <c r="U6" s="34"/>
      <c r="V6" s="34"/>
      <c r="W6" s="34"/>
    </row>
    <row r="7" spans="1:23" x14ac:dyDescent="0.25">
      <c r="A7" t="s">
        <v>318</v>
      </c>
      <c r="B7" s="36">
        <f>表模板[[#This Row],[进化金币(J)]]+IF(ISNUMBER(B6), B6, 表模板[[#Totals],[进化阶段]])</f>
        <v>0</v>
      </c>
      <c r="C7" s="35">
        <f>表模板[[#This Row],[进化点券]]+IF(ISNUMBER(C6), C6, 0)</f>
        <v>0</v>
      </c>
      <c r="D7" s="36">
        <f>IF(A7="○",SUMPRODUCT(表模板[[#This Row],[列1]:[列12]],表模板[[#Totals],[列1]:[列12]])+表模板[[#This Row],[手续费(J)]]*折扣,0)</f>
        <v>0</v>
      </c>
      <c r="E7" s="36">
        <f>IF(A7="○",SUMPRODUCT(表模板[[#This Row],[列13]:[列16]],表模板[[#Totals],[列13]:[列16]]),0)</f>
        <v>0</v>
      </c>
      <c r="F7" s="39" t="s">
        <v>195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30"/>
      <c r="T7" s="34"/>
      <c r="U7" s="34"/>
      <c r="V7" s="34"/>
      <c r="W7" s="34"/>
    </row>
    <row r="8" spans="1:23" x14ac:dyDescent="0.25">
      <c r="A8" t="s">
        <v>318</v>
      </c>
      <c r="B8" s="36">
        <f>表模板[[#This Row],[进化金币(J)]]+IF(ISNUMBER(B7), B7, 表模板[[#Totals],[进化阶段]])</f>
        <v>0</v>
      </c>
      <c r="C8" s="35">
        <f>表模板[[#This Row],[进化点券]]+IF(ISNUMBER(C7), C7, 0)</f>
        <v>0</v>
      </c>
      <c r="D8" s="36">
        <f>IF(A8="○",SUMPRODUCT(表模板[[#This Row],[列1]:[列12]],表模板[[#Totals],[列1]:[列12]])+表模板[[#This Row],[手续费(J)]]*折扣,0)</f>
        <v>0</v>
      </c>
      <c r="E8" s="36">
        <f>IF(A8="○",SUMPRODUCT(表模板[[#This Row],[列13]:[列16]],表模板[[#Totals],[列13]:[列16]]),0)</f>
        <v>0</v>
      </c>
      <c r="F8" s="39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30"/>
      <c r="T8" s="11"/>
      <c r="U8" s="11"/>
      <c r="V8" s="11"/>
      <c r="W8" s="11"/>
    </row>
    <row r="9" spans="1:23" x14ac:dyDescent="0.25">
      <c r="A9" t="s">
        <v>318</v>
      </c>
      <c r="B9" s="36">
        <f>表模板[[#This Row],[进化金币(J)]]+IF(ISNUMBER(B8), B8, 表模板[[#Totals],[进化阶段]])</f>
        <v>0</v>
      </c>
      <c r="C9" s="35">
        <f>表模板[[#This Row],[进化点券]]+IF(ISNUMBER(C8), C8, 0)</f>
        <v>0</v>
      </c>
      <c r="D9" s="38">
        <f>IF(A9="○",SUMPRODUCT(表模板[[#This Row],[列1]:[列12]],表模板[[#Totals],[列1]:[列12]])+表模板[[#This Row],[手续费(J)]]*折扣,0)</f>
        <v>0</v>
      </c>
      <c r="E9" s="38">
        <f>IF(A9="○",SUMPRODUCT(表模板[[#This Row],[列13]:[列16]],表模板[[#Totals],[列13]:[列16]]),0)</f>
        <v>0</v>
      </c>
      <c r="F9" s="39" t="s">
        <v>197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31"/>
      <c r="T9" s="25"/>
      <c r="U9" s="25"/>
      <c r="V9" s="25"/>
      <c r="W9" s="25"/>
    </row>
    <row r="10" spans="1:23" x14ac:dyDescent="0.25">
      <c r="A10" t="s">
        <v>318</v>
      </c>
      <c r="B10" s="36">
        <f>表模板[[#This Row],[进化金币(J)]]+IF(ISNUMBER(B9), B9, 表模板[[#Totals],[进化阶段]])</f>
        <v>0</v>
      </c>
      <c r="C10" s="35">
        <f>表模板[[#This Row],[进化点券]]+IF(ISNUMBER(C9), C9, 0)</f>
        <v>0</v>
      </c>
      <c r="D10" s="36">
        <f>IF(A10="○",SUMPRODUCT(表模板[[#This Row],[列1]:[列12]],表模板[[#Totals],[列1]:[列12]])+表模板[[#This Row],[手续费(J)]]*折扣,0)</f>
        <v>0</v>
      </c>
      <c r="E10" s="36">
        <f>IF(A10="○",SUMPRODUCT(表模板[[#This Row],[列13]:[列16]],表模板[[#Totals],[列13]:[列16]]),0)</f>
        <v>0</v>
      </c>
      <c r="F10" s="39" t="s">
        <v>198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30"/>
      <c r="T10" s="11"/>
      <c r="U10" s="11"/>
      <c r="V10" s="11"/>
      <c r="W10" s="11"/>
    </row>
    <row r="11" spans="1:23" x14ac:dyDescent="0.25">
      <c r="A11" t="s">
        <v>318</v>
      </c>
      <c r="B11" s="36">
        <f>表模板[[#This Row],[进化金币(J)]]+IF(ISNUMBER(B10), B10, 表模板[[#Totals],[进化阶段]])</f>
        <v>0</v>
      </c>
      <c r="C11" s="35">
        <f>表模板[[#This Row],[进化点券]]+IF(ISNUMBER(C10), C10, 0)</f>
        <v>0</v>
      </c>
      <c r="D11" s="36">
        <f>IF(A11="○",SUMPRODUCT(表模板[[#This Row],[列1]:[列12]],表模板[[#Totals],[列1]:[列12]])+表模板[[#This Row],[手续费(J)]]*折扣,0)</f>
        <v>0</v>
      </c>
      <c r="E11" s="36">
        <f>IF(A11="○",SUMPRODUCT(表模板[[#This Row],[列13]:[列16]],表模板[[#Totals],[列13]:[列16]]),0)</f>
        <v>0</v>
      </c>
      <c r="F11" s="40" t="s">
        <v>219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30"/>
      <c r="T11" s="11"/>
      <c r="U11" s="11"/>
      <c r="V11" s="11"/>
      <c r="W11" s="11"/>
    </row>
    <row r="12" spans="1:23" x14ac:dyDescent="0.25">
      <c r="A12" t="s">
        <v>318</v>
      </c>
      <c r="B12" s="36">
        <f>表模板[[#This Row],[进化金币(J)]]+IF(ISNUMBER(B11), B11, 表模板[[#Totals],[进化阶段]])</f>
        <v>0</v>
      </c>
      <c r="C12" s="35">
        <f>表模板[[#This Row],[进化点券]]+IF(ISNUMBER(C11), C11, 0)</f>
        <v>0</v>
      </c>
      <c r="D12" s="36">
        <f>IF(A12="○",SUMPRODUCT(表模板[[#This Row],[列1]:[列12]],表模板[[#Totals],[列1]:[列12]])+表模板[[#This Row],[手续费(J)]]*折扣,0)</f>
        <v>0</v>
      </c>
      <c r="E12" s="36">
        <f>IF(A12="○",SUMPRODUCT(表模板[[#This Row],[列13]:[列16]],表模板[[#Totals],[列13]:[列16]]),0)</f>
        <v>0</v>
      </c>
      <c r="F12" s="40" t="s">
        <v>213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30"/>
      <c r="T12" s="11"/>
      <c r="U12" s="11"/>
      <c r="V12" s="11"/>
      <c r="W12" s="11"/>
    </row>
    <row r="13" spans="1:23" x14ac:dyDescent="0.25">
      <c r="A13" t="s">
        <v>318</v>
      </c>
      <c r="B13" s="36">
        <f>表模板[[#This Row],[进化金币(J)]]+IF(ISNUMBER(B12), B12, 表模板[[#Totals],[进化阶段]])</f>
        <v>0</v>
      </c>
      <c r="C13" s="35">
        <f>表模板[[#This Row],[进化点券]]+IF(ISNUMBER(C12), C12, 0)</f>
        <v>0</v>
      </c>
      <c r="D13" s="36">
        <f>IF(A13="○",SUMPRODUCT(表模板[[#This Row],[列1]:[列12]],表模板[[#Totals],[列1]:[列12]])+表模板[[#This Row],[手续费(J)]]*折扣,0)</f>
        <v>0</v>
      </c>
      <c r="E13" s="36">
        <f>IF(A13="○",SUMPRODUCT(表模板[[#This Row],[列13]:[列16]],表模板[[#Totals],[列13]:[列16]]),0)</f>
        <v>0</v>
      </c>
      <c r="F13" s="40" t="s">
        <v>214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30"/>
      <c r="T13" s="11"/>
      <c r="U13" s="11"/>
      <c r="V13" s="11"/>
      <c r="W13" s="11"/>
    </row>
    <row r="14" spans="1:23" x14ac:dyDescent="0.25">
      <c r="A14" t="s">
        <v>318</v>
      </c>
      <c r="B14" s="36">
        <f>表模板[[#This Row],[进化金币(J)]]+IF(ISNUMBER(B13), B13, 表模板[[#Totals],[进化阶段]])</f>
        <v>0</v>
      </c>
      <c r="C14" s="35">
        <f>表模板[[#This Row],[进化点券]]+IF(ISNUMBER(C13), C13, 0)</f>
        <v>0</v>
      </c>
      <c r="D14" s="36">
        <f>IF(A14="○",SUMPRODUCT(表模板[[#This Row],[列1]:[列12]],表模板[[#Totals],[列1]:[列12]])+表模板[[#This Row],[手续费(J)]]*折扣,0)</f>
        <v>0</v>
      </c>
      <c r="E14" s="36">
        <f>IF(A14="○",SUMPRODUCT(表模板[[#This Row],[列13]:[列16]],表模板[[#Totals],[列13]:[列16]]),0)</f>
        <v>0</v>
      </c>
      <c r="F14" s="40" t="s">
        <v>215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30"/>
      <c r="T14" s="11"/>
      <c r="U14" s="11"/>
      <c r="V14" s="11"/>
      <c r="W14" s="11"/>
    </row>
    <row r="15" spans="1:23" x14ac:dyDescent="0.25">
      <c r="A15" t="s">
        <v>318</v>
      </c>
      <c r="B15" s="36">
        <f>表模板[[#This Row],[进化金币(J)]]+IF(ISNUMBER(B14), B14, 表模板[[#Totals],[进化阶段]])</f>
        <v>0</v>
      </c>
      <c r="C15" s="35">
        <f>表模板[[#This Row],[进化点券]]+IF(ISNUMBER(C14), C14, 0)</f>
        <v>0</v>
      </c>
      <c r="D15" s="36">
        <f>IF(A15="○",SUMPRODUCT(表模板[[#This Row],[列1]:[列12]],表模板[[#Totals],[列1]:[列12]])+表模板[[#This Row],[手续费(J)]]*折扣,0)</f>
        <v>0</v>
      </c>
      <c r="E15" s="36">
        <f>IF(A15="○",SUMPRODUCT(表模板[[#This Row],[列13]:[列16]],表模板[[#Totals],[列13]:[列16]]),0)</f>
        <v>0</v>
      </c>
      <c r="F15" s="40" t="s">
        <v>216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30"/>
      <c r="T15" s="11"/>
      <c r="U15" s="11"/>
      <c r="V15" s="11"/>
      <c r="W15" s="11"/>
    </row>
    <row r="16" spans="1:23" x14ac:dyDescent="0.25">
      <c r="A16" t="s">
        <v>318</v>
      </c>
      <c r="B16" s="36">
        <f>表模板[[#This Row],[进化金币(J)]]+IF(ISNUMBER(B15), B15, 表模板[[#Totals],[进化阶段]])</f>
        <v>0</v>
      </c>
      <c r="C16" s="35">
        <f>表模板[[#This Row],[进化点券]]+IF(ISNUMBER(C15), C15, 0)</f>
        <v>0</v>
      </c>
      <c r="D16" s="36">
        <f>IF(A16="○",SUMPRODUCT(表模板[[#This Row],[列1]:[列12]],表模板[[#Totals],[列1]:[列12]])+表模板[[#This Row],[手续费(J)]]*折扣,0)</f>
        <v>0</v>
      </c>
      <c r="E16" s="36">
        <f>IF(A16="○",SUMPRODUCT(表模板[[#This Row],[列13]:[列16]],表模板[[#Totals],[列13]:[列16]]),0)</f>
        <v>0</v>
      </c>
      <c r="F16" s="40" t="s">
        <v>217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30"/>
      <c r="T16" s="11"/>
      <c r="U16" s="11"/>
      <c r="V16" s="11"/>
      <c r="W16" s="11"/>
    </row>
    <row r="17" spans="1:23" ht="15" thickBot="1" x14ac:dyDescent="0.3">
      <c r="A17" t="s">
        <v>318</v>
      </c>
      <c r="B17" s="38">
        <f>表模板[[#This Row],[进化金币(J)]]+IF(ISNUMBER(B16), B16, 表模板[[#Totals],[进化阶段]])</f>
        <v>0</v>
      </c>
      <c r="C17" s="37">
        <f>表模板[[#This Row],[进化点券]]+IF(ISNUMBER(C16), C16, 0)</f>
        <v>0</v>
      </c>
      <c r="D17" s="38">
        <f>IF(A17="○",SUMPRODUCT(表模板[[#This Row],[列1]:[列12]],表模板[[#Totals],[列1]:[列12]])+表模板[[#This Row],[手续费(J)]]*折扣,0)</f>
        <v>0</v>
      </c>
      <c r="E17" s="38">
        <f>IF(A17="○",SUMPRODUCT(表模板[[#This Row],[列13]:[列16]],表模板[[#Totals],[列13]:[列16]]),0)</f>
        <v>0</v>
      </c>
      <c r="F17" s="67" t="s">
        <v>218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31"/>
      <c r="T17" s="25"/>
      <c r="U17" s="25"/>
      <c r="V17" s="25"/>
      <c r="W17" s="25"/>
    </row>
    <row r="18" spans="1:23" ht="15" thickTop="1" x14ac:dyDescent="0.25">
      <c r="B18" s="72">
        <f>SUBTOTAL(104,表模板[累计金币(J)])</f>
        <v>0</v>
      </c>
      <c r="C18" s="72">
        <f>SUBTOTAL(104,表模板[累计点券])</f>
        <v>0</v>
      </c>
      <c r="D18" s="73">
        <f>SUBTOTAL(109,表模板[进化金币(J)])</f>
        <v>0</v>
      </c>
      <c r="E18" s="74">
        <f>SUBTOTAL(109,表模板[进化点券])</f>
        <v>0</v>
      </c>
      <c r="F18" s="88"/>
      <c r="G18" s="76" t="s">
        <v>190</v>
      </c>
      <c r="H18" s="77">
        <f xml:space="preserve"> _xlfn.IFNA(VLOOKUP(表模板[[#Headers],[列1]],金价一览,2,0), 0)</f>
        <v>0</v>
      </c>
      <c r="I18" s="77">
        <f xml:space="preserve"> _xlfn.IFNA(VLOOKUP(表模板[[#Headers],[列2]],金价一览,2,0), 0)</f>
        <v>0</v>
      </c>
      <c r="J18" s="77">
        <f xml:space="preserve"> _xlfn.IFNA(VLOOKUP(表模板[[#Headers],[列3]],金价一览,2,0), 0)</f>
        <v>0</v>
      </c>
      <c r="K18" s="77">
        <f xml:space="preserve"> _xlfn.IFNA(VLOOKUP(表模板[[#Headers],[列4]],金价一览,2,0), 0)</f>
        <v>0</v>
      </c>
      <c r="L18" s="77">
        <f xml:space="preserve"> _xlfn.IFNA(VLOOKUP(表模板[[#Headers],[列5]],金价一览,2,0), 0)</f>
        <v>0</v>
      </c>
      <c r="M18" s="77">
        <f xml:space="preserve"> _xlfn.IFNA(VLOOKUP(表模板[[#Headers],[列6]],金价一览,2,0), 0)</f>
        <v>0</v>
      </c>
      <c r="N18" s="77">
        <f xml:space="preserve"> _xlfn.IFNA(VLOOKUP(表模板[[#Headers],[列7]],金价一览,2,0), 0)</f>
        <v>0</v>
      </c>
      <c r="O18" s="77">
        <f xml:space="preserve"> _xlfn.IFNA(VLOOKUP(表模板[[#Headers],[列8]],金价一览,2,0), 0)</f>
        <v>0</v>
      </c>
      <c r="P18" s="77">
        <f xml:space="preserve"> _xlfn.IFNA(VLOOKUP(表模板[[#Headers],[列9]],金价一览,2,0), 0)</f>
        <v>0</v>
      </c>
      <c r="Q18" s="77">
        <f xml:space="preserve"> _xlfn.IFNA(VLOOKUP(表模板[[#Headers],[列10]],金价一览,2,0), 0)</f>
        <v>0</v>
      </c>
      <c r="R18" s="77">
        <f xml:space="preserve"> _xlfn.IFNA(VLOOKUP(表模板[[#Headers],[列11]],金价一览,2,0), 0)</f>
        <v>0</v>
      </c>
      <c r="S18" s="77">
        <f xml:space="preserve"> _xlfn.IFNA(VLOOKUP(表模板[[#Headers],[列12]],金价一览,2,0), 0)</f>
        <v>0</v>
      </c>
      <c r="T18" s="78">
        <f>_xlfn.IFNA(VLOOKUP(表模板[[#Headers],[列13]],点券一览,2,0),0)</f>
        <v>0</v>
      </c>
      <c r="U18" s="78">
        <f>_xlfn.IFNA(VLOOKUP(表模板[[#Headers],[列14]],点券一览,2,0),0)</f>
        <v>0</v>
      </c>
      <c r="V18" s="78">
        <f>_xlfn.IFNA(VLOOKUP(表模板[[#Headers],[列15]],点券一览,2,0),0)</f>
        <v>0</v>
      </c>
      <c r="W18" s="78">
        <f>_xlfn.IFNA(VLOOKUP(表模板[[#Headers],[列16]],点券一览,2,0),0)</f>
        <v>0</v>
      </c>
    </row>
    <row r="19" spans="1:23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SUM(表模板[[#Data],[列1]])</f>
        <v>0</v>
      </c>
      <c r="I19" s="52">
        <f>SUM(表模板[[#Data],[列2]])</f>
        <v>0</v>
      </c>
      <c r="J19" s="52">
        <f>SUM(表模板[[#Data],[列3]])</f>
        <v>0</v>
      </c>
      <c r="K19" s="52">
        <f>SUM(表模板[[#Data],[列4]])</f>
        <v>0</v>
      </c>
      <c r="L19" s="52">
        <f>SUM(表模板[[#Data],[列5]])</f>
        <v>0</v>
      </c>
      <c r="M19" s="52">
        <f>SUM(表模板[[#Data],[列6]])</f>
        <v>0</v>
      </c>
      <c r="N19" s="52">
        <f>SUM(表模板[[#Data],[列7]])</f>
        <v>0</v>
      </c>
      <c r="O19" s="52">
        <f>SUM(表模板[[#Data],[列8]])</f>
        <v>0</v>
      </c>
      <c r="P19" s="52">
        <f>SUM(表模板[[#Data],[列9]])</f>
        <v>0</v>
      </c>
      <c r="Q19" s="52">
        <f>SUM(表模板[[#Data],[列10]])</f>
        <v>0</v>
      </c>
      <c r="R19" s="52">
        <f>SUM(表模板[[#Data],[列11]])</f>
        <v>0</v>
      </c>
      <c r="S19" s="52">
        <f>SUM(表模板[[#Data],[列12]])</f>
        <v>0</v>
      </c>
      <c r="T19" s="52">
        <f>SUM(表模板[[#Data],[列13]])</f>
        <v>0</v>
      </c>
      <c r="U19" s="52">
        <f>SUM(表模板[[#Data],[列14]])</f>
        <v>0</v>
      </c>
      <c r="V19" s="52">
        <f>SUM(表模板[[#Data],[列15]])</f>
        <v>0</v>
      </c>
      <c r="W19" s="52">
        <f>SUM(表模板[[#Data],[列16]])</f>
        <v>0</v>
      </c>
    </row>
    <row r="20" spans="1:23" x14ac:dyDescent="0.25">
      <c r="B20" s="188"/>
      <c r="C20" s="188"/>
      <c r="D20" s="188"/>
      <c r="E20" s="188"/>
      <c r="F20" s="189"/>
      <c r="G20" s="80" t="s">
        <v>223</v>
      </c>
      <c r="H20" s="52">
        <f>H19*表模板[[#Totals],[列1]]</f>
        <v>0</v>
      </c>
      <c r="I20" s="52">
        <f>I19*表模板[[#Totals],[列2]]</f>
        <v>0</v>
      </c>
      <c r="J20" s="52">
        <f>J19*表模板[[#Totals],[列3]]</f>
        <v>0</v>
      </c>
      <c r="K20" s="52">
        <f>K19*表模板[[#Totals],[列4]]</f>
        <v>0</v>
      </c>
      <c r="L20" s="52">
        <f>L19*表模板[[#Totals],[列5]]</f>
        <v>0</v>
      </c>
      <c r="M20" s="52">
        <f>M19*表模板[[#Totals],[列6]]</f>
        <v>0</v>
      </c>
      <c r="N20" s="52">
        <f>N19*表模板[[#Totals],[列7]]</f>
        <v>0</v>
      </c>
      <c r="O20" s="52">
        <f>O19*表模板[[#Totals],[列8]]</f>
        <v>0</v>
      </c>
      <c r="P20" s="52">
        <f>P19*表模板[[#Totals],[列9]]</f>
        <v>0</v>
      </c>
      <c r="Q20" s="52">
        <f>Q19*表模板[[#Totals],[列10]]</f>
        <v>0</v>
      </c>
      <c r="R20" s="52">
        <f>R19*表模板[[#Totals],[列11]]</f>
        <v>0</v>
      </c>
      <c r="S20" s="52">
        <f>S19*表模板[[#Totals],[列12]]</f>
        <v>0</v>
      </c>
      <c r="T20" s="52">
        <f>T19*表模板[[#Totals],[列13]]</f>
        <v>0</v>
      </c>
      <c r="U20" s="52">
        <f>U19*表模板[[#Totals],[列14]]</f>
        <v>0</v>
      </c>
      <c r="V20" s="52">
        <f>V19*表模板[[#Totals],[列15]]</f>
        <v>0</v>
      </c>
      <c r="W20" s="52">
        <f>W19*表模板[[#Totals],[列16]]</f>
        <v>0</v>
      </c>
    </row>
    <row r="25" spans="1:23" x14ac:dyDescent="0.25">
      <c r="D25" t="s">
        <v>191</v>
      </c>
    </row>
  </sheetData>
  <mergeCells count="1">
    <mergeCell ref="B19:F20"/>
  </mergeCells>
  <phoneticPr fontId="10" type="noConversion"/>
  <conditionalFormatting sqref="H3:S3">
    <cfRule type="containsText" dxfId="62" priority="2" operator="containsText" text="列">
      <formula>NOT(ISERROR(SEARCH("列",H3)))</formula>
    </cfRule>
  </conditionalFormatting>
  <conditionalFormatting sqref="T3:W3">
    <cfRule type="containsText" dxfId="61" priority="1" operator="containsText" text="列">
      <formula>NOT(ISERROR(SEARCH("列",T3)))</formula>
    </cfRule>
  </conditionalFormatting>
  <dataValidations count="2">
    <dataValidation type="list" allowBlank="1" showInputMessage="1" showErrorMessage="1" error="不存在的材料名" sqref="H3:S3">
      <formula1>材料名</formula1>
    </dataValidation>
    <dataValidation type="list" allowBlank="1" showInputMessage="1" showErrorMessage="1" sqref="T3:W3">
      <formula1>神物名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4.4" x14ac:dyDescent="0.25"/>
  <sheetData/>
  <phoneticPr fontId="10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V25"/>
  <sheetViews>
    <sheetView zoomScale="85" zoomScaleNormal="85" workbookViewId="0">
      <pane xSplit="5" topLeftCell="F1" activePane="topRight" state="frozen"/>
      <selection pane="topRight" activeCell="E29" sqref="E29"/>
    </sheetView>
  </sheetViews>
  <sheetFormatPr defaultRowHeight="14.4" x14ac:dyDescent="0.25"/>
  <cols>
    <col min="1" max="1" width="13.77734375" customWidth="1"/>
    <col min="2" max="2" width="14.77734375" customWidth="1"/>
    <col min="3" max="3" width="16.88671875" customWidth="1"/>
    <col min="4" max="4" width="11.88671875" customWidth="1"/>
    <col min="5" max="5" width="20.33203125" customWidth="1"/>
    <col min="6" max="6" width="13.77734375" customWidth="1"/>
    <col min="7" max="7" width="15.44140625" customWidth="1"/>
    <col min="8" max="18" width="15.77734375" customWidth="1"/>
    <col min="19" max="19" width="13.88671875" customWidth="1"/>
    <col min="20" max="20" width="12.88671875" customWidth="1"/>
    <col min="21" max="21" width="13.21875" customWidth="1"/>
    <col min="22" max="22" width="13.88671875" customWidth="1"/>
  </cols>
  <sheetData>
    <row r="2" spans="1:22" x14ac:dyDescent="0.25">
      <c r="A2" s="28" t="s">
        <v>188</v>
      </c>
      <c r="G2" s="43" t="s">
        <v>212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42" t="s">
        <v>211</v>
      </c>
      <c r="T2" s="41"/>
      <c r="U2" s="41"/>
      <c r="V2" s="41"/>
    </row>
    <row r="3" spans="1:22" ht="34.200000000000003" customHeight="1" thickBot="1" x14ac:dyDescent="0.3">
      <c r="A3" s="57" t="s">
        <v>187</v>
      </c>
      <c r="B3" s="57" t="s">
        <v>186</v>
      </c>
      <c r="C3" s="98" t="s">
        <v>253</v>
      </c>
      <c r="D3" s="98" t="s">
        <v>255</v>
      </c>
      <c r="E3" s="58" t="s">
        <v>181</v>
      </c>
      <c r="F3" s="58" t="s">
        <v>185</v>
      </c>
      <c r="G3" s="59" t="s">
        <v>157</v>
      </c>
      <c r="H3" s="60" t="s">
        <v>158</v>
      </c>
      <c r="I3" s="60" t="s">
        <v>159</v>
      </c>
      <c r="J3" s="60" t="s">
        <v>189</v>
      </c>
      <c r="K3" s="60" t="s">
        <v>199</v>
      </c>
      <c r="L3" s="60" t="s">
        <v>200</v>
      </c>
      <c r="M3" s="60" t="s">
        <v>201</v>
      </c>
      <c r="N3" s="60" t="s">
        <v>202</v>
      </c>
      <c r="O3" s="60" t="s">
        <v>203</v>
      </c>
      <c r="P3" s="60" t="s">
        <v>204</v>
      </c>
      <c r="Q3" s="60" t="s">
        <v>205</v>
      </c>
      <c r="R3" s="61" t="s">
        <v>206</v>
      </c>
      <c r="S3" s="62" t="s">
        <v>207</v>
      </c>
      <c r="T3" s="62" t="s">
        <v>208</v>
      </c>
      <c r="U3" s="62" t="s">
        <v>209</v>
      </c>
      <c r="V3" s="62" t="s">
        <v>210</v>
      </c>
    </row>
    <row r="4" spans="1:22" ht="15" thickTop="1" x14ac:dyDescent="0.25">
      <c r="A4" s="55">
        <f>表模板_28[[#This Row],[进化金币(J)]]+IF(ISNUMBER(A3), A3, 表模板_28[[#Totals],[进化阶段]])</f>
        <v>0</v>
      </c>
      <c r="B4" s="54">
        <f>表模板_28[[#This Row],[进化点券]]+IF(ISNUMBER(B3), B3, 0)</f>
        <v>0</v>
      </c>
      <c r="C4" s="55">
        <f>SUMPRODUCT(表模板_28[[#This Row],[列1]:[列12]],表模板_28[[#Totals],[列1]:[列12]])+表模板_28[[#This Row],[手续费(J)]]*折扣</f>
        <v>0</v>
      </c>
      <c r="D4" s="55">
        <f>SUMPRODUCT(表模板_28[[#This Row],[列13]:[列16]],表模板_28[[#Totals],[列13]:[列16]])</f>
        <v>0</v>
      </c>
      <c r="E4" s="56" t="s">
        <v>192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2"/>
      <c r="S4" s="34"/>
      <c r="T4" s="34"/>
      <c r="U4" s="34"/>
      <c r="V4" s="34"/>
    </row>
    <row r="5" spans="1:22" x14ac:dyDescent="0.25">
      <c r="A5" s="36">
        <f>表模板_28[[#This Row],[进化金币(J)]]+IF(ISNUMBER(A4), A4, 表模板_28[[#Totals],[进化阶段]])</f>
        <v>0</v>
      </c>
      <c r="B5" s="35">
        <f>表模板_28[[#This Row],[进化点券]]+IF(ISNUMBER(B4), B4, 0)</f>
        <v>0</v>
      </c>
      <c r="C5" s="36">
        <f>SUMPRODUCT(表模板_28[[#This Row],[列1]:[列12]],表模板_28[[#Totals],[列1]:[列12]])+表模板_28[[#This Row],[手续费(J)]]*折扣</f>
        <v>0</v>
      </c>
      <c r="D5" s="36">
        <f>SUMPRODUCT(表模板_28[[#This Row],[列13]:[列16]],表模板_28[[#Totals],[列13]:[列16]])</f>
        <v>0</v>
      </c>
      <c r="E5" s="39" t="s">
        <v>193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30"/>
      <c r="S5" s="34"/>
      <c r="T5" s="34"/>
      <c r="U5" s="34"/>
      <c r="V5" s="34"/>
    </row>
    <row r="6" spans="1:22" x14ac:dyDescent="0.25">
      <c r="A6" s="36">
        <f>表模板_28[[#This Row],[进化金币(J)]]+IF(ISNUMBER(A5), A5, 表模板_28[[#Totals],[进化阶段]])</f>
        <v>0</v>
      </c>
      <c r="B6" s="35">
        <f>表模板_28[[#This Row],[进化点券]]+IF(ISNUMBER(B5), B5, 0)</f>
        <v>0</v>
      </c>
      <c r="C6" s="36">
        <f>SUMPRODUCT(表模板_28[[#This Row],[列1]:[列12]],表模板_28[[#Totals],[列1]:[列12]])+表模板_28[[#This Row],[手续费(J)]]*折扣</f>
        <v>0</v>
      </c>
      <c r="D6" s="36">
        <f>SUMPRODUCT(表模板_28[[#This Row],[列13]:[列16]],表模板_28[[#Totals],[列13]:[列16]])</f>
        <v>0</v>
      </c>
      <c r="E6" s="39" t="s">
        <v>194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30"/>
      <c r="S6" s="34"/>
      <c r="T6" s="34"/>
      <c r="U6" s="34"/>
      <c r="V6" s="34"/>
    </row>
    <row r="7" spans="1:22" x14ac:dyDescent="0.25">
      <c r="A7" s="36">
        <f>表模板_28[[#This Row],[进化金币(J)]]+IF(ISNUMBER(A6), A6, 表模板_28[[#Totals],[进化阶段]])</f>
        <v>0</v>
      </c>
      <c r="B7" s="35">
        <f>表模板_28[[#This Row],[进化点券]]+IF(ISNUMBER(B6), B6, 0)</f>
        <v>0</v>
      </c>
      <c r="C7" s="36">
        <f>SUMPRODUCT(表模板_28[[#This Row],[列1]:[列12]],表模板_28[[#Totals],[列1]:[列12]])+表模板_28[[#This Row],[手续费(J)]]*折扣</f>
        <v>0</v>
      </c>
      <c r="D7" s="36">
        <f>SUMPRODUCT(表模板_28[[#This Row],[列13]:[列16]],表模板_28[[#Totals],[列13]:[列16]])</f>
        <v>0</v>
      </c>
      <c r="E7" s="39" t="s">
        <v>195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30"/>
      <c r="S7" s="34"/>
      <c r="T7" s="34"/>
      <c r="U7" s="34"/>
      <c r="V7" s="34"/>
    </row>
    <row r="8" spans="1:22" x14ac:dyDescent="0.25">
      <c r="A8" s="36">
        <f>表模板_28[[#This Row],[进化金币(J)]]+IF(ISNUMBER(A7), A7, 表模板_28[[#Totals],[进化阶段]])</f>
        <v>0</v>
      </c>
      <c r="B8" s="35">
        <f>表模板_28[[#This Row],[进化点券]]+IF(ISNUMBER(B7), B7, 0)</f>
        <v>0</v>
      </c>
      <c r="C8" s="36">
        <f>SUMPRODUCT(表模板_28[[#This Row],[列1]:[列12]],表模板_28[[#Totals],[列1]:[列12]])+表模板_28[[#This Row],[手续费(J)]]*折扣</f>
        <v>0</v>
      </c>
      <c r="D8" s="36">
        <f>SUMPRODUCT(表模板_28[[#This Row],[列13]:[列16]],表模板_28[[#Totals],[列13]:[列16]])</f>
        <v>0</v>
      </c>
      <c r="E8" s="39" t="s">
        <v>196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30"/>
      <c r="S8" s="11"/>
      <c r="T8" s="11"/>
      <c r="U8" s="11"/>
      <c r="V8" s="11"/>
    </row>
    <row r="9" spans="1:22" x14ac:dyDescent="0.25">
      <c r="A9" s="36">
        <f>表模板_28[[#This Row],[进化金币(J)]]+IF(ISNUMBER(A8), A8, 表模板_28[[#Totals],[进化阶段]])</f>
        <v>0</v>
      </c>
      <c r="B9" s="35">
        <f>表模板_28[[#This Row],[进化点券]]+IF(ISNUMBER(B8), B8, 0)</f>
        <v>0</v>
      </c>
      <c r="C9" s="38">
        <f>SUMPRODUCT(表模板_28[[#This Row],[列1]:[列12]],表模板_28[[#Totals],[列1]:[列12]])+表模板_28[[#This Row],[手续费(J)]]*折扣</f>
        <v>0</v>
      </c>
      <c r="D9" s="38">
        <f>SUMPRODUCT(表模板_28[[#This Row],[列13]:[列16]],表模板_28[[#Totals],[列13]:[列16]])</f>
        <v>0</v>
      </c>
      <c r="E9" s="39" t="s">
        <v>197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31"/>
      <c r="S9" s="25"/>
      <c r="T9" s="25"/>
      <c r="U9" s="25"/>
      <c r="V9" s="25"/>
    </row>
    <row r="10" spans="1:22" x14ac:dyDescent="0.25">
      <c r="A10" s="36">
        <f>表模板_28[[#This Row],[进化金币(J)]]+IF(ISNUMBER(A9), A9, 表模板_28[[#Totals],[进化阶段]])</f>
        <v>0</v>
      </c>
      <c r="B10" s="35">
        <f>表模板_28[[#This Row],[进化点券]]+IF(ISNUMBER(B9), B9, 0)</f>
        <v>0</v>
      </c>
      <c r="C10" s="36">
        <f>SUMPRODUCT(表模板_28[[#This Row],[列1]:[列12]],表模板_28[[#Totals],[列1]:[列12]])+表模板_28[[#This Row],[手续费(J)]]*折扣</f>
        <v>0</v>
      </c>
      <c r="D10" s="36">
        <f>SUMPRODUCT(表模板_28[[#This Row],[列13]:[列16]],表模板_28[[#Totals],[列13]:[列16]])</f>
        <v>0</v>
      </c>
      <c r="E10" s="39" t="s">
        <v>198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30"/>
      <c r="S10" s="11"/>
      <c r="T10" s="11"/>
      <c r="U10" s="11"/>
      <c r="V10" s="11"/>
    </row>
    <row r="11" spans="1:22" x14ac:dyDescent="0.25">
      <c r="A11" s="36">
        <f>表模板_28[[#This Row],[进化金币(J)]]+IF(ISNUMBER(A10), A10, 表模板_28[[#Totals],[进化阶段]])</f>
        <v>0</v>
      </c>
      <c r="B11" s="35">
        <f>表模板_28[[#This Row],[进化点券]]+IF(ISNUMBER(B10), B10, 0)</f>
        <v>0</v>
      </c>
      <c r="C11" s="36">
        <f>SUMPRODUCT(表模板_28[[#This Row],[列1]:[列12]],表模板_28[[#Totals],[列1]:[列12]])+表模板_28[[#This Row],[手续费(J)]]*折扣</f>
        <v>0</v>
      </c>
      <c r="D11" s="36">
        <f>SUMPRODUCT(表模板_28[[#This Row],[列13]:[列16]],表模板_28[[#Totals],[列13]:[列16]])</f>
        <v>0</v>
      </c>
      <c r="E11" s="40" t="s">
        <v>219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0"/>
      <c r="S11" s="11"/>
      <c r="T11" s="11"/>
      <c r="U11" s="11"/>
      <c r="V11" s="11"/>
    </row>
    <row r="12" spans="1:22" x14ac:dyDescent="0.25">
      <c r="A12" s="36">
        <f>表模板_28[[#This Row],[进化金币(J)]]+IF(ISNUMBER(A11), A11, 表模板_28[[#Totals],[进化阶段]])</f>
        <v>0</v>
      </c>
      <c r="B12" s="35">
        <f>表模板_28[[#This Row],[进化点券]]+IF(ISNUMBER(B11), B11, 0)</f>
        <v>0</v>
      </c>
      <c r="C12" s="36">
        <f>SUMPRODUCT(表模板_28[[#This Row],[列1]:[列12]],表模板_28[[#Totals],[列1]:[列12]])+表模板_28[[#This Row],[手续费(J)]]*折扣</f>
        <v>0</v>
      </c>
      <c r="D12" s="36">
        <f>SUMPRODUCT(表模板_28[[#This Row],[列13]:[列16]],表模板_28[[#Totals],[列13]:[列16]])</f>
        <v>0</v>
      </c>
      <c r="E12" s="40" t="s">
        <v>213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30"/>
      <c r="S12" s="11"/>
      <c r="T12" s="11"/>
      <c r="U12" s="11"/>
      <c r="V12" s="11"/>
    </row>
    <row r="13" spans="1:22" x14ac:dyDescent="0.25">
      <c r="A13" s="36">
        <f>表模板_28[[#This Row],[进化金币(J)]]+IF(ISNUMBER(A12), A12, 表模板_28[[#Totals],[进化阶段]])</f>
        <v>0</v>
      </c>
      <c r="B13" s="35">
        <f>表模板_28[[#This Row],[进化点券]]+IF(ISNUMBER(B12), B12, 0)</f>
        <v>0</v>
      </c>
      <c r="C13" s="36">
        <f>SUMPRODUCT(表模板_28[[#This Row],[列1]:[列12]],表模板_28[[#Totals],[列1]:[列12]])+表模板_28[[#This Row],[手续费(J)]]*折扣</f>
        <v>0</v>
      </c>
      <c r="D13" s="36">
        <f>SUMPRODUCT(表模板_28[[#This Row],[列13]:[列16]],表模板_28[[#Totals],[列13]:[列16]])</f>
        <v>0</v>
      </c>
      <c r="E13" s="40" t="s">
        <v>214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30"/>
      <c r="S13" s="11"/>
      <c r="T13" s="11"/>
      <c r="U13" s="11"/>
      <c r="V13" s="11"/>
    </row>
    <row r="14" spans="1:22" x14ac:dyDescent="0.25">
      <c r="A14" s="36">
        <f>表模板_28[[#This Row],[进化金币(J)]]+IF(ISNUMBER(A13), A13, 表模板_28[[#Totals],[进化阶段]])</f>
        <v>0</v>
      </c>
      <c r="B14" s="35">
        <f>表模板_28[[#This Row],[进化点券]]+IF(ISNUMBER(B13), B13, 0)</f>
        <v>0</v>
      </c>
      <c r="C14" s="36">
        <f>SUMPRODUCT(表模板_28[[#This Row],[列1]:[列12]],表模板_28[[#Totals],[列1]:[列12]])+表模板_28[[#This Row],[手续费(J)]]*折扣</f>
        <v>0</v>
      </c>
      <c r="D14" s="36">
        <f>SUMPRODUCT(表模板_28[[#This Row],[列13]:[列16]],表模板_28[[#Totals],[列13]:[列16]])</f>
        <v>0</v>
      </c>
      <c r="E14" s="40" t="s">
        <v>215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30"/>
      <c r="S14" s="11"/>
      <c r="T14" s="11"/>
      <c r="U14" s="11"/>
      <c r="V14" s="11"/>
    </row>
    <row r="15" spans="1:22" x14ac:dyDescent="0.25">
      <c r="A15" s="36">
        <f>表模板_28[[#This Row],[进化金币(J)]]+IF(ISNUMBER(A14), A14, 表模板_28[[#Totals],[进化阶段]])</f>
        <v>0</v>
      </c>
      <c r="B15" s="35">
        <f>表模板_28[[#This Row],[进化点券]]+IF(ISNUMBER(B14), B14, 0)</f>
        <v>0</v>
      </c>
      <c r="C15" s="36">
        <f>SUMPRODUCT(表模板_28[[#This Row],[列1]:[列12]],表模板_28[[#Totals],[列1]:[列12]])+表模板_28[[#This Row],[手续费(J)]]*折扣</f>
        <v>0</v>
      </c>
      <c r="D15" s="36">
        <f>SUMPRODUCT(表模板_28[[#This Row],[列13]:[列16]],表模板_28[[#Totals],[列13]:[列16]])</f>
        <v>0</v>
      </c>
      <c r="E15" s="40" t="s">
        <v>216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30"/>
      <c r="S15" s="11"/>
      <c r="T15" s="11"/>
      <c r="U15" s="11"/>
      <c r="V15" s="11"/>
    </row>
    <row r="16" spans="1:22" x14ac:dyDescent="0.25">
      <c r="A16" s="36">
        <f>表模板_28[[#This Row],[进化金币(J)]]+IF(ISNUMBER(A15), A15, 表模板_28[[#Totals],[进化阶段]])</f>
        <v>0</v>
      </c>
      <c r="B16" s="35">
        <f>表模板_28[[#This Row],[进化点券]]+IF(ISNUMBER(B15), B15, 0)</f>
        <v>0</v>
      </c>
      <c r="C16" s="36">
        <f>SUMPRODUCT(表模板_28[[#This Row],[列1]:[列12]],表模板_28[[#Totals],[列1]:[列12]])+表模板_28[[#This Row],[手续费(J)]]*折扣</f>
        <v>0</v>
      </c>
      <c r="D16" s="36">
        <f>SUMPRODUCT(表模板_28[[#This Row],[列13]:[列16]],表模板_28[[#Totals],[列13]:[列16]])</f>
        <v>0</v>
      </c>
      <c r="E16" s="40" t="s">
        <v>217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30"/>
      <c r="S16" s="11"/>
      <c r="T16" s="11"/>
      <c r="U16" s="11"/>
      <c r="V16" s="11"/>
    </row>
    <row r="17" spans="1:22" ht="15" thickBot="1" x14ac:dyDescent="0.3">
      <c r="A17" s="38">
        <f>表模板_28[[#This Row],[进化金币(J)]]+IF(ISNUMBER(A16), A16, 表模板_28[[#Totals],[进化阶段]])</f>
        <v>0</v>
      </c>
      <c r="B17" s="37">
        <f>表模板_28[[#This Row],[进化点券]]+IF(ISNUMBER(B16), B16, 0)</f>
        <v>0</v>
      </c>
      <c r="C17" s="38">
        <f>SUMPRODUCT(表模板_28[[#This Row],[列1]:[列12]],表模板_28[[#Totals],[列1]:[列12]])+表模板_28[[#This Row],[手续费(J)]]*折扣</f>
        <v>0</v>
      </c>
      <c r="D17" s="38">
        <f>SUMPRODUCT(表模板_28[[#This Row],[列13]:[列16]],表模板_28[[#Totals],[列13]:[列16]])</f>
        <v>0</v>
      </c>
      <c r="E17" s="67" t="s">
        <v>218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31"/>
      <c r="S17" s="25"/>
      <c r="T17" s="25"/>
      <c r="U17" s="25"/>
      <c r="V17" s="25"/>
    </row>
    <row r="18" spans="1:22" ht="15" thickTop="1" x14ac:dyDescent="0.25">
      <c r="A18" s="72">
        <f>SUBTOTAL(104,表模板_28[累计金币(J)])</f>
        <v>0</v>
      </c>
      <c r="B18" s="72">
        <f>SUBTOTAL(104,表模板_28[累计点券])</f>
        <v>0</v>
      </c>
      <c r="C18" s="73">
        <f>SUBTOTAL(109,表模板_28[进化金币(J)])</f>
        <v>0</v>
      </c>
      <c r="D18" s="74">
        <f>SUBTOTAL(109,表模板_28[进化点券])</f>
        <v>0</v>
      </c>
      <c r="E18" s="88"/>
      <c r="F18" s="76" t="s">
        <v>190</v>
      </c>
      <c r="G18" s="77">
        <f xml:space="preserve"> _xlfn.IFNA(VLOOKUP(表模板_28[[#Headers],[列1]],金价一览,2,0), 0)</f>
        <v>0</v>
      </c>
      <c r="H18" s="77">
        <f xml:space="preserve"> _xlfn.IFNA(VLOOKUP(表模板_28[[#Headers],[列2]],金价一览,2,0), 0)</f>
        <v>0</v>
      </c>
      <c r="I18" s="77">
        <f xml:space="preserve"> _xlfn.IFNA(VLOOKUP(表模板_28[[#Headers],[列3]],金价一览,2,0), 0)</f>
        <v>0</v>
      </c>
      <c r="J18" s="77">
        <f xml:space="preserve"> _xlfn.IFNA(VLOOKUP(表模板_28[[#Headers],[列4]],金价一览,2,0), 0)</f>
        <v>0</v>
      </c>
      <c r="K18" s="77">
        <f xml:space="preserve"> _xlfn.IFNA(VLOOKUP(表模板_28[[#Headers],[列5]],金价一览,2,0), 0)</f>
        <v>0</v>
      </c>
      <c r="L18" s="77">
        <f xml:space="preserve"> _xlfn.IFNA(VLOOKUP(表模板_28[[#Headers],[列6]],金价一览,2,0), 0)</f>
        <v>0</v>
      </c>
      <c r="M18" s="77">
        <f xml:space="preserve"> _xlfn.IFNA(VLOOKUP(表模板_28[[#Headers],[列7]],金价一览,2,0), 0)</f>
        <v>0</v>
      </c>
      <c r="N18" s="77">
        <f xml:space="preserve"> _xlfn.IFNA(VLOOKUP(表模板_28[[#Headers],[列8]],金价一览,2,0), 0)</f>
        <v>0</v>
      </c>
      <c r="O18" s="77">
        <f xml:space="preserve"> _xlfn.IFNA(VLOOKUP(表模板_28[[#Headers],[列9]],金价一览,2,0), 0)</f>
        <v>0</v>
      </c>
      <c r="P18" s="77">
        <f xml:space="preserve"> _xlfn.IFNA(VLOOKUP(表模板_28[[#Headers],[列10]],金价一览,2,0), 0)</f>
        <v>0</v>
      </c>
      <c r="Q18" s="77">
        <f xml:space="preserve"> _xlfn.IFNA(VLOOKUP(表模板_28[[#Headers],[列11]],金价一览,2,0), 0)</f>
        <v>0</v>
      </c>
      <c r="R18" s="77">
        <f xml:space="preserve"> _xlfn.IFNA(VLOOKUP(表模板_28[[#Headers],[列12]],金价一览,2,0), 0)</f>
        <v>0</v>
      </c>
      <c r="S18" s="78">
        <f>_xlfn.IFNA(VLOOKUP(表模板_28[[#Headers],[列13]],点券一览,2,0),0)</f>
        <v>0</v>
      </c>
      <c r="T18" s="78">
        <f>_xlfn.IFNA(VLOOKUP(表模板_28[[#Headers],[列14]],点券一览,2,0),0)</f>
        <v>0</v>
      </c>
      <c r="U18" s="78">
        <f>_xlfn.IFNA(VLOOKUP(表模板_28[[#Headers],[列15]],点券一览,2,0),0)</f>
        <v>0</v>
      </c>
      <c r="V18" s="78">
        <f>_xlfn.IFNA(VLOOKUP(表模板_28[[#Headers],[列16]],点券一览,2,0),0)</f>
        <v>0</v>
      </c>
    </row>
    <row r="19" spans="1:22" x14ac:dyDescent="0.25">
      <c r="A19" s="188" t="s">
        <v>221</v>
      </c>
      <c r="B19" s="188"/>
      <c r="C19" s="188"/>
      <c r="D19" s="188"/>
      <c r="E19" s="189"/>
      <c r="F19" s="79" t="s">
        <v>224</v>
      </c>
      <c r="G19" s="52">
        <f>SUM(表模板_28[[#Data],[列1]])</f>
        <v>0</v>
      </c>
      <c r="H19" s="52">
        <f>SUM(表模板_28[[#Data],[列2]])</f>
        <v>0</v>
      </c>
      <c r="I19" s="52">
        <f>SUM(表模板_28[[#Data],[列3]])</f>
        <v>0</v>
      </c>
      <c r="J19" s="52">
        <f>SUM(表模板_28[[#Data],[列4]])</f>
        <v>0</v>
      </c>
      <c r="K19" s="52">
        <f>SUM(表模板_28[[#Data],[列5]])</f>
        <v>0</v>
      </c>
      <c r="L19" s="52">
        <f>SUM(表模板_28[[#Data],[列6]])</f>
        <v>0</v>
      </c>
      <c r="M19" s="52">
        <f>SUM(表模板_28[[#Data],[列7]])</f>
        <v>0</v>
      </c>
      <c r="N19" s="52">
        <f>SUM(表模板_28[[#Data],[列8]])</f>
        <v>0</v>
      </c>
      <c r="O19" s="52">
        <f>SUM(表模板_28[[#Data],[列9]])</f>
        <v>0</v>
      </c>
      <c r="P19" s="52">
        <f>SUM(表模板_28[[#Data],[列10]])</f>
        <v>0</v>
      </c>
      <c r="Q19" s="52">
        <f>SUM(表模板_28[[#Data],[列11]])</f>
        <v>0</v>
      </c>
      <c r="R19" s="52">
        <f>SUM(表模板_28[[#Data],[列12]])</f>
        <v>0</v>
      </c>
      <c r="S19" s="52">
        <f>SUM(表模板_28[[#Data],[列13]])</f>
        <v>0</v>
      </c>
      <c r="T19" s="52">
        <f>SUM(表模板_28[[#Data],[列14]])</f>
        <v>0</v>
      </c>
      <c r="U19" s="52">
        <f>SUM(表模板_28[[#Data],[列15]])</f>
        <v>0</v>
      </c>
      <c r="V19" s="52">
        <f>SUM(表模板_28[[#Data],[列16]])</f>
        <v>0</v>
      </c>
    </row>
    <row r="20" spans="1:22" x14ac:dyDescent="0.25">
      <c r="A20" s="188"/>
      <c r="B20" s="188"/>
      <c r="C20" s="188"/>
      <c r="D20" s="188"/>
      <c r="E20" s="189"/>
      <c r="F20" s="80" t="s">
        <v>223</v>
      </c>
      <c r="G20" s="52">
        <f>G19*表模板_28[[#Totals],[列1]]</f>
        <v>0</v>
      </c>
      <c r="H20" s="52">
        <f>H19*表模板_28[[#Totals],[列2]]</f>
        <v>0</v>
      </c>
      <c r="I20" s="52">
        <f>I19*表模板_28[[#Totals],[列3]]</f>
        <v>0</v>
      </c>
      <c r="J20" s="52">
        <f>J19*表模板_28[[#Totals],[列4]]</f>
        <v>0</v>
      </c>
      <c r="K20" s="52">
        <f>K19*表模板_28[[#Totals],[列5]]</f>
        <v>0</v>
      </c>
      <c r="L20" s="52">
        <f>L19*表模板_28[[#Totals],[列6]]</f>
        <v>0</v>
      </c>
      <c r="M20" s="52">
        <f>M19*表模板_28[[#Totals],[列7]]</f>
        <v>0</v>
      </c>
      <c r="N20" s="52">
        <f>N19*表模板_28[[#Totals],[列8]]</f>
        <v>0</v>
      </c>
      <c r="O20" s="52">
        <f>O19*表模板_28[[#Totals],[列9]]</f>
        <v>0</v>
      </c>
      <c r="P20" s="52">
        <f>P19*表模板_28[[#Totals],[列10]]</f>
        <v>0</v>
      </c>
      <c r="Q20" s="52">
        <f>Q19*表模板_28[[#Totals],[列11]]</f>
        <v>0</v>
      </c>
      <c r="R20" s="52">
        <f>R19*表模板_28[[#Totals],[列12]]</f>
        <v>0</v>
      </c>
      <c r="S20" s="52">
        <f>S19*表模板_28[[#Totals],[列13]]</f>
        <v>0</v>
      </c>
      <c r="T20" s="52">
        <f>T19*表模板_28[[#Totals],[列14]]</f>
        <v>0</v>
      </c>
      <c r="U20" s="52">
        <f>U19*表模板_28[[#Totals],[列15]]</f>
        <v>0</v>
      </c>
      <c r="V20" s="52">
        <f>V19*表模板_28[[#Totals],[列16]]</f>
        <v>0</v>
      </c>
    </row>
    <row r="25" spans="1:22" x14ac:dyDescent="0.25">
      <c r="C25" t="s">
        <v>191</v>
      </c>
    </row>
  </sheetData>
  <mergeCells count="1">
    <mergeCell ref="A19:E20"/>
  </mergeCells>
  <phoneticPr fontId="10" type="noConversion"/>
  <conditionalFormatting sqref="G3:R3">
    <cfRule type="containsText" dxfId="30" priority="2" operator="containsText" text="列">
      <formula>NOT(ISERROR(SEARCH("列",G3)))</formula>
    </cfRule>
  </conditionalFormatting>
  <conditionalFormatting sqref="S3:V3">
    <cfRule type="containsText" dxfId="29" priority="1" operator="containsText" text="列">
      <formula>NOT(ISERROR(SEARCH("列",S3)))</formula>
    </cfRule>
  </conditionalFormatting>
  <dataValidations count="2">
    <dataValidation type="list" allowBlank="1" showInputMessage="1" showErrorMessage="1" sqref="S3:V3">
      <formula1>神物名</formula1>
    </dataValidation>
    <dataValidation type="list" allowBlank="1" showInputMessage="1" showErrorMessage="1" error="不存在的材料名" sqref="G3:R3">
      <formula1>材料名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9"/>
  <sheetViews>
    <sheetView tabSelected="1" topLeftCell="A7" workbookViewId="0">
      <selection activeCell="B35" sqref="B35"/>
    </sheetView>
  </sheetViews>
  <sheetFormatPr defaultRowHeight="14.4" x14ac:dyDescent="0.25"/>
  <cols>
    <col min="1" max="1" width="17.109375" customWidth="1"/>
    <col min="2" max="2" width="19.21875" customWidth="1"/>
    <col min="4" max="4" width="15" customWidth="1"/>
    <col min="5" max="5" width="12.109375" customWidth="1"/>
  </cols>
  <sheetData>
    <row r="1" spans="1:5" x14ac:dyDescent="0.25">
      <c r="A1" s="1" t="s">
        <v>175</v>
      </c>
      <c r="D1" s="1" t="s">
        <v>150</v>
      </c>
    </row>
    <row r="2" spans="1:5" x14ac:dyDescent="0.25">
      <c r="A2" s="101" t="s">
        <v>127</v>
      </c>
      <c r="B2" s="101" t="s">
        <v>128</v>
      </c>
      <c r="D2" s="102" t="s">
        <v>127</v>
      </c>
      <c r="E2" s="103" t="s">
        <v>150</v>
      </c>
    </row>
    <row r="3" spans="1:5" x14ac:dyDescent="0.25">
      <c r="A3" s="63" t="s">
        <v>262</v>
      </c>
      <c r="B3" s="64">
        <v>33</v>
      </c>
      <c r="D3" s="15" t="s">
        <v>125</v>
      </c>
      <c r="E3" s="21">
        <v>75</v>
      </c>
    </row>
    <row r="4" spans="1:5" x14ac:dyDescent="0.25">
      <c r="A4" s="63" t="s">
        <v>250</v>
      </c>
      <c r="B4" s="64">
        <v>28</v>
      </c>
      <c r="D4" s="15" t="s">
        <v>116</v>
      </c>
      <c r="E4" s="21">
        <v>150</v>
      </c>
    </row>
    <row r="5" spans="1:5" x14ac:dyDescent="0.25">
      <c r="A5" s="15" t="s">
        <v>285</v>
      </c>
      <c r="B5" s="104">
        <f>表_制作4[单价]</f>
        <v>187.28129032258065</v>
      </c>
      <c r="D5" s="15" t="s">
        <v>6</v>
      </c>
      <c r="E5" s="21">
        <v>500</v>
      </c>
    </row>
    <row r="6" spans="1:5" x14ac:dyDescent="0.25">
      <c r="A6" s="15" t="s">
        <v>118</v>
      </c>
      <c r="B6" s="16">
        <v>1</v>
      </c>
      <c r="D6" s="63" t="s">
        <v>264</v>
      </c>
      <c r="E6" s="21">
        <v>250</v>
      </c>
    </row>
    <row r="7" spans="1:5" x14ac:dyDescent="0.25">
      <c r="A7" s="15" t="s">
        <v>179</v>
      </c>
      <c r="B7" s="16">
        <v>103</v>
      </c>
      <c r="D7" s="15" t="s">
        <v>176</v>
      </c>
      <c r="E7" s="21">
        <v>300</v>
      </c>
    </row>
    <row r="8" spans="1:5" x14ac:dyDescent="0.25">
      <c r="A8" s="15" t="s">
        <v>268</v>
      </c>
      <c r="B8" s="16">
        <v>45</v>
      </c>
      <c r="D8" s="15" t="s">
        <v>151</v>
      </c>
      <c r="E8" s="21">
        <v>1500</v>
      </c>
    </row>
    <row r="9" spans="1:5" x14ac:dyDescent="0.25">
      <c r="A9" s="15" t="s">
        <v>136</v>
      </c>
      <c r="B9" s="16">
        <v>5</v>
      </c>
      <c r="D9" s="15" t="s">
        <v>120</v>
      </c>
      <c r="E9" s="21">
        <v>300</v>
      </c>
    </row>
    <row r="10" spans="1:5" x14ac:dyDescent="0.25">
      <c r="A10" s="63" t="s">
        <v>258</v>
      </c>
      <c r="B10" s="64">
        <v>0.2</v>
      </c>
      <c r="D10" s="15" t="s">
        <v>119</v>
      </c>
      <c r="E10" s="21">
        <v>300</v>
      </c>
    </row>
    <row r="11" spans="1:5" x14ac:dyDescent="0.25">
      <c r="A11" s="17" t="s">
        <v>174</v>
      </c>
      <c r="B11" s="18">
        <v>24.5</v>
      </c>
      <c r="D11" s="15" t="s">
        <v>137</v>
      </c>
      <c r="E11" s="21">
        <v>1500</v>
      </c>
    </row>
    <row r="12" spans="1:5" x14ac:dyDescent="0.25">
      <c r="A12" s="15" t="s">
        <v>7</v>
      </c>
      <c r="B12" s="104">
        <f>制作!D6</f>
        <v>7.7578225806451613</v>
      </c>
      <c r="D12" s="15" t="s">
        <v>177</v>
      </c>
      <c r="E12" s="21">
        <v>250</v>
      </c>
    </row>
    <row r="13" spans="1:5" x14ac:dyDescent="0.25">
      <c r="A13" s="15" t="s">
        <v>133</v>
      </c>
      <c r="B13" s="16">
        <v>26</v>
      </c>
      <c r="D13" s="23" t="s">
        <v>130</v>
      </c>
      <c r="E13" s="21">
        <v>250</v>
      </c>
    </row>
    <row r="14" spans="1:5" x14ac:dyDescent="0.25">
      <c r="A14" s="15" t="s">
        <v>1</v>
      </c>
      <c r="B14" s="16">
        <v>0.15</v>
      </c>
      <c r="D14" s="99" t="s">
        <v>372</v>
      </c>
      <c r="E14" s="170">
        <v>1500</v>
      </c>
    </row>
    <row r="15" spans="1:5" x14ac:dyDescent="0.25">
      <c r="A15" s="15" t="s">
        <v>2</v>
      </c>
      <c r="B15" s="16">
        <v>0.06</v>
      </c>
      <c r="D15" s="15" t="s">
        <v>373</v>
      </c>
      <c r="E15" s="21">
        <v>300</v>
      </c>
    </row>
    <row r="16" spans="1:5" x14ac:dyDescent="0.25">
      <c r="A16" s="19" t="s">
        <v>156</v>
      </c>
      <c r="B16" s="20">
        <v>16</v>
      </c>
    </row>
    <row r="17" spans="1:2" x14ac:dyDescent="0.25">
      <c r="A17" s="15" t="s">
        <v>117</v>
      </c>
      <c r="B17" s="16">
        <v>0.8</v>
      </c>
    </row>
    <row r="18" spans="1:2" x14ac:dyDescent="0.25">
      <c r="A18" s="15" t="s">
        <v>124</v>
      </c>
      <c r="B18" s="16">
        <v>0</v>
      </c>
    </row>
    <row r="19" spans="1:2" x14ac:dyDescent="0.25">
      <c r="A19" s="15" t="s">
        <v>122</v>
      </c>
      <c r="B19" s="16">
        <v>1.5</v>
      </c>
    </row>
    <row r="20" spans="1:2" x14ac:dyDescent="0.25">
      <c r="A20" s="15" t="s">
        <v>121</v>
      </c>
      <c r="B20" s="16">
        <v>0</v>
      </c>
    </row>
    <row r="21" spans="1:2" x14ac:dyDescent="0.25">
      <c r="A21" s="63" t="s">
        <v>251</v>
      </c>
      <c r="B21" s="64">
        <v>56</v>
      </c>
    </row>
    <row r="22" spans="1:2" x14ac:dyDescent="0.25">
      <c r="A22" s="15" t="s">
        <v>129</v>
      </c>
      <c r="B22" s="16">
        <v>20</v>
      </c>
    </row>
    <row r="23" spans="1:2" x14ac:dyDescent="0.25">
      <c r="A23" s="15" t="s">
        <v>0</v>
      </c>
      <c r="B23" s="16">
        <v>4</v>
      </c>
    </row>
    <row r="24" spans="1:2" x14ac:dyDescent="0.25">
      <c r="A24" s="23" t="s">
        <v>3</v>
      </c>
      <c r="B24" s="24">
        <v>1.35</v>
      </c>
    </row>
    <row r="25" spans="1:2" x14ac:dyDescent="0.25">
      <c r="A25" s="23" t="s">
        <v>155</v>
      </c>
      <c r="B25" s="24">
        <v>3.6</v>
      </c>
    </row>
    <row r="26" spans="1:2" x14ac:dyDescent="0.25">
      <c r="A26" s="23" t="s">
        <v>138</v>
      </c>
      <c r="B26" s="24">
        <v>1</v>
      </c>
    </row>
    <row r="27" spans="1:2" x14ac:dyDescent="0.25">
      <c r="A27" s="23" t="s">
        <v>115</v>
      </c>
      <c r="B27" s="24">
        <v>17.600000000000001</v>
      </c>
    </row>
    <row r="28" spans="1:2" x14ac:dyDescent="0.25">
      <c r="A28" s="23" t="s">
        <v>4</v>
      </c>
      <c r="B28" s="24">
        <v>6.5</v>
      </c>
    </row>
    <row r="29" spans="1:2" x14ac:dyDescent="0.25">
      <c r="A29" s="23" t="s">
        <v>154</v>
      </c>
      <c r="B29" s="24">
        <v>0.04</v>
      </c>
    </row>
    <row r="30" spans="1:2" x14ac:dyDescent="0.25">
      <c r="A30" s="99" t="s">
        <v>284</v>
      </c>
      <c r="B30" s="65">
        <v>7</v>
      </c>
    </row>
    <row r="31" spans="1:2" x14ac:dyDescent="0.25">
      <c r="A31" s="99" t="s">
        <v>326</v>
      </c>
      <c r="B31" s="65">
        <v>500</v>
      </c>
    </row>
    <row r="32" spans="1:2" x14ac:dyDescent="0.25">
      <c r="A32" s="99" t="s">
        <v>327</v>
      </c>
      <c r="B32" s="65"/>
    </row>
    <row r="33" spans="1:2" x14ac:dyDescent="0.25">
      <c r="A33" s="99" t="s">
        <v>329</v>
      </c>
      <c r="B33" s="65"/>
    </row>
    <row r="34" spans="1:2" x14ac:dyDescent="0.25">
      <c r="A34" s="99" t="s">
        <v>331</v>
      </c>
      <c r="B34" s="65"/>
    </row>
    <row r="35" spans="1:2" x14ac:dyDescent="0.25">
      <c r="A35" s="99" t="s">
        <v>340</v>
      </c>
      <c r="B35" s="65"/>
    </row>
    <row r="36" spans="1:2" x14ac:dyDescent="0.25">
      <c r="A36" s="99" t="s">
        <v>341</v>
      </c>
      <c r="B36" s="65"/>
    </row>
    <row r="37" spans="1:2" x14ac:dyDescent="0.25">
      <c r="A37" s="99" t="s">
        <v>352</v>
      </c>
      <c r="B37" s="65"/>
    </row>
    <row r="38" spans="1:2" x14ac:dyDescent="0.25">
      <c r="A38" s="99" t="s">
        <v>371</v>
      </c>
      <c r="B38" s="65">
        <v>300</v>
      </c>
    </row>
    <row r="39" spans="1:2" x14ac:dyDescent="0.25">
      <c r="A39" s="99" t="s">
        <v>407</v>
      </c>
      <c r="B39" s="65"/>
    </row>
  </sheetData>
  <sortState ref="A1:A6">
    <sortCondition ref="A1"/>
  </sortState>
  <phoneticPr fontId="10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08"/>
  <sheetViews>
    <sheetView showGridLines="0" zoomScale="85" zoomScaleNormal="85" workbookViewId="0">
      <pane xSplit="6" topLeftCell="G1" activePane="topRight" state="frozen"/>
      <selection pane="topRight" activeCell="U16" sqref="U16:U17"/>
    </sheetView>
  </sheetViews>
  <sheetFormatPr defaultRowHeight="14.4" outlineLevelCol="1" x14ac:dyDescent="0.25"/>
  <cols>
    <col min="1" max="1" width="8.88671875" customWidth="1"/>
    <col min="2" max="5" width="13" customWidth="1"/>
    <col min="6" max="6" width="22" customWidth="1"/>
    <col min="7" max="15" width="13" customWidth="1"/>
    <col min="16" max="19" width="13" hidden="1" customWidth="1" outlineLevel="1"/>
    <col min="20" max="20" width="13" customWidth="1" collapsed="1"/>
    <col min="21" max="21" width="13" customWidth="1"/>
    <col min="22" max="23" width="13" hidden="1" customWidth="1" outlineLevel="1"/>
    <col min="24" max="24" width="8.88671875" collapsed="1"/>
  </cols>
  <sheetData>
    <row r="2" spans="1:23" x14ac:dyDescent="0.25">
      <c r="B2" s="12" t="s">
        <v>288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x14ac:dyDescent="0.25">
      <c r="B3" s="44" t="s">
        <v>187</v>
      </c>
      <c r="C3" s="45" t="s">
        <v>186</v>
      </c>
      <c r="D3" s="46" t="s">
        <v>252</v>
      </c>
      <c r="E3" s="46" t="s">
        <v>254</v>
      </c>
      <c r="F3" s="46" t="s">
        <v>181</v>
      </c>
      <c r="G3" s="46" t="s">
        <v>185</v>
      </c>
      <c r="H3" s="47" t="s">
        <v>0</v>
      </c>
      <c r="I3" s="48" t="s">
        <v>1</v>
      </c>
      <c r="J3" s="48" t="s">
        <v>2</v>
      </c>
      <c r="K3" s="48" t="s">
        <v>3</v>
      </c>
      <c r="L3" s="48" t="s">
        <v>4</v>
      </c>
      <c r="M3" s="48" t="s">
        <v>5</v>
      </c>
      <c r="N3" s="48" t="s">
        <v>136</v>
      </c>
      <c r="O3" s="48" t="s">
        <v>138</v>
      </c>
      <c r="P3" s="48" t="s">
        <v>203</v>
      </c>
      <c r="Q3" s="48" t="s">
        <v>204</v>
      </c>
      <c r="R3" s="48" t="s">
        <v>205</v>
      </c>
      <c r="S3" s="49" t="s">
        <v>206</v>
      </c>
      <c r="T3" s="50" t="s">
        <v>6</v>
      </c>
      <c r="U3" s="50" t="s">
        <v>137</v>
      </c>
      <c r="V3" s="50" t="s">
        <v>209</v>
      </c>
      <c r="W3" s="50" t="s">
        <v>210</v>
      </c>
    </row>
    <row r="4" spans="1:23" x14ac:dyDescent="0.25">
      <c r="B4" s="35">
        <f>表_烛魔1到12必成[[#This Row],[进化金币(J)]]+IF(ISNUMBER(B3), B3, 表_烛魔1到12必成[[#Totals],[进化阶段]])</f>
        <v>0</v>
      </c>
      <c r="C4" s="35">
        <f>表_烛魔1到12必成[[#This Row],[进化点券]]+IF(ISNUMBER(C3), C3, 0)</f>
        <v>0</v>
      </c>
      <c r="D4" s="36">
        <f>IF(A4="○",SUMPRODUCT(表_烛魔1到12必成[[#This Row],[仙丹]:[列12]],表_烛魔1到12必成[[#Totals],[仙丹]:[列12]])+表_烛魔1到12必成[[#This Row],[手续费(J)]]*折扣,0)</f>
        <v>0</v>
      </c>
      <c r="E4" s="36">
        <f>IF(A4="○",SUMPRODUCT(表_烛魔1到12必成[[#This Row],[高级武魂神物]:[列16]],表_烛魔1到12必成[[#Totals],[高级武魂神物]:[列16]]),0)</f>
        <v>0</v>
      </c>
      <c r="F4" s="39" t="s">
        <v>192</v>
      </c>
      <c r="G4" s="11">
        <v>35</v>
      </c>
      <c r="H4" s="11">
        <v>7</v>
      </c>
      <c r="I4" s="11">
        <f>[1]!表_烛魔1到12必成[[#This Row],[仙丹]]*2</f>
        <v>14</v>
      </c>
      <c r="J4" s="11">
        <f>[1]!表_烛魔1到12必成[[#This Row],[灵丹]]</f>
        <v>14</v>
      </c>
      <c r="K4" s="11">
        <f>[1]!表_烛魔1到12必成[[#This Row],[仙丹]]</f>
        <v>7</v>
      </c>
      <c r="L4" s="11">
        <v>9</v>
      </c>
      <c r="M4" s="11">
        <v>2</v>
      </c>
      <c r="N4" s="11"/>
      <c r="O4" s="11"/>
      <c r="P4" s="11"/>
      <c r="Q4" s="11"/>
      <c r="R4" s="11"/>
      <c r="S4" s="30"/>
      <c r="T4" s="34">
        <v>1</v>
      </c>
      <c r="U4" s="34"/>
      <c r="V4" s="34"/>
      <c r="W4" s="34"/>
    </row>
    <row r="5" spans="1:23" x14ac:dyDescent="0.25">
      <c r="B5" s="35">
        <f>表_烛魔1到12必成[[#This Row],[进化金币(J)]]+IF(ISNUMBER(B4), B4, 表_烛魔1到12必成[[#Totals],[进化阶段]])</f>
        <v>0</v>
      </c>
      <c r="C5" s="35">
        <f>表_烛魔1到12必成[[#This Row],[进化点券]]+IF(ISNUMBER(C4), C4, 0)</f>
        <v>0</v>
      </c>
      <c r="D5" s="36">
        <f>IF(A5="○",SUMPRODUCT(表_烛魔1到12必成[[#This Row],[仙丹]:[列12]],表_烛魔1到12必成[[#Totals],[仙丹]:[列12]])+表_烛魔1到12必成[[#This Row],[手续费(J)]]*折扣,0)</f>
        <v>0</v>
      </c>
      <c r="E5" s="36">
        <f>IF(A5="○",SUMPRODUCT(表_烛魔1到12必成[[#This Row],[高级武魂神物]:[列16]],表_烛魔1到12必成[[#Totals],[高级武魂神物]:[列16]]),0)</f>
        <v>0</v>
      </c>
      <c r="F5" s="39" t="s">
        <v>193</v>
      </c>
      <c r="G5" s="11">
        <v>35</v>
      </c>
      <c r="H5" s="11">
        <v>10</v>
      </c>
      <c r="I5" s="11">
        <f>[1]!表_烛魔1到12必成[[#This Row],[仙丹]]*2</f>
        <v>20</v>
      </c>
      <c r="J5" s="11">
        <f>[1]!表_烛魔1到12必成[[#This Row],[灵丹]]</f>
        <v>20</v>
      </c>
      <c r="K5" s="11">
        <f>[1]!表_烛魔1到12必成[[#This Row],[仙丹]]</f>
        <v>10</v>
      </c>
      <c r="L5" s="11">
        <v>18</v>
      </c>
      <c r="M5" s="11">
        <v>2</v>
      </c>
      <c r="N5" s="11"/>
      <c r="O5" s="11"/>
      <c r="P5" s="11"/>
      <c r="Q5" s="11"/>
      <c r="R5" s="11"/>
      <c r="S5" s="30"/>
      <c r="T5" s="34">
        <v>1</v>
      </c>
      <c r="U5" s="34"/>
      <c r="V5" s="34"/>
      <c r="W5" s="34"/>
    </row>
    <row r="6" spans="1:23" x14ac:dyDescent="0.25">
      <c r="B6" s="35">
        <f>表_烛魔1到12必成[[#This Row],[进化金币(J)]]+IF(ISNUMBER(B5), B5, 表_烛魔1到12必成[[#Totals],[进化阶段]])</f>
        <v>0</v>
      </c>
      <c r="C6" s="35">
        <f>表_烛魔1到12必成[[#This Row],[进化点券]]+IF(ISNUMBER(C5), C5, 0)</f>
        <v>0</v>
      </c>
      <c r="D6" s="36">
        <f>IF(A6="○",SUMPRODUCT(表_烛魔1到12必成[[#This Row],[仙丹]:[列12]],表_烛魔1到12必成[[#Totals],[仙丹]:[列12]])+表_烛魔1到12必成[[#This Row],[手续费(J)]]*折扣,0)</f>
        <v>0</v>
      </c>
      <c r="E6" s="36">
        <f>IF(A6="○",SUMPRODUCT(表_烛魔1到12必成[[#This Row],[高级武魂神物]:[列16]],表_烛魔1到12必成[[#Totals],[高级武魂神物]:[列16]]),0)</f>
        <v>0</v>
      </c>
      <c r="F6" s="39" t="s">
        <v>194</v>
      </c>
      <c r="G6" s="11">
        <v>35</v>
      </c>
      <c r="H6" s="11">
        <v>14</v>
      </c>
      <c r="I6" s="11">
        <f>[1]!表_烛魔1到12必成[[#This Row],[仙丹]]*2</f>
        <v>28</v>
      </c>
      <c r="J6" s="11">
        <f>[1]!表_烛魔1到12必成[[#This Row],[灵丹]]</f>
        <v>28</v>
      </c>
      <c r="K6" s="11">
        <f>[1]!表_烛魔1到12必成[[#This Row],[仙丹]]</f>
        <v>14</v>
      </c>
      <c r="L6" s="11">
        <v>20</v>
      </c>
      <c r="M6" s="11">
        <v>3</v>
      </c>
      <c r="N6" s="11"/>
      <c r="O6" s="11"/>
      <c r="P6" s="11"/>
      <c r="Q6" s="11"/>
      <c r="R6" s="11"/>
      <c r="S6" s="30"/>
      <c r="T6" s="34">
        <v>2</v>
      </c>
      <c r="U6" s="34"/>
      <c r="V6" s="34"/>
      <c r="W6" s="34"/>
    </row>
    <row r="7" spans="1:23" x14ac:dyDescent="0.25">
      <c r="B7" s="35">
        <f>表_烛魔1到12必成[[#This Row],[进化金币(J)]]+IF(ISNUMBER(B6), B6, 表_烛魔1到12必成[[#Totals],[进化阶段]])</f>
        <v>0</v>
      </c>
      <c r="C7" s="35">
        <f>表_烛魔1到12必成[[#This Row],[进化点券]]+IF(ISNUMBER(C6), C6, 0)</f>
        <v>0</v>
      </c>
      <c r="D7" s="36">
        <f>IF(A7="○",SUMPRODUCT(表_烛魔1到12必成[[#This Row],[仙丹]:[列12]],表_烛魔1到12必成[[#Totals],[仙丹]:[列12]])+表_烛魔1到12必成[[#This Row],[手续费(J)]]*折扣,0)</f>
        <v>0</v>
      </c>
      <c r="E7" s="36">
        <f>IF(A7="○",SUMPRODUCT(表_烛魔1到12必成[[#This Row],[高级武魂神物]:[列16]],表_烛魔1到12必成[[#Totals],[高级武魂神物]:[列16]]),0)</f>
        <v>0</v>
      </c>
      <c r="F7" s="39" t="s">
        <v>195</v>
      </c>
      <c r="G7" s="11">
        <v>35</v>
      </c>
      <c r="H7" s="11">
        <v>16</v>
      </c>
      <c r="I7" s="11">
        <f>[1]!表_烛魔1到12必成[[#This Row],[仙丹]]*2</f>
        <v>32</v>
      </c>
      <c r="J7" s="11">
        <f>[1]!表_烛魔1到12必成[[#This Row],[灵丹]]</f>
        <v>32</v>
      </c>
      <c r="K7" s="11">
        <f>[1]!表_烛魔1到12必成[[#This Row],[仙丹]]</f>
        <v>16</v>
      </c>
      <c r="L7" s="11">
        <v>22</v>
      </c>
      <c r="M7" s="11">
        <v>3</v>
      </c>
      <c r="N7" s="11"/>
      <c r="O7" s="11"/>
      <c r="P7" s="11"/>
      <c r="Q7" s="11"/>
      <c r="R7" s="11"/>
      <c r="S7" s="30"/>
      <c r="T7" s="34">
        <v>6</v>
      </c>
      <c r="U7" s="34"/>
      <c r="V7" s="34"/>
      <c r="W7" s="34"/>
    </row>
    <row r="8" spans="1:23" x14ac:dyDescent="0.25">
      <c r="B8" s="35">
        <f>表_烛魔1到12必成[[#This Row],[进化金币(J)]]+IF(ISNUMBER(B7), B7, 表_烛魔1到12必成[[#Totals],[进化阶段]])</f>
        <v>0</v>
      </c>
      <c r="C8" s="35">
        <f>表_烛魔1到12必成[[#This Row],[进化点券]]+IF(ISNUMBER(C7), C7, 0)</f>
        <v>0</v>
      </c>
      <c r="D8" s="36">
        <f>IF(A8="○",SUMPRODUCT(表_烛魔1到12必成[[#This Row],[仙丹]:[列12]],表_烛魔1到12必成[[#Totals],[仙丹]:[列12]])+表_烛魔1到12必成[[#This Row],[手续费(J)]]*折扣,0)</f>
        <v>0</v>
      </c>
      <c r="E8" s="36">
        <f>IF(A8="○",SUMPRODUCT(表_烛魔1到12必成[[#This Row],[高级武魂神物]:[列16]],表_烛魔1到12必成[[#Totals],[高级武魂神物]:[列16]]),0)</f>
        <v>0</v>
      </c>
      <c r="F8" s="39" t="s">
        <v>196</v>
      </c>
      <c r="G8" s="11">
        <v>35</v>
      </c>
      <c r="H8" s="11">
        <v>25</v>
      </c>
      <c r="I8" s="11">
        <v>49</v>
      </c>
      <c r="J8" s="11">
        <f>[1]!表_烛魔1到12必成[[#This Row],[灵丹]]</f>
        <v>49</v>
      </c>
      <c r="K8" s="11">
        <f>[1]!表_烛魔1到12必成[[#This Row],[仙丹]]</f>
        <v>25</v>
      </c>
      <c r="L8" s="11">
        <v>28</v>
      </c>
      <c r="M8" s="11">
        <v>6</v>
      </c>
      <c r="N8" s="11"/>
      <c r="O8" s="11"/>
      <c r="P8" s="11"/>
      <c r="Q8" s="11"/>
      <c r="R8" s="11"/>
      <c r="S8" s="30"/>
      <c r="T8" s="11">
        <v>8</v>
      </c>
      <c r="U8" s="11"/>
      <c r="V8" s="11"/>
      <c r="W8" s="11"/>
    </row>
    <row r="9" spans="1:23" x14ac:dyDescent="0.25">
      <c r="B9" s="35">
        <f>表_烛魔1到12必成[[#This Row],[进化金币(J)]]+IF(ISNUMBER(B8), B8, 表_烛魔1到12必成[[#Totals],[进化阶段]])</f>
        <v>0</v>
      </c>
      <c r="C9" s="35">
        <f>表_烛魔1到12必成[[#This Row],[进化点券]]+IF(ISNUMBER(C8), C8, 0)</f>
        <v>0</v>
      </c>
      <c r="D9" s="36">
        <f>IF(A9="○",SUMPRODUCT(表_烛魔1到12必成[[#This Row],[仙丹]:[列12]],表_烛魔1到12必成[[#Totals],[仙丹]:[列12]])+表_烛魔1到12必成[[#This Row],[手续费(J)]]*折扣,0)</f>
        <v>0</v>
      </c>
      <c r="E9" s="36">
        <f>IF(A9="○",SUMPRODUCT(表_烛魔1到12必成[[#This Row],[高级武魂神物]:[列16]],表_烛魔1到12必成[[#Totals],[高级武魂神物]:[列16]]),0)</f>
        <v>0</v>
      </c>
      <c r="F9" s="39" t="s">
        <v>197</v>
      </c>
      <c r="G9" s="25">
        <v>35</v>
      </c>
      <c r="H9" s="25">
        <v>28</v>
      </c>
      <c r="I9" s="25">
        <f>[1]!表_烛魔1到12必成[[#This Row],[仙丹]]*2</f>
        <v>56</v>
      </c>
      <c r="J9" s="25">
        <f>[1]!表_烛魔1到12必成[[#This Row],[灵丹]]</f>
        <v>56</v>
      </c>
      <c r="K9" s="25">
        <f>[1]!表_烛魔1到12必成[[#This Row],[仙丹]]</f>
        <v>28</v>
      </c>
      <c r="L9" s="25">
        <v>35</v>
      </c>
      <c r="M9" s="25">
        <v>8</v>
      </c>
      <c r="N9" s="25"/>
      <c r="O9" s="25"/>
      <c r="P9" s="25"/>
      <c r="Q9" s="25"/>
      <c r="R9" s="25"/>
      <c r="S9" s="31"/>
      <c r="T9" s="25">
        <v>10</v>
      </c>
      <c r="U9" s="25"/>
      <c r="V9" s="25"/>
      <c r="W9" s="25"/>
    </row>
    <row r="10" spans="1:23" x14ac:dyDescent="0.25">
      <c r="B10" s="35">
        <f>表_烛魔1到12必成[[#This Row],[进化金币(J)]]+IF(ISNUMBER(B9), B9, 表_烛魔1到12必成[[#Totals],[进化阶段]])</f>
        <v>0</v>
      </c>
      <c r="C10" s="35">
        <f>表_烛魔1到12必成[[#This Row],[进化点券]]+IF(ISNUMBER(C9), C9, 0)</f>
        <v>0</v>
      </c>
      <c r="D10" s="36">
        <f>IF(A10="○",SUMPRODUCT(表_烛魔1到12必成[[#This Row],[仙丹]:[列12]],表_烛魔1到12必成[[#Totals],[仙丹]:[列12]])+表_烛魔1到12必成[[#This Row],[手续费(J)]]*折扣,0)</f>
        <v>0</v>
      </c>
      <c r="E10" s="36">
        <f>IF(A10="○",SUMPRODUCT(表_烛魔1到12必成[[#This Row],[高级武魂神物]:[列16]],表_烛魔1到12必成[[#Totals],[高级武魂神物]:[列16]]),0)</f>
        <v>0</v>
      </c>
      <c r="F10" s="39" t="s">
        <v>198</v>
      </c>
      <c r="G10" s="11">
        <v>35</v>
      </c>
      <c r="H10" s="11">
        <v>32</v>
      </c>
      <c r="I10" s="11">
        <v>63</v>
      </c>
      <c r="J10" s="11">
        <f>[1]!表_烛魔1到12必成[[#This Row],[灵丹]]</f>
        <v>63</v>
      </c>
      <c r="K10" s="11">
        <f>[1]!表_烛魔1到12必成[[#This Row],[仙丹]]</f>
        <v>32</v>
      </c>
      <c r="L10" s="11">
        <v>43</v>
      </c>
      <c r="M10" s="11">
        <v>8</v>
      </c>
      <c r="N10" s="11"/>
      <c r="O10" s="11"/>
      <c r="P10" s="11"/>
      <c r="Q10" s="11"/>
      <c r="R10" s="11"/>
      <c r="S10" s="30"/>
      <c r="T10" s="11">
        <v>12</v>
      </c>
      <c r="U10" s="11"/>
      <c r="V10" s="11"/>
      <c r="W10" s="11"/>
    </row>
    <row r="11" spans="1:23" x14ac:dyDescent="0.25">
      <c r="B11" s="35">
        <f>表_烛魔1到12必成[[#This Row],[进化金币(J)]]+IF(ISNUMBER(B10), B10, 表_烛魔1到12必成[[#Totals],[进化阶段]])</f>
        <v>0</v>
      </c>
      <c r="C11" s="35">
        <f>表_烛魔1到12必成[[#This Row],[进化点券]]+IF(ISNUMBER(C10), C10, 0)</f>
        <v>0</v>
      </c>
      <c r="D11" s="36">
        <f>IF(A11="○",SUMPRODUCT(表_烛魔1到12必成[[#This Row],[仙丹]:[列12]],表_烛魔1到12必成[[#Totals],[仙丹]:[列12]])+表_烛魔1到12必成[[#This Row],[手续费(J)]]*折扣,0)</f>
        <v>0</v>
      </c>
      <c r="E11" s="36">
        <f>IF(A11="○",SUMPRODUCT(表_烛魔1到12必成[[#This Row],[高级武魂神物]:[列16]],表_烛魔1到12必成[[#Totals],[高级武魂神物]:[列16]]),0)</f>
        <v>0</v>
      </c>
      <c r="F11" s="40" t="s">
        <v>220</v>
      </c>
      <c r="G11" s="11">
        <v>25</v>
      </c>
      <c r="H11" s="11">
        <v>15</v>
      </c>
      <c r="I11" s="11">
        <f>[1]!表_烛魔1到12必成[[#This Row],[仙丹]]*2</f>
        <v>30</v>
      </c>
      <c r="J11" s="11">
        <f>[1]!表_烛魔1到12必成[[#This Row],[灵丹]]</f>
        <v>30</v>
      </c>
      <c r="K11" s="11">
        <f>[1]!表_烛魔1到12必成[[#This Row],[仙丹]]</f>
        <v>15</v>
      </c>
      <c r="L11" s="11">
        <v>18</v>
      </c>
      <c r="M11" s="11">
        <v>9</v>
      </c>
      <c r="N11" s="11">
        <v>4</v>
      </c>
      <c r="O11" s="11"/>
      <c r="P11" s="11"/>
      <c r="Q11" s="11"/>
      <c r="R11" s="11"/>
      <c r="S11" s="30"/>
      <c r="T11" s="11"/>
      <c r="U11" s="11">
        <v>8</v>
      </c>
      <c r="V11" s="11"/>
      <c r="W11" s="11"/>
    </row>
    <row r="12" spans="1:23" s="143" customFormat="1" x14ac:dyDescent="0.25">
      <c r="A12"/>
      <c r="B12" s="144">
        <f>表_烛魔1到12必成[[#This Row],[进化金币(J)]]+IF(ISNUMBER(B11), B11, 表_烛魔1到12必成[[#Totals],[进化阶段]])</f>
        <v>0</v>
      </c>
      <c r="C12" s="144">
        <f>表_烛魔1到12必成[[#This Row],[进化点券]]+IF(ISNUMBER(C11), C11, 0)</f>
        <v>0</v>
      </c>
      <c r="D12" s="145">
        <f>IF(A12="○",SUMPRODUCT(表_烛魔1到12必成[[#This Row],[仙丹]:[列12]],表_烛魔1到12必成[[#Totals],[仙丹]:[列12]])+表_烛魔1到12必成[[#This Row],[手续费(J)]]*折扣,0)</f>
        <v>0</v>
      </c>
      <c r="E12" s="145">
        <f>IF(A12="○",SUMPRODUCT(表_烛魔1到12必成[[#This Row],[高级武魂神物]:[列16]],表_烛魔1到12必成[[#Totals],[高级武魂神物]:[列16]]),0)</f>
        <v>0</v>
      </c>
      <c r="F12" s="146" t="s">
        <v>213</v>
      </c>
      <c r="G12" s="147">
        <v>27</v>
      </c>
      <c r="H12" s="147">
        <v>16</v>
      </c>
      <c r="I12" s="147">
        <f>[1]!表_烛魔1到12必成[[#This Row],[仙丹]]*2</f>
        <v>32</v>
      </c>
      <c r="J12" s="147">
        <f>[1]!表_烛魔1到12必成[[#This Row],[灵丹]]</f>
        <v>32</v>
      </c>
      <c r="K12" s="147">
        <f>[1]!表_烛魔1到12必成[[#This Row],[仙丹]]</f>
        <v>16</v>
      </c>
      <c r="L12" s="147">
        <v>20</v>
      </c>
      <c r="M12" s="147">
        <v>12</v>
      </c>
      <c r="N12" s="147">
        <v>4</v>
      </c>
      <c r="O12" s="147"/>
      <c r="P12" s="147"/>
      <c r="Q12" s="147"/>
      <c r="R12" s="147"/>
      <c r="S12" s="148"/>
      <c r="T12" s="147"/>
      <c r="U12" s="147">
        <v>11</v>
      </c>
      <c r="V12" s="147"/>
      <c r="W12" s="147"/>
    </row>
    <row r="13" spans="1:23" s="143" customFormat="1" x14ac:dyDescent="0.25">
      <c r="A13"/>
      <c r="B13" s="144">
        <f>表_烛魔1到12必成[[#This Row],[进化金币(J)]]+IF(ISNUMBER(B12), B12, 表_烛魔1到12必成[[#Totals],[进化阶段]])</f>
        <v>0</v>
      </c>
      <c r="C13" s="144">
        <f>表_烛魔1到12必成[[#This Row],[进化点券]]+IF(ISNUMBER(C12), C12, 0)</f>
        <v>0</v>
      </c>
      <c r="D13" s="145">
        <f>IF(A13="○",SUMPRODUCT(表_烛魔1到12必成[[#This Row],[仙丹]:[列12]],表_烛魔1到12必成[[#Totals],[仙丹]:[列12]])+表_烛魔1到12必成[[#This Row],[手续费(J)]]*折扣,0)</f>
        <v>0</v>
      </c>
      <c r="E13" s="145">
        <f>IF(A13="○",SUMPRODUCT(表_烛魔1到12必成[[#This Row],[高级武魂神物]:[列16]],表_烛魔1到12必成[[#Totals],[高级武魂神物]:[列16]]),0)</f>
        <v>0</v>
      </c>
      <c r="F13" s="146" t="s">
        <v>214</v>
      </c>
      <c r="G13" s="147">
        <v>29</v>
      </c>
      <c r="H13" s="147">
        <v>18</v>
      </c>
      <c r="I13" s="147">
        <f>[1]!表_烛魔1到12必成[[#This Row],[仙丹]]*2</f>
        <v>36</v>
      </c>
      <c r="J13" s="147">
        <f>[1]!表_烛魔1到12必成[[#This Row],[灵丹]]</f>
        <v>36</v>
      </c>
      <c r="K13" s="147">
        <f>[1]!表_烛魔1到12必成[[#This Row],[仙丹]]</f>
        <v>18</v>
      </c>
      <c r="L13" s="147">
        <v>22</v>
      </c>
      <c r="M13" s="147">
        <v>12</v>
      </c>
      <c r="N13" s="147">
        <v>4</v>
      </c>
      <c r="O13" s="147"/>
      <c r="P13" s="147"/>
      <c r="Q13" s="147"/>
      <c r="R13" s="147"/>
      <c r="S13" s="148"/>
      <c r="T13" s="147"/>
      <c r="U13" s="147">
        <v>13</v>
      </c>
      <c r="V13" s="147"/>
      <c r="W13" s="147"/>
    </row>
    <row r="14" spans="1:23" s="143" customFormat="1" x14ac:dyDescent="0.25">
      <c r="A14"/>
      <c r="B14" s="144">
        <f>表_烛魔1到12必成[[#This Row],[进化金币(J)]]+IF(ISNUMBER(B13), B13, 表_烛魔1到12必成[[#Totals],[进化阶段]])</f>
        <v>0</v>
      </c>
      <c r="C14" s="144">
        <f>表_烛魔1到12必成[[#This Row],[进化点券]]+IF(ISNUMBER(C13), C13, 0)</f>
        <v>0</v>
      </c>
      <c r="D14" s="145">
        <f>IF(A14="○",SUMPRODUCT(表_烛魔1到12必成[[#This Row],[仙丹]:[列12]],表_烛魔1到12必成[[#Totals],[仙丹]:[列12]])+表_烛魔1到12必成[[#This Row],[手续费(J)]]*折扣,0)</f>
        <v>0</v>
      </c>
      <c r="E14" s="145">
        <f>IF(A14="○",SUMPRODUCT(表_烛魔1到12必成[[#This Row],[高级武魂神物]:[列16]],表_烛魔1到12必成[[#Totals],[高级武魂神物]:[列16]]),0)</f>
        <v>0</v>
      </c>
      <c r="F14" s="146" t="s">
        <v>215</v>
      </c>
      <c r="G14" s="147">
        <v>31</v>
      </c>
      <c r="H14" s="147">
        <v>18</v>
      </c>
      <c r="I14" s="147">
        <f>[1]!表_烛魔1到12必成[[#This Row],[仙丹]]*2</f>
        <v>36</v>
      </c>
      <c r="J14" s="147">
        <f>[1]!表_烛魔1到12必成[[#This Row],[灵丹]]</f>
        <v>36</v>
      </c>
      <c r="K14" s="147">
        <f>[1]!表_烛魔1到12必成[[#This Row],[仙丹]]</f>
        <v>18</v>
      </c>
      <c r="L14" s="147">
        <v>24</v>
      </c>
      <c r="M14" s="147">
        <v>15</v>
      </c>
      <c r="N14" s="147">
        <v>4</v>
      </c>
      <c r="O14" s="147"/>
      <c r="P14" s="147"/>
      <c r="Q14" s="147"/>
      <c r="R14" s="147"/>
      <c r="S14" s="148"/>
      <c r="T14" s="147"/>
      <c r="U14" s="147">
        <v>22</v>
      </c>
      <c r="V14" s="147"/>
      <c r="W14" s="147"/>
    </row>
    <row r="15" spans="1:23" x14ac:dyDescent="0.25">
      <c r="B15" s="35">
        <f>表_烛魔1到12必成[[#This Row],[进化金币(J)]]+IF(ISNUMBER(B14), B14, 表_烛魔1到12必成[[#Totals],[进化阶段]])</f>
        <v>0</v>
      </c>
      <c r="C15" s="35">
        <f>表_烛魔1到12必成[[#This Row],[进化点券]]+IF(ISNUMBER(C14), C14, 0)</f>
        <v>0</v>
      </c>
      <c r="D15" s="36">
        <f>IF(A15="○",SUMPRODUCT(表_烛魔1到12必成[[#This Row],[仙丹]:[列12]],表_烛魔1到12必成[[#Totals],[仙丹]:[列12]])+表_烛魔1到12必成[[#This Row],[手续费(J)]]*折扣,0)</f>
        <v>0</v>
      </c>
      <c r="E15" s="36">
        <f>IF(A15="○",SUMPRODUCT(表_烛魔1到12必成[[#This Row],[高级武魂神物]:[列16]],表_烛魔1到12必成[[#Totals],[高级武魂神物]:[列16]]),0)</f>
        <v>0</v>
      </c>
      <c r="F15" s="40" t="s">
        <v>216</v>
      </c>
      <c r="G15" s="11">
        <v>53</v>
      </c>
      <c r="H15" s="11">
        <v>18</v>
      </c>
      <c r="I15" s="11">
        <f>[1]!表_烛魔1到12必成[[#This Row],[仙丹]]*2</f>
        <v>36</v>
      </c>
      <c r="J15" s="11">
        <f>[1]!表_烛魔1到12必成[[#This Row],[灵丹]]</f>
        <v>36</v>
      </c>
      <c r="K15" s="11">
        <f>[1]!表_烛魔1到12必成[[#This Row],[仙丹]]</f>
        <v>18</v>
      </c>
      <c r="L15" s="11">
        <v>11</v>
      </c>
      <c r="M15" s="11"/>
      <c r="N15" s="11">
        <v>4</v>
      </c>
      <c r="O15" s="11">
        <v>4</v>
      </c>
      <c r="P15" s="11"/>
      <c r="Q15" s="11"/>
      <c r="R15" s="11"/>
      <c r="S15" s="30"/>
      <c r="T15" s="11"/>
      <c r="U15" s="11">
        <v>32</v>
      </c>
      <c r="V15" s="11"/>
      <c r="W15" s="11"/>
    </row>
    <row r="16" spans="1:23" x14ac:dyDescent="0.25">
      <c r="A16" t="s">
        <v>319</v>
      </c>
      <c r="B16" s="35">
        <f>表_烛魔1到12必成[[#This Row],[进化金币(J)]]+IF(ISNUMBER(B15), B15, 表_烛魔1到12必成[[#Totals],[进化阶段]])</f>
        <v>243.11</v>
      </c>
      <c r="C16" s="35">
        <f>表_烛魔1到12必成[[#This Row],[进化点券]]+IF(ISNUMBER(C15), C15, 0)</f>
        <v>67500</v>
      </c>
      <c r="D16" s="36">
        <f>IF(A16="○",SUMPRODUCT(表_烛魔1到12必成[[#This Row],[仙丹]:[列12]],表_烛魔1到12必成[[#Totals],[仙丹]:[列12]])+表_烛魔1到12必成[[#This Row],[手续费(J)]]*折扣,0)</f>
        <v>243.11</v>
      </c>
      <c r="E16" s="36">
        <f>IF(A16="○",SUMPRODUCT(表_烛魔1到12必成[[#This Row],[高级武魂神物]:[列16]],表_烛魔1到12必成[[#Totals],[高级武魂神物]:[列16]]),0)</f>
        <v>67500</v>
      </c>
      <c r="F16" s="40" t="s">
        <v>217</v>
      </c>
      <c r="G16" s="11">
        <v>53</v>
      </c>
      <c r="H16" s="11">
        <v>18</v>
      </c>
      <c r="I16" s="11">
        <f>[1]!表_烛魔1到12必成[[#This Row],[仙丹]]*2</f>
        <v>36</v>
      </c>
      <c r="J16" s="11">
        <f>[1]!表_烛魔1到12必成[[#This Row],[灵丹]]</f>
        <v>36</v>
      </c>
      <c r="K16" s="11">
        <f>[1]!表_烛魔1到12必成[[#This Row],[仙丹]]</f>
        <v>18</v>
      </c>
      <c r="L16" s="11">
        <v>11</v>
      </c>
      <c r="M16" s="11"/>
      <c r="N16" s="11">
        <v>4</v>
      </c>
      <c r="O16" s="11">
        <v>8</v>
      </c>
      <c r="P16" s="11"/>
      <c r="Q16" s="11"/>
      <c r="R16" s="11"/>
      <c r="S16" s="30"/>
      <c r="T16" s="11"/>
      <c r="U16" s="11">
        <v>45</v>
      </c>
      <c r="V16" s="11"/>
      <c r="W16" s="11"/>
    </row>
    <row r="17" spans="1:26" ht="15" thickBot="1" x14ac:dyDescent="0.3">
      <c r="A17" t="s">
        <v>319</v>
      </c>
      <c r="B17" s="37">
        <f>表_烛魔1到12必成[[#This Row],[进化金币(J)]]+IF(ISNUMBER(B16), B16, 表_烛魔1到12必成[[#Totals],[进化阶段]])</f>
        <v>490.22</v>
      </c>
      <c r="C17" s="37">
        <f>表_烛魔1到12必成[[#This Row],[进化点券]]+IF(ISNUMBER(C16), C16, 0)</f>
        <v>165000</v>
      </c>
      <c r="D17" s="38">
        <f>IF(A17="○",SUMPRODUCT(表_烛魔1到12必成[[#This Row],[仙丹]:[列12]],表_烛魔1到12必成[[#Totals],[仙丹]:[列12]])+表_烛魔1到12必成[[#This Row],[手续费(J)]]*折扣,0)</f>
        <v>247.11</v>
      </c>
      <c r="E17" s="38">
        <f>IF(A17="○",SUMPRODUCT(表_烛魔1到12必成[[#This Row],[高级武魂神物]:[列16]],表_烛魔1到12必成[[#Totals],[高级武魂神物]:[列16]]),0)</f>
        <v>97500</v>
      </c>
      <c r="F17" s="67" t="s">
        <v>218</v>
      </c>
      <c r="G17" s="11">
        <v>53</v>
      </c>
      <c r="H17" s="11">
        <v>18</v>
      </c>
      <c r="I17" s="11">
        <f>[1]!表_烛魔1到12必成[[#This Row],[仙丹]]*2</f>
        <v>36</v>
      </c>
      <c r="J17" s="11">
        <f>[1]!表_烛魔1到12必成[[#This Row],[灵丹]]</f>
        <v>36</v>
      </c>
      <c r="K17" s="11">
        <f>[1]!表_烛魔1到12必成[[#This Row],[仙丹]]</f>
        <v>18</v>
      </c>
      <c r="L17" s="11">
        <v>11</v>
      </c>
      <c r="M17" s="25"/>
      <c r="N17" s="25">
        <v>4</v>
      </c>
      <c r="O17" s="25">
        <v>12</v>
      </c>
      <c r="P17" s="25"/>
      <c r="Q17" s="25"/>
      <c r="R17" s="25"/>
      <c r="S17" s="31"/>
      <c r="T17" s="25"/>
      <c r="U17" s="25">
        <v>65</v>
      </c>
      <c r="V17" s="11"/>
      <c r="W17" s="11"/>
    </row>
    <row r="18" spans="1:26" ht="15" thickTop="1" x14ac:dyDescent="0.25">
      <c r="B18" s="72">
        <f>SUBTOTAL(104,表_烛魔1到12必成[累计金币(J)])</f>
        <v>490.22</v>
      </c>
      <c r="C18" s="72">
        <f>SUBTOTAL(104,表_烛魔1到12必成[累计点券])</f>
        <v>165000</v>
      </c>
      <c r="D18" s="72">
        <f>SUBTOTAL(109,表_烛魔1到12必成[进化金币(J)])</f>
        <v>490.22</v>
      </c>
      <c r="E18" s="74">
        <f>SUBTOTAL(109,表_烛魔1到12必成[进化点券])</f>
        <v>165000</v>
      </c>
      <c r="F18" s="70"/>
      <c r="G18" s="76" t="s">
        <v>190</v>
      </c>
      <c r="H18" s="82">
        <f xml:space="preserve"> _xlfn.IFNA(VLOOKUP(表_烛魔1到12必成[[#Headers],[仙丹]],金价一览,2,0), 0)</f>
        <v>4</v>
      </c>
      <c r="I18" s="82">
        <f xml:space="preserve"> _xlfn.IFNA(VLOOKUP(表_烛魔1到12必成[[#Headers],[灵丹]],金价一览,2,0), 0)</f>
        <v>0.15</v>
      </c>
      <c r="J18" s="82">
        <f xml:space="preserve"> _xlfn.IFNA(VLOOKUP(表_烛魔1到12必成[[#Headers],[灵石]],金价一览,2,0), 0)</f>
        <v>0.06</v>
      </c>
      <c r="K18" s="82">
        <f xml:space="preserve"> _xlfn.IFNA(VLOOKUP(表_烛魔1到12必成[[#Headers],[月石]],金价一览,2,0), 0)</f>
        <v>1.35</v>
      </c>
      <c r="L18" s="82">
        <f xml:space="preserve"> _xlfn.IFNA(VLOOKUP(表_烛魔1到12必成[[#Headers],[烛魔羽毛]],金价一览,2,0), 0)</f>
        <v>6.5</v>
      </c>
      <c r="M18" s="82">
        <f xml:space="preserve"> _xlfn.IFNA(VLOOKUP(表_烛魔1到12必成[[#Headers],[烛魔黑鳞]],金价一览,2,0), 0)</f>
        <v>3.6</v>
      </c>
      <c r="N18" s="82">
        <f xml:space="preserve"> _xlfn.IFNA(VLOOKUP(表_烛魔1到12必成[[#Headers],[红色烛魔黑鳞]],金价一览,2,0), 0)</f>
        <v>5</v>
      </c>
      <c r="O18" s="82">
        <f xml:space="preserve"> _xlfn.IFNA(VLOOKUP(表_烛魔1到12必成[[#Headers],[烛魔魂]],金价一览,2,0), 0)</f>
        <v>1</v>
      </c>
      <c r="P18" s="82">
        <f xml:space="preserve"> _xlfn.IFNA(VLOOKUP(表_烛魔1到12必成[[#Headers],[列9]],金价一览,2,0), 0)</f>
        <v>0</v>
      </c>
      <c r="Q18" s="82">
        <f xml:space="preserve"> _xlfn.IFNA(VLOOKUP(表_烛魔1到12必成[[#Headers],[列10]],金价一览,2,0), 0)</f>
        <v>0</v>
      </c>
      <c r="R18" s="82">
        <f xml:space="preserve"> _xlfn.IFNA(VLOOKUP(表_烛魔1到12必成[[#Headers],[列11]],金价一览,2,0), 0)</f>
        <v>0</v>
      </c>
      <c r="S18" s="82">
        <f xml:space="preserve"> _xlfn.IFNA(VLOOKUP(表_烛魔1到12必成[[#Headers],[列12]],金价一览,2,0), 0)</f>
        <v>0</v>
      </c>
      <c r="T18" s="83">
        <f>_xlfn.IFNA(VLOOKUP(表_烛魔1到12必成[[#Headers],[高级武魂神物]],点券一览,2,0),0)</f>
        <v>500</v>
      </c>
      <c r="U18" s="83">
        <f>_xlfn.IFNA(VLOOKUP(表_烛魔1到12必成[[#Headers],[破天武魂神物]],点券一览,2,0),0)</f>
        <v>1500</v>
      </c>
      <c r="V18" s="33">
        <f>_xlfn.IFNA(VLOOKUP(表_烛魔1到12必成[[#Headers],[列15]],点券一览,2,0),0)</f>
        <v>0</v>
      </c>
      <c r="W18" s="33">
        <f>_xlfn.IFNA(VLOOKUP(表_烛魔1到12必成[[#Headers],[列16]],点券一览,2,0),0)</f>
        <v>0</v>
      </c>
    </row>
    <row r="19" spans="1:26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SUM(表_烛魔1到12必成[[#Data],[仙丹]])</f>
        <v>253</v>
      </c>
      <c r="I19" s="52">
        <f>SUM(表_烛魔1到12必成[[#Data],[灵丹]])</f>
        <v>504</v>
      </c>
      <c r="J19" s="52">
        <f>SUM(表_烛魔1到12必成[[#Data],[灵石]])</f>
        <v>504</v>
      </c>
      <c r="K19" s="52">
        <f>SUM(表_烛魔1到12必成[[#Data],[月石]])</f>
        <v>253</v>
      </c>
      <c r="L19" s="52">
        <f>SUM(表_烛魔1到12必成[[#Data],[烛魔羽毛]])</f>
        <v>292</v>
      </c>
      <c r="M19" s="52">
        <f>SUM(表_烛魔1到12必成[[#Data],[烛魔黑鳞]])</f>
        <v>80</v>
      </c>
      <c r="N19" s="52">
        <f>SUM(表_烛魔1到12必成[[#Data],[红色烛魔黑鳞]])</f>
        <v>28</v>
      </c>
      <c r="O19" s="52">
        <f>SUM(表_烛魔1到12必成[[#Data],[烛魔魂]])</f>
        <v>24</v>
      </c>
      <c r="P19" s="52">
        <f>SUM(表_烛魔1到12必成[[#Data],[列9]]) * 表_烛魔1到12必成[[#Totals],[列9]]</f>
        <v>0</v>
      </c>
      <c r="Q19" s="52">
        <f>SUM(表_烛魔1到12必成[[#Data],[列10]]) * 表_烛魔1到12必成[[#Totals],[列10]]</f>
        <v>0</v>
      </c>
      <c r="R19" s="52">
        <f>SUM(表_烛魔1到12必成[[#Data],[列11]]) * 表_烛魔1到12必成[[#Totals],[列11]]</f>
        <v>0</v>
      </c>
      <c r="S19" s="52">
        <f>SUM(表_烛魔1到12必成[[#Data],[列12]]) * 表_烛魔1到12必成[[#Totals],[列12]]</f>
        <v>0</v>
      </c>
      <c r="T19" s="84">
        <f>SUM(表_烛魔1到12必成[[#Data],[高级武魂神物]])</f>
        <v>40</v>
      </c>
      <c r="U19" s="84">
        <f>SUM(表_烛魔1到12必成[[#Data],[破天武魂神物]])</f>
        <v>196</v>
      </c>
      <c r="V19" s="51">
        <f>SUM(表模板[[#Data],[列15]]) * 表模板[[#Totals],[列15]]</f>
        <v>0</v>
      </c>
      <c r="W19" s="51">
        <f>SUM(表模板[[#Data],[列16]]) * 表模板[[#Totals],[列16]]</f>
        <v>0</v>
      </c>
    </row>
    <row r="20" spans="1:26" x14ac:dyDescent="0.25">
      <c r="B20" s="188"/>
      <c r="C20" s="188"/>
      <c r="D20" s="188"/>
      <c r="E20" s="188"/>
      <c r="F20" s="189"/>
      <c r="G20" s="80" t="s">
        <v>223</v>
      </c>
      <c r="H20" s="52">
        <f>H19*表_烛魔1到12必成[[#Totals],[仙丹]]</f>
        <v>1012</v>
      </c>
      <c r="I20" s="52">
        <f>I19*表_烛魔1到12必成[[#Totals],[灵丹]]</f>
        <v>75.599999999999994</v>
      </c>
      <c r="J20" s="52">
        <f>J19*表_烛魔1到12必成[[#Totals],[灵石]]</f>
        <v>30.24</v>
      </c>
      <c r="K20" s="52">
        <f>K19*表_烛魔1到12必成[[#Totals],[月石]]</f>
        <v>341.55</v>
      </c>
      <c r="L20" s="52">
        <f>L19*表_烛魔1到12必成[[#Totals],[烛魔羽毛]]</f>
        <v>1898</v>
      </c>
      <c r="M20" s="52">
        <f>M19*表_烛魔1到12必成[[#Totals],[烛魔黑鳞]]</f>
        <v>288</v>
      </c>
      <c r="N20" s="52">
        <f>N19*表_烛魔1到12必成[[#Totals],[红色烛魔黑鳞]]</f>
        <v>140</v>
      </c>
      <c r="O20" s="52">
        <f>O19*表_烛魔1到12必成[[#Totals],[烛魔魂]]</f>
        <v>24</v>
      </c>
      <c r="P20" s="52">
        <f>P19*表_烛魔1到12必成[[#Totals],[列9]]</f>
        <v>0</v>
      </c>
      <c r="Q20" s="52">
        <f>Q19*表_烛魔1到12必成[[#Totals],[列10]]</f>
        <v>0</v>
      </c>
      <c r="R20" s="52">
        <f>R19*表_烛魔1到12必成[[#Totals],[列11]]</f>
        <v>0</v>
      </c>
      <c r="S20" s="52">
        <f>S19*表_烛魔1到12必成[[#Totals],[列12]]</f>
        <v>0</v>
      </c>
      <c r="T20" s="52">
        <f>T19*表_烛魔1到12必成[[#Totals],[高级武魂神物]]</f>
        <v>20000</v>
      </c>
      <c r="U20" s="52">
        <f>U19*表_烛魔1到12必成[[#Totals],[破天武魂神物]]</f>
        <v>294000</v>
      </c>
    </row>
    <row r="23" spans="1:26" x14ac:dyDescent="0.25">
      <c r="B23" s="12" t="s">
        <v>226</v>
      </c>
      <c r="H23" s="43" t="s">
        <v>212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42" t="s">
        <v>211</v>
      </c>
      <c r="U23" s="41"/>
      <c r="V23" s="41"/>
      <c r="W23" s="41"/>
    </row>
    <row r="24" spans="1:26" ht="34.200000000000003" customHeight="1" x14ac:dyDescent="0.25">
      <c r="B24" s="44" t="s">
        <v>187</v>
      </c>
      <c r="C24" s="45" t="s">
        <v>186</v>
      </c>
      <c r="D24" s="46" t="s">
        <v>252</v>
      </c>
      <c r="E24" s="46" t="s">
        <v>254</v>
      </c>
      <c r="F24" s="46" t="s">
        <v>181</v>
      </c>
      <c r="G24" s="46" t="s">
        <v>185</v>
      </c>
      <c r="H24" s="47" t="s">
        <v>0</v>
      </c>
      <c r="I24" s="48" t="s">
        <v>1</v>
      </c>
      <c r="J24" s="48" t="s">
        <v>2</v>
      </c>
      <c r="K24" s="48" t="s">
        <v>3</v>
      </c>
      <c r="L24" s="48" t="s">
        <v>4</v>
      </c>
      <c r="M24" s="48" t="s">
        <v>5</v>
      </c>
      <c r="N24" s="48" t="s">
        <v>136</v>
      </c>
      <c r="O24" s="48" t="s">
        <v>138</v>
      </c>
      <c r="P24" s="48" t="s">
        <v>203</v>
      </c>
      <c r="Q24" s="48" t="s">
        <v>204</v>
      </c>
      <c r="R24" s="48" t="s">
        <v>205</v>
      </c>
      <c r="S24" s="49" t="s">
        <v>206</v>
      </c>
      <c r="T24" s="50" t="s">
        <v>6</v>
      </c>
      <c r="U24" s="50" t="s">
        <v>137</v>
      </c>
      <c r="V24" s="50" t="s">
        <v>209</v>
      </c>
      <c r="W24" s="50" t="s">
        <v>210</v>
      </c>
      <c r="Y24" t="s">
        <v>312</v>
      </c>
    </row>
    <row r="25" spans="1:26" x14ac:dyDescent="0.25">
      <c r="A25" t="s">
        <v>319</v>
      </c>
      <c r="B25" s="35">
        <f>表_烛魔13到15必成[[#This Row],[进化金币(J)]]+IF(ISNUMBER(B24),B24, 0)</f>
        <v>239.11</v>
      </c>
      <c r="C25" s="35">
        <f>表_烛魔13到15必成[[#This Row],[进化点券]]+IF(ISNUMBER(C24),C24, 0)</f>
        <v>48000</v>
      </c>
      <c r="D25" s="36">
        <f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f>
        <v>239.11</v>
      </c>
      <c r="E25" s="36">
        <f>SUMPRODUCT(表_烛魔13到15必成[[#This Row],[高级武魂神物]:[列16]],表_烛魔13到15必成[[#Totals],[高级武魂神物]:[列16]])</f>
        <v>48000</v>
      </c>
      <c r="F25" s="40" t="s">
        <v>216</v>
      </c>
      <c r="G25" s="11">
        <v>53</v>
      </c>
      <c r="H25" s="11">
        <v>18</v>
      </c>
      <c r="I25" s="11">
        <v>36</v>
      </c>
      <c r="J25" s="11">
        <v>36</v>
      </c>
      <c r="K25" s="11">
        <v>18</v>
      </c>
      <c r="L25" s="11">
        <v>11</v>
      </c>
      <c r="M25" s="11"/>
      <c r="N25" s="11">
        <v>4</v>
      </c>
      <c r="O25" s="11">
        <v>4</v>
      </c>
      <c r="P25" s="11"/>
      <c r="Q25" s="11"/>
      <c r="R25" s="11"/>
      <c r="S25" s="30"/>
      <c r="T25" s="11"/>
      <c r="U25" s="11">
        <v>32</v>
      </c>
      <c r="V25" s="11"/>
      <c r="W25" s="11"/>
      <c r="Y25" s="114">
        <f>表_烛魔13到15必成[[#This Row],[进化金币(J)]]/D35</f>
        <v>1.0814074442585138</v>
      </c>
      <c r="Z25" s="114">
        <f>表_烛魔13到15必成[[#This Row],[进化点券]]/E35</f>
        <v>5.0526315789473681</v>
      </c>
    </row>
    <row r="26" spans="1:26" x14ac:dyDescent="0.25">
      <c r="A26" t="s">
        <v>319</v>
      </c>
      <c r="B26" s="35">
        <f>表_烛魔13到15必成[[#This Row],[进化金币(J)]]+IF(ISNUMBER(B25),B25, 0)</f>
        <v>482.22</v>
      </c>
      <c r="C26" s="35">
        <f>表_烛魔13到15必成[[#This Row],[进化点券]]+IF(ISNUMBER(C25),C25, 0)</f>
        <v>115500</v>
      </c>
      <c r="D26" s="36">
        <f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f>
        <v>243.11</v>
      </c>
      <c r="E26" s="36">
        <f>SUMPRODUCT(表_烛魔13到15必成[[#This Row],[高级武魂神物]:[列16]],表_烛魔13到15必成[[#Totals],[高级武魂神物]:[列16]])</f>
        <v>67500</v>
      </c>
      <c r="F26" s="40" t="s">
        <v>217</v>
      </c>
      <c r="G26" s="11">
        <v>53</v>
      </c>
      <c r="H26" s="11">
        <v>18</v>
      </c>
      <c r="I26" s="11">
        <v>36</v>
      </c>
      <c r="J26" s="11">
        <v>36</v>
      </c>
      <c r="K26" s="11">
        <v>18</v>
      </c>
      <c r="L26" s="11">
        <v>11</v>
      </c>
      <c r="M26" s="11"/>
      <c r="N26" s="11">
        <v>4</v>
      </c>
      <c r="O26" s="11">
        <v>8</v>
      </c>
      <c r="P26" s="11"/>
      <c r="Q26" s="11"/>
      <c r="R26" s="11"/>
      <c r="S26" s="30"/>
      <c r="T26" s="11"/>
      <c r="U26" s="11">
        <v>45</v>
      </c>
      <c r="V26" s="11"/>
      <c r="W26" s="11"/>
      <c r="Y26" s="114">
        <f>表_烛魔13到15必成[[#This Row],[进化金币(J)]]/D36</f>
        <v>1.0994979874270725</v>
      </c>
      <c r="Z26" s="114">
        <f>表_烛魔13到15必成[[#This Row],[进化点券]]/E36</f>
        <v>4.8214285714285712</v>
      </c>
    </row>
    <row r="27" spans="1:26" ht="15" thickBot="1" x14ac:dyDescent="0.3">
      <c r="A27" t="s">
        <v>319</v>
      </c>
      <c r="B27" s="37">
        <f>表_烛魔13到15必成[[#This Row],[进化金币(J)]]+IF(ISNUMBER(B26),B26, 0)</f>
        <v>729.33</v>
      </c>
      <c r="C27" s="37">
        <f>表_烛魔13到15必成[[#This Row],[进化点券]]+IF(ISNUMBER(C26),C26, 0)</f>
        <v>213000</v>
      </c>
      <c r="D27" s="38">
        <f>SUMPRODUCT(表_烛魔13到15必成[[#This Row],[仙丹]:[列12]],表_烛魔13到15必成[[#Totals],[仙丹]:[列12]])+表_烛魔13到15必成[[#This Row],[手续费(J)]]*折扣+IF(表_烛魔13到15必成[[#This Row],[进化阶段]]="1段-&gt;2段",表_烛魔13到15必成[[#Totals],[进化阶段]],0)</f>
        <v>247.11</v>
      </c>
      <c r="E27" s="38">
        <f>SUMPRODUCT(表_烛魔13到15必成[[#This Row],[高级武魂神物]:[列16]],表_烛魔13到15必成[[#Totals],[高级武魂神物]:[列16]])</f>
        <v>97500</v>
      </c>
      <c r="F27" s="67" t="s">
        <v>218</v>
      </c>
      <c r="G27" s="11">
        <v>53</v>
      </c>
      <c r="H27" s="11">
        <v>18</v>
      </c>
      <c r="I27" s="11">
        <v>36</v>
      </c>
      <c r="J27" s="11">
        <v>36</v>
      </c>
      <c r="K27" s="11">
        <v>18</v>
      </c>
      <c r="L27" s="11">
        <v>11</v>
      </c>
      <c r="M27" s="25"/>
      <c r="N27" s="25">
        <v>4</v>
      </c>
      <c r="O27" s="25">
        <v>12</v>
      </c>
      <c r="P27" s="25"/>
      <c r="Q27" s="25"/>
      <c r="R27" s="25"/>
      <c r="S27" s="31"/>
      <c r="T27" s="25"/>
      <c r="U27" s="25">
        <v>65</v>
      </c>
      <c r="V27" s="11"/>
      <c r="W27" s="11"/>
      <c r="Y27" s="114">
        <f>表_烛魔13到15必成[[#This Row],[进化金币(J)]]/D37</f>
        <v>1.1175885305956312</v>
      </c>
      <c r="Z27" s="114">
        <f>表_烛魔13到15必成[[#This Row],[进化点券]]/E37</f>
        <v>5</v>
      </c>
    </row>
    <row r="28" spans="1:26" ht="15" thickTop="1" x14ac:dyDescent="0.25">
      <c r="B28" s="72">
        <f>SUBTOTAL(104,表_烛魔13到15必成[累计金币(J)])</f>
        <v>729.33</v>
      </c>
      <c r="C28" s="72">
        <f>SUBTOTAL(104,表_烛魔13到15必成[累计点券])</f>
        <v>213000</v>
      </c>
      <c r="D28" s="72">
        <f>SUBTOTAL(109,表_烛魔13到15必成[进化金币(J)])</f>
        <v>729.33</v>
      </c>
      <c r="E28" s="74">
        <f>SUBTOTAL(109,表_烛魔13到15必成[进化点券])</f>
        <v>213000</v>
      </c>
      <c r="F28" s="81"/>
      <c r="G28" s="76" t="s">
        <v>190</v>
      </c>
      <c r="H28" s="82">
        <f xml:space="preserve"> _xlfn.IFNA(VLOOKUP(表_烛魔13到15必成[[#Headers],[仙丹]],金价一览,2,0), 0)</f>
        <v>4</v>
      </c>
      <c r="I28" s="82">
        <f xml:space="preserve"> _xlfn.IFNA(VLOOKUP(表_烛魔13到15必成[[#Headers],[灵丹]],金价一览,2,0), 0)</f>
        <v>0.15</v>
      </c>
      <c r="J28" s="82">
        <f xml:space="preserve"> _xlfn.IFNA(VLOOKUP(表_烛魔13到15必成[[#Headers],[灵石]],金价一览,2,0), 0)</f>
        <v>0.06</v>
      </c>
      <c r="K28" s="82">
        <f xml:space="preserve"> _xlfn.IFNA(VLOOKUP(表_烛魔13到15必成[[#Headers],[月石]],金价一览,2,0), 0)</f>
        <v>1.35</v>
      </c>
      <c r="L28" s="82">
        <f xml:space="preserve"> _xlfn.IFNA(VLOOKUP(表_烛魔13到15必成[[#Headers],[烛魔羽毛]],金价一览,2,0), 0)</f>
        <v>6.5</v>
      </c>
      <c r="M28" s="82">
        <f xml:space="preserve"> _xlfn.IFNA(VLOOKUP(表_烛魔13到15必成[[#Headers],[烛魔黑鳞]],金价一览,2,0), 0)</f>
        <v>3.6</v>
      </c>
      <c r="N28" s="82">
        <f xml:space="preserve"> _xlfn.IFNA(VLOOKUP(表_烛魔13到15必成[[#Headers],[红色烛魔黑鳞]],金价一览,2,0), 0)</f>
        <v>5</v>
      </c>
      <c r="O28" s="82">
        <f xml:space="preserve"> _xlfn.IFNA(VLOOKUP(表_烛魔13到15必成[[#Headers],[烛魔魂]],金价一览,2,0), 0)</f>
        <v>1</v>
      </c>
      <c r="P28" s="82">
        <f xml:space="preserve"> _xlfn.IFNA(VLOOKUP(表_烛魔13到15必成[[#Headers],[列9]],金价一览,2,0), 0)</f>
        <v>0</v>
      </c>
      <c r="Q28" s="82">
        <f xml:space="preserve"> _xlfn.IFNA(VLOOKUP(表_烛魔13到15必成[[#Headers],[列10]],金价一览,2,0), 0)</f>
        <v>0</v>
      </c>
      <c r="R28" s="82">
        <f xml:space="preserve"> _xlfn.IFNA(VLOOKUP(表_烛魔13到15必成[[#Headers],[列11]],金价一览,2,0), 0)</f>
        <v>0</v>
      </c>
      <c r="S28" s="82">
        <f xml:space="preserve"> _xlfn.IFNA(VLOOKUP(表_烛魔13到15必成[[#Headers],[列12]],金价一览,2,0), 0)</f>
        <v>0</v>
      </c>
      <c r="T28" s="83">
        <f>_xlfn.IFNA(VLOOKUP(表_烛魔13到15必成[[#Headers],[高级武魂神物]],点券一览,2,0),0)</f>
        <v>500</v>
      </c>
      <c r="U28" s="83">
        <f>_xlfn.IFNA(VLOOKUP(表_烛魔13到15必成[[#Headers],[破天武魂神物]],点券一览,2,0),0)</f>
        <v>1500</v>
      </c>
      <c r="V28" s="33">
        <f>_xlfn.IFNA(VLOOKUP(表_烛魔13到15必成[[#Headers],[列15]],点券一览,2,0),0)</f>
        <v>0</v>
      </c>
      <c r="W28" s="33">
        <f>_xlfn.IFNA(VLOOKUP(表_烛魔13到15必成[[#Headers],[列16]],点券一览,2,0),0)</f>
        <v>0</v>
      </c>
    </row>
    <row r="29" spans="1:26" x14ac:dyDescent="0.25">
      <c r="B29" s="188" t="s">
        <v>221</v>
      </c>
      <c r="C29" s="188"/>
      <c r="D29" s="188"/>
      <c r="E29" s="188"/>
      <c r="F29" s="189"/>
      <c r="G29" s="79" t="s">
        <v>224</v>
      </c>
      <c r="H29" s="52">
        <f>SUM(表_烛魔13到15必成[[#Data],[仙丹]])</f>
        <v>54</v>
      </c>
      <c r="I29" s="52">
        <f>SUM(表_烛魔13到15必成[[#Data],[灵丹]])</f>
        <v>108</v>
      </c>
      <c r="J29" s="52">
        <f>SUM(表_烛魔13到15必成[[#Data],[灵石]])</f>
        <v>108</v>
      </c>
      <c r="K29" s="52">
        <f>SUM(表_烛魔13到15必成[[#Data],[月石]])</f>
        <v>54</v>
      </c>
      <c r="L29" s="52">
        <f>SUM(表_烛魔13到15必成[[#Data],[烛魔羽毛]])</f>
        <v>33</v>
      </c>
      <c r="M29" s="52">
        <f>SUM(表_烛魔13到15必成[[#Data],[烛魔黑鳞]])</f>
        <v>0</v>
      </c>
      <c r="N29" s="52">
        <f>SUM(表_烛魔13到15必成[[#Data],[红色烛魔黑鳞]])</f>
        <v>12</v>
      </c>
      <c r="O29" s="52">
        <f>SUM(表_烛魔13到15必成[[#Data],[烛魔魂]])</f>
        <v>24</v>
      </c>
      <c r="P29" s="52">
        <f>SUM(表_烛魔13到15必成[[#Data],[列9]]) * 表_烛魔13到15必成[[#Totals],[列9]]</f>
        <v>0</v>
      </c>
      <c r="Q29" s="52">
        <f>SUM(表_烛魔13到15必成[[#Data],[列10]]) * 表_烛魔13到15必成[[#Totals],[列10]]</f>
        <v>0</v>
      </c>
      <c r="R29" s="52">
        <f>SUM(表_烛魔13到15必成[[#Data],[列11]]) * 表_烛魔13到15必成[[#Totals],[列11]]</f>
        <v>0</v>
      </c>
      <c r="S29" s="52">
        <f>SUM(表_烛魔13到15必成[[#Data],[列12]]) * 表_烛魔13到15必成[[#Totals],[列12]]</f>
        <v>0</v>
      </c>
      <c r="T29" s="84">
        <f>SUM(表_烛魔13到15必成[[#Data],[高级武魂神物]])</f>
        <v>0</v>
      </c>
      <c r="U29" s="84">
        <f>SUM(表_烛魔13到15必成[[#Data],[破天武魂神物]])</f>
        <v>142</v>
      </c>
      <c r="V29" s="51">
        <f>SUM(表模板[[#Data],[列15]]) * 表模板[[#Totals],[列15]]</f>
        <v>0</v>
      </c>
      <c r="W29" s="51">
        <f>SUM(表模板[[#Data],[列16]]) * 表模板[[#Totals],[列16]]</f>
        <v>0</v>
      </c>
    </row>
    <row r="30" spans="1:26" x14ac:dyDescent="0.25">
      <c r="B30" s="188"/>
      <c r="C30" s="188"/>
      <c r="D30" s="188"/>
      <c r="E30" s="188"/>
      <c r="F30" s="189"/>
      <c r="G30" s="80" t="s">
        <v>223</v>
      </c>
      <c r="H30" s="52">
        <f>H29*表_烛魔13到15必成[[#Totals],[仙丹]]</f>
        <v>216</v>
      </c>
      <c r="I30" s="52">
        <f>I29*表_烛魔13到15必成[[#Totals],[灵丹]]</f>
        <v>16.2</v>
      </c>
      <c r="J30" s="52">
        <f>J29*表_烛魔13到15必成[[#Totals],[灵石]]</f>
        <v>6.4799999999999995</v>
      </c>
      <c r="K30" s="52">
        <f>K29*表_烛魔13到15必成[[#Totals],[月石]]</f>
        <v>72.900000000000006</v>
      </c>
      <c r="L30" s="52">
        <f>L29*表_烛魔13到15必成[[#Totals],[烛魔羽毛]]</f>
        <v>214.5</v>
      </c>
      <c r="M30" s="52">
        <f>M29*表_烛魔13到15必成[[#Totals],[烛魔黑鳞]]</f>
        <v>0</v>
      </c>
      <c r="N30" s="52">
        <f>N29*表_烛魔13到15必成[[#Totals],[红色烛魔黑鳞]]</f>
        <v>60</v>
      </c>
      <c r="O30" s="52">
        <f>O29*表_烛魔13到15必成[[#Totals],[烛魔魂]]</f>
        <v>24</v>
      </c>
      <c r="P30" s="52">
        <f>P29*表_烛魔13到15必成[[#Totals],[列9]]</f>
        <v>0</v>
      </c>
      <c r="Q30" s="52">
        <f>Q29*表_烛魔13到15必成[[#Totals],[列10]]</f>
        <v>0</v>
      </c>
      <c r="R30" s="52">
        <f>R29*表_烛魔13到15必成[[#Totals],[列11]]</f>
        <v>0</v>
      </c>
      <c r="S30" s="52">
        <f>S29*表_烛魔13到15必成[[#Totals],[列12]]</f>
        <v>0</v>
      </c>
      <c r="T30" s="52">
        <f>T29*表_烛魔13到15必成[[#Totals],[高级武魂神物]]</f>
        <v>0</v>
      </c>
      <c r="U30" s="52">
        <f>U29*表_烛魔13到15必成[[#Totals],[破天武魂神物]]</f>
        <v>213000</v>
      </c>
    </row>
    <row r="33" spans="1:23" x14ac:dyDescent="0.25">
      <c r="B33" s="28" t="s">
        <v>222</v>
      </c>
      <c r="H33" s="43" t="s">
        <v>212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42" t="s">
        <v>211</v>
      </c>
      <c r="U33" s="41"/>
      <c r="V33" s="41"/>
      <c r="W33" s="41"/>
    </row>
    <row r="34" spans="1:23" ht="34.200000000000003" customHeight="1" thickBot="1" x14ac:dyDescent="0.3">
      <c r="B34" s="57" t="s">
        <v>187</v>
      </c>
      <c r="C34" s="57" t="s">
        <v>186</v>
      </c>
      <c r="D34" s="58" t="s">
        <v>252</v>
      </c>
      <c r="E34" s="58" t="s">
        <v>254</v>
      </c>
      <c r="F34" s="58" t="s">
        <v>181</v>
      </c>
      <c r="G34" s="58" t="s">
        <v>185</v>
      </c>
      <c r="H34" s="59" t="s">
        <v>0</v>
      </c>
      <c r="I34" s="60" t="s">
        <v>1</v>
      </c>
      <c r="J34" s="60" t="s">
        <v>2</v>
      </c>
      <c r="K34" s="60" t="s">
        <v>3</v>
      </c>
      <c r="L34" s="60" t="s">
        <v>4</v>
      </c>
      <c r="M34" s="60" t="s">
        <v>5</v>
      </c>
      <c r="N34" s="60" t="s">
        <v>136</v>
      </c>
      <c r="O34" s="60" t="s">
        <v>138</v>
      </c>
      <c r="P34" s="60" t="s">
        <v>203</v>
      </c>
      <c r="Q34" s="60" t="s">
        <v>204</v>
      </c>
      <c r="R34" s="60" t="s">
        <v>205</v>
      </c>
      <c r="S34" s="61" t="s">
        <v>206</v>
      </c>
      <c r="T34" s="62" t="s">
        <v>6</v>
      </c>
      <c r="U34" s="62" t="s">
        <v>157</v>
      </c>
      <c r="V34" s="62" t="s">
        <v>209</v>
      </c>
      <c r="W34" s="62" t="s">
        <v>210</v>
      </c>
    </row>
    <row r="35" spans="1:23" ht="15" thickTop="1" x14ac:dyDescent="0.25">
      <c r="A35" t="s">
        <v>319</v>
      </c>
      <c r="B35" s="36">
        <f>表_烛魔13到15保底[[#This Row],[进化金币(J)]]+IF(ISNUMBER(B34), B34, 0)</f>
        <v>221.11</v>
      </c>
      <c r="C35" s="35">
        <f>表_烛魔13到15保底[[#This Row],[进化点券]]+IF(ISNUMBER(C34), C34, 0)</f>
        <v>9500</v>
      </c>
      <c r="D35" s="36">
        <f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f>
        <v>221.11</v>
      </c>
      <c r="E35" s="36">
        <f>SUMPRODUCT(表_烛魔13到15保底[[#This Row],[高级武魂神物]:[列16]],表_烛魔13到15保底[[#Totals],[高级武魂神物]:[列16]])</f>
        <v>9500</v>
      </c>
      <c r="F35" s="40" t="s">
        <v>216</v>
      </c>
      <c r="G35" s="11">
        <v>53</v>
      </c>
      <c r="H35" s="11">
        <v>18</v>
      </c>
      <c r="I35" s="11">
        <v>36</v>
      </c>
      <c r="J35" s="11">
        <v>36</v>
      </c>
      <c r="K35" s="11">
        <v>18</v>
      </c>
      <c r="L35" s="11">
        <v>11</v>
      </c>
      <c r="M35" s="11"/>
      <c r="N35" s="11">
        <v>1</v>
      </c>
      <c r="O35" s="22">
        <v>1</v>
      </c>
      <c r="P35" s="11"/>
      <c r="Q35" s="11"/>
      <c r="R35" s="11"/>
      <c r="S35" s="30"/>
      <c r="T35" s="22">
        <v>19</v>
      </c>
      <c r="U35" s="11"/>
      <c r="V35" s="11"/>
      <c r="W35" s="11"/>
    </row>
    <row r="36" spans="1:23" x14ac:dyDescent="0.25">
      <c r="A36" t="s">
        <v>319</v>
      </c>
      <c r="B36" s="36">
        <f>表_烛魔13到15保底[[#This Row],[进化金币(J)]]+IF(ISNUMBER(B35), B35, 0)</f>
        <v>442.22</v>
      </c>
      <c r="C36" s="35">
        <f>表_烛魔13到15保底[[#This Row],[进化点券]]+IF(ISNUMBER(C35), C35, 0)</f>
        <v>23500</v>
      </c>
      <c r="D36" s="36">
        <f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f>
        <v>221.11</v>
      </c>
      <c r="E36" s="36">
        <f>SUMPRODUCT(表_烛魔13到15保底[[#This Row],[高级武魂神物]:[列16]],表_烛魔13到15保底[[#Totals],[高级武魂神物]:[列16]])</f>
        <v>14000</v>
      </c>
      <c r="F36" s="40" t="s">
        <v>217</v>
      </c>
      <c r="G36" s="11">
        <v>53</v>
      </c>
      <c r="H36" s="11">
        <v>18</v>
      </c>
      <c r="I36" s="11">
        <v>36</v>
      </c>
      <c r="J36" s="11">
        <v>36</v>
      </c>
      <c r="K36" s="11">
        <v>18</v>
      </c>
      <c r="L36" s="11">
        <v>11</v>
      </c>
      <c r="M36" s="11"/>
      <c r="N36" s="11">
        <v>1</v>
      </c>
      <c r="O36" s="22">
        <v>1</v>
      </c>
      <c r="P36" s="11"/>
      <c r="Q36" s="11"/>
      <c r="R36" s="11"/>
      <c r="S36" s="30"/>
      <c r="T36" s="22">
        <v>28</v>
      </c>
      <c r="U36" s="11"/>
      <c r="V36" s="11"/>
      <c r="W36" s="11"/>
    </row>
    <row r="37" spans="1:23" ht="15" thickBot="1" x14ac:dyDescent="0.3">
      <c r="A37" t="s">
        <v>319</v>
      </c>
      <c r="B37" s="38">
        <f>表_烛魔13到15保底[[#This Row],[进化金币(J)]]+IF(ISNUMBER(B36), B36, 0)</f>
        <v>663.33</v>
      </c>
      <c r="C37" s="37">
        <f>表_烛魔13到15保底[[#This Row],[进化点券]]+IF(ISNUMBER(C36), C36, 0)</f>
        <v>43000</v>
      </c>
      <c r="D37" s="38">
        <f>SUMPRODUCT(表_烛魔13到15保底[[#This Row],[仙丹]:[列12]],表_烛魔13到15保底[[#Totals],[仙丹]:[列12]])+表_烛魔13到15保底[[#This Row],[手续费(J)]]*折扣+IF(表_烛魔13到15保底[[#This Row],[进化阶段]]="1段-&gt;2段",表_烛魔13到15保底[[#Totals],[进化阶段]],0)</f>
        <v>221.11</v>
      </c>
      <c r="E37" s="38">
        <f>SUMPRODUCT(表_烛魔13到15保底[[#This Row],[高级武魂神物]:[列16]],表_烛魔13到15保底[[#Totals],[高级武魂神物]:[列16]])</f>
        <v>19500</v>
      </c>
      <c r="F37" s="67" t="s">
        <v>218</v>
      </c>
      <c r="G37" s="11">
        <v>53</v>
      </c>
      <c r="H37" s="11">
        <v>18</v>
      </c>
      <c r="I37" s="11">
        <v>36</v>
      </c>
      <c r="J37" s="11">
        <v>36</v>
      </c>
      <c r="K37" s="11">
        <v>18</v>
      </c>
      <c r="L37" s="11">
        <v>11</v>
      </c>
      <c r="M37" s="25"/>
      <c r="N37" s="25">
        <v>1</v>
      </c>
      <c r="O37" s="69">
        <v>1</v>
      </c>
      <c r="P37" s="25"/>
      <c r="Q37" s="25"/>
      <c r="R37" s="25"/>
      <c r="S37" s="31"/>
      <c r="T37" s="69">
        <v>39</v>
      </c>
      <c r="U37" s="25"/>
      <c r="V37" s="11"/>
      <c r="W37" s="11"/>
    </row>
    <row r="38" spans="1:23" ht="15" thickTop="1" x14ac:dyDescent="0.25">
      <c r="B38" s="72">
        <f>SUBTOTAL(104,表_烛魔13到15保底[累计金币(J)])</f>
        <v>663.33</v>
      </c>
      <c r="C38" s="72">
        <f>SUBTOTAL(104,表_烛魔13到15保底[累计点券])</f>
        <v>43000</v>
      </c>
      <c r="D38" s="85">
        <f>SUBTOTAL(109,表_烛魔13到15保底[进化金币(J)])</f>
        <v>663.33</v>
      </c>
      <c r="E38" s="74">
        <f>SUBTOTAL(109,表_烛魔13到15保底[进化点券])</f>
        <v>43000</v>
      </c>
      <c r="F38" s="86"/>
      <c r="G38" s="76" t="s">
        <v>190</v>
      </c>
      <c r="H38" s="82">
        <f xml:space="preserve"> _xlfn.IFNA(VLOOKUP(表_烛魔13到15保底[[#Headers],[仙丹]],金价一览,2,0), 0)</f>
        <v>4</v>
      </c>
      <c r="I38" s="82">
        <f xml:space="preserve"> _xlfn.IFNA(VLOOKUP(表_烛魔13到15保底[[#Headers],[灵丹]],金价一览,2,0), 0)</f>
        <v>0.15</v>
      </c>
      <c r="J38" s="82">
        <f xml:space="preserve"> _xlfn.IFNA(VLOOKUP(表_烛魔13到15保底[[#Headers],[灵石]],金价一览,2,0), 0)</f>
        <v>0.06</v>
      </c>
      <c r="K38" s="82">
        <f xml:space="preserve"> _xlfn.IFNA(VLOOKUP(表_烛魔13到15保底[[#Headers],[月石]],金价一览,2,0), 0)</f>
        <v>1.35</v>
      </c>
      <c r="L38" s="82">
        <f xml:space="preserve"> _xlfn.IFNA(VLOOKUP(表_烛魔13到15保底[[#Headers],[烛魔羽毛]],金价一览,2,0), 0)</f>
        <v>6.5</v>
      </c>
      <c r="M38" s="82">
        <f xml:space="preserve"> _xlfn.IFNA(VLOOKUP(表_烛魔13到15保底[[#Headers],[烛魔黑鳞]],金价一览,2,0), 0)</f>
        <v>3.6</v>
      </c>
      <c r="N38" s="82">
        <f xml:space="preserve"> _xlfn.IFNA(VLOOKUP(表_烛魔13到15保底[[#Headers],[红色烛魔黑鳞]],金价一览,2,0), 0)</f>
        <v>5</v>
      </c>
      <c r="O38" s="82">
        <f xml:space="preserve"> _xlfn.IFNA(VLOOKUP(表_烛魔13到15保底[[#Headers],[烛魔魂]],金价一览,2,0), 0)</f>
        <v>1</v>
      </c>
      <c r="P38" s="82">
        <f xml:space="preserve"> _xlfn.IFNA(VLOOKUP(表_烛魔13到15保底[[#Headers],[列9]],金价一览,2,0), 0)</f>
        <v>0</v>
      </c>
      <c r="Q38" s="82">
        <f xml:space="preserve"> _xlfn.IFNA(VLOOKUP(表_烛魔13到15保底[[#Headers],[列10]],金价一览,2,0), 0)</f>
        <v>0</v>
      </c>
      <c r="R38" s="82">
        <f xml:space="preserve"> _xlfn.IFNA(VLOOKUP(表_烛魔13到15保底[[#Headers],[列11]],金价一览,2,0), 0)</f>
        <v>0</v>
      </c>
      <c r="S38" s="82">
        <f xml:space="preserve"> _xlfn.IFNA(VLOOKUP(表_烛魔13到15保底[[#Headers],[列12]],金价一览,2,0), 0)</f>
        <v>0</v>
      </c>
      <c r="T38" s="87">
        <f>_xlfn.IFNA(VLOOKUP(表_烛魔13到15保底[[#Headers],[高级武魂神物]],点券一览,2,0),0)</f>
        <v>500</v>
      </c>
      <c r="U38" s="87">
        <f>_xlfn.IFNA(VLOOKUP(表_烛魔13到15保底[[#Headers],[列1]],点券一览,2,0),0)</f>
        <v>0</v>
      </c>
      <c r="V38" s="53">
        <f>_xlfn.IFNA(VLOOKUP(表_烛魔13到15保底[[#Headers],[列15]],点券一览,2,0),0)</f>
        <v>0</v>
      </c>
      <c r="W38" s="53">
        <f>_xlfn.IFNA(VLOOKUP(表_烛魔13到15保底[[#Headers],[列16]],点券一览,2,0),0)</f>
        <v>0</v>
      </c>
    </row>
    <row r="39" spans="1:23" x14ac:dyDescent="0.25">
      <c r="B39" s="188" t="s">
        <v>221</v>
      </c>
      <c r="C39" s="188"/>
      <c r="D39" s="188"/>
      <c r="E39" s="188"/>
      <c r="F39" s="189"/>
      <c r="G39" s="79" t="s">
        <v>224</v>
      </c>
      <c r="H39" s="52">
        <f>SUM(表_烛魔13到15保底[[#Data],[仙丹]])</f>
        <v>54</v>
      </c>
      <c r="I39" s="52">
        <f>SUM(表_烛魔13到15保底[[#Data],[灵丹]])</f>
        <v>108</v>
      </c>
      <c r="J39" s="52">
        <f>SUM(表_烛魔13到15保底[[#Data],[灵石]])</f>
        <v>108</v>
      </c>
      <c r="K39" s="52">
        <f>SUM(表_烛魔13到15保底[[#Data],[月石]])</f>
        <v>54</v>
      </c>
      <c r="L39" s="52">
        <f>SUM(表_烛魔13到15保底[[#Data],[烛魔羽毛]])</f>
        <v>33</v>
      </c>
      <c r="M39" s="52">
        <f>SUM(表_烛魔13到15保底[[#Data],[烛魔黑鳞]])</f>
        <v>0</v>
      </c>
      <c r="N39" s="52">
        <f>SUM(表_烛魔13到15保底[[#Data],[红色烛魔黑鳞]])</f>
        <v>3</v>
      </c>
      <c r="O39" s="52">
        <f>SUM(表_烛魔13到15保底[[#Data],[烛魔魂]])</f>
        <v>3</v>
      </c>
      <c r="P39" s="52">
        <f>SUM(表_烛魔13到15保底[[#Data],[列9]])</f>
        <v>0</v>
      </c>
      <c r="Q39" s="52">
        <f>SUM(表_烛魔13到15保底[[#Data],[列10]])</f>
        <v>0</v>
      </c>
      <c r="R39" s="52">
        <f>SUM(表_烛魔13到15保底[[#Data],[列11]])</f>
        <v>0</v>
      </c>
      <c r="S39" s="52">
        <f>SUM(表_烛魔13到15保底[[#Data],[列12]])</f>
        <v>0</v>
      </c>
      <c r="T39" s="52">
        <f>SUM(表_烛魔13到15保底[[#Data],[高级武魂神物]])</f>
        <v>86</v>
      </c>
      <c r="U39" s="52">
        <f>SUM(表_烛魔13到15保底[[#Data],[列1]])</f>
        <v>0</v>
      </c>
      <c r="V39" s="52">
        <f>SUM(表_烛魔13到15保底[[#Data],[列15]]) * 表_烛魔13到15保底[[#Totals],[列15]]</f>
        <v>0</v>
      </c>
      <c r="W39" s="52">
        <f>SUM(表_烛魔13到15保底[[#Data],[列16]]) * 表_烛魔13到15保底[[#Totals],[列16]]</f>
        <v>0</v>
      </c>
    </row>
    <row r="40" spans="1:23" x14ac:dyDescent="0.25">
      <c r="B40" s="188"/>
      <c r="C40" s="188"/>
      <c r="D40" s="188"/>
      <c r="E40" s="188"/>
      <c r="F40" s="189"/>
      <c r="G40" s="80" t="s">
        <v>223</v>
      </c>
      <c r="H40" s="52">
        <f>H39*表_烛魔13到15保底[[#Totals],[仙丹]]</f>
        <v>216</v>
      </c>
      <c r="I40" s="52">
        <f>I39*表_烛魔13到15保底[[#Totals],[灵丹]]</f>
        <v>16.2</v>
      </c>
      <c r="J40" s="52">
        <f>J39*表_烛魔13到15保底[[#Totals],[灵石]]</f>
        <v>6.4799999999999995</v>
      </c>
      <c r="K40" s="52">
        <f>K39*表_烛魔13到15保底[[#Totals],[月石]]</f>
        <v>72.900000000000006</v>
      </c>
      <c r="L40" s="52">
        <f>L39*表_烛魔13到15保底[[#Totals],[烛魔羽毛]]</f>
        <v>214.5</v>
      </c>
      <c r="M40" s="52">
        <f>M39*表_烛魔13到15保底[[#Totals],[烛魔黑鳞]]</f>
        <v>0</v>
      </c>
      <c r="N40" s="52">
        <f>N39*表_烛魔13到15保底[[#Totals],[红色烛魔黑鳞]]</f>
        <v>15</v>
      </c>
      <c r="O40" s="52">
        <f>O39*表_烛魔13到15保底[[#Totals],[烛魔魂]]</f>
        <v>3</v>
      </c>
      <c r="P40" s="52">
        <f>P39*表_烛魔13到15保底[[#Totals],[列9]]</f>
        <v>0</v>
      </c>
      <c r="Q40" s="52">
        <f>Q39*表_烛魔13到15保底[[#Totals],[列10]]</f>
        <v>0</v>
      </c>
      <c r="R40" s="52">
        <f>R39*表_烛魔13到15保底[[#Totals],[列11]]</f>
        <v>0</v>
      </c>
      <c r="S40" s="52">
        <f>S39*表_烛魔13到15保底[[#Totals],[列12]]</f>
        <v>0</v>
      </c>
      <c r="T40" s="52">
        <f>T39*表_烛魔13到15保底[[#Totals],[高级武魂神物]]</f>
        <v>43000</v>
      </c>
      <c r="U40" s="52">
        <f>U39*表_烛魔13到15保底[[#Totals],[列1]]</f>
        <v>0</v>
      </c>
    </row>
    <row r="44" spans="1:23" x14ac:dyDescent="0.25">
      <c r="B44" s="1" t="s">
        <v>225</v>
      </c>
      <c r="H44" s="43" t="s">
        <v>212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42" t="s">
        <v>211</v>
      </c>
      <c r="U44" s="41"/>
      <c r="V44" s="41"/>
      <c r="W44" s="41"/>
    </row>
    <row r="45" spans="1:23" ht="34.200000000000003" customHeight="1" thickBot="1" x14ac:dyDescent="0.3">
      <c r="B45" s="57" t="s">
        <v>187</v>
      </c>
      <c r="C45" s="57" t="s">
        <v>186</v>
      </c>
      <c r="D45" s="58" t="s">
        <v>252</v>
      </c>
      <c r="E45" s="58" t="s">
        <v>254</v>
      </c>
      <c r="F45" s="58" t="s">
        <v>181</v>
      </c>
      <c r="G45" s="58" t="s">
        <v>185</v>
      </c>
      <c r="H45" s="59" t="s">
        <v>121</v>
      </c>
      <c r="I45" s="60" t="s">
        <v>124</v>
      </c>
      <c r="J45" s="60" t="s">
        <v>129</v>
      </c>
      <c r="K45" s="60" t="s">
        <v>122</v>
      </c>
      <c r="L45" s="60" t="s">
        <v>0</v>
      </c>
      <c r="M45" s="60" t="s">
        <v>3</v>
      </c>
      <c r="N45" s="60" t="s">
        <v>2</v>
      </c>
      <c r="O45" s="60" t="s">
        <v>7</v>
      </c>
      <c r="P45" s="60" t="s">
        <v>203</v>
      </c>
      <c r="Q45" s="60" t="s">
        <v>204</v>
      </c>
      <c r="R45" s="60" t="s">
        <v>205</v>
      </c>
      <c r="S45" s="61" t="s">
        <v>206</v>
      </c>
      <c r="T45" s="62" t="s">
        <v>130</v>
      </c>
      <c r="U45" s="62" t="s">
        <v>6</v>
      </c>
      <c r="V45" s="62" t="s">
        <v>209</v>
      </c>
      <c r="W45" s="62" t="s">
        <v>210</v>
      </c>
    </row>
    <row r="46" spans="1:23" ht="15" thickTop="1" x14ac:dyDescent="0.25">
      <c r="A46" t="s">
        <v>319</v>
      </c>
      <c r="B46" s="55">
        <f>表_时空必成[[#This Row],[进化金币(J)]]+IF(ISNUMBER(B45), B45, 0)</f>
        <v>167.97</v>
      </c>
      <c r="C46" s="54">
        <f>表_时空必成[[#This Row],[进化点券]]+IF(ISNUMBER(C45), C45, 0)</f>
        <v>21750</v>
      </c>
      <c r="D46" s="55">
        <f>SUMPRODUCT(表_时空必成[[#This Row],[天空碎片]:[列12]],表_时空必成[[#Totals],[天空碎片]:[列12]])+表_时空必成[[#This Row],[手续费(J)]]*折扣+IF(表_时空必成[[#This Row],[进化阶段]]="1段-&gt;2段",表_时空必成[[#Totals],[进化阶段]],0)</f>
        <v>167.97</v>
      </c>
      <c r="E46" s="55">
        <f>SUMPRODUCT(表_时空必成[[#This Row],[武魂神物]:[列16]],表_时空必成[[#Totals],[武魂神物]:[列16]])</f>
        <v>21750</v>
      </c>
      <c r="F46" s="56" t="s">
        <v>178</v>
      </c>
      <c r="G46" s="34">
        <v>57</v>
      </c>
      <c r="H46" s="34">
        <v>61</v>
      </c>
      <c r="I46" s="34"/>
      <c r="J46" s="34"/>
      <c r="K46" s="34"/>
      <c r="L46" s="34">
        <v>30</v>
      </c>
      <c r="M46" s="34"/>
      <c r="N46" s="34">
        <v>87</v>
      </c>
      <c r="O46" s="34"/>
      <c r="P46" s="34"/>
      <c r="Q46" s="34"/>
      <c r="R46" s="34"/>
      <c r="S46" s="32"/>
      <c r="T46" s="34">
        <v>87</v>
      </c>
      <c r="U46" s="34"/>
      <c r="V46" s="34"/>
      <c r="W46" s="34"/>
    </row>
    <row r="47" spans="1:23" ht="15" thickBot="1" x14ac:dyDescent="0.3">
      <c r="A47" t="s">
        <v>319</v>
      </c>
      <c r="B47" s="36">
        <f>表_时空必成[[#This Row],[进化金币(J)]]+IF(ISNUMBER(B46), B46, 0)</f>
        <v>1562.2779838709678</v>
      </c>
      <c r="C47" s="35">
        <f>表_时空必成[[#This Row],[进化点券]]+IF(ISNUMBER(C46), C46, 0)</f>
        <v>88250</v>
      </c>
      <c r="D47" s="36">
        <f>SUMPRODUCT(表_时空必成[[#This Row],[天空碎片]:[列12]],表_时空必成[[#Totals],[天空碎片]:[列12]])+表_时空必成[[#This Row],[手续费(J)]]*折扣+IF(表_时空必成[[#This Row],[进化阶段]]="1段-&gt;2段",表_时空必成[[#Totals],[进化阶段]],0)</f>
        <v>1394.3079838709677</v>
      </c>
      <c r="E47" s="36">
        <f>SUMPRODUCT(表_时空必成[[#This Row],[武魂神物]:[列16]],表_时空必成[[#Totals],[武魂神物]:[列16]])</f>
        <v>66500</v>
      </c>
      <c r="F47" s="39" t="s">
        <v>131</v>
      </c>
      <c r="G47" s="11">
        <v>185.5</v>
      </c>
      <c r="H47" s="11"/>
      <c r="I47" s="11">
        <v>105</v>
      </c>
      <c r="J47" s="11">
        <v>47</v>
      </c>
      <c r="K47" s="11">
        <v>43</v>
      </c>
      <c r="L47" s="11"/>
      <c r="M47" s="11">
        <v>88</v>
      </c>
      <c r="N47" s="11"/>
      <c r="O47" s="11">
        <v>17</v>
      </c>
      <c r="P47" s="11">
        <v>880</v>
      </c>
      <c r="Q47" s="11"/>
      <c r="R47" s="11"/>
      <c r="S47" s="30"/>
      <c r="T47" s="34">
        <v>98</v>
      </c>
      <c r="U47" s="34">
        <v>84</v>
      </c>
      <c r="V47" s="34"/>
      <c r="W47" s="34"/>
    </row>
    <row r="48" spans="1:23" ht="15" thickTop="1" x14ac:dyDescent="0.25">
      <c r="B48" s="72">
        <f>SUBTOTAL(104,表_时空必成[累计金币(J)])</f>
        <v>1562.2779838709678</v>
      </c>
      <c r="C48" s="72">
        <f>SUBTOTAL(104,表_时空必成[累计点券])</f>
        <v>88250</v>
      </c>
      <c r="D48" s="73">
        <f>SUBTOTAL(109,表_时空必成[进化金币(J)])</f>
        <v>1562.2779838709678</v>
      </c>
      <c r="E48" s="74">
        <f>SUBTOTAL(109,表_时空必成[进化点券])</f>
        <v>88250</v>
      </c>
      <c r="F48" s="75"/>
      <c r="G48" s="76" t="s">
        <v>190</v>
      </c>
      <c r="H48" s="77">
        <f xml:space="preserve"> _xlfn.IFNA(VLOOKUP(表_时空必成[[#Headers],[天空碎片]],金价一览,2,0), 0)</f>
        <v>0</v>
      </c>
      <c r="I48" s="77">
        <f xml:space="preserve"> _xlfn.IFNA(VLOOKUP(表_时空必成[[#Headers],[时空碎片]],金价一览,2,0), 0)</f>
        <v>0</v>
      </c>
      <c r="J48" s="77">
        <f xml:space="preserve"> _xlfn.IFNA(VLOOKUP(表_时空必成[[#Headers],[天元结晶]],金价一览,2,0), 0)</f>
        <v>20</v>
      </c>
      <c r="K48" s="77">
        <f xml:space="preserve"> _xlfn.IFNA(VLOOKUP(表_时空必成[[#Headers],[太阳珠]],金价一览,2,0), 0)</f>
        <v>1.5</v>
      </c>
      <c r="L48" s="77">
        <f xml:space="preserve"> _xlfn.IFNA(VLOOKUP(表_时空必成[[#Headers],[仙丹]],金价一览,2,0), 0)</f>
        <v>4</v>
      </c>
      <c r="M48" s="77">
        <f xml:space="preserve"> _xlfn.IFNA(VLOOKUP(表_时空必成[[#Headers],[月石]],金价一览,2,0), 0)</f>
        <v>1.35</v>
      </c>
      <c r="N48" s="77">
        <f xml:space="preserve"> _xlfn.IFNA(VLOOKUP(表_时空必成[[#Headers],[灵石]],金价一览,2,0), 0)</f>
        <v>0.06</v>
      </c>
      <c r="O48" s="77">
        <f xml:space="preserve"> _xlfn.IFNA(VLOOKUP(表_时空必成[[#Headers],[进化石]],金价一览,2,0), 0)</f>
        <v>7.7578225806451613</v>
      </c>
      <c r="P48" s="77">
        <f xml:space="preserve"> _xlfn.IFNA(VLOOKUP(表_时空必成[[#Headers],[列9]],金价一览,2,0), 0)</f>
        <v>0</v>
      </c>
      <c r="Q48" s="77">
        <f xml:space="preserve"> _xlfn.IFNA(VLOOKUP(表_时空必成[[#Headers],[列10]],金价一览,2,0), 0)</f>
        <v>0</v>
      </c>
      <c r="R48" s="77">
        <f xml:space="preserve"> _xlfn.IFNA(VLOOKUP(表_时空必成[[#Headers],[列11]],金价一览,2,0), 0)</f>
        <v>0</v>
      </c>
      <c r="S48" s="77">
        <f xml:space="preserve"> _xlfn.IFNA(VLOOKUP(表_时空必成[[#Headers],[列12]],金价一览,2,0), 0)</f>
        <v>0</v>
      </c>
      <c r="T48" s="78">
        <f>_xlfn.IFNA(VLOOKUP(表_时空必成[[#Headers],[武魂神物]],点券一览,2,0),0)</f>
        <v>250</v>
      </c>
      <c r="U48" s="78">
        <f>_xlfn.IFNA(VLOOKUP(表_时空必成[[#Headers],[高级武魂神物]],点券一览,2,0),0)</f>
        <v>500</v>
      </c>
      <c r="V48" s="68">
        <f>_xlfn.IFNA(VLOOKUP(表_时空必成[[#Headers],[列15]],点券一览,2,0),0)</f>
        <v>0</v>
      </c>
      <c r="W48" s="68">
        <f>_xlfn.IFNA(VLOOKUP(表_时空必成[[#Headers],[列16]],点券一览,2,0),0)</f>
        <v>0</v>
      </c>
    </row>
    <row r="49" spans="1:23" x14ac:dyDescent="0.25">
      <c r="B49" s="188" t="s">
        <v>221</v>
      </c>
      <c r="C49" s="188"/>
      <c r="D49" s="188"/>
      <c r="E49" s="188"/>
      <c r="F49" s="189"/>
      <c r="G49" s="79" t="s">
        <v>224</v>
      </c>
      <c r="H49" s="52">
        <f>SUM(表_时空必成[[#Data],[天空碎片]])</f>
        <v>61</v>
      </c>
      <c r="I49" s="52">
        <f>SUM(表_时空必成[[#Data],[时空碎片]])</f>
        <v>105</v>
      </c>
      <c r="J49" s="52">
        <f>SUM(表_时空必成[[#Data],[天元结晶]])</f>
        <v>47</v>
      </c>
      <c r="K49" s="52">
        <f>SUM(表_时空必成[[#Data],[太阳珠]])</f>
        <v>43</v>
      </c>
      <c r="L49" s="52">
        <f>SUM(表_时空必成[[#Data],[仙丹]])</f>
        <v>30</v>
      </c>
      <c r="M49" s="52">
        <f>SUM(表_时空必成[[#Data],[月石]])</f>
        <v>88</v>
      </c>
      <c r="N49" s="52">
        <f>SUM(表_时空必成[[#Data],[灵石]])</f>
        <v>87</v>
      </c>
      <c r="O49" s="52">
        <f>SUM(表_时空必成[[#Data],[进化石]])</f>
        <v>17</v>
      </c>
      <c r="P49" s="52">
        <f>SUM(表_时空必成[[#Data],[列9]])</f>
        <v>880</v>
      </c>
      <c r="Q49" s="52">
        <f>SUM(表_时空必成[[#Data],[列10]])</f>
        <v>0</v>
      </c>
      <c r="R49" s="52">
        <f>SUM(表_时空必成[[#Data],[列11]])</f>
        <v>0</v>
      </c>
      <c r="S49" s="52">
        <f>SUM(表_时空必成[[#Data],[列12]])</f>
        <v>0</v>
      </c>
      <c r="T49" s="52">
        <f>SUM(表_时空必成[[#Data],[武魂神物]])</f>
        <v>185</v>
      </c>
      <c r="U49" s="52">
        <f>SUM(表_时空必成[[#Data],[高级武魂神物]])</f>
        <v>84</v>
      </c>
      <c r="V49" s="66">
        <f>SUM(表_时空必成[[#Data],[列15]])</f>
        <v>0</v>
      </c>
      <c r="W49" s="66">
        <f>SUM(表_时空必成[[#Data],[列16]])</f>
        <v>0</v>
      </c>
    </row>
    <row r="50" spans="1:23" x14ac:dyDescent="0.25">
      <c r="B50" s="188"/>
      <c r="C50" s="188"/>
      <c r="D50" s="188"/>
      <c r="E50" s="188"/>
      <c r="F50" s="189"/>
      <c r="G50" s="80" t="s">
        <v>223</v>
      </c>
      <c r="H50" s="52">
        <f>H49*表_时空必成[[#Totals],[天空碎片]]</f>
        <v>0</v>
      </c>
      <c r="I50" s="52">
        <f>I49*表_时空必成[[#Totals],[时空碎片]]</f>
        <v>0</v>
      </c>
      <c r="J50" s="52">
        <f>J49*表_时空必成[[#Totals],[天元结晶]]</f>
        <v>940</v>
      </c>
      <c r="K50" s="52">
        <f>K49*表_时空必成[[#Totals],[太阳珠]]</f>
        <v>64.5</v>
      </c>
      <c r="L50" s="52">
        <f>L49*表_时空必成[[#Totals],[仙丹]]</f>
        <v>120</v>
      </c>
      <c r="M50" s="52">
        <f>M49*表_时空必成[[#Totals],[月石]]</f>
        <v>118.80000000000001</v>
      </c>
      <c r="N50" s="52">
        <f>N49*表_时空必成[[#Totals],[灵石]]</f>
        <v>5.22</v>
      </c>
      <c r="O50" s="52">
        <f>O49*表_时空必成[[#Totals],[进化石]]</f>
        <v>131.88298387096773</v>
      </c>
      <c r="P50" s="52">
        <f>P49*表_时空必成[[#Totals],[列9]]</f>
        <v>0</v>
      </c>
      <c r="Q50" s="52">
        <f>Q49*表_时空必成[[#Totals],[列10]]</f>
        <v>0</v>
      </c>
      <c r="R50" s="52">
        <f>R49*表_时空必成[[#Totals],[列11]]</f>
        <v>0</v>
      </c>
      <c r="S50" s="52">
        <f>S49*表_时空必成[[#Totals],[列12]]</f>
        <v>0</v>
      </c>
      <c r="T50" s="52">
        <f>T49*表_时空必成[[#Totals],[武魂神物]]</f>
        <v>46250</v>
      </c>
      <c r="U50" s="52">
        <f>U49*表_时空必成[[#Totals],[高级武魂神物]]</f>
        <v>42000</v>
      </c>
      <c r="V50" s="66">
        <f>V49*表_时空必成[[#Totals],[列15]]</f>
        <v>0</v>
      </c>
      <c r="W50" s="66">
        <f>W49*表_时空必成[[#Totals],[列16]]</f>
        <v>0</v>
      </c>
    </row>
    <row r="53" spans="1:23" x14ac:dyDescent="0.25">
      <c r="B53" s="28" t="s">
        <v>228</v>
      </c>
      <c r="H53" s="43" t="s">
        <v>212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42" t="s">
        <v>211</v>
      </c>
      <c r="U53" s="41"/>
      <c r="V53" s="41"/>
      <c r="W53" s="41"/>
    </row>
    <row r="54" spans="1:23" ht="34.200000000000003" customHeight="1" thickBot="1" x14ac:dyDescent="0.3">
      <c r="B54" s="57" t="s">
        <v>187</v>
      </c>
      <c r="C54" s="57" t="s">
        <v>186</v>
      </c>
      <c r="D54" s="58" t="s">
        <v>252</v>
      </c>
      <c r="E54" s="58" t="s">
        <v>254</v>
      </c>
      <c r="F54" s="58" t="s">
        <v>181</v>
      </c>
      <c r="G54" s="58" t="s">
        <v>185</v>
      </c>
      <c r="H54" s="59" t="s">
        <v>133</v>
      </c>
      <c r="I54" s="60" t="s">
        <v>122</v>
      </c>
      <c r="J54" s="60" t="s">
        <v>129</v>
      </c>
      <c r="K54" s="60" t="s">
        <v>3</v>
      </c>
      <c r="L54" s="60" t="s">
        <v>134</v>
      </c>
      <c r="M54" s="60" t="s">
        <v>179</v>
      </c>
      <c r="N54" s="60" t="s">
        <v>201</v>
      </c>
      <c r="O54" s="60" t="s">
        <v>202</v>
      </c>
      <c r="P54" s="60" t="s">
        <v>203</v>
      </c>
      <c r="Q54" s="60" t="s">
        <v>204</v>
      </c>
      <c r="R54" s="60" t="s">
        <v>205</v>
      </c>
      <c r="S54" s="61" t="s">
        <v>206</v>
      </c>
      <c r="T54" s="62" t="s">
        <v>137</v>
      </c>
      <c r="U54" s="62" t="s">
        <v>151</v>
      </c>
      <c r="V54" s="62" t="s">
        <v>209</v>
      </c>
      <c r="W54" s="62" t="s">
        <v>210</v>
      </c>
    </row>
    <row r="55" spans="1:23" ht="15" thickTop="1" x14ac:dyDescent="0.25">
      <c r="A55" t="s">
        <v>319</v>
      </c>
      <c r="B55" s="55">
        <f>表_昆仑1到15段必成[[#This Row],[进化金币(J)]]+IF(ISNUMBER(B54), B54, 表_昆仑1到15段必成[[#Totals],[进化阶段]])</f>
        <v>2447.2312903225807</v>
      </c>
      <c r="C55" s="54">
        <f>表_昆仑1到15段必成[[#This Row],[进化点券]]+IF(ISNUMBER(C54), C54, 0)</f>
        <v>3000</v>
      </c>
      <c r="D55" s="55">
        <f>SUMPRODUCT(表_昆仑1到15段必成[[#This Row],[昆仑珠]:[列12]],表_昆仑1到15段必成[[#Totals],[昆仑珠]:[列12]])+表_昆仑1到15段必成[[#This Row],[手续费(J)]]*折扣</f>
        <v>447.23129032258066</v>
      </c>
      <c r="E55" s="55">
        <f>SUMPRODUCT(表_昆仑1到15段必成[[#This Row],[破天武魂神物]:[列16]],表_昆仑1到15段必成[[#Totals],[破天武魂神物]:[列16]])</f>
        <v>3000</v>
      </c>
      <c r="F55" s="56" t="s">
        <v>229</v>
      </c>
      <c r="G55" s="34">
        <v>70</v>
      </c>
      <c r="H55" s="34">
        <v>2</v>
      </c>
      <c r="I55" s="34">
        <v>4</v>
      </c>
      <c r="J55" s="34">
        <v>7</v>
      </c>
      <c r="K55" s="34">
        <v>7</v>
      </c>
      <c r="L55" s="34">
        <v>1</v>
      </c>
      <c r="M55" s="34"/>
      <c r="N55" s="34"/>
      <c r="O55" s="34"/>
      <c r="P55" s="34"/>
      <c r="Q55" s="34"/>
      <c r="R55" s="34"/>
      <c r="S55" s="32"/>
      <c r="T55" s="34">
        <v>2</v>
      </c>
      <c r="U55" s="34"/>
      <c r="V55" s="34"/>
      <c r="W55" s="34"/>
    </row>
    <row r="56" spans="1:23" x14ac:dyDescent="0.25">
      <c r="A56" t="s">
        <v>319</v>
      </c>
      <c r="B56" s="36">
        <f>表_昆仑1到15段必成[[#This Row],[进化金币(J)]]+IF(ISNUMBER(B55), B55, 表_昆仑1到15段必成[[#Totals],[进化阶段]])</f>
        <v>2939.8625806451614</v>
      </c>
      <c r="C56" s="35">
        <f>表_昆仑1到15段必成[[#This Row],[进化点券]]+IF(ISNUMBER(C55), C55, 0)</f>
        <v>6000</v>
      </c>
      <c r="D56" s="36">
        <f>SUMPRODUCT(表_昆仑1到15段必成[[#This Row],[昆仑珠]:[列12]],表_昆仑1到15段必成[[#Totals],[昆仑珠]:[列12]])+表_昆仑1到15段必成[[#This Row],[手续费(J)]]*折扣</f>
        <v>492.63129032258064</v>
      </c>
      <c r="E56" s="36">
        <f>SUMPRODUCT(表_昆仑1到15段必成[[#This Row],[破天武魂神物]:[列16]],表_昆仑1到15段必成[[#Totals],[破天武魂神物]:[列16]])</f>
        <v>3000</v>
      </c>
      <c r="F56" s="39" t="s">
        <v>230</v>
      </c>
      <c r="G56" s="34">
        <v>70</v>
      </c>
      <c r="H56" s="11">
        <v>2</v>
      </c>
      <c r="I56" s="11">
        <v>4</v>
      </c>
      <c r="J56" s="11">
        <v>9</v>
      </c>
      <c r="K56" s="11">
        <v>11</v>
      </c>
      <c r="L56" s="11">
        <v>1</v>
      </c>
      <c r="M56" s="11"/>
      <c r="N56" s="11"/>
      <c r="O56" s="11"/>
      <c r="P56" s="11"/>
      <c r="Q56" s="11"/>
      <c r="R56" s="11"/>
      <c r="S56" s="30"/>
      <c r="T56" s="34">
        <v>2</v>
      </c>
      <c r="U56" s="34"/>
      <c r="V56" s="34"/>
      <c r="W56" s="34"/>
    </row>
    <row r="57" spans="1:23" x14ac:dyDescent="0.25">
      <c r="A57" t="s">
        <v>319</v>
      </c>
      <c r="B57" s="36">
        <f>表_昆仑1到15段必成[[#This Row],[进化金币(J)]]+IF(ISNUMBER(B56), B56, 表_昆仑1到15段必成[[#Totals],[进化阶段]])</f>
        <v>3473.9938709677422</v>
      </c>
      <c r="C57" s="35">
        <f>表_昆仑1到15段必成[[#This Row],[进化点券]]+IF(ISNUMBER(C56), C56, 0)</f>
        <v>10500</v>
      </c>
      <c r="D57" s="36">
        <f>SUMPRODUCT(表_昆仑1到15段必成[[#This Row],[昆仑珠]:[列12]],表_昆仑1到15段必成[[#Totals],[昆仑珠]:[列12]])+表_昆仑1到15段必成[[#This Row],[手续费(J)]]*折扣</f>
        <v>534.13129032258064</v>
      </c>
      <c r="E57" s="36">
        <f>SUMPRODUCT(表_昆仑1到15段必成[[#This Row],[破天武魂神物]:[列16]],表_昆仑1到15段必成[[#Totals],[破天武魂神物]:[列16]])</f>
        <v>4500</v>
      </c>
      <c r="F57" s="39" t="s">
        <v>231</v>
      </c>
      <c r="G57" s="34">
        <v>70</v>
      </c>
      <c r="H57" s="11">
        <v>2</v>
      </c>
      <c r="I57" s="11">
        <v>5</v>
      </c>
      <c r="J57" s="11">
        <v>11</v>
      </c>
      <c r="K57" s="11">
        <v>11</v>
      </c>
      <c r="L57" s="11">
        <v>1</v>
      </c>
      <c r="M57" s="11"/>
      <c r="N57" s="11"/>
      <c r="O57" s="11"/>
      <c r="P57" s="11"/>
      <c r="Q57" s="11"/>
      <c r="R57" s="11"/>
      <c r="S57" s="30"/>
      <c r="T57" s="34">
        <v>3</v>
      </c>
      <c r="U57" s="34"/>
      <c r="V57" s="34"/>
      <c r="W57" s="34"/>
    </row>
    <row r="58" spans="1:23" x14ac:dyDescent="0.25">
      <c r="A58" t="s">
        <v>319</v>
      </c>
      <c r="B58" s="36">
        <f>表_昆仑1到15段必成[[#This Row],[进化金币(J)]]+IF(ISNUMBER(B57), B57, 表_昆仑1到15段必成[[#Totals],[进化阶段]])</f>
        <v>4032.1751612903226</v>
      </c>
      <c r="C58" s="35">
        <f>表_昆仑1到15段必成[[#This Row],[进化点券]]+IF(ISNUMBER(C57), C57, 0)</f>
        <v>16500</v>
      </c>
      <c r="D58" s="36">
        <f>SUMPRODUCT(表_昆仑1到15段必成[[#This Row],[昆仑珠]:[列12]],表_昆仑1到15段必成[[#Totals],[昆仑珠]:[列12]])+表_昆仑1到15段必成[[#This Row],[手续费(J)]]*折扣</f>
        <v>558.18129032258059</v>
      </c>
      <c r="E58" s="36">
        <f>SUMPRODUCT(表_昆仑1到15段必成[[#This Row],[破天武魂神物]:[列16]],表_昆仑1到15段必成[[#Totals],[破天武魂神物]:[列16]])</f>
        <v>6000</v>
      </c>
      <c r="F58" s="39" t="s">
        <v>232</v>
      </c>
      <c r="G58" s="34">
        <v>70</v>
      </c>
      <c r="H58" s="11">
        <v>2</v>
      </c>
      <c r="I58" s="11">
        <v>5</v>
      </c>
      <c r="J58" s="11">
        <v>12</v>
      </c>
      <c r="K58" s="11">
        <v>14</v>
      </c>
      <c r="L58" s="11">
        <v>1</v>
      </c>
      <c r="M58" s="11"/>
      <c r="N58" s="11"/>
      <c r="O58" s="11"/>
      <c r="P58" s="11"/>
      <c r="Q58" s="11"/>
      <c r="R58" s="11"/>
      <c r="S58" s="30"/>
      <c r="T58" s="34">
        <v>4</v>
      </c>
      <c r="U58" s="34"/>
      <c r="V58" s="34"/>
      <c r="W58" s="34"/>
    </row>
    <row r="59" spans="1:23" x14ac:dyDescent="0.25">
      <c r="A59" t="s">
        <v>319</v>
      </c>
      <c r="B59" s="36">
        <f>表_昆仑1到15段必成[[#This Row],[进化金币(J)]]+IF(ISNUMBER(B58), B58, 表_昆仑1到15段必成[[#Totals],[进化阶段]])</f>
        <v>4633.3564516129036</v>
      </c>
      <c r="C59" s="35">
        <f>表_昆仑1到15段必成[[#This Row],[进化点券]]+IF(ISNUMBER(C58), C58, 0)</f>
        <v>22500</v>
      </c>
      <c r="D59" s="36">
        <f>SUMPRODUCT(表_昆仑1到15段必成[[#This Row],[昆仑珠]:[列12]],表_昆仑1到15段必成[[#Totals],[昆仑珠]:[列12]])+表_昆仑1到15段必成[[#This Row],[手续费(J)]]*折扣</f>
        <v>601.18129032258059</v>
      </c>
      <c r="E59" s="36">
        <f>SUMPRODUCT(表_昆仑1到15段必成[[#This Row],[破天武魂神物]:[列16]],表_昆仑1到15段必成[[#Totals],[破天武魂神物]:[列16]])</f>
        <v>6000</v>
      </c>
      <c r="F59" s="39" t="s">
        <v>233</v>
      </c>
      <c r="G59" s="34">
        <v>70</v>
      </c>
      <c r="H59" s="11">
        <v>2</v>
      </c>
      <c r="I59" s="11">
        <v>7</v>
      </c>
      <c r="J59" s="11">
        <v>14</v>
      </c>
      <c r="K59" s="11">
        <v>14</v>
      </c>
      <c r="L59" s="11">
        <v>1</v>
      </c>
      <c r="M59" s="11"/>
      <c r="N59" s="11"/>
      <c r="O59" s="11"/>
      <c r="P59" s="11"/>
      <c r="Q59" s="11"/>
      <c r="R59" s="11"/>
      <c r="S59" s="30"/>
      <c r="T59" s="11">
        <v>4</v>
      </c>
      <c r="U59" s="11"/>
      <c r="V59" s="11"/>
      <c r="W59" s="11"/>
    </row>
    <row r="60" spans="1:23" x14ac:dyDescent="0.25">
      <c r="A60" t="s">
        <v>319</v>
      </c>
      <c r="B60" s="36">
        <f>表_昆仑1到15段必成[[#This Row],[进化金币(J)]]+IF(ISNUMBER(B59), B59, 表_昆仑1到15段必成[[#Totals],[进化阶段]])</f>
        <v>5503.7190322580645</v>
      </c>
      <c r="C60" s="35">
        <f>表_昆仑1到15段必成[[#This Row],[进化点券]]+IF(ISNUMBER(C59), C59, 0)</f>
        <v>30000</v>
      </c>
      <c r="D60" s="96">
        <f>SUMPRODUCT(表_昆仑1到15段必成[[#This Row],[昆仑珠]:[列12]],表_昆仑1到15段必成[[#Totals],[昆仑珠]:[列12]])+表_昆仑1到15段必成[[#This Row],[手续费(J)]]*折扣</f>
        <v>870.3625806451613</v>
      </c>
      <c r="E60" s="38">
        <f>SUMPRODUCT(表_昆仑1到15段必成[[#This Row],[破天武魂神物]:[列16]],表_昆仑1到15段必成[[#Totals],[破天武魂神物]:[列16]])</f>
        <v>7500</v>
      </c>
      <c r="F60" s="39" t="s">
        <v>234</v>
      </c>
      <c r="G60" s="25">
        <v>80</v>
      </c>
      <c r="H60" s="25">
        <v>3</v>
      </c>
      <c r="I60" s="25">
        <v>9</v>
      </c>
      <c r="J60" s="25">
        <v>16</v>
      </c>
      <c r="K60" s="25">
        <v>18</v>
      </c>
      <c r="L60" s="25">
        <v>2</v>
      </c>
      <c r="M60" s="25"/>
      <c r="N60" s="25"/>
      <c r="O60" s="25"/>
      <c r="P60" s="25"/>
      <c r="Q60" s="25"/>
      <c r="R60" s="25"/>
      <c r="S60" s="31"/>
      <c r="T60" s="25">
        <v>5</v>
      </c>
      <c r="U60" s="25"/>
      <c r="V60" s="25"/>
      <c r="W60" s="25"/>
    </row>
    <row r="61" spans="1:23" x14ac:dyDescent="0.25">
      <c r="A61" t="s">
        <v>319</v>
      </c>
      <c r="B61" s="92">
        <f>表_昆仑1到15段必成[[#This Row],[进化金币(J)]]+IF(ISNUMBER(B60), B60, 表_昆仑1到15段必成[[#Totals],[进化阶段]])</f>
        <v>6473.1316129032257</v>
      </c>
      <c r="C61" s="93">
        <f>表_昆仑1到15段必成[[#This Row],[进化点券]]+IF(ISNUMBER(C60), C60, 0)</f>
        <v>40500</v>
      </c>
      <c r="D61" s="92">
        <f>SUMPRODUCT(表_昆仑1到15段必成[[#This Row],[昆仑珠]:[列12]],表_昆仑1到15段必成[[#Totals],[昆仑珠]:[列12]])+表_昆仑1到15段必成[[#This Row],[手续费(J)]]*折扣</f>
        <v>969.41258064516137</v>
      </c>
      <c r="E61" s="36">
        <f>SUMPRODUCT(表_昆仑1到15段必成[[#This Row],[破天武魂神物]:[列16]],表_昆仑1到15段必成[[#Totals],[破天武魂神物]:[列16]])</f>
        <v>10500</v>
      </c>
      <c r="F61" s="39" t="s">
        <v>235</v>
      </c>
      <c r="G61" s="11">
        <v>80</v>
      </c>
      <c r="H61" s="11">
        <v>5</v>
      </c>
      <c r="I61" s="11">
        <v>11</v>
      </c>
      <c r="J61" s="11">
        <v>18</v>
      </c>
      <c r="K61" s="11">
        <v>21</v>
      </c>
      <c r="L61" s="11">
        <v>2</v>
      </c>
      <c r="M61" s="11"/>
      <c r="N61" s="11"/>
      <c r="O61" s="11"/>
      <c r="P61" s="11"/>
      <c r="Q61" s="11"/>
      <c r="R61" s="11"/>
      <c r="S61" s="30"/>
      <c r="T61" s="11">
        <v>7</v>
      </c>
      <c r="U61" s="11"/>
      <c r="V61" s="11"/>
      <c r="W61" s="11"/>
    </row>
    <row r="62" spans="1:23" x14ac:dyDescent="0.25">
      <c r="A62" t="s">
        <v>319</v>
      </c>
      <c r="B62" s="55">
        <f>表_昆仑1到15段必成[[#This Row],[进化金币(J)]]+IF(ISNUMBER(B61), B61, 表_昆仑1到15段必成[[#Totals],[进化阶段]])</f>
        <v>7804.5254838709679</v>
      </c>
      <c r="C62" s="54">
        <f>表_昆仑1到15段必成[[#This Row],[进化点券]]+IF(ISNUMBER(C61), C61, 0)</f>
        <v>51000</v>
      </c>
      <c r="D62" s="89">
        <f>SUMPRODUCT(表_昆仑1到15段必成[[#This Row],[昆仑珠]:[列12]],表_昆仑1到15段必成[[#Totals],[昆仑珠]:[列12]])+表_昆仑1到15段必成[[#This Row],[手续费(J)]]*折扣</f>
        <v>1331.3938709677418</v>
      </c>
      <c r="E62" s="90">
        <f>SUMPRODUCT(表_昆仑1到15段必成[[#This Row],[破天武魂神物]:[列16]],表_昆仑1到15段必成[[#Totals],[破天武魂神物]:[列16]])</f>
        <v>10500</v>
      </c>
      <c r="F62" s="91" t="s">
        <v>236</v>
      </c>
      <c r="G62" s="71">
        <v>105</v>
      </c>
      <c r="H62" s="34">
        <v>5</v>
      </c>
      <c r="I62" s="34"/>
      <c r="J62" s="34">
        <v>21</v>
      </c>
      <c r="K62" s="34">
        <v>28</v>
      </c>
      <c r="L62" s="34">
        <v>3</v>
      </c>
      <c r="M62" s="34">
        <v>1</v>
      </c>
      <c r="N62" s="34"/>
      <c r="O62" s="34"/>
      <c r="P62" s="34"/>
      <c r="Q62" s="34"/>
      <c r="R62" s="34"/>
      <c r="S62" s="32"/>
      <c r="T62" s="34"/>
      <c r="U62" s="34">
        <v>7</v>
      </c>
      <c r="V62" s="34"/>
      <c r="W62" s="34"/>
    </row>
    <row r="63" spans="1:23" x14ac:dyDescent="0.25">
      <c r="A63" t="s">
        <v>319</v>
      </c>
      <c r="B63" s="55">
        <f>表_昆仑1到15段必成[[#This Row],[进化金币(J)]]+IF(ISNUMBER(B62), B62, 表_昆仑1到15段必成[[#Totals],[进化阶段]])</f>
        <v>9267.9193548387102</v>
      </c>
      <c r="C63" s="54">
        <f>表_昆仑1到15段必成[[#This Row],[进化点券]]+IF(ISNUMBER(C62), C62, 0)</f>
        <v>63000</v>
      </c>
      <c r="D63" s="89">
        <f>SUMPRODUCT(表_昆仑1到15段必成[[#This Row],[昆仑珠]:[列12]],表_昆仑1到15段必成[[#Totals],[昆仑珠]:[列12]])+表_昆仑1到15段必成[[#This Row],[手续费(J)]]*折扣</f>
        <v>1463.3938709677418</v>
      </c>
      <c r="E63" s="90">
        <f>SUMPRODUCT(表_昆仑1到15段必成[[#This Row],[破天武魂神物]:[列16]],表_昆仑1到15段必成[[#Totals],[破天武魂神物]:[列16]])</f>
        <v>12000</v>
      </c>
      <c r="F63" s="91" t="s">
        <v>237</v>
      </c>
      <c r="G63" s="71">
        <v>105</v>
      </c>
      <c r="H63" s="34">
        <v>7</v>
      </c>
      <c r="I63" s="34"/>
      <c r="J63" s="34">
        <v>25</v>
      </c>
      <c r="K63" s="34">
        <v>28</v>
      </c>
      <c r="L63" s="34">
        <v>3</v>
      </c>
      <c r="M63" s="34">
        <v>1</v>
      </c>
      <c r="N63" s="34"/>
      <c r="O63" s="34"/>
      <c r="P63" s="34"/>
      <c r="Q63" s="34"/>
      <c r="R63" s="34"/>
      <c r="S63" s="32"/>
      <c r="T63" s="34"/>
      <c r="U63" s="34">
        <v>8</v>
      </c>
      <c r="V63" s="34"/>
      <c r="W63" s="34"/>
    </row>
    <row r="64" spans="1:23" x14ac:dyDescent="0.25">
      <c r="A64" t="s">
        <v>319</v>
      </c>
      <c r="B64" s="55">
        <f>表_昆仑1到15段必成[[#This Row],[进化金币(J)]]+IF(ISNUMBER(B63), B63, 表_昆仑1到15段必成[[#Totals],[进化阶段]])</f>
        <v>10972.563225806452</v>
      </c>
      <c r="C64" s="54">
        <f>表_昆仑1到15段必成[[#This Row],[进化点券]]+IF(ISNUMBER(C63), C63, 0)</f>
        <v>78000</v>
      </c>
      <c r="D64" s="89">
        <f>SUMPRODUCT(表_昆仑1到15段必成[[#This Row],[昆仑珠]:[列12]],表_昆仑1到15段必成[[#Totals],[昆仑珠]:[列12]])+表_昆仑1到15段必成[[#This Row],[手续费(J)]]*折扣</f>
        <v>1704.6438709677418</v>
      </c>
      <c r="E64" s="90">
        <f>SUMPRODUCT(表_昆仑1到15段必成[[#This Row],[破天武魂神物]:[列16]],表_昆仑1到15段必成[[#Totals],[破天武魂神物]:[列16]])</f>
        <v>15000</v>
      </c>
      <c r="F64" s="91" t="s">
        <v>238</v>
      </c>
      <c r="G64" s="71">
        <v>140</v>
      </c>
      <c r="H64" s="34">
        <v>9</v>
      </c>
      <c r="I64" s="34"/>
      <c r="J64" s="34">
        <v>28</v>
      </c>
      <c r="K64" s="34">
        <v>28</v>
      </c>
      <c r="L64" s="34">
        <v>3</v>
      </c>
      <c r="M64" s="34">
        <v>2</v>
      </c>
      <c r="N64" s="34"/>
      <c r="O64" s="34"/>
      <c r="P64" s="34"/>
      <c r="Q64" s="34"/>
      <c r="R64" s="34"/>
      <c r="S64" s="32"/>
      <c r="T64" s="34"/>
      <c r="U64" s="34">
        <v>10</v>
      </c>
      <c r="V64" s="34"/>
      <c r="W64" s="34"/>
    </row>
    <row r="65" spans="1:23" x14ac:dyDescent="0.25">
      <c r="A65" t="s">
        <v>319</v>
      </c>
      <c r="B65" s="94">
        <f>表_昆仑1到15段必成[[#This Row],[进化金币(J)]]+IF(ISNUMBER(B64), B64, 表_昆仑1到15段必成[[#Totals],[进化阶段]])</f>
        <v>13013.438387096776</v>
      </c>
      <c r="C65" s="95">
        <f>表_昆仑1到15段必成[[#This Row],[进化点券]]+IF(ISNUMBER(C64), C64, 0)</f>
        <v>96000</v>
      </c>
      <c r="D65" s="89">
        <f>SUMPRODUCT(表_昆仑1到15段必成[[#This Row],[昆仑珠]:[列12]],表_昆仑1到15段必成[[#Totals],[昆仑珠]:[列12]])+表_昆仑1到15段必成[[#This Row],[手续费(J)]]*折扣</f>
        <v>2040.8751612903225</v>
      </c>
      <c r="E65" s="90">
        <f>SUMPRODUCT(表_昆仑1到15段必成[[#This Row],[破天武魂神物]:[列16]],表_昆仑1到15段必成[[#Totals],[破天武魂神物]:[列16]])</f>
        <v>18000</v>
      </c>
      <c r="F65" s="91" t="s">
        <v>239</v>
      </c>
      <c r="G65" s="71">
        <v>150</v>
      </c>
      <c r="H65" s="34">
        <v>11</v>
      </c>
      <c r="I65" s="34"/>
      <c r="J65" s="34">
        <v>32</v>
      </c>
      <c r="K65" s="34">
        <v>35</v>
      </c>
      <c r="L65" s="34">
        <v>4</v>
      </c>
      <c r="M65" s="34">
        <v>2</v>
      </c>
      <c r="N65" s="34"/>
      <c r="O65" s="34"/>
      <c r="P65" s="34"/>
      <c r="Q65" s="34"/>
      <c r="R65" s="34"/>
      <c r="S65" s="32"/>
      <c r="T65" s="34"/>
      <c r="U65" s="34">
        <v>12</v>
      </c>
      <c r="V65" s="34"/>
      <c r="W65" s="34"/>
    </row>
    <row r="66" spans="1:23" x14ac:dyDescent="0.25">
      <c r="A66" t="s">
        <v>319</v>
      </c>
      <c r="B66" s="55">
        <f>表_昆仑1到15段必成[[#This Row],[进化金币(J)]]+IF(ISNUMBER(B65), B65, 表_昆仑1到15段必成[[#Totals],[进化阶段]])</f>
        <v>15357.763548387098</v>
      </c>
      <c r="C66" s="54">
        <f>表_昆仑1到15段必成[[#This Row],[进化点券]]+IF(ISNUMBER(C65), C65, 0)</f>
        <v>117000</v>
      </c>
      <c r="D66" s="89">
        <f>SUMPRODUCT(表_昆仑1到15段必成[[#This Row],[昆仑珠]:[列12]],表_昆仑1到15段必成[[#Totals],[昆仑珠]:[列12]])+表_昆仑1到15段必成[[#This Row],[手续费(J)]]*折扣</f>
        <v>2344.3251612903227</v>
      </c>
      <c r="E66" s="90">
        <f>SUMPRODUCT(表_昆仑1到15段必成[[#This Row],[破天武魂神物]:[列16]],表_昆仑1到15段必成[[#Totals],[破天武魂神物]:[列16]])</f>
        <v>21000</v>
      </c>
      <c r="F66" s="91" t="s">
        <v>240</v>
      </c>
      <c r="G66" s="71">
        <v>210</v>
      </c>
      <c r="H66" s="34">
        <v>12</v>
      </c>
      <c r="I66" s="34"/>
      <c r="J66" s="34">
        <v>38</v>
      </c>
      <c r="K66" s="34">
        <v>42</v>
      </c>
      <c r="L66" s="34">
        <v>4</v>
      </c>
      <c r="M66" s="34">
        <v>3</v>
      </c>
      <c r="N66" s="34"/>
      <c r="O66" s="34"/>
      <c r="P66" s="34"/>
      <c r="Q66" s="34"/>
      <c r="R66" s="34"/>
      <c r="S66" s="32"/>
      <c r="T66" s="34"/>
      <c r="U66" s="34">
        <v>14</v>
      </c>
      <c r="V66" s="34"/>
      <c r="W66" s="34"/>
    </row>
    <row r="67" spans="1:23" x14ac:dyDescent="0.25">
      <c r="A67" t="s">
        <v>319</v>
      </c>
      <c r="B67" s="55">
        <f>表_昆仑1到15段必成[[#This Row],[进化金币(J)]]+IF(ISNUMBER(B66), B66, 表_昆仑1到15段必成[[#Totals],[进化阶段]])</f>
        <v>18254.001290322583</v>
      </c>
      <c r="C67" s="54">
        <f>表_昆仑1到15段必成[[#This Row],[进化点券]]+IF(ISNUMBER(C66), C66, 0)</f>
        <v>144000</v>
      </c>
      <c r="D67" s="89">
        <f>SUMPRODUCT(表_昆仑1到15段必成[[#This Row],[昆仑珠]:[列12]],表_昆仑1到15段必成[[#Totals],[昆仑珠]:[列12]])+表_昆仑1到15段必成[[#This Row],[手续费(J)]]*折扣</f>
        <v>2896.2377419354839</v>
      </c>
      <c r="E67" s="90">
        <f>SUMPRODUCT(表_昆仑1到15段必成[[#This Row],[破天武魂神物]:[列16]],表_昆仑1到15段必成[[#Totals],[破天武魂神物]:[列16]])</f>
        <v>27000</v>
      </c>
      <c r="F67" s="91" t="s">
        <v>241</v>
      </c>
      <c r="G67" s="71">
        <v>245</v>
      </c>
      <c r="H67" s="34">
        <v>12</v>
      </c>
      <c r="I67" s="34"/>
      <c r="J67" s="34">
        <v>40</v>
      </c>
      <c r="K67" s="34">
        <v>48</v>
      </c>
      <c r="L67" s="34">
        <v>6</v>
      </c>
      <c r="M67" s="34">
        <v>4</v>
      </c>
      <c r="N67" s="34"/>
      <c r="O67" s="34"/>
      <c r="P67" s="34"/>
      <c r="Q67" s="34"/>
      <c r="R67" s="34"/>
      <c r="S67" s="32"/>
      <c r="T67" s="34"/>
      <c r="U67" s="34">
        <v>18</v>
      </c>
      <c r="V67" s="34"/>
      <c r="W67" s="34"/>
    </row>
    <row r="68" spans="1:23" ht="15" thickBot="1" x14ac:dyDescent="0.3">
      <c r="A68" t="s">
        <v>319</v>
      </c>
      <c r="B68" s="55">
        <f>表_昆仑1到15段必成[[#This Row],[进化金币(J)]]+IF(ISNUMBER(B67), B67, 表_昆仑1到15段必成[[#Totals],[进化阶段]])</f>
        <v>21448.789032258068</v>
      </c>
      <c r="C68" s="54">
        <f>表_昆仑1到15段必成[[#This Row],[进化点券]]+IF(ISNUMBER(C67), C67, 0)</f>
        <v>178500</v>
      </c>
      <c r="D68" s="89">
        <f>SUMPRODUCT(表_昆仑1到15段必成[[#This Row],[昆仑珠]:[列12]],表_昆仑1到15段必成[[#Totals],[昆仑珠]:[列12]])+表_昆仑1到15段必成[[#This Row],[手续费(J)]]*折扣</f>
        <v>3194.7877419354836</v>
      </c>
      <c r="E68" s="90">
        <f>SUMPRODUCT(表_昆仑1到15段必成[[#This Row],[破天武魂神物]:[列16]],表_昆仑1到15段必成[[#Totals],[破天武魂神物]:[列16]])</f>
        <v>34500</v>
      </c>
      <c r="F68" s="91" t="s">
        <v>242</v>
      </c>
      <c r="G68" s="71">
        <v>250</v>
      </c>
      <c r="H68" s="34">
        <v>16</v>
      </c>
      <c r="I68" s="34"/>
      <c r="J68" s="34">
        <v>49</v>
      </c>
      <c r="K68" s="34">
        <v>56</v>
      </c>
      <c r="L68" s="34">
        <v>6</v>
      </c>
      <c r="M68" s="34">
        <v>4</v>
      </c>
      <c r="N68" s="34"/>
      <c r="O68" s="34"/>
      <c r="P68" s="34"/>
      <c r="Q68" s="34"/>
      <c r="R68" s="34"/>
      <c r="S68" s="32"/>
      <c r="T68" s="34"/>
      <c r="U68" s="34">
        <v>23</v>
      </c>
      <c r="V68" s="34"/>
      <c r="W68" s="34"/>
    </row>
    <row r="69" spans="1:23" ht="15" thickTop="1" x14ac:dyDescent="0.25">
      <c r="B69" s="72">
        <f>SUBTOTAL(104,表_昆仑1到15段必成[累计金币(J)])</f>
        <v>21448.789032258068</v>
      </c>
      <c r="C69" s="72">
        <f>SUBTOTAL(104,表_昆仑1到15段必成[累计点券])</f>
        <v>178500</v>
      </c>
      <c r="D69" s="73">
        <f>SUBTOTAL(109,表_昆仑1到15段必成[进化金币(J)])</f>
        <v>19448.789032258064</v>
      </c>
      <c r="E69" s="74">
        <f>SUBTOTAL(109,表_昆仑1到15段必成[进化点券])</f>
        <v>178500</v>
      </c>
      <c r="F69" s="88" t="s">
        <v>227</v>
      </c>
      <c r="G69" s="76" t="s">
        <v>190</v>
      </c>
      <c r="H69" s="77">
        <f xml:space="preserve"> _xlfn.IFNA(VLOOKUP(表_昆仑1到15段必成[[#Headers],[昆仑珠]],金价一览,2,0), 0)</f>
        <v>26</v>
      </c>
      <c r="I69" s="77">
        <f xml:space="preserve"> _xlfn.IFNA(VLOOKUP(表_昆仑1到15段必成[[#Headers],[太阳珠]],金价一览,2,0), 0)</f>
        <v>1.5</v>
      </c>
      <c r="J69" s="77">
        <f xml:space="preserve"> _xlfn.IFNA(VLOOKUP(表_昆仑1到15段必成[[#Headers],[天元结晶]],金价一览,2,0), 0)</f>
        <v>20</v>
      </c>
      <c r="K69" s="77">
        <f xml:space="preserve"> _xlfn.IFNA(VLOOKUP(表_昆仑1到15段必成[[#Headers],[月石]],金价一览,2,0), 0)</f>
        <v>1.35</v>
      </c>
      <c r="L69" s="77">
        <f xml:space="preserve"> _xlfn.IFNA(VLOOKUP(表_昆仑1到15段必成[[#Headers],[高级进化石]],金价一览,2,0), 0)</f>
        <v>187.28129032258065</v>
      </c>
      <c r="M69" s="77">
        <f xml:space="preserve"> _xlfn.IFNA(VLOOKUP(表_昆仑1到15段必成[[#Headers],[黑风魂]],金价一览,2,0), 0)</f>
        <v>103</v>
      </c>
      <c r="N69" s="77">
        <f xml:space="preserve"> _xlfn.IFNA(VLOOKUP(表_昆仑1到15段必成[[#Headers],[列7]],金价一览,2,0), 0)</f>
        <v>0</v>
      </c>
      <c r="O69" s="77">
        <f xml:space="preserve"> _xlfn.IFNA(VLOOKUP(表_昆仑1到15段必成[[#Headers],[列8]],金价一览,2,0), 0)</f>
        <v>0</v>
      </c>
      <c r="P69" s="77">
        <f xml:space="preserve"> _xlfn.IFNA(VLOOKUP(表_昆仑1到15段必成[[#Headers],[列9]],金价一览,2,0), 0)</f>
        <v>0</v>
      </c>
      <c r="Q69" s="77">
        <f xml:space="preserve"> _xlfn.IFNA(VLOOKUP(表_昆仑1到15段必成[[#Headers],[列10]],金价一览,2,0), 0)</f>
        <v>0</v>
      </c>
      <c r="R69" s="77">
        <f xml:space="preserve"> _xlfn.IFNA(VLOOKUP(表_昆仑1到15段必成[[#Headers],[列11]],金价一览,2,0), 0)</f>
        <v>0</v>
      </c>
      <c r="S69" s="77">
        <f xml:space="preserve"> _xlfn.IFNA(VLOOKUP(表_昆仑1到15段必成[[#Headers],[列12]],金价一览,2,0), 0)</f>
        <v>0</v>
      </c>
      <c r="T69" s="78">
        <f>_xlfn.IFNA(VLOOKUP(表_昆仑1到15段必成[[#Headers],[破天武魂神物]],点券一览,2,0),0)</f>
        <v>1500</v>
      </c>
      <c r="U69" s="78">
        <f>_xlfn.IFNA(VLOOKUP(表_昆仑1到15段必成[[#Headers],[建元武魂神物]],点券一览,2,0),0)</f>
        <v>1500</v>
      </c>
      <c r="V69" s="78">
        <f>_xlfn.IFNA(VLOOKUP(表_昆仑1到15段必成[[#Headers],[列15]],点券一览,2,0),0)</f>
        <v>0</v>
      </c>
      <c r="W69" s="78">
        <f>_xlfn.IFNA(VLOOKUP(表_昆仑1到15段必成[[#Headers],[列16]],点券一览,2,0),0)</f>
        <v>0</v>
      </c>
    </row>
    <row r="70" spans="1:23" x14ac:dyDescent="0.25">
      <c r="B70" s="188" t="s">
        <v>221</v>
      </c>
      <c r="C70" s="188"/>
      <c r="D70" s="188"/>
      <c r="E70" s="188"/>
      <c r="F70" s="189"/>
      <c r="G70" s="79" t="s">
        <v>224</v>
      </c>
      <c r="H70" s="52">
        <f>SUM(表_昆仑1到15段必成[[#Data],[昆仑珠]])</f>
        <v>90</v>
      </c>
      <c r="I70" s="52">
        <f>SUM(表_昆仑1到15段必成[[#Data],[太阳珠]])</f>
        <v>45</v>
      </c>
      <c r="J70" s="52">
        <f>SUM(表_昆仑1到15段必成[[#Data],[天元结晶]])</f>
        <v>320</v>
      </c>
      <c r="K70" s="52">
        <f>SUM(表_昆仑1到15段必成[[#Data],[月石]])</f>
        <v>361</v>
      </c>
      <c r="L70" s="52">
        <f>SUM(表_昆仑1到15段必成[[#Data],[高级进化石]])</f>
        <v>38</v>
      </c>
      <c r="M70" s="52">
        <f>SUM(表_昆仑1到15段必成[[#Data],[黑风魂]])</f>
        <v>17</v>
      </c>
      <c r="N70" s="52">
        <f>SUM(表_昆仑1到15段必成[[#Data],[列7]])</f>
        <v>0</v>
      </c>
      <c r="O70" s="52">
        <f>SUM(表_昆仑1到15段必成[[#Data],[列8]])</f>
        <v>0</v>
      </c>
      <c r="P70" s="52">
        <f>SUM(表_昆仑1到15段必成[[#Data],[列9]])</f>
        <v>0</v>
      </c>
      <c r="Q70" s="52">
        <f>SUM(表_昆仑1到15段必成[[#Data],[列10]])</f>
        <v>0</v>
      </c>
      <c r="R70" s="52">
        <f>SUM(表_昆仑1到15段必成[[#Data],[列11]])</f>
        <v>0</v>
      </c>
      <c r="S70" s="52">
        <f>SUM(表_昆仑1到15段必成[[#Data],[列12]])</f>
        <v>0</v>
      </c>
      <c r="T70" s="52">
        <f>SUM(表_昆仑1到15段必成[[#Data],[破天武魂神物]])</f>
        <v>27</v>
      </c>
      <c r="U70" s="52">
        <f>SUM(表_昆仑1到15段必成[[#Data],[建元武魂神物]])</f>
        <v>92</v>
      </c>
      <c r="V70" s="52">
        <f>SUM(表_昆仑1到15段必成[[#Data],[列15]])</f>
        <v>0</v>
      </c>
      <c r="W70" s="52">
        <f>SUM(表_昆仑1到15段必成[[#Data],[列16]])</f>
        <v>0</v>
      </c>
    </row>
    <row r="71" spans="1:23" x14ac:dyDescent="0.25">
      <c r="B71" s="188"/>
      <c r="C71" s="188"/>
      <c r="D71" s="188"/>
      <c r="E71" s="188"/>
      <c r="F71" s="189"/>
      <c r="G71" s="80" t="s">
        <v>223</v>
      </c>
      <c r="H71" s="52">
        <f>H70*表_昆仑1到15段必成[[#Totals],[昆仑珠]]</f>
        <v>2340</v>
      </c>
      <c r="I71" s="52">
        <f>I70*表_昆仑1到15段必成[[#Totals],[太阳珠]]</f>
        <v>67.5</v>
      </c>
      <c r="J71" s="52">
        <f>J70*表_昆仑1到15段必成[[#Totals],[天元结晶]]</f>
        <v>6400</v>
      </c>
      <c r="K71" s="52">
        <f>K70*表_昆仑1到15段必成[[#Totals],[月石]]</f>
        <v>487.35</v>
      </c>
      <c r="L71" s="52">
        <f>L70*表_昆仑1到15段必成[[#Totals],[高级进化石]]</f>
        <v>7116.6890322580648</v>
      </c>
      <c r="M71" s="52">
        <f>M70*表_昆仑1到15段必成[[#Totals],[黑风魂]]</f>
        <v>1751</v>
      </c>
      <c r="N71" s="52">
        <f>N70*表_昆仑1到15段必成[[#Totals],[列7]]</f>
        <v>0</v>
      </c>
      <c r="O71" s="52">
        <f>O70*表_昆仑1到15段必成[[#Totals],[列8]]</f>
        <v>0</v>
      </c>
      <c r="P71" s="52">
        <f>P70*表_昆仑1到15段必成[[#Totals],[列9]]</f>
        <v>0</v>
      </c>
      <c r="Q71" s="52">
        <f>Q70*表_昆仑1到15段必成[[#Totals],[列10]]</f>
        <v>0</v>
      </c>
      <c r="R71" s="52">
        <f>R70*表_昆仑1到15段必成[[#Totals],[列11]]</f>
        <v>0</v>
      </c>
      <c r="S71" s="52">
        <f>S70*表_昆仑1到15段必成[[#Totals],[列12]]</f>
        <v>0</v>
      </c>
      <c r="T71" s="52">
        <f>T70*表_昆仑1到15段必成[[#Totals],[破天武魂神物]]</f>
        <v>40500</v>
      </c>
      <c r="U71" s="52">
        <f>U70*表_昆仑1到15段必成[[#Totals],[建元武魂神物]]</f>
        <v>138000</v>
      </c>
      <c r="V71" s="52">
        <f>V70*表_昆仑1到15段必成[[#Totals],[列15]]</f>
        <v>0</v>
      </c>
      <c r="W71" s="52">
        <f>W70*表_昆仑1到15段必成[[#Totals],[列16]]</f>
        <v>0</v>
      </c>
    </row>
    <row r="74" spans="1:23" hidden="1" x14ac:dyDescent="0.25">
      <c r="B74" s="28" t="s">
        <v>243</v>
      </c>
      <c r="H74" s="43" t="s">
        <v>212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42" t="s">
        <v>211</v>
      </c>
      <c r="U74" s="41"/>
      <c r="V74" s="41"/>
      <c r="W74" s="41"/>
    </row>
    <row r="75" spans="1:23" ht="34.200000000000003" hidden="1" customHeight="1" thickBot="1" x14ac:dyDescent="0.3">
      <c r="B75" s="57" t="s">
        <v>187</v>
      </c>
      <c r="C75" s="57" t="s">
        <v>186</v>
      </c>
      <c r="D75" s="58" t="s">
        <v>252</v>
      </c>
      <c r="E75" s="58" t="s">
        <v>254</v>
      </c>
      <c r="F75" s="58" t="s">
        <v>181</v>
      </c>
      <c r="G75" s="58" t="s">
        <v>185</v>
      </c>
      <c r="H75" s="59" t="s">
        <v>133</v>
      </c>
      <c r="I75" s="60" t="s">
        <v>122</v>
      </c>
      <c r="J75" s="60" t="s">
        <v>129</v>
      </c>
      <c r="K75" s="60" t="s">
        <v>3</v>
      </c>
      <c r="L75" s="60" t="s">
        <v>134</v>
      </c>
      <c r="M75" s="60" t="s">
        <v>179</v>
      </c>
      <c r="N75" s="60" t="s">
        <v>201</v>
      </c>
      <c r="O75" s="60" t="s">
        <v>202</v>
      </c>
      <c r="P75" s="60" t="s">
        <v>203</v>
      </c>
      <c r="Q75" s="60" t="s">
        <v>204</v>
      </c>
      <c r="R75" s="60" t="s">
        <v>205</v>
      </c>
      <c r="S75" s="61" t="s">
        <v>206</v>
      </c>
      <c r="T75" s="62" t="s">
        <v>137</v>
      </c>
      <c r="U75" s="62" t="s">
        <v>208</v>
      </c>
      <c r="V75" s="62" t="s">
        <v>209</v>
      </c>
      <c r="W75" s="62" t="s">
        <v>210</v>
      </c>
    </row>
    <row r="76" spans="1:23" ht="15" hidden="1" thickTop="1" x14ac:dyDescent="0.25">
      <c r="A76" t="s">
        <v>319</v>
      </c>
      <c r="B76" s="55">
        <f>表_昆仑1到15段保底[[#This Row],[进化金币(J)]]+IF(ISNUMBER(B75), B75, 表_昆仑1到15段保底[[#Totals],[进化阶段]])</f>
        <v>3005.5625806451612</v>
      </c>
      <c r="C76" s="54">
        <f>表_昆仑1到15段保底[[#This Row],[进化点券]]+IF(ISNUMBER(C75), C75, 0)</f>
        <v>0</v>
      </c>
      <c r="D76" s="55">
        <f>SUMPRODUCT(表_昆仑1到15段保底[[#This Row],[昆仑珠]:[列12]],表_昆仑1到15段保底[[#Totals],[昆仑珠]:[列12]])+表_昆仑1到15段保底[[#This Row],[手续费(J)]]*折扣</f>
        <v>1005.5625806451612</v>
      </c>
      <c r="E76" s="55">
        <f>SUMPRODUCT(表_昆仑1到15段保底[[#This Row],[破天武魂神物]:[列16]],表_昆仑1到15段保底[[#Totals],[破天武魂神物]:[列16]])</f>
        <v>0</v>
      </c>
      <c r="F76" s="56" t="s">
        <v>192</v>
      </c>
      <c r="G76" s="34">
        <v>150</v>
      </c>
      <c r="H76" s="34">
        <v>3</v>
      </c>
      <c r="I76" s="34">
        <v>9</v>
      </c>
      <c r="J76" s="34">
        <v>20</v>
      </c>
      <c r="K76" s="34">
        <v>20</v>
      </c>
      <c r="L76" s="34">
        <v>2</v>
      </c>
      <c r="M76" s="34"/>
      <c r="N76" s="34"/>
      <c r="O76" s="34"/>
      <c r="P76" s="34"/>
      <c r="Q76" s="34"/>
      <c r="R76" s="34"/>
      <c r="S76" s="32"/>
      <c r="T76" s="34"/>
      <c r="U76" s="34"/>
      <c r="V76" s="34"/>
      <c r="W76" s="34"/>
    </row>
    <row r="77" spans="1:23" hidden="1" x14ac:dyDescent="0.25">
      <c r="A77" t="s">
        <v>319</v>
      </c>
      <c r="B77" s="36">
        <f>表_昆仑1到15段保底[[#This Row],[进化金币(J)]]+IF(ISNUMBER(B76), B76, 表_昆仑1到15段保底[[#Totals],[进化阶段]])</f>
        <v>4111.1251612903225</v>
      </c>
      <c r="C77" s="35">
        <f>表_昆仑1到15段保底[[#This Row],[进化点券]]+IF(ISNUMBER(C76), C76, 0)</f>
        <v>0</v>
      </c>
      <c r="D77" s="36">
        <f>SUMPRODUCT(表_昆仑1到15段保底[[#This Row],[昆仑珠]:[列12]],表_昆仑1到15段保底[[#Totals],[昆仑珠]:[列12]])+表_昆仑1到15段保底[[#This Row],[手续费(J)]]*折扣</f>
        <v>1105.5625806451612</v>
      </c>
      <c r="E77" s="36">
        <f>SUMPRODUCT(表_昆仑1到15段保底[[#This Row],[破天武魂神物]:[列16]],表_昆仑1到15段保底[[#Totals],[破天武魂神物]:[列16]])</f>
        <v>0</v>
      </c>
      <c r="F77" s="39" t="s">
        <v>193</v>
      </c>
      <c r="G77" s="11">
        <v>150</v>
      </c>
      <c r="H77" s="11">
        <v>3</v>
      </c>
      <c r="I77" s="11">
        <v>9</v>
      </c>
      <c r="J77" s="11">
        <v>25</v>
      </c>
      <c r="K77" s="11">
        <v>20</v>
      </c>
      <c r="L77" s="11">
        <v>2</v>
      </c>
      <c r="M77" s="11"/>
      <c r="N77" s="11"/>
      <c r="O77" s="11"/>
      <c r="P77" s="11"/>
      <c r="Q77" s="11"/>
      <c r="R77" s="11"/>
      <c r="S77" s="30"/>
      <c r="T77" s="34"/>
      <c r="U77" s="34"/>
      <c r="V77" s="34"/>
      <c r="W77" s="34"/>
    </row>
    <row r="78" spans="1:23" hidden="1" x14ac:dyDescent="0.25">
      <c r="A78" t="s">
        <v>319</v>
      </c>
      <c r="B78" s="36">
        <f>表_昆仑1到15段保底[[#This Row],[进化金币(J)]]+IF(ISNUMBER(B77), B77, 表_昆仑1到15段保底[[#Totals],[进化阶段]])</f>
        <v>5547.9690322580645</v>
      </c>
      <c r="C78" s="35">
        <f>表_昆仑1到15段保底[[#This Row],[进化点券]]+IF(ISNUMBER(C77), C77, 0)</f>
        <v>0</v>
      </c>
      <c r="D78" s="36">
        <f>SUMPRODUCT(表_昆仑1到15段保底[[#This Row],[昆仑珠]:[列12]],表_昆仑1到15段保底[[#Totals],[昆仑珠]:[列12]])+表_昆仑1到15段保底[[#This Row],[手续费(J)]]*折扣</f>
        <v>1436.8438709677421</v>
      </c>
      <c r="E78" s="36">
        <f>SUMPRODUCT(表_昆仑1到15段保底[[#This Row],[破天武魂神物]:[列16]],表_昆仑1到15段保底[[#Totals],[破天武魂神物]:[列16]])</f>
        <v>0</v>
      </c>
      <c r="F78" s="39" t="s">
        <v>194</v>
      </c>
      <c r="G78" s="11">
        <v>150</v>
      </c>
      <c r="H78" s="11">
        <v>4</v>
      </c>
      <c r="I78" s="11">
        <v>12</v>
      </c>
      <c r="J78" s="11">
        <v>30</v>
      </c>
      <c r="K78" s="11">
        <v>30</v>
      </c>
      <c r="L78" s="11">
        <v>3</v>
      </c>
      <c r="M78" s="11"/>
      <c r="N78" s="11"/>
      <c r="O78" s="11"/>
      <c r="P78" s="11"/>
      <c r="Q78" s="11"/>
      <c r="R78" s="11"/>
      <c r="S78" s="30"/>
      <c r="T78" s="34"/>
      <c r="U78" s="34"/>
      <c r="V78" s="34"/>
      <c r="W78" s="34"/>
    </row>
    <row r="79" spans="1:23" hidden="1" x14ac:dyDescent="0.25">
      <c r="A79" t="s">
        <v>319</v>
      </c>
      <c r="B79" s="36">
        <f>表_昆仑1到15段保底[[#This Row],[进化金币(J)]]+IF(ISNUMBER(B78), B78, 表_昆仑1到15段保底[[#Totals],[进化阶段]])</f>
        <v>6984.8129032258066</v>
      </c>
      <c r="C79" s="35">
        <f>表_昆仑1到15段保底[[#This Row],[进化点券]]+IF(ISNUMBER(C78), C78, 0)</f>
        <v>0</v>
      </c>
      <c r="D79" s="36">
        <f>SUMPRODUCT(表_昆仑1到15段保底[[#This Row],[昆仑珠]:[列12]],表_昆仑1到15段保底[[#Totals],[昆仑珠]:[列12]])+表_昆仑1到15段保底[[#This Row],[手续费(J)]]*折扣</f>
        <v>1436.8438709677421</v>
      </c>
      <c r="E79" s="36">
        <f>SUMPRODUCT(表_昆仑1到15段保底[[#This Row],[破天武魂神物]:[列16]],表_昆仑1到15段保底[[#Totals],[破天武魂神物]:[列16]])</f>
        <v>0</v>
      </c>
      <c r="F79" s="39" t="s">
        <v>195</v>
      </c>
      <c r="G79" s="11">
        <v>150</v>
      </c>
      <c r="H79" s="11">
        <v>4</v>
      </c>
      <c r="I79" s="11">
        <v>12</v>
      </c>
      <c r="J79" s="11">
        <v>30</v>
      </c>
      <c r="K79" s="11">
        <v>30</v>
      </c>
      <c r="L79" s="11">
        <v>3</v>
      </c>
      <c r="M79" s="11"/>
      <c r="N79" s="11"/>
      <c r="O79" s="11"/>
      <c r="P79" s="11"/>
      <c r="Q79" s="11"/>
      <c r="R79" s="11"/>
      <c r="S79" s="30"/>
      <c r="T79" s="34"/>
      <c r="U79" s="34"/>
      <c r="V79" s="34"/>
      <c r="W79" s="34"/>
    </row>
    <row r="80" spans="1:23" hidden="1" x14ac:dyDescent="0.25">
      <c r="A80" t="s">
        <v>319</v>
      </c>
      <c r="B80" s="36">
        <f>表_昆仑1到15段保底[[#This Row],[进化金币(J)]]+IF(ISNUMBER(B79), B79, 表_昆仑1到15段保底[[#Totals],[进化阶段]])</f>
        <v>8751.4380645161291</v>
      </c>
      <c r="C80" s="35">
        <f>表_昆仑1到15段保底[[#This Row],[进化点券]]+IF(ISNUMBER(C79), C79, 0)</f>
        <v>0</v>
      </c>
      <c r="D80" s="36">
        <f>SUMPRODUCT(表_昆仑1到15段保底[[#This Row],[昆仑珠]:[列12]],表_昆仑1到15段保底[[#Totals],[昆仑珠]:[列12]])+表_昆仑1到15段保底[[#This Row],[手续费(J)]]*折扣</f>
        <v>1766.6251612903225</v>
      </c>
      <c r="E80" s="36">
        <f>SUMPRODUCT(表_昆仑1到15段保底[[#This Row],[破天武魂神物]:[列16]],表_昆仑1到15段保底[[#Totals],[破天武魂神物]:[列16]])</f>
        <v>0</v>
      </c>
      <c r="F80" s="39" t="s">
        <v>196</v>
      </c>
      <c r="G80" s="11">
        <v>150</v>
      </c>
      <c r="H80" s="11">
        <v>5</v>
      </c>
      <c r="I80" s="11">
        <v>14</v>
      </c>
      <c r="J80" s="11">
        <v>35</v>
      </c>
      <c r="K80" s="11">
        <v>40</v>
      </c>
      <c r="L80" s="11">
        <v>4</v>
      </c>
      <c r="M80" s="11"/>
      <c r="N80" s="11"/>
      <c r="O80" s="11"/>
      <c r="P80" s="11"/>
      <c r="Q80" s="11"/>
      <c r="R80" s="11"/>
      <c r="S80" s="30"/>
      <c r="T80" s="11"/>
      <c r="U80" s="11"/>
      <c r="V80" s="11"/>
      <c r="W80" s="11"/>
    </row>
    <row r="81" spans="1:23" hidden="1" x14ac:dyDescent="0.25">
      <c r="A81" t="s">
        <v>319</v>
      </c>
      <c r="B81" s="36">
        <f>表_昆仑1到15段保底[[#This Row],[进化金币(J)]]+IF(ISNUMBER(B80), B80, 表_昆仑1到15段保底[[#Totals],[进化阶段]])</f>
        <v>10687.563225806451</v>
      </c>
      <c r="C81" s="35">
        <f>表_昆仑1到15段保底[[#This Row],[进化点券]]+IF(ISNUMBER(C80), C80, 0)</f>
        <v>0</v>
      </c>
      <c r="D81" s="96">
        <f>SUMPRODUCT(表_昆仑1到15段保底[[#This Row],[昆仑珠]:[列12]],表_昆仑1到15段保底[[#Totals],[昆仑珠]:[列12]])+表_昆仑1到15段保底[[#This Row],[手续费(J)]]*折扣</f>
        <v>1936.1251612903225</v>
      </c>
      <c r="E81" s="38">
        <f>SUMPRODUCT(表_昆仑1到15段保底[[#This Row],[破天武魂神物]:[列16]],表_昆仑1到15段保底[[#Totals],[破天武魂神物]:[列16]])</f>
        <v>0</v>
      </c>
      <c r="F81" s="39" t="s">
        <v>197</v>
      </c>
      <c r="G81" s="25">
        <v>200</v>
      </c>
      <c r="H81" s="25">
        <v>6</v>
      </c>
      <c r="I81" s="25">
        <v>18</v>
      </c>
      <c r="J81" s="25">
        <v>40</v>
      </c>
      <c r="K81" s="25">
        <v>40</v>
      </c>
      <c r="L81" s="25">
        <v>4</v>
      </c>
      <c r="M81" s="25"/>
      <c r="N81" s="25"/>
      <c r="O81" s="25"/>
      <c r="P81" s="25"/>
      <c r="Q81" s="25"/>
      <c r="R81" s="25"/>
      <c r="S81" s="31"/>
      <c r="T81" s="25"/>
      <c r="U81" s="25"/>
      <c r="V81" s="25"/>
      <c r="W81" s="25"/>
    </row>
    <row r="82" spans="1:23" hidden="1" x14ac:dyDescent="0.25">
      <c r="A82" t="s">
        <v>319</v>
      </c>
      <c r="B82" s="36">
        <f>表_昆仑1到15段保底[[#This Row],[进化金币(J)]]+IF(ISNUMBER(B81), B81, 表_昆仑1到15段保底[[#Totals],[进化阶段]])</f>
        <v>12956.469677419354</v>
      </c>
      <c r="C82" s="35">
        <f>表_昆仑1到15段保底[[#This Row],[进化点券]]+IF(ISNUMBER(C81), C81, 0)</f>
        <v>0</v>
      </c>
      <c r="D82" s="92">
        <f>SUMPRODUCT(表_昆仑1到15段保底[[#This Row],[昆仑珠]:[列12]],表_昆仑1到15段保底[[#Totals],[昆仑珠]:[列12]])+表_昆仑1到15段保底[[#This Row],[手续费(J)]]*折扣</f>
        <v>2268.9064516129033</v>
      </c>
      <c r="E82" s="36">
        <f>SUMPRODUCT(表_昆仑1到15段保底[[#This Row],[破天武魂神物]:[列16]],表_昆仑1到15段保底[[#Totals],[破天武魂神物]:[列16]])</f>
        <v>0</v>
      </c>
      <c r="F82" s="39" t="s">
        <v>198</v>
      </c>
      <c r="G82" s="11">
        <v>200</v>
      </c>
      <c r="H82" s="11">
        <v>7</v>
      </c>
      <c r="I82" s="11">
        <v>22</v>
      </c>
      <c r="J82" s="11">
        <v>45</v>
      </c>
      <c r="K82" s="11">
        <v>50</v>
      </c>
      <c r="L82" s="11">
        <v>5</v>
      </c>
      <c r="M82" s="11"/>
      <c r="N82" s="11"/>
      <c r="O82" s="11"/>
      <c r="P82" s="11"/>
      <c r="Q82" s="11"/>
      <c r="R82" s="11"/>
      <c r="S82" s="30"/>
      <c r="T82" s="11"/>
      <c r="U82" s="11"/>
      <c r="V82" s="11"/>
      <c r="W82" s="11"/>
    </row>
    <row r="83" spans="1:23" hidden="1" x14ac:dyDescent="0.25">
      <c r="A83" t="s">
        <v>319</v>
      </c>
      <c r="B83" s="36">
        <f>表_昆仑1到15段保底[[#This Row],[进化金币(J)]]+IF(ISNUMBER(B82), B82, 表_昆仑1到15段保底[[#Totals],[进化阶段]])</f>
        <v>14911.094838709676</v>
      </c>
      <c r="C83" s="35">
        <f>表_昆仑1到15段保底[[#This Row],[进化点券]]+IF(ISNUMBER(C82), C82, 0)</f>
        <v>16500</v>
      </c>
      <c r="D83" s="36">
        <f>SUMPRODUCT(表_昆仑1到15段保底[[#This Row],[昆仑珠]:[列12]],表_昆仑1到15段保底[[#Totals],[昆仑珠]:[列12]])+表_昆仑1到15段保底[[#This Row],[手续费(J)]]*折扣</f>
        <v>1954.6251612903225</v>
      </c>
      <c r="E83" s="36">
        <f>SUMPRODUCT(表_昆仑1到15段保底[[#This Row],[破天武魂神物]:[列16]],表_昆仑1到15段保底[[#Totals],[破天武魂神物]:[列16]])</f>
        <v>16500</v>
      </c>
      <c r="F83" s="40" t="s">
        <v>219</v>
      </c>
      <c r="G83" s="11">
        <v>150</v>
      </c>
      <c r="H83" s="11">
        <v>5</v>
      </c>
      <c r="I83" s="11"/>
      <c r="J83" s="11">
        <v>30</v>
      </c>
      <c r="K83" s="11">
        <v>40</v>
      </c>
      <c r="L83" s="11">
        <v>4</v>
      </c>
      <c r="M83" s="11">
        <v>3</v>
      </c>
      <c r="N83" s="11"/>
      <c r="O83" s="11"/>
      <c r="P83" s="11"/>
      <c r="Q83" s="11"/>
      <c r="R83" s="11"/>
      <c r="S83" s="30"/>
      <c r="T83" s="11">
        <v>11</v>
      </c>
      <c r="U83" s="11"/>
      <c r="V83" s="11"/>
      <c r="W83" s="11"/>
    </row>
    <row r="84" spans="1:23" hidden="1" x14ac:dyDescent="0.25">
      <c r="A84" t="s">
        <v>319</v>
      </c>
      <c r="B84" s="36">
        <f>表_昆仑1到15段保底[[#This Row],[进化金币(J)]]+IF(ISNUMBER(B83), B83, 表_昆仑1到15段保底[[#Totals],[进化阶段]])</f>
        <v>17113.469999999998</v>
      </c>
      <c r="C84" s="35">
        <f>表_昆仑1到15段保底[[#This Row],[进化点券]]+IF(ISNUMBER(C83), C83, 0)</f>
        <v>34500</v>
      </c>
      <c r="D84" s="36">
        <f>SUMPRODUCT(表_昆仑1到15段保底[[#This Row],[昆仑珠]:[列12]],表_昆仑1到15段保底[[#Totals],[昆仑珠]:[列12]])+表_昆仑1到15段保底[[#This Row],[手续费(J)]]*折扣</f>
        <v>2202.3751612903225</v>
      </c>
      <c r="E84" s="36">
        <f>SUMPRODUCT(表_昆仑1到15段保底[[#This Row],[破天武魂神物]:[列16]],表_昆仑1到15段保底[[#Totals],[破天武魂神物]:[列16]])</f>
        <v>18000</v>
      </c>
      <c r="F84" s="40" t="s">
        <v>213</v>
      </c>
      <c r="G84" s="11">
        <v>175</v>
      </c>
      <c r="H84" s="11">
        <v>6</v>
      </c>
      <c r="I84" s="11"/>
      <c r="J84" s="11">
        <v>35</v>
      </c>
      <c r="K84" s="11">
        <v>40</v>
      </c>
      <c r="L84" s="11">
        <v>4</v>
      </c>
      <c r="M84" s="11">
        <v>4</v>
      </c>
      <c r="N84" s="11"/>
      <c r="O84" s="11"/>
      <c r="P84" s="11"/>
      <c r="Q84" s="11"/>
      <c r="R84" s="11"/>
      <c r="S84" s="30"/>
      <c r="T84" s="11">
        <v>12</v>
      </c>
      <c r="U84" s="11"/>
      <c r="V84" s="11"/>
      <c r="W84" s="11"/>
    </row>
    <row r="85" spans="1:23" hidden="1" x14ac:dyDescent="0.25">
      <c r="A85" t="s">
        <v>319</v>
      </c>
      <c r="B85" s="36">
        <f>表_昆仑1到15段保底[[#This Row],[进化金币(J)]]+IF(ISNUMBER(B84), B84, 表_昆仑1到15段保底[[#Totals],[进化阶段]])</f>
        <v>19460.595161290319</v>
      </c>
      <c r="C85" s="35">
        <f>表_昆仑1到15段保底[[#This Row],[进化点券]]+IF(ISNUMBER(C84), C84, 0)</f>
        <v>54000</v>
      </c>
      <c r="D85" s="36">
        <f>SUMPRODUCT(表_昆仑1到15段保底[[#This Row],[昆仑珠]:[列12]],表_昆仑1到15段保底[[#Totals],[昆仑珠]:[列12]])+表_昆仑1到15段保底[[#This Row],[手续费(J)]]*折扣</f>
        <v>2347.1251612903225</v>
      </c>
      <c r="E85" s="36">
        <f>SUMPRODUCT(表_昆仑1到15段保底[[#This Row],[破天武魂神物]:[列16]],表_昆仑1到15段保底[[#Totals],[破天武魂神物]:[列16]])</f>
        <v>19500</v>
      </c>
      <c r="F85" s="40" t="s">
        <v>214</v>
      </c>
      <c r="G85" s="11">
        <v>200</v>
      </c>
      <c r="H85" s="11">
        <v>7</v>
      </c>
      <c r="I85" s="11"/>
      <c r="J85" s="11">
        <v>40</v>
      </c>
      <c r="K85" s="11">
        <v>40</v>
      </c>
      <c r="L85" s="11">
        <v>4</v>
      </c>
      <c r="M85" s="11">
        <v>4</v>
      </c>
      <c r="N85" s="11"/>
      <c r="O85" s="11"/>
      <c r="P85" s="11"/>
      <c r="Q85" s="11"/>
      <c r="R85" s="11"/>
      <c r="S85" s="30"/>
      <c r="T85" s="11">
        <v>13</v>
      </c>
      <c r="U85" s="11"/>
      <c r="V85" s="11"/>
      <c r="W85" s="11"/>
    </row>
    <row r="86" spans="1:23" hidden="1" x14ac:dyDescent="0.25">
      <c r="A86" t="s">
        <v>319</v>
      </c>
      <c r="B86" s="36">
        <f>表_昆仑1到15段保底[[#This Row],[进化金币(J)]]+IF(ISNUMBER(B85), B85, 表_昆仑1到15段保底[[#Totals],[进化阶段]])</f>
        <v>22153.251612903223</v>
      </c>
      <c r="C86" s="35">
        <f>表_昆仑1到15段保底[[#This Row],[进化点券]]+IF(ISNUMBER(C85), C85, 0)</f>
        <v>79500</v>
      </c>
      <c r="D86" s="36">
        <f>SUMPRODUCT(表_昆仑1到15段保底[[#This Row],[昆仑珠]:[列12]],表_昆仑1到15段保底[[#Totals],[昆仑珠]:[列12]])+表_昆仑1到15段保底[[#This Row],[手续费(J)]]*折扣</f>
        <v>2692.6564516129033</v>
      </c>
      <c r="E86" s="36">
        <f>SUMPRODUCT(表_昆仑1到15段保底[[#This Row],[破天武魂神物]:[列16]],表_昆仑1到15段保底[[#Totals],[破天武魂神物]:[列16]])</f>
        <v>25500</v>
      </c>
      <c r="F86" s="40" t="s">
        <v>215</v>
      </c>
      <c r="G86" s="11">
        <v>225</v>
      </c>
      <c r="H86" s="11">
        <v>8</v>
      </c>
      <c r="I86" s="11"/>
      <c r="J86" s="11">
        <v>45</v>
      </c>
      <c r="K86" s="11">
        <v>50</v>
      </c>
      <c r="L86" s="11">
        <v>5</v>
      </c>
      <c r="M86" s="11">
        <v>4</v>
      </c>
      <c r="N86" s="11"/>
      <c r="O86" s="11"/>
      <c r="P86" s="11"/>
      <c r="Q86" s="11"/>
      <c r="R86" s="11"/>
      <c r="S86" s="30"/>
      <c r="T86" s="11">
        <v>17</v>
      </c>
      <c r="U86" s="11"/>
      <c r="V86" s="11"/>
      <c r="W86" s="11"/>
    </row>
    <row r="87" spans="1:23" hidden="1" x14ac:dyDescent="0.25">
      <c r="A87" t="s">
        <v>319</v>
      </c>
      <c r="B87" s="36">
        <f>表_昆仑1到15段保底[[#This Row],[进化金币(J)]]+IF(ISNUMBER(B86), B86, 表_昆仑1到15段保底[[#Totals],[进化阶段]])</f>
        <v>25492.627096774191</v>
      </c>
      <c r="C87" s="35">
        <f>表_昆仑1到15段保底[[#This Row],[进化点券]]+IF(ISNUMBER(C86), C86, 0)</f>
        <v>99000</v>
      </c>
      <c r="D87" s="36">
        <f>SUMPRODUCT(表_昆仑1到15段保底[[#This Row],[昆仑珠]:[列12]],表_昆仑1到15段保底[[#Totals],[昆仑珠]:[列12]])+表_昆仑1到15段保底[[#This Row],[手续费(J)]]*折扣</f>
        <v>3339.3754838709679</v>
      </c>
      <c r="E87" s="36">
        <f>SUMPRODUCT(表_昆仑1到15段保底[[#This Row],[破天武魂神物]:[列16]],表_昆仑1到15段保底[[#Totals],[破天武魂神物]:[列16]])</f>
        <v>19500</v>
      </c>
      <c r="F87" s="40" t="s">
        <v>216</v>
      </c>
      <c r="G87" s="11">
        <v>150</v>
      </c>
      <c r="H87" s="11">
        <v>5</v>
      </c>
      <c r="I87" s="11"/>
      <c r="J87" s="11">
        <v>25</v>
      </c>
      <c r="K87" s="11">
        <v>30</v>
      </c>
      <c r="L87" s="11">
        <v>12</v>
      </c>
      <c r="M87" s="11">
        <v>3</v>
      </c>
      <c r="N87" s="11"/>
      <c r="O87" s="11"/>
      <c r="P87" s="11"/>
      <c r="Q87" s="11"/>
      <c r="R87" s="11"/>
      <c r="S87" s="30"/>
      <c r="T87" s="11">
        <v>13</v>
      </c>
      <c r="U87" s="11"/>
      <c r="V87" s="11"/>
      <c r="W87" s="11"/>
    </row>
    <row r="88" spans="1:23" hidden="1" x14ac:dyDescent="0.25">
      <c r="A88" t="s">
        <v>319</v>
      </c>
      <c r="B88" s="36">
        <f>表_昆仑1到15段保底[[#This Row],[进化金币(J)]]+IF(ISNUMBER(B87), B87, 表_昆仑1到15段保底[[#Totals],[进化阶段]])</f>
        <v>29868.377741935481</v>
      </c>
      <c r="C88" s="35">
        <f>表_昆仑1到15段保底[[#This Row],[进化点券]]+IF(ISNUMBER(C87), C87, 0)</f>
        <v>123000</v>
      </c>
      <c r="D88" s="36">
        <f>SUMPRODUCT(表_昆仑1到15段保底[[#This Row],[昆仑珠]:[列12]],表_昆仑1到15段保底[[#Totals],[昆仑珠]:[列12]])+表_昆仑1到15段保底[[#This Row],[手续费(J)]]*折扣</f>
        <v>4375.7506451612899</v>
      </c>
      <c r="E88" s="36">
        <f>SUMPRODUCT(表_昆仑1到15段保底[[#This Row],[破天武魂神物]:[列16]],表_昆仑1到15段保底[[#Totals],[破天武魂神物]:[列16]])</f>
        <v>24000</v>
      </c>
      <c r="F88" s="40" t="s">
        <v>217</v>
      </c>
      <c r="G88" s="11">
        <v>175</v>
      </c>
      <c r="H88" s="11">
        <v>7</v>
      </c>
      <c r="I88" s="11"/>
      <c r="J88" s="11">
        <v>30</v>
      </c>
      <c r="K88" s="11">
        <v>40</v>
      </c>
      <c r="L88" s="11">
        <v>16</v>
      </c>
      <c r="M88" s="11">
        <v>4</v>
      </c>
      <c r="N88" s="11"/>
      <c r="O88" s="11"/>
      <c r="P88" s="11"/>
      <c r="Q88" s="11"/>
      <c r="R88" s="11"/>
      <c r="S88" s="30"/>
      <c r="T88" s="11">
        <v>16</v>
      </c>
      <c r="U88" s="11"/>
      <c r="V88" s="11"/>
      <c r="W88" s="11"/>
    </row>
    <row r="89" spans="1:23" ht="15" hidden="1" thickBot="1" x14ac:dyDescent="0.3">
      <c r="A89" t="s">
        <v>319</v>
      </c>
      <c r="B89" s="38">
        <f>表_昆仑1到15段保底[[#This Row],[进化金币(J)]]+IF(ISNUMBER(B88), B88, 表_昆仑1到15段保底[[#Totals],[进化阶段]])</f>
        <v>34440.878387096775</v>
      </c>
      <c r="C89" s="37">
        <f>表_昆仑1到15段保底[[#This Row],[进化点券]]+IF(ISNUMBER(C88), C88, 0)</f>
        <v>153000</v>
      </c>
      <c r="D89" s="38">
        <f>SUMPRODUCT(表_昆仑1到15段保底[[#This Row],[昆仑珠]:[列12]],表_昆仑1到15段保底[[#Totals],[昆仑珠]:[列12]])+表_昆仑1到15段保底[[#This Row],[手续费(J)]]*折扣</f>
        <v>4572.5006451612899</v>
      </c>
      <c r="E89" s="38">
        <f>SUMPRODUCT(表_昆仑1到15段保底[[#This Row],[破天武魂神物]:[列16]],表_昆仑1到15段保底[[#Totals],[破天武魂神物]:[列16]])</f>
        <v>30000</v>
      </c>
      <c r="F89" s="67" t="s">
        <v>218</v>
      </c>
      <c r="G89" s="25">
        <v>200</v>
      </c>
      <c r="H89" s="25">
        <v>10</v>
      </c>
      <c r="I89" s="25"/>
      <c r="J89" s="25">
        <v>35</v>
      </c>
      <c r="K89" s="25">
        <v>40</v>
      </c>
      <c r="L89" s="25">
        <v>16</v>
      </c>
      <c r="M89" s="25">
        <v>4</v>
      </c>
      <c r="N89" s="25"/>
      <c r="O89" s="25"/>
      <c r="P89" s="25"/>
      <c r="Q89" s="25"/>
      <c r="R89" s="25"/>
      <c r="S89" s="31"/>
      <c r="T89" s="25">
        <v>20</v>
      </c>
      <c r="U89" s="25"/>
      <c r="V89" s="25"/>
      <c r="W89" s="25"/>
    </row>
    <row r="90" spans="1:23" ht="15" hidden="1" thickTop="1" x14ac:dyDescent="0.25">
      <c r="B90" s="72">
        <f>SUBTOTAL(104,表_昆仑1到15段保底[累计金币(J)])</f>
        <v>0</v>
      </c>
      <c r="C90" s="72">
        <f>SUBTOTAL(104,表_昆仑1到15段保底[累计点券])</f>
        <v>0</v>
      </c>
      <c r="D90" s="73">
        <f>SUBTOTAL(109,表_昆仑1到15段保底[进化金币(J)])</f>
        <v>0</v>
      </c>
      <c r="E90" s="74">
        <f>SUBTOTAL(109,表_昆仑1到15段保底[进化点券])</f>
        <v>0</v>
      </c>
      <c r="F90" s="88" t="s">
        <v>227</v>
      </c>
      <c r="G90" s="76" t="s">
        <v>190</v>
      </c>
      <c r="H90" s="77">
        <f xml:space="preserve"> _xlfn.IFNA(VLOOKUP(表_昆仑1到15段保底[[#Headers],[昆仑珠]],金价一览,2,0), 0)</f>
        <v>26</v>
      </c>
      <c r="I90" s="77">
        <f xml:space="preserve"> _xlfn.IFNA(VLOOKUP(表_昆仑1到15段保底[[#Headers],[太阳珠]],金价一览,2,0), 0)</f>
        <v>1.5</v>
      </c>
      <c r="J90" s="77">
        <f xml:space="preserve"> _xlfn.IFNA(VLOOKUP(表_昆仑1到15段保底[[#Headers],[天元结晶]],金价一览,2,0), 0)</f>
        <v>20</v>
      </c>
      <c r="K90" s="77">
        <f xml:space="preserve"> _xlfn.IFNA(VLOOKUP(表_昆仑1到15段保底[[#Headers],[月石]],金价一览,2,0), 0)</f>
        <v>1.35</v>
      </c>
      <c r="L90" s="77">
        <f xml:space="preserve"> _xlfn.IFNA(VLOOKUP(表_昆仑1到15段保底[[#Headers],[高级进化石]],金价一览,2,0), 0)</f>
        <v>187.28129032258065</v>
      </c>
      <c r="M90" s="77">
        <f xml:space="preserve"> _xlfn.IFNA(VLOOKUP(表_昆仑1到15段保底[[#Headers],[黑风魂]],金价一览,2,0), 0)</f>
        <v>103</v>
      </c>
      <c r="N90" s="77">
        <f xml:space="preserve"> _xlfn.IFNA(VLOOKUP(表_昆仑1到15段保底[[#Headers],[列7]],金价一览,2,0), 0)</f>
        <v>0</v>
      </c>
      <c r="O90" s="77">
        <f xml:space="preserve"> _xlfn.IFNA(VLOOKUP(表_昆仑1到15段保底[[#Headers],[列8]],金价一览,2,0), 0)</f>
        <v>0</v>
      </c>
      <c r="P90" s="77">
        <f xml:space="preserve"> _xlfn.IFNA(VLOOKUP(表_昆仑1到15段保底[[#Headers],[列9]],金价一览,2,0), 0)</f>
        <v>0</v>
      </c>
      <c r="Q90" s="77">
        <f xml:space="preserve"> _xlfn.IFNA(VLOOKUP(表_昆仑1到15段保底[[#Headers],[列10]],金价一览,2,0), 0)</f>
        <v>0</v>
      </c>
      <c r="R90" s="77">
        <f xml:space="preserve"> _xlfn.IFNA(VLOOKUP(表_昆仑1到15段保底[[#Headers],[列11]],金价一览,2,0), 0)</f>
        <v>0</v>
      </c>
      <c r="S90" s="77">
        <f xml:space="preserve"> _xlfn.IFNA(VLOOKUP(表_昆仑1到15段保底[[#Headers],[列12]],金价一览,2,0), 0)</f>
        <v>0</v>
      </c>
      <c r="T90" s="78">
        <f>_xlfn.IFNA(VLOOKUP(表_昆仑1到15段保底[[#Headers],[破天武魂神物]],点券一览,2,0),0)</f>
        <v>1500</v>
      </c>
      <c r="U90" s="78">
        <f>_xlfn.IFNA(VLOOKUP(表_昆仑1到15段保底[[#Headers],[列14]],点券一览,2,0),0)</f>
        <v>0</v>
      </c>
      <c r="V90" s="78">
        <f>_xlfn.IFNA(VLOOKUP(表_昆仑1到15段保底[[#Headers],[列15]],点券一览,2,0),0)</f>
        <v>0</v>
      </c>
      <c r="W90" s="78">
        <f>_xlfn.IFNA(VLOOKUP(表_昆仑1到15段保底[[#Headers],[列16]],点券一览,2,0),0)</f>
        <v>0</v>
      </c>
    </row>
    <row r="91" spans="1:23" ht="14.4" hidden="1" customHeight="1" x14ac:dyDescent="0.25">
      <c r="B91" s="182" t="s">
        <v>221</v>
      </c>
      <c r="C91" s="183"/>
      <c r="D91" s="183"/>
      <c r="E91" s="183"/>
      <c r="F91" s="184"/>
      <c r="G91" s="79" t="s">
        <v>224</v>
      </c>
      <c r="H91" s="52">
        <f>SUM(表_昆仑1到15段保底[[#Data],[昆仑珠]])</f>
        <v>80</v>
      </c>
      <c r="I91" s="52">
        <f>SUM(表_昆仑1到15段保底[[#Data],[太阳珠]])</f>
        <v>96</v>
      </c>
      <c r="J91" s="52">
        <f>SUM(表_昆仑1到15段保底[[#Data],[天元结晶]])</f>
        <v>465</v>
      </c>
      <c r="K91" s="52">
        <f>SUM(表_昆仑1到15段保底[[#Data],[月石]])</f>
        <v>510</v>
      </c>
      <c r="L91" s="52">
        <f>SUM(表_昆仑1到15段保底[[#Data],[高级进化石]])</f>
        <v>84</v>
      </c>
      <c r="M91" s="52">
        <f>SUM(表_昆仑1到15段保底[[#Data],[黑风魂]])</f>
        <v>26</v>
      </c>
      <c r="N91" s="52">
        <f>SUM(表_昆仑1到15段保底[[#Data],[列7]])</f>
        <v>0</v>
      </c>
      <c r="O91" s="52">
        <f>SUM(表_昆仑1到15段保底[[#Data],[列8]])</f>
        <v>0</v>
      </c>
      <c r="P91" s="52">
        <f>SUM(表_昆仑1到15段保底[[#Data],[列9]])</f>
        <v>0</v>
      </c>
      <c r="Q91" s="52">
        <f>SUM(表_昆仑1到15段保底[[#Data],[列10]])</f>
        <v>0</v>
      </c>
      <c r="R91" s="52">
        <f>SUM(表_昆仑1到15段保底[[#Data],[列11]])</f>
        <v>0</v>
      </c>
      <c r="S91" s="52">
        <f>SUM(表_昆仑1到15段保底[[#Data],[列12]])</f>
        <v>0</v>
      </c>
      <c r="T91" s="52">
        <f>SUM(表_昆仑1到15段保底[[#Data],[破天武魂神物]])</f>
        <v>102</v>
      </c>
      <c r="U91" s="52">
        <f>SUM(表_昆仑1到15段保底[[#Data],[列14]])</f>
        <v>0</v>
      </c>
      <c r="V91" s="52">
        <f>SUM(表_昆仑1到15段保底[[#Data],[列15]])</f>
        <v>0</v>
      </c>
      <c r="W91" s="52">
        <f>SUM(表_昆仑1到15段保底[[#Data],[列16]])</f>
        <v>0</v>
      </c>
    </row>
    <row r="92" spans="1:23" ht="14.4" hidden="1" customHeight="1" x14ac:dyDescent="0.25">
      <c r="B92" s="185"/>
      <c r="C92" s="186"/>
      <c r="D92" s="186"/>
      <c r="E92" s="186"/>
      <c r="F92" s="187"/>
      <c r="G92" s="80" t="s">
        <v>223</v>
      </c>
      <c r="H92" s="52">
        <f>H91*表_昆仑1到15段保底[[#Totals],[昆仑珠]]</f>
        <v>2080</v>
      </c>
      <c r="I92" s="52">
        <f>I91*表_昆仑1到15段保底[[#Totals],[太阳珠]]</f>
        <v>144</v>
      </c>
      <c r="J92" s="52">
        <f>J91*表_昆仑1到15段保底[[#Totals],[天元结晶]]</f>
        <v>9300</v>
      </c>
      <c r="K92" s="52">
        <f>K91*表_昆仑1到15段保底[[#Totals],[月石]]</f>
        <v>688.5</v>
      </c>
      <c r="L92" s="52">
        <f>L91*表_昆仑1到15段保底[[#Totals],[高级进化石]]</f>
        <v>15731.628387096775</v>
      </c>
      <c r="M92" s="52">
        <f>M91*表_昆仑1到15段保底[[#Totals],[黑风魂]]</f>
        <v>2678</v>
      </c>
      <c r="N92" s="52">
        <f>N91*表_昆仑1到15段保底[[#Totals],[列7]]</f>
        <v>0</v>
      </c>
      <c r="O92" s="52">
        <f>O91*表_昆仑1到15段保底[[#Totals],[列8]]</f>
        <v>0</v>
      </c>
      <c r="P92" s="52">
        <f>P91*表_昆仑1到15段保底[[#Totals],[列9]]</f>
        <v>0</v>
      </c>
      <c r="Q92" s="52">
        <f>Q91*表_昆仑1到15段保底[[#Totals],[列10]]</f>
        <v>0</v>
      </c>
      <c r="R92" s="52">
        <f>R91*表_昆仑1到15段保底[[#Totals],[列11]]</f>
        <v>0</v>
      </c>
      <c r="S92" s="52">
        <f>S91*表_昆仑1到15段保底[[#Totals],[列12]]</f>
        <v>0</v>
      </c>
      <c r="T92" s="52">
        <f>T91*表_昆仑1到15段保底[[#Totals],[破天武魂神物]]</f>
        <v>153000</v>
      </c>
      <c r="U92" s="52">
        <f>U91*表_昆仑1到15段保底[[#Totals],[列14]]</f>
        <v>0</v>
      </c>
      <c r="V92" s="52">
        <f>V91*表_昆仑1到15段保底[[#Totals],[列15]]</f>
        <v>0</v>
      </c>
      <c r="W92" s="52">
        <f>W91*表_昆仑1到15段保底[[#Totals],[列16]]</f>
        <v>0</v>
      </c>
    </row>
    <row r="93" spans="1:23" hidden="1" x14ac:dyDescent="0.25"/>
    <row r="95" spans="1:23" x14ac:dyDescent="0.25">
      <c r="B95" s="28" t="s">
        <v>244</v>
      </c>
      <c r="H95" s="43" t="s">
        <v>212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42" t="s">
        <v>211</v>
      </c>
      <c r="U95" s="41"/>
      <c r="V95" s="41"/>
      <c r="W95" s="41"/>
    </row>
    <row r="96" spans="1:23" ht="34.200000000000003" customHeight="1" thickBot="1" x14ac:dyDescent="0.3">
      <c r="B96" s="57" t="s">
        <v>187</v>
      </c>
      <c r="C96" s="57" t="s">
        <v>186</v>
      </c>
      <c r="D96" s="58" t="s">
        <v>252</v>
      </c>
      <c r="E96" s="58" t="s">
        <v>254</v>
      </c>
      <c r="F96" s="58" t="s">
        <v>181</v>
      </c>
      <c r="G96" s="58" t="s">
        <v>185</v>
      </c>
      <c r="H96" s="59" t="s">
        <v>133</v>
      </c>
      <c r="I96" s="60" t="s">
        <v>122</v>
      </c>
      <c r="J96" s="60" t="s">
        <v>129</v>
      </c>
      <c r="K96" s="60" t="s">
        <v>3</v>
      </c>
      <c r="L96" s="60" t="s">
        <v>7</v>
      </c>
      <c r="M96" s="60" t="s">
        <v>200</v>
      </c>
      <c r="N96" s="60" t="s">
        <v>201</v>
      </c>
      <c r="O96" s="60" t="s">
        <v>202</v>
      </c>
      <c r="P96" s="60" t="s">
        <v>203</v>
      </c>
      <c r="Q96" s="60" t="s">
        <v>204</v>
      </c>
      <c r="R96" s="60" t="s">
        <v>205</v>
      </c>
      <c r="S96" s="61" t="s">
        <v>206</v>
      </c>
      <c r="T96" s="62" t="s">
        <v>151</v>
      </c>
      <c r="U96" s="62" t="s">
        <v>208</v>
      </c>
      <c r="V96" s="62" t="s">
        <v>209</v>
      </c>
      <c r="W96" s="62" t="s">
        <v>210</v>
      </c>
    </row>
    <row r="97" spans="2:23" ht="15" thickTop="1" x14ac:dyDescent="0.25">
      <c r="B97" s="55"/>
      <c r="C97" s="54"/>
      <c r="D97" s="55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352.83604838709675</v>
      </c>
      <c r="E97" s="55">
        <f>SUMPRODUCT(表_武器进化[[#This Row],[建元武魂神物]:[列16]],表_武器进化[[#Totals],[建元武魂神物]:[列16]])</f>
        <v>10500</v>
      </c>
      <c r="F97" s="56" t="s">
        <v>132</v>
      </c>
      <c r="G97" s="34">
        <v>35</v>
      </c>
      <c r="H97" s="34">
        <v>5</v>
      </c>
      <c r="I97" s="34">
        <v>3</v>
      </c>
      <c r="J97" s="34">
        <v>5</v>
      </c>
      <c r="K97" s="34">
        <v>5</v>
      </c>
      <c r="L97" s="34">
        <v>11</v>
      </c>
      <c r="M97" s="34"/>
      <c r="N97" s="34"/>
      <c r="O97" s="34"/>
      <c r="P97" s="34"/>
      <c r="Q97" s="34"/>
      <c r="R97" s="34"/>
      <c r="S97" s="32"/>
      <c r="T97" s="34">
        <v>7</v>
      </c>
      <c r="U97" s="34"/>
      <c r="V97" s="34"/>
      <c r="W97" s="34"/>
    </row>
    <row r="98" spans="2:23" x14ac:dyDescent="0.25">
      <c r="B98" s="36"/>
      <c r="C98" s="35"/>
      <c r="D98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261.64999999999998</v>
      </c>
      <c r="E98" s="36">
        <f>SUMPRODUCT(表_武器进化[[#This Row],[建元武魂神物]:[列16]],表_武器进化[[#Totals],[建元武魂神物]:[列16]])</f>
        <v>6000</v>
      </c>
      <c r="F98" s="39" t="s">
        <v>139</v>
      </c>
      <c r="G98" s="11">
        <v>35</v>
      </c>
      <c r="H98" s="11">
        <v>5</v>
      </c>
      <c r="I98" s="11"/>
      <c r="J98" s="11">
        <v>5</v>
      </c>
      <c r="K98" s="11">
        <v>4</v>
      </c>
      <c r="L98" s="11"/>
      <c r="M98" s="11"/>
      <c r="N98" s="11"/>
      <c r="O98" s="11"/>
      <c r="P98" s="11"/>
      <c r="Q98" s="11"/>
      <c r="R98" s="11"/>
      <c r="S98" s="30"/>
      <c r="T98" s="34">
        <v>4</v>
      </c>
      <c r="U98" s="34"/>
      <c r="V98" s="34"/>
      <c r="W98" s="34"/>
    </row>
    <row r="99" spans="2:23" x14ac:dyDescent="0.25">
      <c r="B99" s="36"/>
      <c r="C99" s="35"/>
      <c r="D99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175.22822580645163</v>
      </c>
      <c r="E99" s="36">
        <f>SUMPRODUCT(表_武器进化[[#This Row],[建元武魂神物]:[列16]],表_武器进化[[#Totals],[建元武魂神物]:[列16]])</f>
        <v>9000</v>
      </c>
      <c r="F99" s="39" t="s">
        <v>140</v>
      </c>
      <c r="G99" s="11">
        <v>35</v>
      </c>
      <c r="H99" s="11">
        <v>1</v>
      </c>
      <c r="I99" s="11"/>
      <c r="J99" s="11">
        <v>2</v>
      </c>
      <c r="K99" s="11">
        <v>4</v>
      </c>
      <c r="L99" s="11">
        <v>10</v>
      </c>
      <c r="M99" s="11"/>
      <c r="N99" s="11"/>
      <c r="O99" s="11"/>
      <c r="P99" s="11"/>
      <c r="Q99" s="11"/>
      <c r="R99" s="11"/>
      <c r="S99" s="30"/>
      <c r="T99" s="34">
        <v>6</v>
      </c>
      <c r="U99" s="34"/>
      <c r="V99" s="34"/>
      <c r="W99" s="34"/>
    </row>
    <row r="100" spans="2:23" x14ac:dyDescent="0.25">
      <c r="B100" s="36"/>
      <c r="C100" s="35"/>
      <c r="D100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0" s="36">
        <f>SUMPRODUCT(表_武器进化[[#This Row],[建元武魂神物]:[列16]],表_武器进化[[#Totals],[建元武魂神物]:[列16]])</f>
        <v>0</v>
      </c>
      <c r="F100" s="4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30"/>
      <c r="T100" s="11"/>
      <c r="U100" s="11"/>
      <c r="V100" s="11"/>
      <c r="W100" s="11"/>
    </row>
    <row r="101" spans="2:23" x14ac:dyDescent="0.25">
      <c r="B101" s="36"/>
      <c r="C101" s="35"/>
      <c r="D101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1" s="36">
        <f>SUMPRODUCT(表_武器进化[[#This Row],[建元武魂神物]:[列16]],表_武器进化[[#Totals],[建元武魂神物]:[列16]])</f>
        <v>0</v>
      </c>
      <c r="F101" s="4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30"/>
      <c r="T101" s="11"/>
      <c r="U101" s="11"/>
      <c r="V101" s="11"/>
      <c r="W101" s="11"/>
    </row>
    <row r="102" spans="2:23" x14ac:dyDescent="0.25">
      <c r="B102" s="36"/>
      <c r="C102" s="35"/>
      <c r="D102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2" s="36">
        <f>SUMPRODUCT(表_武器进化[[#This Row],[建元武魂神物]:[列16]],表_武器进化[[#Totals],[建元武魂神物]:[列16]])</f>
        <v>0</v>
      </c>
      <c r="F102" s="4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30"/>
      <c r="T102" s="11"/>
      <c r="U102" s="11"/>
      <c r="V102" s="11"/>
      <c r="W102" s="11"/>
    </row>
    <row r="103" spans="2:23" x14ac:dyDescent="0.25">
      <c r="B103" s="36"/>
      <c r="C103" s="35"/>
      <c r="D103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3" s="36">
        <f>SUMPRODUCT(表_武器进化[[#This Row],[建元武魂神物]:[列16]],表_武器进化[[#Totals],[建元武魂神物]:[列16]])</f>
        <v>0</v>
      </c>
      <c r="F103" s="4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30"/>
      <c r="T103" s="11"/>
      <c r="U103" s="11"/>
      <c r="V103" s="11"/>
      <c r="W103" s="11"/>
    </row>
    <row r="104" spans="2:23" x14ac:dyDescent="0.25">
      <c r="B104" s="36"/>
      <c r="C104" s="35"/>
      <c r="D104" s="36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4" s="36">
        <f>SUMPRODUCT(表_武器进化[[#This Row],[建元武魂神物]:[列16]],表_武器进化[[#Totals],[建元武魂神物]:[列16]])</f>
        <v>0</v>
      </c>
      <c r="F104" s="4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30"/>
      <c r="T104" s="11"/>
      <c r="U104" s="11"/>
      <c r="V104" s="11"/>
      <c r="W104" s="11"/>
    </row>
    <row r="105" spans="2:23" ht="15" thickBot="1" x14ac:dyDescent="0.3">
      <c r="B105" s="38"/>
      <c r="C105" s="37"/>
      <c r="D105" s="38">
        <f>SUMPRODUCT(表_武器进化[[#This Row],[昆仑珠]:[列12]],表_武器进化[[#Totals],[昆仑珠]:[列12]])+表_武器进化[[#This Row],[手续费(J)]]*折扣+IF(表_武器进化[[#This Row],[进化阶段]]="1段-&gt;2段",表_武器进化[[#Totals],[进化阶段]],0)</f>
        <v>0</v>
      </c>
      <c r="E105" s="38">
        <f>SUMPRODUCT(表_武器进化[[#This Row],[建元武魂神物]:[列16]],表_武器进化[[#Totals],[建元武魂神物]:[列16]])</f>
        <v>0</v>
      </c>
      <c r="F105" s="6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31"/>
      <c r="T105" s="25"/>
      <c r="U105" s="25"/>
      <c r="V105" s="25"/>
      <c r="W105" s="25"/>
    </row>
    <row r="106" spans="2:23" ht="15" thickTop="1" x14ac:dyDescent="0.25">
      <c r="B106" s="72">
        <f>SUBTOTAL(104,表_武器进化[累计金币(J)])</f>
        <v>0</v>
      </c>
      <c r="C106" s="72">
        <f>SUBTOTAL(104,表_武器进化[累计点券])</f>
        <v>0</v>
      </c>
      <c r="D106" s="73">
        <f>SUBTOTAL(109,表_武器进化[进化金币(J)])</f>
        <v>789.71427419354836</v>
      </c>
      <c r="E106" s="74">
        <f>SUBTOTAL(109,表_武器进化[进化点券])</f>
        <v>25500</v>
      </c>
      <c r="F106" s="97"/>
      <c r="G106" s="76" t="s">
        <v>190</v>
      </c>
      <c r="H106" s="77">
        <f xml:space="preserve"> _xlfn.IFNA(VLOOKUP(表_武器进化[[#Headers],[昆仑珠]],金价一览,2,0), 0)</f>
        <v>26</v>
      </c>
      <c r="I106" s="77">
        <f xml:space="preserve"> _xlfn.IFNA(VLOOKUP(表_武器进化[[#Headers],[太阳珠]],金价一览,2,0), 0)</f>
        <v>1.5</v>
      </c>
      <c r="J106" s="77">
        <f xml:space="preserve"> _xlfn.IFNA(VLOOKUP(表_武器进化[[#Headers],[天元结晶]],金价一览,2,0), 0)</f>
        <v>20</v>
      </c>
      <c r="K106" s="77">
        <f xml:space="preserve"> _xlfn.IFNA(VLOOKUP(表_武器进化[[#Headers],[月石]],金价一览,2,0), 0)</f>
        <v>1.35</v>
      </c>
      <c r="L106" s="77">
        <f xml:space="preserve"> _xlfn.IFNA(VLOOKUP(表_武器进化[[#Headers],[进化石]],金价一览,2,0), 0)</f>
        <v>7.7578225806451613</v>
      </c>
      <c r="M106" s="77">
        <f xml:space="preserve"> _xlfn.IFNA(VLOOKUP(表_武器进化[[#Headers],[列6]],金价一览,2,0), 0)</f>
        <v>0</v>
      </c>
      <c r="N106" s="77">
        <f xml:space="preserve"> _xlfn.IFNA(VLOOKUP(表_武器进化[[#Headers],[列7]],金价一览,2,0), 0)</f>
        <v>0</v>
      </c>
      <c r="O106" s="77">
        <f xml:space="preserve"> _xlfn.IFNA(VLOOKUP(表_武器进化[[#Headers],[列8]],金价一览,2,0), 0)</f>
        <v>0</v>
      </c>
      <c r="P106" s="77">
        <f xml:space="preserve"> _xlfn.IFNA(VLOOKUP(表_武器进化[[#Headers],[列9]],金价一览,2,0), 0)</f>
        <v>0</v>
      </c>
      <c r="Q106" s="77">
        <f xml:space="preserve"> _xlfn.IFNA(VLOOKUP(表_武器进化[[#Headers],[列10]],金价一览,2,0), 0)</f>
        <v>0</v>
      </c>
      <c r="R106" s="77">
        <f xml:space="preserve"> _xlfn.IFNA(VLOOKUP(表_武器进化[[#Headers],[列11]],金价一览,2,0), 0)</f>
        <v>0</v>
      </c>
      <c r="S106" s="77">
        <f xml:space="preserve"> _xlfn.IFNA(VLOOKUP(表_武器进化[[#Headers],[列12]],金价一览,2,0), 0)</f>
        <v>0</v>
      </c>
      <c r="T106" s="78">
        <f>_xlfn.IFNA(VLOOKUP(表_武器进化[[#Headers],[建元武魂神物]],点券一览,2,0),0)</f>
        <v>1500</v>
      </c>
      <c r="U106" s="78">
        <f>_xlfn.IFNA(VLOOKUP(表_武器进化[[#Headers],[列14]],点券一览,2,0),0)</f>
        <v>0</v>
      </c>
      <c r="V106" s="78">
        <f>_xlfn.IFNA(VLOOKUP(表_武器进化[[#Headers],[列15]],点券一览,2,0),0)</f>
        <v>0</v>
      </c>
      <c r="W106" s="78">
        <f>_xlfn.IFNA(VLOOKUP(表_武器进化[[#Headers],[列16]],点券一览,2,0),0)</f>
        <v>0</v>
      </c>
    </row>
    <row r="107" spans="2:23" x14ac:dyDescent="0.25">
      <c r="B107" s="188" t="s">
        <v>221</v>
      </c>
      <c r="C107" s="188"/>
      <c r="D107" s="188"/>
      <c r="E107" s="188"/>
      <c r="F107" s="189"/>
      <c r="G107" s="79" t="s">
        <v>224</v>
      </c>
      <c r="H107" s="52">
        <f>SUM(表_武器进化[[#Data],[昆仑珠]])</f>
        <v>11</v>
      </c>
      <c r="I107" s="52">
        <f>SUM(表_武器进化[[#Data],[太阳珠]])</f>
        <v>3</v>
      </c>
      <c r="J107" s="52">
        <f>SUM(表_武器进化[[#Data],[天元结晶]])</f>
        <v>12</v>
      </c>
      <c r="K107" s="52">
        <f>SUM(表_武器进化[[#Data],[月石]])</f>
        <v>13</v>
      </c>
      <c r="L107" s="52">
        <f>SUM(表_武器进化[[#Data],[进化石]])</f>
        <v>21</v>
      </c>
      <c r="M107" s="52">
        <f>SUM(表_武器进化[[#Data],[列6]])</f>
        <v>0</v>
      </c>
      <c r="N107" s="52">
        <f>SUM(表_武器进化[[#Data],[列7]])</f>
        <v>0</v>
      </c>
      <c r="O107" s="52">
        <f>SUM(表_武器进化[[#Data],[列8]])</f>
        <v>0</v>
      </c>
      <c r="P107" s="52">
        <f>SUM(表_武器进化[[#Data],[列9]])</f>
        <v>0</v>
      </c>
      <c r="Q107" s="52">
        <f>SUM(表_武器进化[[#Data],[列10]])</f>
        <v>0</v>
      </c>
      <c r="R107" s="52">
        <f>SUM(表_武器进化[[#Data],[列11]])</f>
        <v>0</v>
      </c>
      <c r="S107" s="52">
        <f>SUM(表_武器进化[[#Data],[列12]])</f>
        <v>0</v>
      </c>
      <c r="T107" s="52">
        <f>SUM(表_武器进化[[#Data],[建元武魂神物]])</f>
        <v>17</v>
      </c>
      <c r="U107" s="52">
        <f>SUM(表_武器进化[[#Data],[列14]])</f>
        <v>0</v>
      </c>
      <c r="V107" s="52">
        <f>SUM(表_武器进化[[#Data],[列15]])</f>
        <v>0</v>
      </c>
      <c r="W107" s="52">
        <f>SUM(表_武器进化[[#Data],[列16]])</f>
        <v>0</v>
      </c>
    </row>
    <row r="108" spans="2:23" x14ac:dyDescent="0.25">
      <c r="B108" s="188"/>
      <c r="C108" s="188"/>
      <c r="D108" s="188"/>
      <c r="E108" s="188"/>
      <c r="F108" s="189"/>
      <c r="G108" s="80" t="s">
        <v>223</v>
      </c>
      <c r="H108" s="52">
        <f>H107*表_武器进化[[#Totals],[昆仑珠]]</f>
        <v>286</v>
      </c>
      <c r="I108" s="52">
        <f>I107*表_武器进化[[#Totals],[太阳珠]]</f>
        <v>4.5</v>
      </c>
      <c r="J108" s="52">
        <f>J107*表_武器进化[[#Totals],[天元结晶]]</f>
        <v>240</v>
      </c>
      <c r="K108" s="52">
        <f>K107*表_武器进化[[#Totals],[月石]]</f>
        <v>17.55</v>
      </c>
      <c r="L108" s="52">
        <f>L107*表_武器进化[[#Totals],[进化石]]</f>
        <v>162.91427419354838</v>
      </c>
      <c r="M108" s="52">
        <f>M107*表_武器进化[[#Totals],[列6]]</f>
        <v>0</v>
      </c>
      <c r="N108" s="52">
        <f>N107*表_武器进化[[#Totals],[列7]]</f>
        <v>0</v>
      </c>
      <c r="O108" s="52">
        <f>O107*表_武器进化[[#Totals],[列8]]</f>
        <v>0</v>
      </c>
      <c r="P108" s="52">
        <f>P107*表_武器进化[[#Totals],[列9]]</f>
        <v>0</v>
      </c>
      <c r="Q108" s="52">
        <f>Q107*表_武器进化[[#Totals],[列10]]</f>
        <v>0</v>
      </c>
      <c r="R108" s="52">
        <f>R107*表_武器进化[[#Totals],[列11]]</f>
        <v>0</v>
      </c>
      <c r="S108" s="52">
        <f>S107*表_武器进化[[#Totals],[列12]]</f>
        <v>0</v>
      </c>
      <c r="T108" s="52">
        <f>T107*表_武器进化[[#Totals],[建元武魂神物]]</f>
        <v>25500</v>
      </c>
      <c r="U108" s="52">
        <f>U107*表_武器进化[[#Totals],[列14]]</f>
        <v>0</v>
      </c>
      <c r="V108" s="52">
        <f>V107*表_武器进化[[#Totals],[列15]]</f>
        <v>0</v>
      </c>
      <c r="W108" s="52">
        <f>W107*表_武器进化[[#Totals],[列16]]</f>
        <v>0</v>
      </c>
    </row>
  </sheetData>
  <mergeCells count="7">
    <mergeCell ref="B91:F92"/>
    <mergeCell ref="B107:F108"/>
    <mergeCell ref="B19:F20"/>
    <mergeCell ref="B39:F40"/>
    <mergeCell ref="B49:F50"/>
    <mergeCell ref="B29:F30"/>
    <mergeCell ref="B70:F71"/>
  </mergeCells>
  <phoneticPr fontId="10" type="noConversion"/>
  <conditionalFormatting sqref="H3:S3">
    <cfRule type="containsText" dxfId="1188" priority="14" operator="containsText" text="列">
      <formula>NOT(ISERROR(SEARCH("列",H3)))</formula>
    </cfRule>
  </conditionalFormatting>
  <conditionalFormatting sqref="T3:W3">
    <cfRule type="containsText" dxfId="1187" priority="13" operator="containsText" text="列">
      <formula>NOT(ISERROR(SEARCH("列",T3)))</formula>
    </cfRule>
  </conditionalFormatting>
  <conditionalFormatting sqref="H34:S34">
    <cfRule type="containsText" dxfId="1186" priority="12" operator="containsText" text="列">
      <formula>NOT(ISERROR(SEARCH("列",H34)))</formula>
    </cfRule>
  </conditionalFormatting>
  <conditionalFormatting sqref="T34:W34">
    <cfRule type="containsText" dxfId="1185" priority="11" operator="containsText" text="列">
      <formula>NOT(ISERROR(SEARCH("列",T34)))</formula>
    </cfRule>
  </conditionalFormatting>
  <conditionalFormatting sqref="H45:S45">
    <cfRule type="containsText" dxfId="1184" priority="10" operator="containsText" text="列">
      <formula>NOT(ISERROR(SEARCH("列",H45)))</formula>
    </cfRule>
  </conditionalFormatting>
  <conditionalFormatting sqref="T45:W45">
    <cfRule type="containsText" dxfId="1183" priority="9" operator="containsText" text="列">
      <formula>NOT(ISERROR(SEARCH("列",T45)))</formula>
    </cfRule>
  </conditionalFormatting>
  <conditionalFormatting sqref="H24:S24">
    <cfRule type="containsText" dxfId="1182" priority="8" operator="containsText" text="列">
      <formula>NOT(ISERROR(SEARCH("列",H24)))</formula>
    </cfRule>
  </conditionalFormatting>
  <conditionalFormatting sqref="T24:W24">
    <cfRule type="containsText" dxfId="1181" priority="7" operator="containsText" text="列">
      <formula>NOT(ISERROR(SEARCH("列",T24)))</formula>
    </cfRule>
  </conditionalFormatting>
  <conditionalFormatting sqref="H54:S54">
    <cfRule type="containsText" dxfId="1180" priority="6" operator="containsText" text="列">
      <formula>NOT(ISERROR(SEARCH("列",H54)))</formula>
    </cfRule>
  </conditionalFormatting>
  <conditionalFormatting sqref="T54:W54">
    <cfRule type="containsText" dxfId="1179" priority="5" operator="containsText" text="列">
      <formula>NOT(ISERROR(SEARCH("列",T54)))</formula>
    </cfRule>
  </conditionalFormatting>
  <conditionalFormatting sqref="H75:S75">
    <cfRule type="containsText" dxfId="1178" priority="4" operator="containsText" text="列">
      <formula>NOT(ISERROR(SEARCH("列",H75)))</formula>
    </cfRule>
  </conditionalFormatting>
  <conditionalFormatting sqref="T75:W75">
    <cfRule type="containsText" dxfId="1177" priority="3" operator="containsText" text="列">
      <formula>NOT(ISERROR(SEARCH("列",T75)))</formula>
    </cfRule>
  </conditionalFormatting>
  <conditionalFormatting sqref="H96:S96">
    <cfRule type="containsText" dxfId="1176" priority="2" operator="containsText" text="列">
      <formula>NOT(ISERROR(SEARCH("列",H96)))</formula>
    </cfRule>
  </conditionalFormatting>
  <conditionalFormatting sqref="T96:W96">
    <cfRule type="containsText" dxfId="1175" priority="1" operator="containsText" text="列">
      <formula>NOT(ISERROR(SEARCH("列",T96)))</formula>
    </cfRule>
  </conditionalFormatting>
  <dataValidations count="2">
    <dataValidation type="list" allowBlank="1" showInputMessage="1" showErrorMessage="1" error="不存在的材料名" sqref="H3:S3 H34:S34 H45:S45 H24:S24 H54:S54 H75:S75 H96:S96">
      <formula1>材料名</formula1>
    </dataValidation>
    <dataValidation type="list" allowBlank="1" showInputMessage="1" showErrorMessage="1" sqref="T3:W3 T34:W34 T45:W45 T24:W24 T54:W54 T75:W75 T96:W96">
      <formula1>神物名</formula1>
    </dataValidation>
  </dataValidations>
  <pageMargins left="0.7" right="0.7" top="0.75" bottom="0.75" header="0.3" footer="0.3"/>
  <pageSetup paperSize="9" orientation="portrait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159"/>
  <sheetViews>
    <sheetView topLeftCell="A29" zoomScale="85" zoomScaleNormal="85" workbookViewId="0">
      <selection activeCell="L13" sqref="L13:L17"/>
    </sheetView>
  </sheetViews>
  <sheetFormatPr defaultRowHeight="14.4" outlineLevelRow="1" x14ac:dyDescent="0.25"/>
  <cols>
    <col min="3" max="3" width="10.6640625" customWidth="1"/>
    <col min="5" max="5" width="10.21875" customWidth="1"/>
    <col min="6" max="6" width="20.44140625" customWidth="1"/>
    <col min="7" max="7" width="10.88671875" customWidth="1"/>
  </cols>
  <sheetData>
    <row r="2" spans="1:23" x14ac:dyDescent="0.25">
      <c r="B2" s="28" t="s">
        <v>353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98" t="s">
        <v>253</v>
      </c>
      <c r="E3" s="98" t="s">
        <v>255</v>
      </c>
      <c r="F3" s="58" t="s">
        <v>181</v>
      </c>
      <c r="G3" s="58" t="s">
        <v>185</v>
      </c>
      <c r="H3" s="59" t="s">
        <v>351</v>
      </c>
      <c r="I3" s="60" t="s">
        <v>4</v>
      </c>
      <c r="J3" s="60" t="s">
        <v>3</v>
      </c>
      <c r="K3" s="60" t="s">
        <v>2</v>
      </c>
      <c r="L3" s="60" t="s">
        <v>0</v>
      </c>
      <c r="M3" s="60" t="s">
        <v>1</v>
      </c>
      <c r="N3" s="60" t="s">
        <v>201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6</v>
      </c>
      <c r="U3" s="62" t="s">
        <v>137</v>
      </c>
      <c r="V3" s="62" t="s">
        <v>209</v>
      </c>
      <c r="W3" s="62" t="s">
        <v>210</v>
      </c>
    </row>
    <row r="4" spans="1:23" ht="15" thickTop="1" x14ac:dyDescent="0.25">
      <c r="B4" s="55">
        <f>表_烛魔元气石必成[[#This Row],[进化金币(J)]]+IF(ISNUMBER(B3), B3, 表_烛魔元气石必成[[#Totals],[进化阶段]])</f>
        <v>0</v>
      </c>
      <c r="C4" s="54">
        <f>表_烛魔元气石必成[[#This Row],[进化点券]]+IF(ISNUMBER(C3), C3, 0)</f>
        <v>0</v>
      </c>
      <c r="D4" s="55">
        <f>IF(A4="○",SUMPRODUCT(表_烛魔元气石必成[[#This Row],[元初碎片]:[列12]],表_烛魔元气石必成[[#Totals],[元初碎片]:[列12]])+表_烛魔元气石必成[[#This Row],[手续费(J)]]*折扣,0)</f>
        <v>0</v>
      </c>
      <c r="E4" s="55">
        <f>IF(A4="○",SUMPRODUCT(表_烛魔元气石必成[[#This Row],[高级武魂神物]:[列16]],表_烛魔元气石必成[[#Totals],[高级武魂神物]:[列16]]),0)</f>
        <v>0</v>
      </c>
      <c r="F4" s="56" t="s">
        <v>192</v>
      </c>
      <c r="G4" s="34">
        <v>10</v>
      </c>
      <c r="H4" s="34">
        <v>4</v>
      </c>
      <c r="I4" s="34">
        <v>5</v>
      </c>
      <c r="J4" s="34">
        <v>16</v>
      </c>
      <c r="K4" s="34">
        <v>48</v>
      </c>
      <c r="L4" s="34">
        <v>6</v>
      </c>
      <c r="M4" s="34">
        <v>18</v>
      </c>
      <c r="N4" s="34"/>
      <c r="O4" s="34"/>
      <c r="P4" s="34"/>
      <c r="Q4" s="34"/>
      <c r="R4" s="34"/>
      <c r="S4" s="32"/>
      <c r="T4" s="34">
        <v>4</v>
      </c>
      <c r="U4" s="34"/>
      <c r="V4" s="34"/>
      <c r="W4" s="34"/>
    </row>
    <row r="5" spans="1:23" x14ac:dyDescent="0.25">
      <c r="B5" s="36">
        <f>表_烛魔元气石必成[[#This Row],[进化金币(J)]]+IF(ISNUMBER(B4), B4, 表_烛魔元气石必成[[#Totals],[进化阶段]])</f>
        <v>0</v>
      </c>
      <c r="C5" s="35">
        <f>表_烛魔元气石必成[[#This Row],[进化点券]]+IF(ISNUMBER(C4), C4, 0)</f>
        <v>0</v>
      </c>
      <c r="D5" s="36">
        <f>IF(A5="○",SUMPRODUCT(表_烛魔元气石必成[[#This Row],[元初碎片]:[列12]],表_烛魔元气石必成[[#Totals],[元初碎片]:[列12]])+表_烛魔元气石必成[[#This Row],[手续费(J)]]*折扣,0)</f>
        <v>0</v>
      </c>
      <c r="E5" s="36">
        <f>IF(A5="○",SUMPRODUCT(表_烛魔元气石必成[[#This Row],[高级武魂神物]:[列16]],表_烛魔元气石必成[[#Totals],[高级武魂神物]:[列16]]),0)</f>
        <v>0</v>
      </c>
      <c r="F5" s="39" t="s">
        <v>193</v>
      </c>
      <c r="G5" s="11">
        <v>13</v>
      </c>
      <c r="H5" s="11">
        <v>4</v>
      </c>
      <c r="I5" s="11">
        <v>6</v>
      </c>
      <c r="J5" s="11">
        <v>19</v>
      </c>
      <c r="K5" s="11">
        <v>57</v>
      </c>
      <c r="L5" s="11">
        <v>7</v>
      </c>
      <c r="M5" s="11">
        <v>21</v>
      </c>
      <c r="N5" s="11"/>
      <c r="O5" s="11"/>
      <c r="P5" s="11"/>
      <c r="Q5" s="11"/>
      <c r="R5" s="11"/>
      <c r="S5" s="30"/>
      <c r="T5" s="34">
        <v>5</v>
      </c>
      <c r="U5" s="34"/>
      <c r="V5" s="34"/>
      <c r="W5" s="34"/>
    </row>
    <row r="6" spans="1:23" x14ac:dyDescent="0.25">
      <c r="B6" s="36">
        <f>表_烛魔元气石必成[[#This Row],[进化金币(J)]]+IF(ISNUMBER(B5), B5, 表_烛魔元气石必成[[#Totals],[进化阶段]])</f>
        <v>0</v>
      </c>
      <c r="C6" s="35">
        <f>表_烛魔元气石必成[[#This Row],[进化点券]]+IF(ISNUMBER(C5), C5, 0)</f>
        <v>0</v>
      </c>
      <c r="D6" s="36">
        <f>IF(A6="○",SUMPRODUCT(表_烛魔元气石必成[[#This Row],[元初碎片]:[列12]],表_烛魔元气石必成[[#Totals],[元初碎片]:[列12]])+表_烛魔元气石必成[[#This Row],[手续费(J)]]*折扣,0)</f>
        <v>0</v>
      </c>
      <c r="E6" s="36">
        <f>IF(A6="○",SUMPRODUCT(表_烛魔元气石必成[[#This Row],[高级武魂神物]:[列16]],表_烛魔元气石必成[[#Totals],[高级武魂神物]:[列16]]),0)</f>
        <v>0</v>
      </c>
      <c r="F6" s="39" t="s">
        <v>194</v>
      </c>
      <c r="G6" s="11">
        <v>15</v>
      </c>
      <c r="H6" s="11">
        <v>4</v>
      </c>
      <c r="I6" s="11">
        <v>8</v>
      </c>
      <c r="J6" s="11">
        <v>22</v>
      </c>
      <c r="K6" s="11">
        <v>66</v>
      </c>
      <c r="L6" s="11">
        <v>9</v>
      </c>
      <c r="M6" s="11">
        <v>27</v>
      </c>
      <c r="N6" s="11"/>
      <c r="O6" s="11"/>
      <c r="P6" s="11"/>
      <c r="Q6" s="11"/>
      <c r="R6" s="11"/>
      <c r="S6" s="30"/>
      <c r="T6" s="34">
        <v>6</v>
      </c>
      <c r="U6" s="34"/>
      <c r="V6" s="34"/>
      <c r="W6" s="34"/>
    </row>
    <row r="7" spans="1:23" x14ac:dyDescent="0.25">
      <c r="B7" s="36">
        <f>表_烛魔元气石必成[[#This Row],[进化金币(J)]]+IF(ISNUMBER(B6), B6, 表_烛魔元气石必成[[#Totals],[进化阶段]])</f>
        <v>0</v>
      </c>
      <c r="C7" s="35">
        <f>表_烛魔元气石必成[[#This Row],[进化点券]]+IF(ISNUMBER(C6), C6, 0)</f>
        <v>0</v>
      </c>
      <c r="D7" s="36">
        <f>IF(A7="○",SUMPRODUCT(表_烛魔元气石必成[[#This Row],[元初碎片]:[列12]],表_烛魔元气石必成[[#Totals],[元初碎片]:[列12]])+表_烛魔元气石必成[[#This Row],[手续费(J)]]*折扣,0)</f>
        <v>0</v>
      </c>
      <c r="E7" s="36">
        <f>IF(A7="○",SUMPRODUCT(表_烛魔元气石必成[[#This Row],[高级武魂神物]:[列16]],表_烛魔元气石必成[[#Totals],[高级武魂神物]:[列16]]),0)</f>
        <v>0</v>
      </c>
      <c r="F7" s="39" t="s">
        <v>195</v>
      </c>
      <c r="G7" s="11">
        <v>18</v>
      </c>
      <c r="H7" s="11">
        <v>6</v>
      </c>
      <c r="I7" s="11">
        <v>10</v>
      </c>
      <c r="J7" s="11">
        <v>25</v>
      </c>
      <c r="K7" s="11">
        <v>75</v>
      </c>
      <c r="L7" s="11">
        <v>10</v>
      </c>
      <c r="M7" s="11">
        <v>30</v>
      </c>
      <c r="N7" s="11"/>
      <c r="O7" s="11"/>
      <c r="P7" s="11"/>
      <c r="Q7" s="11"/>
      <c r="R7" s="11"/>
      <c r="S7" s="30"/>
      <c r="T7" s="34">
        <v>7</v>
      </c>
      <c r="U7" s="34"/>
      <c r="V7" s="34"/>
      <c r="W7" s="34"/>
    </row>
    <row r="8" spans="1:23" x14ac:dyDescent="0.25">
      <c r="B8" s="36">
        <f>表_烛魔元气石必成[[#This Row],[进化金币(J)]]+IF(ISNUMBER(B7), B7, 表_烛魔元气石必成[[#Totals],[进化阶段]])</f>
        <v>0</v>
      </c>
      <c r="C8" s="35">
        <f>表_烛魔元气石必成[[#This Row],[进化点券]]+IF(ISNUMBER(C7), C7, 0)</f>
        <v>0</v>
      </c>
      <c r="D8" s="36">
        <f>IF(A8="○",SUMPRODUCT(表_烛魔元气石必成[[#This Row],[元初碎片]:[列12]],表_烛魔元气石必成[[#Totals],[元初碎片]:[列12]])+表_烛魔元气石必成[[#This Row],[手续费(J)]]*折扣,0)</f>
        <v>0</v>
      </c>
      <c r="E8" s="36">
        <f>IF(A8="○",SUMPRODUCT(表_烛魔元气石必成[[#This Row],[高级武魂神物]:[列16]],表_烛魔元气石必成[[#Totals],[高级武魂神物]:[列16]]),0)</f>
        <v>0</v>
      </c>
      <c r="F8" s="39" t="s">
        <v>196</v>
      </c>
      <c r="G8" s="11">
        <v>21</v>
      </c>
      <c r="H8" s="11">
        <v>6</v>
      </c>
      <c r="I8" s="11">
        <v>13</v>
      </c>
      <c r="J8" s="11">
        <v>29</v>
      </c>
      <c r="K8" s="11">
        <v>87</v>
      </c>
      <c r="L8" s="11">
        <v>12</v>
      </c>
      <c r="M8" s="11">
        <v>36</v>
      </c>
      <c r="N8" s="11"/>
      <c r="O8" s="11"/>
      <c r="P8" s="11"/>
      <c r="Q8" s="11"/>
      <c r="R8" s="11"/>
      <c r="S8" s="30"/>
      <c r="T8" s="11">
        <v>8</v>
      </c>
      <c r="U8" s="11"/>
      <c r="V8" s="11"/>
      <c r="W8" s="11"/>
    </row>
    <row r="9" spans="1:23" x14ac:dyDescent="0.25">
      <c r="B9" s="36">
        <f>表_烛魔元气石必成[[#This Row],[进化金币(J)]]+IF(ISNUMBER(B8), B8, 表_烛魔元气石必成[[#Totals],[进化阶段]])</f>
        <v>0</v>
      </c>
      <c r="C9" s="35">
        <f>表_烛魔元气石必成[[#This Row],[进化点券]]+IF(ISNUMBER(C8), C8, 0)</f>
        <v>0</v>
      </c>
      <c r="D9" s="38">
        <f>IF(A9="○",SUMPRODUCT(表_烛魔元气石必成[[#This Row],[元初碎片]:[列12]],表_烛魔元气石必成[[#Totals],[元初碎片]:[列12]])+表_烛魔元气石必成[[#This Row],[手续费(J)]]*折扣,0)</f>
        <v>0</v>
      </c>
      <c r="E9" s="38">
        <f>IF(A9="○",SUMPRODUCT(表_烛魔元气石必成[[#This Row],[高级武魂神物]:[列16]],表_烛魔元气石必成[[#Totals],[高级武魂神物]:[列16]]),0)</f>
        <v>0</v>
      </c>
      <c r="F9" s="39" t="s">
        <v>197</v>
      </c>
      <c r="G9" s="25">
        <v>25</v>
      </c>
      <c r="H9" s="25">
        <v>6</v>
      </c>
      <c r="I9" s="25">
        <v>16</v>
      </c>
      <c r="J9" s="25">
        <v>33</v>
      </c>
      <c r="K9" s="25">
        <v>99</v>
      </c>
      <c r="L9" s="25">
        <v>14</v>
      </c>
      <c r="M9" s="25">
        <v>42</v>
      </c>
      <c r="N9" s="25"/>
      <c r="O9" s="25"/>
      <c r="P9" s="25"/>
      <c r="Q9" s="25"/>
      <c r="R9" s="25"/>
      <c r="S9" s="31"/>
      <c r="T9" s="25">
        <v>11</v>
      </c>
      <c r="U9" s="25"/>
      <c r="V9" s="25"/>
      <c r="W9" s="25"/>
    </row>
    <row r="10" spans="1:23" x14ac:dyDescent="0.25">
      <c r="B10" s="36">
        <f>表_烛魔元气石必成[[#This Row],[进化金币(J)]]+IF(ISNUMBER(B9), B9, 表_烛魔元气石必成[[#Totals],[进化阶段]])</f>
        <v>0</v>
      </c>
      <c r="C10" s="35">
        <f>表_烛魔元气石必成[[#This Row],[进化点券]]+IF(ISNUMBER(C9), C9, 0)</f>
        <v>0</v>
      </c>
      <c r="D10" s="36">
        <f>IF(A10="○",SUMPRODUCT(表_烛魔元气石必成[[#This Row],[元初碎片]:[列12]],表_烛魔元气石必成[[#Totals],[元初碎片]:[列12]])+表_烛魔元气石必成[[#This Row],[手续费(J)]]*折扣,0)</f>
        <v>0</v>
      </c>
      <c r="E10" s="36">
        <f>IF(A10="○",SUMPRODUCT(表_烛魔元气石必成[[#This Row],[高级武魂神物]:[列16]],表_烛魔元气石必成[[#Totals],[高级武魂神物]:[列16]]),0)</f>
        <v>0</v>
      </c>
      <c r="F10" s="39" t="s">
        <v>198</v>
      </c>
      <c r="G10" s="11">
        <v>28</v>
      </c>
      <c r="H10" s="11">
        <v>8</v>
      </c>
      <c r="I10" s="11">
        <v>20</v>
      </c>
      <c r="J10" s="11">
        <v>37</v>
      </c>
      <c r="K10" s="11">
        <v>111</v>
      </c>
      <c r="L10" s="11">
        <v>16</v>
      </c>
      <c r="M10" s="11">
        <v>48</v>
      </c>
      <c r="N10" s="11"/>
      <c r="O10" s="11"/>
      <c r="P10" s="11"/>
      <c r="Q10" s="11"/>
      <c r="R10" s="11"/>
      <c r="S10" s="30"/>
      <c r="T10" s="11">
        <v>13</v>
      </c>
      <c r="U10" s="11"/>
      <c r="V10" s="11"/>
      <c r="W10" s="11"/>
    </row>
    <row r="11" spans="1:23" x14ac:dyDescent="0.25">
      <c r="B11" s="36">
        <f>表_烛魔元气石必成[[#This Row],[进化金币(J)]]+IF(ISNUMBER(B10), B10, 表_烛魔元气石必成[[#Totals],[进化阶段]])</f>
        <v>0</v>
      </c>
      <c r="C11" s="35">
        <f>表_烛魔元气石必成[[#This Row],[进化点券]]+IF(ISNUMBER(C10), C10, 0)</f>
        <v>0</v>
      </c>
      <c r="D11" s="36">
        <f>IF(A11="○",SUMPRODUCT(表_烛魔元气石必成[[#This Row],[元初碎片]:[列12]],表_烛魔元气石必成[[#Totals],[元初碎片]:[列12]])+表_烛魔元气石必成[[#This Row],[手续费(J)]]*折扣,0)</f>
        <v>0</v>
      </c>
      <c r="E11" s="36">
        <f>IF(A11="○",SUMPRODUCT(表_烛魔元气石必成[[#This Row],[高级武魂神物]:[列16]],表_烛魔元气石必成[[#Totals],[高级武魂神物]:[列16]]),0)</f>
        <v>0</v>
      </c>
      <c r="F11" s="40" t="s">
        <v>219</v>
      </c>
      <c r="G11" s="11"/>
      <c r="H11" s="11">
        <v>8</v>
      </c>
      <c r="I11" s="11">
        <v>26</v>
      </c>
      <c r="J11" s="11">
        <v>44</v>
      </c>
      <c r="K11" s="11">
        <v>132</v>
      </c>
      <c r="L11" s="11">
        <v>18</v>
      </c>
      <c r="M11" s="11">
        <v>54</v>
      </c>
      <c r="N11" s="11"/>
      <c r="O11" s="11"/>
      <c r="P11" s="11"/>
      <c r="Q11" s="11"/>
      <c r="R11" s="11"/>
      <c r="S11" s="30"/>
      <c r="T11" s="11"/>
      <c r="U11" s="11">
        <v>5</v>
      </c>
      <c r="V11" s="11"/>
      <c r="W11" s="11"/>
    </row>
    <row r="12" spans="1:23" x14ac:dyDescent="0.25">
      <c r="B12" s="36">
        <f>表_烛魔元气石必成[[#This Row],[进化金币(J)]]+IF(ISNUMBER(B11), B11, 表_烛魔元气石必成[[#Totals],[进化阶段]])</f>
        <v>0</v>
      </c>
      <c r="C12" s="35">
        <f>表_烛魔元气石必成[[#This Row],[进化点券]]+IF(ISNUMBER(C11), C11, 0)</f>
        <v>0</v>
      </c>
      <c r="D12" s="36">
        <f>IF(A12="○",SUMPRODUCT(表_烛魔元气石必成[[#This Row],[元初碎片]:[列12]],表_烛魔元气石必成[[#Totals],[元初碎片]:[列12]])+表_烛魔元气石必成[[#This Row],[手续费(J)]]*折扣,0)</f>
        <v>0</v>
      </c>
      <c r="E12" s="36">
        <f>IF(A12="○",SUMPRODUCT(表_烛魔元气石必成[[#This Row],[高级武魂神物]:[列16]],表_烛魔元气石必成[[#Totals],[高级武魂神物]:[列16]]),0)</f>
        <v>0</v>
      </c>
      <c r="F12" s="40" t="s">
        <v>213</v>
      </c>
      <c r="G12" s="11"/>
      <c r="H12" s="11">
        <v>9</v>
      </c>
      <c r="I12" s="11">
        <v>34</v>
      </c>
      <c r="J12" s="11">
        <v>53</v>
      </c>
      <c r="K12" s="11">
        <v>159</v>
      </c>
      <c r="L12" s="11">
        <v>22</v>
      </c>
      <c r="M12" s="11">
        <v>66</v>
      </c>
      <c r="N12" s="11"/>
      <c r="O12" s="11"/>
      <c r="P12" s="11"/>
      <c r="Q12" s="11"/>
      <c r="R12" s="11"/>
      <c r="S12" s="30"/>
      <c r="T12" s="11"/>
      <c r="U12" s="11">
        <v>6</v>
      </c>
      <c r="V12" s="11"/>
      <c r="W12" s="11"/>
    </row>
    <row r="13" spans="1:23" x14ac:dyDescent="0.25">
      <c r="A13" t="s">
        <v>318</v>
      </c>
      <c r="B13" s="36">
        <f>表_烛魔元气石必成[[#This Row],[进化金币(J)]]+IF(ISNUMBER(B12), B12, 表_烛魔元气石必成[[#Totals],[进化阶段]])</f>
        <v>489.53999999999996</v>
      </c>
      <c r="C13" s="35">
        <f>表_烛魔元气石必成[[#This Row],[进化点券]]+IF(ISNUMBER(C12), C12, 0)</f>
        <v>10500</v>
      </c>
      <c r="D13" s="36">
        <f>IF(A13="○",SUMPRODUCT(表_烛魔元气石必成[[#This Row],[元初碎片]:[列12]],表_烛魔元气石必成[[#Totals],[元初碎片]:[列12]])+表_烛魔元气石必成[[#This Row],[手续费(J)]]*折扣,0)</f>
        <v>489.53999999999996</v>
      </c>
      <c r="E13" s="36">
        <f>IF(A13="○",SUMPRODUCT(表_烛魔元气石必成[[#This Row],[高级武魂神物]:[列16]],表_烛魔元气石必成[[#Totals],[高级武魂神物]:[列16]]),0)</f>
        <v>10500</v>
      </c>
      <c r="F13" s="40" t="s">
        <v>214</v>
      </c>
      <c r="G13" s="11"/>
      <c r="H13" s="11">
        <v>11</v>
      </c>
      <c r="I13" s="11">
        <v>42</v>
      </c>
      <c r="J13" s="11">
        <v>63</v>
      </c>
      <c r="K13" s="11">
        <v>189</v>
      </c>
      <c r="L13" s="11">
        <v>27</v>
      </c>
      <c r="M13" s="11">
        <v>81</v>
      </c>
      <c r="N13" s="11"/>
      <c r="O13" s="11"/>
      <c r="P13" s="11"/>
      <c r="Q13" s="11"/>
      <c r="R13" s="11"/>
      <c r="S13" s="30"/>
      <c r="T13" s="11"/>
      <c r="U13" s="11">
        <v>7</v>
      </c>
      <c r="V13" s="11"/>
      <c r="W13" s="11"/>
    </row>
    <row r="14" spans="1:23" x14ac:dyDescent="0.25">
      <c r="A14" t="s">
        <v>318</v>
      </c>
      <c r="B14" s="36">
        <f>表_烛魔元气石必成[[#This Row],[进化金币(J)]]+IF(ISNUMBER(B13), B13, 表_烛魔元气石必成[[#Totals],[进化阶段]])</f>
        <v>1094.25</v>
      </c>
      <c r="C14" s="35">
        <f>表_烛魔元气石必成[[#This Row],[进化点券]]+IF(ISNUMBER(C13), C13, 0)</f>
        <v>22500</v>
      </c>
      <c r="D14" s="36">
        <f>IF(A14="○",SUMPRODUCT(表_烛魔元气石必成[[#This Row],[元初碎片]:[列12]],表_烛魔元气石必成[[#Totals],[元初碎片]:[列12]])+表_烛魔元气石必成[[#This Row],[手续费(J)]]*折扣,0)</f>
        <v>604.70999999999992</v>
      </c>
      <c r="E14" s="36">
        <f>IF(A14="○",SUMPRODUCT(表_烛魔元气石必成[[#This Row],[高级武魂神物]:[列16]],表_烛魔元气石必成[[#Totals],[高级武魂神物]:[列16]]),0)</f>
        <v>12000</v>
      </c>
      <c r="F14" s="40" t="s">
        <v>215</v>
      </c>
      <c r="G14" s="11"/>
      <c r="H14" s="11">
        <v>12</v>
      </c>
      <c r="I14" s="11">
        <v>53</v>
      </c>
      <c r="J14" s="11">
        <v>77</v>
      </c>
      <c r="K14" s="11">
        <v>231</v>
      </c>
      <c r="L14" s="11">
        <v>32</v>
      </c>
      <c r="M14" s="11">
        <v>96</v>
      </c>
      <c r="N14" s="11"/>
      <c r="O14" s="11"/>
      <c r="P14" s="11"/>
      <c r="Q14" s="11"/>
      <c r="R14" s="11"/>
      <c r="S14" s="30"/>
      <c r="T14" s="11"/>
      <c r="U14" s="11">
        <v>8</v>
      </c>
      <c r="V14" s="11"/>
      <c r="W14" s="11"/>
    </row>
    <row r="15" spans="1:23" x14ac:dyDescent="0.25">
      <c r="A15" t="s">
        <v>318</v>
      </c>
      <c r="B15" s="36">
        <f>表_烛魔元气石必成[[#This Row],[进化金币(J)]]+IF(ISNUMBER(B14), B14, 表_烛魔元气石必成[[#Totals],[进化阶段]])</f>
        <v>1828.52</v>
      </c>
      <c r="C15" s="35">
        <f>表_烛魔元气石必成[[#This Row],[进化点券]]+IF(ISNUMBER(C14), C14, 0)</f>
        <v>36000</v>
      </c>
      <c r="D15" s="36">
        <f>IF(A15="○",SUMPRODUCT(表_烛魔元气石必成[[#This Row],[元初碎片]:[列12]],表_烛魔元气石必成[[#Totals],[元初碎片]:[列12]])+表_烛魔元气石必成[[#This Row],[手续费(J)]]*折扣,0)</f>
        <v>734.27</v>
      </c>
      <c r="E15" s="36">
        <f>IF(A15="○",SUMPRODUCT(表_烛魔元气石必成[[#This Row],[高级武魂神物]:[列16]],表_烛魔元气石必成[[#Totals],[高级武魂神物]:[列16]]),0)</f>
        <v>13500</v>
      </c>
      <c r="F15" s="40" t="s">
        <v>216</v>
      </c>
      <c r="G15" s="11"/>
      <c r="H15" s="11">
        <v>13</v>
      </c>
      <c r="I15" s="11">
        <v>66</v>
      </c>
      <c r="J15" s="11">
        <v>89</v>
      </c>
      <c r="K15" s="11">
        <v>267</v>
      </c>
      <c r="L15" s="11">
        <v>38</v>
      </c>
      <c r="M15" s="11">
        <v>114</v>
      </c>
      <c r="N15" s="11"/>
      <c r="O15" s="11"/>
      <c r="P15" s="11"/>
      <c r="Q15" s="11"/>
      <c r="R15" s="11"/>
      <c r="S15" s="30"/>
      <c r="T15" s="11"/>
      <c r="U15" s="11">
        <v>9</v>
      </c>
      <c r="V15" s="11"/>
      <c r="W15" s="11"/>
    </row>
    <row r="16" spans="1:23" x14ac:dyDescent="0.25">
      <c r="A16" t="s">
        <v>318</v>
      </c>
      <c r="B16" s="36">
        <f>表_烛魔元气石必成[[#This Row],[进化金币(J)]]+IF(ISNUMBER(B15), B15, 表_烛魔元气石必成[[#Totals],[进化阶段]])</f>
        <v>2729.06</v>
      </c>
      <c r="C16" s="35">
        <f>表_烛魔元气石必成[[#This Row],[进化点券]]+IF(ISNUMBER(C15), C15, 0)</f>
        <v>51000</v>
      </c>
      <c r="D16" s="36">
        <f>IF(A16="○",SUMPRODUCT(表_烛魔元气石必成[[#This Row],[元初碎片]:[列12]],表_烛魔元气石必成[[#Totals],[元初碎片]:[列12]])+表_烛魔元气石必成[[#This Row],[手续费(J)]]*折扣,0)</f>
        <v>900.54</v>
      </c>
      <c r="E16" s="36">
        <f>IF(A16="○",SUMPRODUCT(表_烛魔元气石必成[[#This Row],[高级武魂神物]:[列16]],表_烛魔元气石必成[[#Totals],[高级武魂神物]:[列16]]),0)</f>
        <v>15000</v>
      </c>
      <c r="F16" s="40" t="s">
        <v>217</v>
      </c>
      <c r="G16" s="11"/>
      <c r="H16" s="11">
        <v>15</v>
      </c>
      <c r="I16" s="11">
        <v>83</v>
      </c>
      <c r="J16" s="11">
        <v>108</v>
      </c>
      <c r="K16" s="11">
        <v>324</v>
      </c>
      <c r="L16" s="11">
        <v>44</v>
      </c>
      <c r="M16" s="11">
        <v>132</v>
      </c>
      <c r="N16" s="11"/>
      <c r="O16" s="11"/>
      <c r="P16" s="11"/>
      <c r="Q16" s="11"/>
      <c r="R16" s="11"/>
      <c r="S16" s="30"/>
      <c r="T16" s="11"/>
      <c r="U16" s="11">
        <v>10</v>
      </c>
      <c r="V16" s="11"/>
      <c r="W16" s="11"/>
    </row>
    <row r="17" spans="1:23" ht="15" thickBot="1" x14ac:dyDescent="0.3">
      <c r="A17" t="s">
        <v>318</v>
      </c>
      <c r="B17" s="38">
        <f>表_烛魔元气石必成[[#This Row],[进化金币(J)]]+IF(ISNUMBER(B16), B16, 表_烛魔元气石必成[[#Totals],[进化阶段]])</f>
        <v>3847.59</v>
      </c>
      <c r="C17" s="37">
        <f>表_烛魔元气石必成[[#This Row],[进化点券]]+IF(ISNUMBER(C16), C16, 0)</f>
        <v>69000</v>
      </c>
      <c r="D17" s="38">
        <f>IF(A17="○",SUMPRODUCT(表_烛魔元气石必成[[#This Row],[元初碎片]:[列12]],表_烛魔元气石必成[[#Totals],[元初碎片]:[列12]])+表_烛魔元气石必成[[#This Row],[手续费(J)]]*折扣,0)</f>
        <v>1118.5300000000002</v>
      </c>
      <c r="E17" s="38">
        <f>IF(A17="○",SUMPRODUCT(表_烛魔元气石必成[[#This Row],[高级武魂神物]:[列16]],表_烛魔元气石必成[[#Totals],[高级武魂神物]:[列16]]),0)</f>
        <v>18000</v>
      </c>
      <c r="F17" s="67" t="s">
        <v>218</v>
      </c>
      <c r="G17" s="25"/>
      <c r="H17" s="25">
        <v>17</v>
      </c>
      <c r="I17" s="25">
        <v>108</v>
      </c>
      <c r="J17" s="25">
        <v>121</v>
      </c>
      <c r="K17" s="25">
        <v>363</v>
      </c>
      <c r="L17" s="25">
        <v>52</v>
      </c>
      <c r="M17" s="25">
        <v>156</v>
      </c>
      <c r="N17" s="25"/>
      <c r="O17" s="25"/>
      <c r="P17" s="25"/>
      <c r="Q17" s="25"/>
      <c r="R17" s="25"/>
      <c r="S17" s="31"/>
      <c r="T17" s="25"/>
      <c r="U17" s="25">
        <v>12</v>
      </c>
      <c r="V17" s="25"/>
      <c r="W17" s="25"/>
    </row>
    <row r="18" spans="1:23" ht="15" thickTop="1" x14ac:dyDescent="0.25">
      <c r="B18" s="72">
        <f>SUBTOTAL(104,表_烛魔元气石必成[累计金币(J)])</f>
        <v>3847.59</v>
      </c>
      <c r="C18" s="72">
        <f>SUBTOTAL(104,表_烛魔元气石必成[累计点券])</f>
        <v>69000</v>
      </c>
      <c r="D18" s="73">
        <f>SUBTOTAL(109,表_烛魔元气石必成[进化金币(J)])</f>
        <v>3847.59</v>
      </c>
      <c r="E18" s="74">
        <f>SUBTOTAL(109,表_烛魔元气石必成[进化点券])</f>
        <v>69000</v>
      </c>
      <c r="F18" s="88"/>
      <c r="G18" s="76" t="s">
        <v>190</v>
      </c>
      <c r="H18" s="77">
        <f xml:space="preserve"> _xlfn.IFNA(VLOOKUP(表_烛魔元气石必成[[#Headers],[元初碎片]],金价一览,2,0), 0)</f>
        <v>0</v>
      </c>
      <c r="I18" s="77">
        <f xml:space="preserve"> _xlfn.IFNA(VLOOKUP(表_烛魔元气石必成[[#Headers],[烛魔羽毛]],金价一览,2,0), 0)</f>
        <v>6.5</v>
      </c>
      <c r="J18" s="77">
        <f xml:space="preserve"> _xlfn.IFNA(VLOOKUP(表_烛魔元气石必成[[#Headers],[月石]],金价一览,2,0), 0)</f>
        <v>1.35</v>
      </c>
      <c r="K18" s="77">
        <f xml:space="preserve"> _xlfn.IFNA(VLOOKUP(表_烛魔元气石必成[[#Headers],[灵石]],金价一览,2,0), 0)</f>
        <v>0.06</v>
      </c>
      <c r="L18" s="77">
        <f xml:space="preserve"> _xlfn.IFNA(VLOOKUP(表_烛魔元气石必成[[#Headers],[仙丹]],金价一览,2,0), 0)</f>
        <v>4</v>
      </c>
      <c r="M18" s="77">
        <f xml:space="preserve"> _xlfn.IFNA(VLOOKUP(表_烛魔元气石必成[[#Headers],[灵丹]],金价一览,2,0), 0)</f>
        <v>0.15</v>
      </c>
      <c r="N18" s="77">
        <f xml:space="preserve"> _xlfn.IFNA(VLOOKUP(表_烛魔元气石必成[[#Headers],[列7]],金价一览,2,0), 0)</f>
        <v>0</v>
      </c>
      <c r="O18" s="77">
        <f xml:space="preserve"> _xlfn.IFNA(VLOOKUP(表_烛魔元气石必成[[#Headers],[列8]],金价一览,2,0), 0)</f>
        <v>0</v>
      </c>
      <c r="P18" s="77">
        <f xml:space="preserve"> _xlfn.IFNA(VLOOKUP(表_烛魔元气石必成[[#Headers],[列9]],金价一览,2,0), 0)</f>
        <v>0</v>
      </c>
      <c r="Q18" s="77">
        <f xml:space="preserve"> _xlfn.IFNA(VLOOKUP(表_烛魔元气石必成[[#Headers],[列10]],金价一览,2,0), 0)</f>
        <v>0</v>
      </c>
      <c r="R18" s="77">
        <f xml:space="preserve"> _xlfn.IFNA(VLOOKUP(表_烛魔元气石必成[[#Headers],[列11]],金价一览,2,0), 0)</f>
        <v>0</v>
      </c>
      <c r="S18" s="77">
        <f xml:space="preserve"> _xlfn.IFNA(VLOOKUP(表_烛魔元气石必成[[#Headers],[列12]],金价一览,2,0), 0)</f>
        <v>0</v>
      </c>
      <c r="T18" s="78">
        <f>_xlfn.IFNA(VLOOKUP(表_烛魔元气石必成[[#Headers],[高级武魂神物]],点券一览,2,0),0)</f>
        <v>500</v>
      </c>
      <c r="U18" s="78">
        <f>_xlfn.IFNA(VLOOKUP(表_烛魔元气石必成[[#Headers],[破天武魂神物]],点券一览,2,0),0)</f>
        <v>1500</v>
      </c>
      <c r="V18" s="78">
        <f>_xlfn.IFNA(VLOOKUP(表_烛魔元气石必成[[#Headers],[列15]],点券一览,2,0),0)</f>
        <v>0</v>
      </c>
      <c r="W18" s="78">
        <f>_xlfn.IFNA(VLOOKUP(表_烛魔元气石必成[[#Headers],[列16]],点券一览,2,0),0)</f>
        <v>0</v>
      </c>
    </row>
    <row r="19" spans="1:23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SUM(表_烛魔元气石必成[[#Data],[元初碎片]])</f>
        <v>123</v>
      </c>
      <c r="I19" s="52">
        <f>SUM(表_烛魔元气石必成[[#Data],[烛魔羽毛]])</f>
        <v>490</v>
      </c>
      <c r="J19" s="52">
        <f>SUM(表_烛魔元气石必成[[#Data],[月石]])</f>
        <v>736</v>
      </c>
      <c r="K19" s="52">
        <f>SUM(表_烛魔元气石必成[[#Data],[灵石]])</f>
        <v>2208</v>
      </c>
      <c r="L19" s="52">
        <f>SUM(表_烛魔元气石必成[[#Data],[仙丹]])</f>
        <v>307</v>
      </c>
      <c r="M19" s="52">
        <f>SUM(表_烛魔元气石必成[[#Data],[灵丹]])</f>
        <v>921</v>
      </c>
      <c r="N19" s="52">
        <f>SUM(表_烛魔元气石必成[[#Data],[列7]])</f>
        <v>0</v>
      </c>
      <c r="O19" s="52">
        <f>SUM(表_烛魔元气石必成[[#Data],[列8]])</f>
        <v>0</v>
      </c>
      <c r="P19" s="52">
        <f>SUM(表_烛魔元气石必成[[#Data],[列9]])</f>
        <v>0</v>
      </c>
      <c r="Q19" s="52">
        <f>SUM(表_烛魔元气石必成[[#Data],[列10]])</f>
        <v>0</v>
      </c>
      <c r="R19" s="52">
        <f>SUM(表_烛魔元气石必成[[#Data],[列11]])</f>
        <v>0</v>
      </c>
      <c r="S19" s="52">
        <f>SUM(表_烛魔元气石必成[[#Data],[列12]])</f>
        <v>0</v>
      </c>
      <c r="T19" s="52">
        <f>SUM(表_烛魔元气石必成[[#Data],[高级武魂神物]])</f>
        <v>54</v>
      </c>
      <c r="U19" s="52">
        <f>SUM(表_烛魔元气石必成[[#Data],[破天武魂神物]])</f>
        <v>57</v>
      </c>
      <c r="V19" s="52">
        <f>SUM(表_烛魔元气石必成[[#Data],[列15]])</f>
        <v>0</v>
      </c>
      <c r="W19" s="52">
        <f>SUM(表_烛魔元气石必成[[#Data],[列16]])</f>
        <v>0</v>
      </c>
    </row>
    <row r="20" spans="1:23" x14ac:dyDescent="0.25">
      <c r="B20" s="188"/>
      <c r="C20" s="188"/>
      <c r="D20" s="188"/>
      <c r="E20" s="188"/>
      <c r="F20" s="189"/>
      <c r="G20" s="80" t="s">
        <v>223</v>
      </c>
      <c r="H20" s="52">
        <f>H19*表_烛魔元气石必成[[#Totals],[元初碎片]]</f>
        <v>0</v>
      </c>
      <c r="I20" s="52">
        <f>I19*表_烛魔元气石必成[[#Totals],[烛魔羽毛]]</f>
        <v>3185</v>
      </c>
      <c r="J20" s="52">
        <f>J19*表_烛魔元气石必成[[#Totals],[月石]]</f>
        <v>993.6</v>
      </c>
      <c r="K20" s="52">
        <f>K19*表_烛魔元气石必成[[#Totals],[灵石]]</f>
        <v>132.47999999999999</v>
      </c>
      <c r="L20" s="52">
        <f>L19*表_烛魔元气石必成[[#Totals],[仙丹]]</f>
        <v>1228</v>
      </c>
      <c r="M20" s="52">
        <f>M19*表_烛魔元气石必成[[#Totals],[灵丹]]</f>
        <v>138.15</v>
      </c>
      <c r="N20" s="52">
        <f>N19*表_烛魔元气石必成[[#Totals],[列7]]</f>
        <v>0</v>
      </c>
      <c r="O20" s="52">
        <f>O19*表_烛魔元气石必成[[#Totals],[列8]]</f>
        <v>0</v>
      </c>
      <c r="P20" s="52">
        <f>P19*表_烛魔元气石必成[[#Totals],[列9]]</f>
        <v>0</v>
      </c>
      <c r="Q20" s="52">
        <f>Q19*表_烛魔元气石必成[[#Totals],[列10]]</f>
        <v>0</v>
      </c>
      <c r="R20" s="52">
        <f>R19*表_烛魔元气石必成[[#Totals],[列11]]</f>
        <v>0</v>
      </c>
      <c r="S20" s="52">
        <f>S19*表_烛魔元气石必成[[#Totals],[列12]]</f>
        <v>0</v>
      </c>
      <c r="T20" s="52">
        <f>T19*表_烛魔元气石必成[[#Totals],[高级武魂神物]]</f>
        <v>27000</v>
      </c>
      <c r="U20" s="52">
        <f>U19*表_烛魔元气石必成[[#Totals],[破天武魂神物]]</f>
        <v>85500</v>
      </c>
      <c r="V20" s="52">
        <f>V19*表_烛魔元气石必成[[#Totals],[列15]]</f>
        <v>0</v>
      </c>
      <c r="W20" s="52">
        <f>W19*表_烛魔元气石必成[[#Totals],[列16]]</f>
        <v>0</v>
      </c>
    </row>
    <row r="22" spans="1:23" x14ac:dyDescent="0.25">
      <c r="B22" s="28" t="s">
        <v>355</v>
      </c>
      <c r="H22" s="43" t="s">
        <v>212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42" t="s">
        <v>211</v>
      </c>
      <c r="U22" s="41"/>
      <c r="V22" s="41"/>
      <c r="W22" s="41"/>
    </row>
    <row r="23" spans="1:23" ht="34.200000000000003" customHeight="1" thickBot="1" x14ac:dyDescent="0.3">
      <c r="B23" s="57" t="s">
        <v>187</v>
      </c>
      <c r="C23" s="57" t="s">
        <v>186</v>
      </c>
      <c r="D23" s="98" t="s">
        <v>253</v>
      </c>
      <c r="E23" s="98" t="s">
        <v>255</v>
      </c>
      <c r="F23" s="58" t="s">
        <v>181</v>
      </c>
      <c r="G23" s="58" t="s">
        <v>185</v>
      </c>
      <c r="H23" s="59" t="s">
        <v>129</v>
      </c>
      <c r="I23" s="60" t="s">
        <v>3</v>
      </c>
      <c r="J23" s="60" t="s">
        <v>133</v>
      </c>
      <c r="K23" s="60" t="s">
        <v>7</v>
      </c>
      <c r="L23" s="60" t="s">
        <v>134</v>
      </c>
      <c r="M23" s="60" t="s">
        <v>122</v>
      </c>
      <c r="N23" s="60" t="s">
        <v>201</v>
      </c>
      <c r="O23" s="60" t="s">
        <v>202</v>
      </c>
      <c r="P23" s="60" t="s">
        <v>203</v>
      </c>
      <c r="Q23" s="60" t="s">
        <v>204</v>
      </c>
      <c r="R23" s="60" t="s">
        <v>205</v>
      </c>
      <c r="S23" s="61" t="s">
        <v>206</v>
      </c>
      <c r="T23" s="62" t="s">
        <v>151</v>
      </c>
      <c r="U23" s="62" t="s">
        <v>157</v>
      </c>
      <c r="V23" s="62" t="s">
        <v>209</v>
      </c>
      <c r="W23" s="62" t="s">
        <v>210</v>
      </c>
    </row>
    <row r="24" spans="1:23" ht="15" thickTop="1" x14ac:dyDescent="0.25">
      <c r="A24" t="s">
        <v>318</v>
      </c>
      <c r="B24" s="55"/>
      <c r="C24" s="54"/>
      <c r="D24" s="55">
        <f>IF(A24="○",SUMPRODUCT(表_烛魔→昆仑元气石必成[[#This Row],[天元结晶]:[列12]],表_烛魔→昆仑元气石必成[[#Totals],[天元结晶]:[列12]])+表_烛魔→昆仑元气石必成[[#This Row],[手续费(J)]]*折扣,0)</f>
        <v>639.83129032258068</v>
      </c>
      <c r="E24" s="55">
        <f>IF(A24="○",SUMPRODUCT(表_烛魔→昆仑元气石必成[[#This Row],[建元武魂神物]:[列16]],表_烛魔→昆仑元气石必成[[#Totals],[建元武魂神物]:[列16]]),0)</f>
        <v>7500</v>
      </c>
      <c r="F24" s="100" t="s">
        <v>356</v>
      </c>
      <c r="G24" s="34">
        <v>70</v>
      </c>
      <c r="H24" s="34">
        <v>12</v>
      </c>
      <c r="I24" s="34">
        <v>3</v>
      </c>
      <c r="J24" s="34">
        <v>6</v>
      </c>
      <c r="K24" s="34"/>
      <c r="L24" s="34">
        <v>1</v>
      </c>
      <c r="M24" s="34"/>
      <c r="N24" s="34"/>
      <c r="O24" s="34"/>
      <c r="P24" s="34"/>
      <c r="Q24" s="34"/>
      <c r="R24" s="34"/>
      <c r="S24" s="32"/>
      <c r="T24" s="34">
        <v>5</v>
      </c>
      <c r="U24" s="34"/>
      <c r="V24" s="34"/>
      <c r="W24" s="34"/>
    </row>
    <row r="25" spans="1:23" x14ac:dyDescent="0.25">
      <c r="A25" t="s">
        <v>318</v>
      </c>
      <c r="B25" s="36"/>
      <c r="C25" s="35"/>
      <c r="D25" s="36">
        <f>IF(A25="○",SUMPRODUCT(表_烛魔→昆仑元气石必成[[#This Row],[天元结晶]:[列12]],表_烛魔→昆仑元气石必成[[#Totals],[天元结晶]:[列12]])+表_烛魔→昆仑元气石必成[[#This Row],[手续费(J)]]*折扣,0)</f>
        <v>1887.4190322580646</v>
      </c>
      <c r="E25" s="36">
        <f>IF(A25="○",SUMPRODUCT(表_烛魔→昆仑元气石必成[[#This Row],[建元武魂神物]:[列16]],表_烛魔→昆仑元气石必成[[#Totals],[建元武魂神物]:[列16]]),0)</f>
        <v>0</v>
      </c>
      <c r="F25" s="40" t="s">
        <v>356</v>
      </c>
      <c r="G25" s="11">
        <v>140</v>
      </c>
      <c r="H25" s="11">
        <v>14</v>
      </c>
      <c r="I25" s="11">
        <v>7</v>
      </c>
      <c r="J25" s="11">
        <v>7</v>
      </c>
      <c r="K25" s="11"/>
      <c r="L25" s="11">
        <v>7</v>
      </c>
      <c r="M25" s="11"/>
      <c r="N25" s="11"/>
      <c r="O25" s="11"/>
      <c r="P25" s="11"/>
      <c r="Q25" s="11"/>
      <c r="R25" s="11"/>
      <c r="S25" s="30"/>
      <c r="T25" s="34"/>
      <c r="U25" s="34"/>
      <c r="V25" s="34"/>
      <c r="W25" s="34"/>
    </row>
    <row r="26" spans="1:23" x14ac:dyDescent="0.25">
      <c r="A26" t="s">
        <v>318</v>
      </c>
      <c r="B26" s="36"/>
      <c r="C26" s="35"/>
      <c r="D26" s="36">
        <f>IF(A26="○",SUMPRODUCT(表_烛魔→昆仑元气石必成[[#This Row],[天元结晶]:[列12]],表_烛魔→昆仑元气石必成[[#Totals],[天元结晶]:[列12]])+表_烛魔→昆仑元气石必成[[#This Row],[手续费(J)]]*折扣,0)</f>
        <v>414.23129032258066</v>
      </c>
      <c r="E26" s="36">
        <f>IF(A26="○",SUMPRODUCT(表_烛魔→昆仑元气石必成[[#This Row],[建元武魂神物]:[列16]],表_烛魔→昆仑元气石必成[[#Totals],[建元武魂神物]:[列16]]),0)</f>
        <v>3000</v>
      </c>
      <c r="F26" s="40" t="s">
        <v>357</v>
      </c>
      <c r="G26" s="11">
        <v>35</v>
      </c>
      <c r="H26" s="11">
        <v>6</v>
      </c>
      <c r="I26" s="11">
        <v>2</v>
      </c>
      <c r="J26" s="11">
        <v>3</v>
      </c>
      <c r="K26" s="11"/>
      <c r="L26" s="11">
        <v>1</v>
      </c>
      <c r="M26" s="11"/>
      <c r="N26" s="11"/>
      <c r="O26" s="11"/>
      <c r="P26" s="11"/>
      <c r="Q26" s="11"/>
      <c r="R26" s="11"/>
      <c r="S26" s="30"/>
      <c r="T26" s="34">
        <v>2</v>
      </c>
      <c r="U26" s="34"/>
      <c r="V26" s="34"/>
      <c r="W26" s="34"/>
    </row>
    <row r="27" spans="1:23" x14ac:dyDescent="0.25">
      <c r="A27" t="s">
        <v>318</v>
      </c>
      <c r="B27" s="36"/>
      <c r="C27" s="35"/>
      <c r="D27" s="36">
        <f>IF(A27="○",SUMPRODUCT(表_烛魔→昆仑元气石必成[[#This Row],[天元结晶]:[列12]],表_烛魔→昆仑元气石必成[[#Totals],[天元结晶]:[列12]])+表_烛魔→昆仑元气石必成[[#This Row],[手续费(J)]]*折扣,0)</f>
        <v>509.18129032258059</v>
      </c>
      <c r="E27" s="36">
        <f>IF(A27="○",SUMPRODUCT(表_烛魔→昆仑元气石必成[[#This Row],[建元武魂神物]:[列16]],表_烛魔→昆仑元气石必成[[#Totals],[建元武魂神物]:[列16]]),0)</f>
        <v>0</v>
      </c>
      <c r="F27" s="40" t="s">
        <v>357</v>
      </c>
      <c r="G27" s="11">
        <v>70</v>
      </c>
      <c r="H27" s="11">
        <v>8</v>
      </c>
      <c r="I27" s="11">
        <v>4</v>
      </c>
      <c r="J27" s="11">
        <v>4</v>
      </c>
      <c r="K27" s="11"/>
      <c r="L27" s="11">
        <v>1</v>
      </c>
      <c r="M27" s="11"/>
      <c r="N27" s="11"/>
      <c r="O27" s="11"/>
      <c r="P27" s="11"/>
      <c r="Q27" s="11"/>
      <c r="R27" s="11"/>
      <c r="S27" s="30"/>
      <c r="T27" s="34"/>
      <c r="U27" s="34"/>
      <c r="V27" s="34"/>
      <c r="W27" s="34"/>
    </row>
    <row r="28" spans="1:23" x14ac:dyDescent="0.25">
      <c r="A28" t="s">
        <v>318</v>
      </c>
      <c r="B28" s="36"/>
      <c r="C28" s="35"/>
      <c r="D28" s="36">
        <f>IF(A28="○",SUMPRODUCT(表_烛魔→昆仑元气石必成[[#This Row],[天元结晶]:[列12]],表_烛魔→昆仑元气石必成[[#Totals],[天元结晶]:[列12]])+表_烛魔→昆仑元气石必成[[#This Row],[手续费(J)]]*折扣,0)</f>
        <v>158.3625806451613</v>
      </c>
      <c r="E28" s="36">
        <f>IF(A28="○",SUMPRODUCT(表_烛魔→昆仑元气石必成[[#This Row],[建元武魂神物]:[列16]],表_烛魔→昆仑元气石必成[[#Totals],[建元武魂神物]:[列16]]),0)</f>
        <v>1500</v>
      </c>
      <c r="F28" s="40" t="s">
        <v>358</v>
      </c>
      <c r="G28" s="11">
        <v>35</v>
      </c>
      <c r="H28" s="11">
        <v>2</v>
      </c>
      <c r="I28" s="11">
        <v>3</v>
      </c>
      <c r="J28" s="11">
        <v>1</v>
      </c>
      <c r="K28" s="11">
        <v>8</v>
      </c>
      <c r="L28" s="11"/>
      <c r="M28" s="11"/>
      <c r="N28" s="11"/>
      <c r="O28" s="11"/>
      <c r="P28" s="11"/>
      <c r="Q28" s="11"/>
      <c r="R28" s="11"/>
      <c r="S28" s="30"/>
      <c r="T28" s="11">
        <v>1</v>
      </c>
      <c r="U28" s="11"/>
      <c r="V28" s="11"/>
      <c r="W28" s="11"/>
    </row>
    <row r="29" spans="1:23" x14ac:dyDescent="0.25">
      <c r="A29" t="s">
        <v>318</v>
      </c>
      <c r="B29" s="36"/>
      <c r="C29" s="35"/>
      <c r="D29" s="38">
        <f>IF(A29="○",SUMPRODUCT(表_烛魔→昆仑元气石必成[[#This Row],[天元结晶]:[列12]],表_烛魔→昆仑元气石必成[[#Totals],[天元结晶]:[列12]])+表_烛魔→昆仑元气石必成[[#This Row],[手续费(J)]]*折扣,0)</f>
        <v>227.06258064516129</v>
      </c>
      <c r="E29" s="38">
        <f>IF(A29="○",SUMPRODUCT(表_烛魔→昆仑元气石必成[[#This Row],[建元武魂神物]:[列16]],表_烛魔→昆仑元气石必成[[#Totals],[建元武魂神物]:[列16]]),0)</f>
        <v>0</v>
      </c>
      <c r="F29" s="40" t="s">
        <v>358</v>
      </c>
      <c r="G29" s="25">
        <v>35</v>
      </c>
      <c r="H29" s="25">
        <v>4</v>
      </c>
      <c r="I29" s="25">
        <v>5</v>
      </c>
      <c r="J29" s="25">
        <v>2</v>
      </c>
      <c r="K29" s="25">
        <v>8</v>
      </c>
      <c r="L29" s="25"/>
      <c r="M29" s="25"/>
      <c r="N29" s="25"/>
      <c r="O29" s="25"/>
      <c r="P29" s="25"/>
      <c r="Q29" s="25"/>
      <c r="R29" s="25"/>
      <c r="S29" s="31"/>
      <c r="T29" s="25"/>
      <c r="U29" s="25"/>
      <c r="V29" s="25"/>
      <c r="W29" s="25"/>
    </row>
    <row r="30" spans="1:23" x14ac:dyDescent="0.25">
      <c r="A30" t="s">
        <v>318</v>
      </c>
      <c r="B30" s="36"/>
      <c r="C30" s="35"/>
      <c r="D30" s="36">
        <f>IF(A30="○",SUMPRODUCT(表_烛魔→昆仑元气石必成[[#This Row],[天元结晶]:[列12]],表_烛魔→昆仑元气石必成[[#Totals],[天元结晶]:[列12]])+表_烛魔→昆仑元气石必成[[#This Row],[手续费(J)]]*折扣,0)</f>
        <v>232.59693548387099</v>
      </c>
      <c r="E30" s="36">
        <f>IF(A30="○",SUMPRODUCT(表_烛魔→昆仑元气石必成[[#This Row],[建元武魂神物]:[列16]],表_烛魔→昆仑元气石必成[[#Totals],[建元武魂神物]:[列16]]),0)</f>
        <v>4500</v>
      </c>
      <c r="F30" s="40" t="s">
        <v>408</v>
      </c>
      <c r="G30" s="11">
        <v>20</v>
      </c>
      <c r="H30" s="11">
        <v>3</v>
      </c>
      <c r="I30" s="11">
        <v>3</v>
      </c>
      <c r="J30" s="11">
        <v>4</v>
      </c>
      <c r="K30" s="11">
        <v>6</v>
      </c>
      <c r="L30" s="11"/>
      <c r="M30" s="11">
        <v>2</v>
      </c>
      <c r="N30" s="11"/>
      <c r="O30" s="11"/>
      <c r="P30" s="11"/>
      <c r="Q30" s="11"/>
      <c r="R30" s="11"/>
      <c r="S30" s="30"/>
      <c r="T30" s="11">
        <v>3</v>
      </c>
      <c r="U30" s="11"/>
      <c r="V30" s="11"/>
      <c r="W30" s="11"/>
    </row>
    <row r="31" spans="1:23" x14ac:dyDescent="0.25">
      <c r="A31" t="s">
        <v>318</v>
      </c>
      <c r="B31" s="36"/>
      <c r="C31" s="35"/>
      <c r="D31" s="36">
        <f>IF(A31="○",SUMPRODUCT(表_烛魔→昆仑元气石必成[[#This Row],[天元结晶]:[列12]],表_烛魔→昆仑元气石必成[[#Totals],[天元结晶]:[列12]])+表_烛魔→昆仑元气石必成[[#This Row],[手续费(J)]]*折扣,0)</f>
        <v>360.83911290322584</v>
      </c>
      <c r="E31" s="36">
        <f>IF(A31="○",SUMPRODUCT(表_烛魔→昆仑元气石必成[[#This Row],[建元武魂神物]:[列16]],表_烛魔→昆仑元气石必成[[#Totals],[建元武魂神物]:[列16]]),0)</f>
        <v>0</v>
      </c>
      <c r="F31" s="40" t="s">
        <v>408</v>
      </c>
      <c r="G31" s="11">
        <v>40</v>
      </c>
      <c r="H31" s="11">
        <v>5</v>
      </c>
      <c r="I31" s="11">
        <v>3</v>
      </c>
      <c r="J31" s="11">
        <v>7</v>
      </c>
      <c r="K31" s="11">
        <v>5</v>
      </c>
      <c r="L31" s="11"/>
      <c r="M31" s="11">
        <v>4</v>
      </c>
      <c r="N31" s="11"/>
      <c r="O31" s="11"/>
      <c r="P31" s="11"/>
      <c r="Q31" s="11"/>
      <c r="R31" s="11"/>
      <c r="S31" s="30"/>
      <c r="T31" s="11"/>
      <c r="U31" s="11"/>
      <c r="V31" s="11"/>
      <c r="W31" s="11"/>
    </row>
    <row r="32" spans="1:23" outlineLevel="1" x14ac:dyDescent="0.25">
      <c r="A32" t="s">
        <v>318</v>
      </c>
      <c r="B32" s="36"/>
      <c r="C32" s="35"/>
      <c r="D32" s="36">
        <f>IF(A32="○",SUMPRODUCT(表_烛魔→昆仑元气石必成[[#This Row],[天元结晶]:[列12]],表_烛魔→昆仑元气石必成[[#Totals],[天元结晶]:[列12]])+表_烛魔→昆仑元气石必成[[#This Row],[手续费(J)]]*折扣,0)</f>
        <v>0</v>
      </c>
      <c r="E32" s="36">
        <f>IF(A32="○",SUMPRODUCT(表_烛魔→昆仑元气石必成[[#This Row],[建元武魂神物]:[列16]],表_烛魔→昆仑元气石必成[[#Totals],[建元武魂神物]:[列16]]),0)</f>
        <v>0</v>
      </c>
      <c r="F32" s="4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30"/>
      <c r="T32" s="11"/>
      <c r="U32" s="11"/>
      <c r="V32" s="11"/>
      <c r="W32" s="11"/>
    </row>
    <row r="33" spans="1:23" outlineLevel="1" x14ac:dyDescent="0.25">
      <c r="A33" t="s">
        <v>318</v>
      </c>
      <c r="B33" s="36"/>
      <c r="C33" s="35"/>
      <c r="D33" s="36">
        <f>IF(A33="○",SUMPRODUCT(表_烛魔→昆仑元气石必成[[#This Row],[天元结晶]:[列12]],表_烛魔→昆仑元气石必成[[#Totals],[天元结晶]:[列12]])+表_烛魔→昆仑元气石必成[[#This Row],[手续费(J)]]*折扣,0)</f>
        <v>0</v>
      </c>
      <c r="E33" s="36">
        <f>IF(A33="○",SUMPRODUCT(表_烛魔→昆仑元气石必成[[#This Row],[建元武魂神物]:[列16]],表_烛魔→昆仑元气石必成[[#Totals],[建元武魂神物]:[列16]]),0)</f>
        <v>0</v>
      </c>
      <c r="F33" s="4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30"/>
      <c r="T33" s="11"/>
      <c r="U33" s="11"/>
      <c r="V33" s="11"/>
      <c r="W33" s="11"/>
    </row>
    <row r="34" spans="1:23" outlineLevel="1" x14ac:dyDescent="0.25">
      <c r="A34" t="s">
        <v>318</v>
      </c>
      <c r="B34" s="36"/>
      <c r="C34" s="35"/>
      <c r="D34" s="36">
        <f>IF(A34="○",SUMPRODUCT(表_烛魔→昆仑元气石必成[[#This Row],[天元结晶]:[列12]],表_烛魔→昆仑元气石必成[[#Totals],[天元结晶]:[列12]])+表_烛魔→昆仑元气石必成[[#This Row],[手续费(J)]]*折扣,0)</f>
        <v>0</v>
      </c>
      <c r="E34" s="36">
        <f>IF(A34="○",SUMPRODUCT(表_烛魔→昆仑元气石必成[[#This Row],[建元武魂神物]:[列16]],表_烛魔→昆仑元气石必成[[#Totals],[建元武魂神物]:[列16]]),0)</f>
        <v>0</v>
      </c>
      <c r="F34" s="4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30"/>
      <c r="T34" s="11"/>
      <c r="U34" s="11"/>
      <c r="V34" s="11"/>
      <c r="W34" s="11"/>
    </row>
    <row r="35" spans="1:23" outlineLevel="1" x14ac:dyDescent="0.25">
      <c r="A35" t="s">
        <v>318</v>
      </c>
      <c r="B35" s="36"/>
      <c r="C35" s="35"/>
      <c r="D35" s="36">
        <f>IF(A35="○",SUMPRODUCT(表_烛魔→昆仑元气石必成[[#This Row],[天元结晶]:[列12]],表_烛魔→昆仑元气石必成[[#Totals],[天元结晶]:[列12]])+表_烛魔→昆仑元气石必成[[#This Row],[手续费(J)]]*折扣,0)</f>
        <v>0</v>
      </c>
      <c r="E35" s="36">
        <f>IF(A35="○",SUMPRODUCT(表_烛魔→昆仑元气石必成[[#This Row],[建元武魂神物]:[列16]],表_烛魔→昆仑元气石必成[[#Totals],[建元武魂神物]:[列16]]),0)</f>
        <v>0</v>
      </c>
      <c r="F35" s="4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30"/>
      <c r="T35" s="11"/>
      <c r="U35" s="11"/>
      <c r="V35" s="11"/>
      <c r="W35" s="11"/>
    </row>
    <row r="36" spans="1:23" outlineLevel="1" x14ac:dyDescent="0.25">
      <c r="A36" t="s">
        <v>318</v>
      </c>
      <c r="B36" s="36"/>
      <c r="C36" s="35"/>
      <c r="D36" s="36">
        <f>IF(A36="○",SUMPRODUCT(表_烛魔→昆仑元气石必成[[#This Row],[天元结晶]:[列12]],表_烛魔→昆仑元气石必成[[#Totals],[天元结晶]:[列12]])+表_烛魔→昆仑元气石必成[[#This Row],[手续费(J)]]*折扣,0)</f>
        <v>0</v>
      </c>
      <c r="E36" s="36">
        <f>IF(A36="○",SUMPRODUCT(表_烛魔→昆仑元气石必成[[#This Row],[建元武魂神物]:[列16]],表_烛魔→昆仑元气石必成[[#Totals],[建元武魂神物]:[列16]]),0)</f>
        <v>0</v>
      </c>
      <c r="F36" s="4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30"/>
      <c r="T36" s="11"/>
      <c r="U36" s="11"/>
      <c r="V36" s="11"/>
      <c r="W36" s="11"/>
    </row>
    <row r="37" spans="1:23" ht="15" outlineLevel="1" thickBot="1" x14ac:dyDescent="0.3">
      <c r="A37" t="s">
        <v>318</v>
      </c>
      <c r="B37" s="38"/>
      <c r="C37" s="37"/>
      <c r="D37" s="38">
        <f>IF(A37="○",SUMPRODUCT(表_烛魔→昆仑元气石必成[[#This Row],[天元结晶]:[列12]],表_烛魔→昆仑元气石必成[[#Totals],[天元结晶]:[列12]])+表_烛魔→昆仑元气石必成[[#This Row],[手续费(J)]]*折扣,0)</f>
        <v>0</v>
      </c>
      <c r="E37" s="38">
        <f>IF(A37="○",SUMPRODUCT(表_烛魔→昆仑元气石必成[[#This Row],[建元武魂神物]:[列16]],表_烛魔→昆仑元气石必成[[#Totals],[建元武魂神物]:[列16]]),0)</f>
        <v>0</v>
      </c>
      <c r="F37" s="67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31"/>
      <c r="T37" s="25"/>
      <c r="U37" s="25"/>
      <c r="V37" s="25"/>
      <c r="W37" s="25"/>
    </row>
    <row r="38" spans="1:23" ht="15" thickTop="1" x14ac:dyDescent="0.25">
      <c r="B38" s="72">
        <f>SUBTOTAL(104,表_烛魔→昆仑元气石必成[累计金币(J)])</f>
        <v>0</v>
      </c>
      <c r="C38" s="72">
        <f>SUBTOTAL(104,表_烛魔→昆仑元气石必成[累计点券])</f>
        <v>0</v>
      </c>
      <c r="D38" s="73">
        <f>SUBTOTAL(109,表_烛魔→昆仑元气石必成[进化金币(J)])</f>
        <v>4429.5241129032265</v>
      </c>
      <c r="E38" s="74">
        <f>SUBTOTAL(109,表_烛魔→昆仑元气石必成[进化点券])</f>
        <v>16500</v>
      </c>
      <c r="F38" s="88"/>
      <c r="G38" s="76" t="s">
        <v>190</v>
      </c>
      <c r="H38" s="77">
        <f xml:space="preserve"> _xlfn.IFNA(VLOOKUP(表_烛魔→昆仑元气石必成[[#Headers],[天元结晶]],金价一览,2,0), 0)</f>
        <v>20</v>
      </c>
      <c r="I38" s="77">
        <f xml:space="preserve"> _xlfn.IFNA(VLOOKUP(表_烛魔→昆仑元气石必成[[#Headers],[月石]],金价一览,2,0), 0)</f>
        <v>1.35</v>
      </c>
      <c r="J38" s="77">
        <f xml:space="preserve"> _xlfn.IFNA(VLOOKUP(表_烛魔→昆仑元气石必成[[#Headers],[昆仑珠]],金价一览,2,0), 0)</f>
        <v>26</v>
      </c>
      <c r="K38" s="77">
        <f xml:space="preserve"> _xlfn.IFNA(VLOOKUP(表_烛魔→昆仑元气石必成[[#Headers],[进化石]],金价一览,2,0), 0)</f>
        <v>7.7578225806451613</v>
      </c>
      <c r="L38" s="77">
        <f xml:space="preserve"> _xlfn.IFNA(VLOOKUP(表_烛魔→昆仑元气石必成[[#Headers],[高级进化石]],金价一览,2,0), 0)</f>
        <v>187.28129032258065</v>
      </c>
      <c r="M38" s="77">
        <f xml:space="preserve"> _xlfn.IFNA(VLOOKUP(表_烛魔→昆仑元气石必成[[#Headers],[太阳珠]],金价一览,2,0), 0)</f>
        <v>1.5</v>
      </c>
      <c r="N38" s="77">
        <f xml:space="preserve"> _xlfn.IFNA(VLOOKUP(表_烛魔→昆仑元气石必成[[#Headers],[列7]],金价一览,2,0), 0)</f>
        <v>0</v>
      </c>
      <c r="O38" s="77">
        <f xml:space="preserve"> _xlfn.IFNA(VLOOKUP(表_烛魔→昆仑元气石必成[[#Headers],[列8]],金价一览,2,0), 0)</f>
        <v>0</v>
      </c>
      <c r="P38" s="77">
        <f xml:space="preserve"> _xlfn.IFNA(VLOOKUP(表_烛魔→昆仑元气石必成[[#Headers],[列9]],金价一览,2,0), 0)</f>
        <v>0</v>
      </c>
      <c r="Q38" s="77">
        <f xml:space="preserve"> _xlfn.IFNA(VLOOKUP(表_烛魔→昆仑元气石必成[[#Headers],[列10]],金价一览,2,0), 0)</f>
        <v>0</v>
      </c>
      <c r="R38" s="77">
        <f xml:space="preserve"> _xlfn.IFNA(VLOOKUP(表_烛魔→昆仑元气石必成[[#Headers],[列11]],金价一览,2,0), 0)</f>
        <v>0</v>
      </c>
      <c r="S38" s="77">
        <f xml:space="preserve"> _xlfn.IFNA(VLOOKUP(表_烛魔→昆仑元气石必成[[#Headers],[列12]],金价一览,2,0), 0)</f>
        <v>0</v>
      </c>
      <c r="T38" s="78">
        <f>_xlfn.IFNA(VLOOKUP(表_烛魔→昆仑元气石必成[[#Headers],[建元武魂神物]],点券一览,2,0),0)</f>
        <v>1500</v>
      </c>
      <c r="U38" s="78">
        <f>_xlfn.IFNA(VLOOKUP(表_烛魔→昆仑元气石必成[[#Headers],[列1]],点券一览,2,0),0)</f>
        <v>0</v>
      </c>
      <c r="V38" s="78">
        <f>_xlfn.IFNA(VLOOKUP(表_烛魔→昆仑元气石必成[[#Headers],[列15]],点券一览,2,0),0)</f>
        <v>0</v>
      </c>
      <c r="W38" s="78">
        <f>_xlfn.IFNA(VLOOKUP(表_烛魔→昆仑元气石必成[[#Headers],[列16]],点券一览,2,0),0)</f>
        <v>0</v>
      </c>
    </row>
    <row r="39" spans="1:23" ht="14.4" customHeight="1" x14ac:dyDescent="0.25">
      <c r="B39" s="182" t="s">
        <v>221</v>
      </c>
      <c r="C39" s="183"/>
      <c r="D39" s="183"/>
      <c r="E39" s="183"/>
      <c r="F39" s="184"/>
      <c r="G39" s="79" t="s">
        <v>224</v>
      </c>
      <c r="H39" s="52">
        <f>SUM(表_烛魔→昆仑元气石必成[[#Data],[天元结晶]])</f>
        <v>54</v>
      </c>
      <c r="I39" s="52">
        <f>SUM(表_烛魔→昆仑元气石必成[[#Data],[月石]])</f>
        <v>30</v>
      </c>
      <c r="J39" s="52">
        <f>SUM(表_烛魔→昆仑元气石必成[[#Data],[昆仑珠]])</f>
        <v>34</v>
      </c>
      <c r="K39" s="52">
        <f>SUM(表_烛魔→昆仑元气石必成[[#Data],[进化石]])</f>
        <v>27</v>
      </c>
      <c r="L39" s="52">
        <f>SUM(表_烛魔→昆仑元气石必成[[#Data],[高级进化石]])</f>
        <v>10</v>
      </c>
      <c r="M39" s="52">
        <f>SUM(表_烛魔→昆仑元气石必成[[#Data],[太阳珠]])</f>
        <v>6</v>
      </c>
      <c r="N39" s="52">
        <f>SUM(表_烛魔→昆仑元气石必成[[#Data],[列7]])</f>
        <v>0</v>
      </c>
      <c r="O39" s="52">
        <f>SUM(表_烛魔→昆仑元气石必成[[#Data],[列8]])</f>
        <v>0</v>
      </c>
      <c r="P39" s="52">
        <f>SUM(表_烛魔→昆仑元气石必成[[#Data],[列9]])</f>
        <v>0</v>
      </c>
      <c r="Q39" s="52">
        <f>SUM(表_烛魔→昆仑元气石必成[[#Data],[列10]])</f>
        <v>0</v>
      </c>
      <c r="R39" s="52">
        <f>SUM(表_烛魔→昆仑元气石必成[[#Data],[列11]])</f>
        <v>0</v>
      </c>
      <c r="S39" s="52">
        <f>SUM(表_烛魔→昆仑元气石必成[[#Data],[列12]])</f>
        <v>0</v>
      </c>
      <c r="T39" s="52">
        <f>SUM(表_烛魔→昆仑元气石必成[[#Data],[建元武魂神物]])</f>
        <v>11</v>
      </c>
      <c r="U39" s="52">
        <f>SUM(表_烛魔→昆仑元气石必成[[#Data],[列1]])</f>
        <v>0</v>
      </c>
      <c r="V39" s="52">
        <f>SUM(表_烛魔→昆仑元气石必成[[#Data],[列15]])</f>
        <v>0</v>
      </c>
      <c r="W39" s="52">
        <f>SUM(表_烛魔→昆仑元气石必成[[#Data],[列16]])</f>
        <v>0</v>
      </c>
    </row>
    <row r="40" spans="1:23" ht="14.4" customHeight="1" x14ac:dyDescent="0.25">
      <c r="B40" s="185"/>
      <c r="C40" s="186"/>
      <c r="D40" s="186"/>
      <c r="E40" s="186"/>
      <c r="F40" s="187"/>
      <c r="G40" s="80" t="s">
        <v>223</v>
      </c>
      <c r="H40" s="52">
        <f>H39*表_烛魔→昆仑元气石必成[[#Totals],[天元结晶]]</f>
        <v>1080</v>
      </c>
      <c r="I40" s="52">
        <f>I39*表_烛魔→昆仑元气石必成[[#Totals],[月石]]</f>
        <v>40.5</v>
      </c>
      <c r="J40" s="52">
        <f>J39*表_烛魔→昆仑元气石必成[[#Totals],[昆仑珠]]</f>
        <v>884</v>
      </c>
      <c r="K40" s="52">
        <f>K39*表_烛魔→昆仑元气石必成[[#Totals],[进化石]]</f>
        <v>209.46120967741936</v>
      </c>
      <c r="L40" s="52">
        <f>L39*表_烛魔→昆仑元气石必成[[#Totals],[高级进化石]]</f>
        <v>1872.8129032258064</v>
      </c>
      <c r="M40" s="52">
        <f>M39*表_烛魔→昆仑元气石必成[[#Totals],[太阳珠]]</f>
        <v>9</v>
      </c>
      <c r="N40" s="52">
        <f>N39*表_烛魔→昆仑元气石必成[[#Totals],[列7]]</f>
        <v>0</v>
      </c>
      <c r="O40" s="52">
        <f>O39*表_烛魔→昆仑元气石必成[[#Totals],[列8]]</f>
        <v>0</v>
      </c>
      <c r="P40" s="52">
        <f>P39*表_烛魔→昆仑元气石必成[[#Totals],[列9]]</f>
        <v>0</v>
      </c>
      <c r="Q40" s="52">
        <f>Q39*表_烛魔→昆仑元气石必成[[#Totals],[列10]]</f>
        <v>0</v>
      </c>
      <c r="R40" s="52">
        <f>R39*表_烛魔→昆仑元气石必成[[#Totals],[列11]]</f>
        <v>0</v>
      </c>
      <c r="S40" s="52">
        <f>S39*表_烛魔→昆仑元气石必成[[#Totals],[列12]]</f>
        <v>0</v>
      </c>
      <c r="T40" s="52">
        <f>T39*表_烛魔→昆仑元气石必成[[#Totals],[建元武魂神物]]</f>
        <v>16500</v>
      </c>
      <c r="U40" s="52">
        <f>U39*表_烛魔→昆仑元气石必成[[#Totals],[列1]]</f>
        <v>0</v>
      </c>
      <c r="V40" s="52">
        <f>V39*表_烛魔→昆仑元气石必成[[#Totals],[列15]]</f>
        <v>0</v>
      </c>
      <c r="W40" s="52">
        <f>W39*表_烛魔→昆仑元气石必成[[#Totals],[列16]]</f>
        <v>0</v>
      </c>
    </row>
    <row r="42" spans="1:23" x14ac:dyDescent="0.25">
      <c r="B42" s="28" t="s">
        <v>354</v>
      </c>
      <c r="H42" s="43" t="s">
        <v>212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42" t="s">
        <v>211</v>
      </c>
      <c r="U42" s="41"/>
      <c r="V42" s="41"/>
      <c r="W42" s="41"/>
    </row>
    <row r="43" spans="1:23" ht="34.200000000000003" customHeight="1" thickBot="1" x14ac:dyDescent="0.3">
      <c r="B43" s="57" t="s">
        <v>187</v>
      </c>
      <c r="C43" s="57" t="s">
        <v>186</v>
      </c>
      <c r="D43" s="98" t="s">
        <v>253</v>
      </c>
      <c r="E43" s="98" t="s">
        <v>255</v>
      </c>
      <c r="F43" s="58" t="s">
        <v>181</v>
      </c>
      <c r="G43" s="58" t="s">
        <v>185</v>
      </c>
      <c r="H43" s="59" t="s">
        <v>129</v>
      </c>
      <c r="I43" s="60" t="s">
        <v>179</v>
      </c>
      <c r="J43" s="60" t="s">
        <v>133</v>
      </c>
      <c r="K43" s="60" t="s">
        <v>122</v>
      </c>
      <c r="L43" s="60" t="s">
        <v>3</v>
      </c>
      <c r="M43" s="60" t="s">
        <v>7</v>
      </c>
      <c r="N43" s="60" t="s">
        <v>134</v>
      </c>
      <c r="O43" s="60" t="s">
        <v>202</v>
      </c>
      <c r="P43" s="60" t="s">
        <v>203</v>
      </c>
      <c r="Q43" s="60" t="s">
        <v>204</v>
      </c>
      <c r="R43" s="60" t="s">
        <v>205</v>
      </c>
      <c r="S43" s="61" t="s">
        <v>206</v>
      </c>
      <c r="T43" s="62" t="s">
        <v>137</v>
      </c>
      <c r="U43" s="62" t="s">
        <v>6</v>
      </c>
      <c r="V43" s="62" t="s">
        <v>209</v>
      </c>
      <c r="W43" s="62" t="s">
        <v>210</v>
      </c>
    </row>
    <row r="44" spans="1:23" ht="15" thickTop="1" x14ac:dyDescent="0.25">
      <c r="A44" t="s">
        <v>318</v>
      </c>
      <c r="B44" s="55">
        <f>表_昆仑元气石必成[[#This Row],[进化金币(J)]]+IF(ISNUMBER(B43), B43, 表_昆仑元气石必成[[#Totals],[进化阶段]])</f>
        <v>124.65782258064516</v>
      </c>
      <c r="C44" s="54">
        <f>表_昆仑元气石必成[[#This Row],[进化点券]]+IF(ISNUMBER(C43), C43, 0)</f>
        <v>6000</v>
      </c>
      <c r="D44" s="55">
        <f>IF(A44="○",SUMPRODUCT(表_昆仑元气石必成[[#This Row],[天元结晶]:[列12]],表_昆仑元气石必成[[#Totals],[天元结晶]:[列12]])+表_昆仑元气石必成[[#This Row],[手续费(J)]]*折扣,0)</f>
        <v>124.65782258064516</v>
      </c>
      <c r="E44" s="55">
        <f>IF(A44="○",SUMPRODUCT(表_昆仑元气石必成[[#This Row],[破天武魂神物]:[列16]],表_昆仑元气石必成[[#Totals],[破天武魂神物]:[列16]]),0)</f>
        <v>6000</v>
      </c>
      <c r="F44" s="56" t="s">
        <v>192</v>
      </c>
      <c r="G44" s="34">
        <v>40</v>
      </c>
      <c r="H44" s="34">
        <v>4</v>
      </c>
      <c r="I44" s="34"/>
      <c r="J44" s="34"/>
      <c r="K44" s="34">
        <v>1</v>
      </c>
      <c r="L44" s="34">
        <v>4</v>
      </c>
      <c r="M44" s="34">
        <v>1</v>
      </c>
      <c r="N44" s="34"/>
      <c r="O44" s="34"/>
      <c r="P44" s="34"/>
      <c r="Q44" s="34"/>
      <c r="R44" s="34"/>
      <c r="S44" s="32"/>
      <c r="T44" s="34">
        <v>4</v>
      </c>
      <c r="U44" s="34"/>
      <c r="V44" s="34"/>
      <c r="W44" s="34"/>
    </row>
    <row r="45" spans="1:23" x14ac:dyDescent="0.25">
      <c r="A45" t="s">
        <v>318</v>
      </c>
      <c r="B45" s="36">
        <f>表_昆仑元气石必成[[#This Row],[进化金币(J)]]+IF(ISNUMBER(B44), B44, 表_昆仑元气石必成[[#Totals],[进化阶段]])</f>
        <v>264.83129032258068</v>
      </c>
      <c r="C45" s="35">
        <f>表_昆仑元气石必成[[#This Row],[进化点券]]+IF(ISNUMBER(C44), C44, 0)</f>
        <v>13500</v>
      </c>
      <c r="D45" s="36">
        <f>IF(A45="○",SUMPRODUCT(表_昆仑元气石必成[[#This Row],[天元结晶]:[列12]],表_昆仑元气石必成[[#Totals],[天元结晶]:[列12]])+表_昆仑元气石必成[[#This Row],[手续费(J)]]*折扣,0)</f>
        <v>140.1734677419355</v>
      </c>
      <c r="E45" s="36">
        <f>IF(A45="○",SUMPRODUCT(表_昆仑元气石必成[[#This Row],[破天武魂神物]:[列16]],表_昆仑元气石必成[[#Totals],[破天武魂神物]:[列16]]),0)</f>
        <v>7500</v>
      </c>
      <c r="F45" s="39" t="s">
        <v>193</v>
      </c>
      <c r="G45" s="11">
        <v>40</v>
      </c>
      <c r="H45" s="11">
        <v>4</v>
      </c>
      <c r="I45" s="11"/>
      <c r="J45" s="11"/>
      <c r="K45" s="11">
        <v>1</v>
      </c>
      <c r="L45" s="11">
        <v>4</v>
      </c>
      <c r="M45" s="11">
        <v>3</v>
      </c>
      <c r="N45" s="11"/>
      <c r="O45" s="11"/>
      <c r="P45" s="11"/>
      <c r="Q45" s="11"/>
      <c r="R45" s="11"/>
      <c r="S45" s="30"/>
      <c r="T45" s="34">
        <v>5</v>
      </c>
      <c r="U45" s="34"/>
      <c r="V45" s="34"/>
      <c r="W45" s="34"/>
    </row>
    <row r="46" spans="1:23" x14ac:dyDescent="0.25">
      <c r="A46" t="s">
        <v>318</v>
      </c>
      <c r="B46" s="36">
        <f>表_昆仑元气石必成[[#This Row],[进化金币(J)]]+IF(ISNUMBER(B45), B45, 表_昆仑元气石必成[[#Totals],[进化阶段]])</f>
        <v>484.57040322580644</v>
      </c>
      <c r="C46" s="35">
        <f>表_昆仑元气石必成[[#This Row],[进化点券]]+IF(ISNUMBER(C45), C45, 0)</f>
        <v>22500</v>
      </c>
      <c r="D46" s="36">
        <f>IF(A46="○",SUMPRODUCT(表_昆仑元气石必成[[#This Row],[天元结晶]:[列12]],表_昆仑元气石必成[[#Totals],[天元结晶]:[列12]])+表_昆仑元气石必成[[#This Row],[手续费(J)]]*折扣,0)</f>
        <v>219.73911290322579</v>
      </c>
      <c r="E46" s="36">
        <f>IF(A46="○",SUMPRODUCT(表_昆仑元气石必成[[#This Row],[破天武魂神物]:[列16]],表_昆仑元气石必成[[#Totals],[破天武魂神物]:[列16]]),0)</f>
        <v>9000</v>
      </c>
      <c r="F46" s="39" t="s">
        <v>194</v>
      </c>
      <c r="G46" s="11">
        <v>40</v>
      </c>
      <c r="H46" s="11">
        <v>7</v>
      </c>
      <c r="I46" s="11"/>
      <c r="J46" s="11"/>
      <c r="K46" s="11">
        <v>1</v>
      </c>
      <c r="L46" s="11">
        <v>7</v>
      </c>
      <c r="M46" s="11">
        <v>5</v>
      </c>
      <c r="N46" s="11"/>
      <c r="O46" s="11"/>
      <c r="P46" s="11"/>
      <c r="Q46" s="11"/>
      <c r="R46" s="11"/>
      <c r="S46" s="30"/>
      <c r="T46" s="34">
        <v>6</v>
      </c>
      <c r="U46" s="34"/>
      <c r="V46" s="34"/>
      <c r="W46" s="34"/>
    </row>
    <row r="47" spans="1:23" x14ac:dyDescent="0.25">
      <c r="A47" t="s">
        <v>318</v>
      </c>
      <c r="B47" s="36">
        <f>表_昆仑元气石必成[[#This Row],[进化金币(J)]]+IF(ISNUMBER(B46), B46, 表_昆仑元气石必成[[#Totals],[进化阶段]])</f>
        <v>752.35645161290324</v>
      </c>
      <c r="C47" s="35">
        <f>表_昆仑元气石必成[[#This Row],[进化点券]]+IF(ISNUMBER(C46), C46, 0)</f>
        <v>33000</v>
      </c>
      <c r="D47" s="36">
        <f>IF(A47="○",SUMPRODUCT(表_昆仑元气石必成[[#This Row],[天元结晶]:[列12]],表_昆仑元气石必成[[#Totals],[天元结晶]:[列12]])+表_昆仑元气石必成[[#This Row],[手续费(J)]]*折扣,0)</f>
        <v>267.7860483870968</v>
      </c>
      <c r="E47" s="36">
        <f>IF(A47="○",SUMPRODUCT(表_昆仑元气石必成[[#This Row],[破天武魂神物]:[列16]],表_昆仑元气石必成[[#Totals],[破天武魂神物]:[列16]]),0)</f>
        <v>10500</v>
      </c>
      <c r="F47" s="39" t="s">
        <v>195</v>
      </c>
      <c r="G47" s="11">
        <v>40</v>
      </c>
      <c r="H47" s="11">
        <v>7</v>
      </c>
      <c r="I47" s="11"/>
      <c r="J47" s="11"/>
      <c r="K47" s="11">
        <v>2</v>
      </c>
      <c r="L47" s="11">
        <v>7</v>
      </c>
      <c r="M47" s="11">
        <v>11</v>
      </c>
      <c r="N47" s="11"/>
      <c r="O47" s="11"/>
      <c r="P47" s="11"/>
      <c r="Q47" s="11"/>
      <c r="R47" s="11"/>
      <c r="S47" s="30"/>
      <c r="T47" s="34">
        <v>7</v>
      </c>
      <c r="U47" s="34"/>
      <c r="V47" s="34"/>
      <c r="W47" s="34"/>
    </row>
    <row r="48" spans="1:23" x14ac:dyDescent="0.25">
      <c r="A48" t="s">
        <v>318</v>
      </c>
      <c r="B48" s="36">
        <f>表_昆仑元气石必成[[#This Row],[进化金币(J)]]+IF(ISNUMBER(B47), B47, 表_昆仑元气石必成[[#Totals],[进化阶段]])</f>
        <v>1078.4972580645162</v>
      </c>
      <c r="C48" s="35">
        <f>表_昆仑元气石必成[[#This Row],[进化点券]]+IF(ISNUMBER(C47), C47, 0)</f>
        <v>45000</v>
      </c>
      <c r="D48" s="36">
        <f>IF(A48="○",SUMPRODUCT(表_昆仑元气石必成[[#This Row],[天元结晶]:[列12]],表_昆仑元气石必成[[#Totals],[天元结晶]:[列12]])+表_昆仑元气石必成[[#This Row],[手续费(J)]]*折扣,0)</f>
        <v>326.14080645161289</v>
      </c>
      <c r="E48" s="36">
        <f>IF(A48="○",SUMPRODUCT(表_昆仑元气石必成[[#This Row],[破天武魂神物]:[列16]],表_昆仑元气石必成[[#Totals],[破天武魂神物]:[列16]]),0)</f>
        <v>12000</v>
      </c>
      <c r="F48" s="39" t="s">
        <v>196</v>
      </c>
      <c r="G48" s="11">
        <v>40</v>
      </c>
      <c r="H48" s="11">
        <v>7</v>
      </c>
      <c r="I48" s="11"/>
      <c r="J48" s="11"/>
      <c r="K48" s="11">
        <v>2</v>
      </c>
      <c r="L48" s="11">
        <v>10</v>
      </c>
      <c r="M48" s="11">
        <v>18</v>
      </c>
      <c r="N48" s="11"/>
      <c r="O48" s="11"/>
      <c r="P48" s="11"/>
      <c r="Q48" s="11"/>
      <c r="R48" s="11"/>
      <c r="S48" s="30"/>
      <c r="T48" s="11">
        <v>8</v>
      </c>
      <c r="U48" s="11"/>
      <c r="V48" s="11"/>
      <c r="W48" s="11"/>
    </row>
    <row r="49" spans="1:23" x14ac:dyDescent="0.25">
      <c r="A49" t="s">
        <v>318</v>
      </c>
      <c r="B49" s="36">
        <f>表_昆仑元气石必成[[#This Row],[进化金币(J)]]+IF(ISNUMBER(B48), B48, 表_昆仑元气石必成[[#Totals],[进化阶段]])</f>
        <v>1442.8958870967745</v>
      </c>
      <c r="C49" s="35">
        <f>表_昆仑元气石必成[[#This Row],[进化点券]]+IF(ISNUMBER(C48), C48, 0)</f>
        <v>61500</v>
      </c>
      <c r="D49" s="38">
        <f>IF(A49="○",SUMPRODUCT(表_昆仑元气石必成[[#This Row],[天元结晶]:[列12]],表_昆仑元气石必成[[#Totals],[天元结晶]:[列12]])+表_昆仑元气石必成[[#This Row],[手续费(J)]]*折扣,0)</f>
        <v>364.3986290322581</v>
      </c>
      <c r="E49" s="38">
        <f>IF(A49="○",SUMPRODUCT(表_昆仑元气石必成[[#This Row],[破天武魂神物]:[列16]],表_昆仑元气石必成[[#Totals],[破天武魂神物]:[列16]]),0)</f>
        <v>16500</v>
      </c>
      <c r="F49" s="39" t="s">
        <v>197</v>
      </c>
      <c r="G49" s="25">
        <v>50</v>
      </c>
      <c r="H49" s="25">
        <v>8</v>
      </c>
      <c r="I49" s="25"/>
      <c r="J49" s="25"/>
      <c r="K49" s="25">
        <v>4</v>
      </c>
      <c r="L49" s="25">
        <v>10</v>
      </c>
      <c r="M49" s="25">
        <v>19</v>
      </c>
      <c r="N49" s="25"/>
      <c r="O49" s="25"/>
      <c r="P49" s="25"/>
      <c r="Q49" s="25"/>
      <c r="R49" s="25"/>
      <c r="S49" s="31"/>
      <c r="T49" s="25">
        <v>11</v>
      </c>
      <c r="U49" s="25"/>
      <c r="V49" s="25"/>
      <c r="W49" s="25"/>
    </row>
    <row r="50" spans="1:23" x14ac:dyDescent="0.25">
      <c r="A50" t="s">
        <v>318</v>
      </c>
      <c r="B50" s="36">
        <f>表_昆仑元气石必成[[#This Row],[进化金币(J)]]+IF(ISNUMBER(B49), B49, 表_昆仑元气石必成[[#Totals],[进化阶段]])</f>
        <v>1925.6492741935485</v>
      </c>
      <c r="C50" s="35">
        <f>表_昆仑元气石必成[[#This Row],[进化点券]]+IF(ISNUMBER(C49), C49, 0)</f>
        <v>81000</v>
      </c>
      <c r="D50" s="36">
        <f>IF(A50="○",SUMPRODUCT(表_昆仑元气石必成[[#This Row],[天元结晶]:[列12]],表_昆仑元气石必成[[#Totals],[天元结晶]:[列12]])+表_昆仑元气石必成[[#This Row],[手续费(J)]]*折扣,0)</f>
        <v>482.75338709677419</v>
      </c>
      <c r="E50" s="36">
        <f>IF(A50="○",SUMPRODUCT(表_昆仑元气石必成[[#This Row],[破天武魂神物]:[列16]],表_昆仑元气石必成[[#Totals],[破天武魂神物]:[列16]]),0)</f>
        <v>19500</v>
      </c>
      <c r="F50" s="39" t="s">
        <v>198</v>
      </c>
      <c r="G50" s="11">
        <v>50</v>
      </c>
      <c r="H50" s="11">
        <v>11</v>
      </c>
      <c r="I50" s="11"/>
      <c r="J50" s="11"/>
      <c r="K50" s="11">
        <v>4</v>
      </c>
      <c r="L50" s="11">
        <v>13</v>
      </c>
      <c r="M50" s="11">
        <v>26</v>
      </c>
      <c r="N50" s="11"/>
      <c r="O50" s="11"/>
      <c r="P50" s="11"/>
      <c r="Q50" s="11"/>
      <c r="R50" s="11"/>
      <c r="S50" s="30"/>
      <c r="T50" s="11">
        <v>13</v>
      </c>
      <c r="U50" s="11"/>
      <c r="V50" s="11"/>
      <c r="W50" s="11"/>
    </row>
    <row r="51" spans="1:23" x14ac:dyDescent="0.25">
      <c r="A51" t="s">
        <v>318</v>
      </c>
      <c r="B51" s="36">
        <f>表_昆仑元气石必成[[#This Row],[进化金币(J)]]+IF(ISNUMBER(B50), B50, 表_昆仑元气石必成[[#Totals],[进化阶段]])</f>
        <v>2324.6587903225809</v>
      </c>
      <c r="C51" s="35">
        <f>表_昆仑元气石必成[[#This Row],[进化点券]]+IF(ISNUMBER(C50), C50, 0)</f>
        <v>83500</v>
      </c>
      <c r="D51" s="36">
        <f>IF(A51="○",SUMPRODUCT(表_昆仑元气石必成[[#This Row],[天元结晶]:[列12]],表_昆仑元气石必成[[#Totals],[天元结晶]:[列12]])+表_昆仑元气石必成[[#This Row],[手续费(J)]]*折扣,0)</f>
        <v>399.00951612903225</v>
      </c>
      <c r="E51" s="36">
        <f>IF(A51="○",SUMPRODUCT(表_昆仑元气石必成[[#This Row],[破天武魂神物]:[列16]],表_昆仑元气石必成[[#Totals],[破天武魂神物]:[列16]]),0)</f>
        <v>2500</v>
      </c>
      <c r="F51" s="40" t="s">
        <v>219</v>
      </c>
      <c r="G51" s="11">
        <v>30</v>
      </c>
      <c r="H51" s="11">
        <v>6</v>
      </c>
      <c r="I51" s="11">
        <v>1</v>
      </c>
      <c r="J51" s="11">
        <v>1</v>
      </c>
      <c r="K51" s="11"/>
      <c r="L51" s="11">
        <v>14</v>
      </c>
      <c r="M51" s="11">
        <v>14</v>
      </c>
      <c r="N51" s="11"/>
      <c r="O51" s="11"/>
      <c r="P51" s="11"/>
      <c r="Q51" s="11"/>
      <c r="R51" s="11"/>
      <c r="S51" s="30"/>
      <c r="T51" s="11"/>
      <c r="U51" s="11">
        <v>5</v>
      </c>
      <c r="V51" s="11"/>
      <c r="W51" s="11"/>
    </row>
    <row r="52" spans="1:23" x14ac:dyDescent="0.25">
      <c r="A52" t="s">
        <v>318</v>
      </c>
      <c r="B52" s="36">
        <f>表_昆仑元气石必成[[#This Row],[进化金币(J)]]+IF(ISNUMBER(B51), B51, 表_昆仑元气石必成[[#Totals],[进化阶段]])</f>
        <v>2923.8808870967746</v>
      </c>
      <c r="C52" s="35">
        <f>表_昆仑元气石必成[[#This Row],[进化点券]]+IF(ISNUMBER(C51), C51, 0)</f>
        <v>86500</v>
      </c>
      <c r="D52" s="36">
        <f>IF(A52="○",SUMPRODUCT(表_昆仑元气石必成[[#This Row],[天元结晶]:[列12]],表_昆仑元气石必成[[#Totals],[天元结晶]:[列12]])+表_昆仑元气石必成[[#This Row],[手续费(J)]]*折扣,0)</f>
        <v>599.22209677419357</v>
      </c>
      <c r="E52" s="36">
        <f>IF(A52="○",SUMPRODUCT(表_昆仑元气石必成[[#This Row],[破天武魂神物]:[列16]],表_昆仑元气石必成[[#Totals],[破天武魂神物]:[列16]]),0)</f>
        <v>3000</v>
      </c>
      <c r="F52" s="40" t="s">
        <v>213</v>
      </c>
      <c r="G52" s="11">
        <v>35</v>
      </c>
      <c r="H52" s="11">
        <v>6</v>
      </c>
      <c r="I52" s="11">
        <v>2</v>
      </c>
      <c r="J52" s="11">
        <v>2</v>
      </c>
      <c r="K52" s="11"/>
      <c r="L52" s="11">
        <v>18</v>
      </c>
      <c r="M52" s="11">
        <v>22</v>
      </c>
      <c r="N52" s="11"/>
      <c r="O52" s="11"/>
      <c r="P52" s="11"/>
      <c r="Q52" s="11"/>
      <c r="R52" s="11"/>
      <c r="S52" s="30"/>
      <c r="T52" s="11"/>
      <c r="U52" s="11">
        <v>6</v>
      </c>
      <c r="V52" s="11"/>
      <c r="W52" s="11"/>
    </row>
    <row r="53" spans="1:23" x14ac:dyDescent="0.25">
      <c r="A53" t="s">
        <v>318</v>
      </c>
      <c r="B53" s="36">
        <f>表_昆仑元气石必成[[#This Row],[进化金币(J)]]+IF(ISNUMBER(B52), B52, 表_昆仑元气石必成[[#Totals],[进化阶段]])</f>
        <v>3761.0233870967745</v>
      </c>
      <c r="C53" s="35">
        <f>表_昆仑元气石必成[[#This Row],[进化点券]]+IF(ISNUMBER(C52), C52, 0)</f>
        <v>90000</v>
      </c>
      <c r="D53" s="36">
        <f>IF(A53="○",SUMPRODUCT(表_昆仑元气石必成[[#This Row],[天元结晶]:[列12]],表_昆仑元气石必成[[#Totals],[天元结晶]:[列12]])+表_昆仑元气石必成[[#This Row],[手续费(J)]]*折扣,0)</f>
        <v>837.14249999999993</v>
      </c>
      <c r="E53" s="36">
        <f>IF(A53="○",SUMPRODUCT(表_昆仑元气石必成[[#This Row],[破天武魂神物]:[列16]],表_昆仑元气石必成[[#Totals],[破天武魂神物]:[列16]]),0)</f>
        <v>3500</v>
      </c>
      <c r="F53" s="40" t="s">
        <v>214</v>
      </c>
      <c r="G53" s="11">
        <v>40</v>
      </c>
      <c r="H53" s="11">
        <v>9</v>
      </c>
      <c r="I53" s="11">
        <v>3</v>
      </c>
      <c r="J53" s="11">
        <v>2</v>
      </c>
      <c r="K53" s="11"/>
      <c r="L53" s="11">
        <v>19</v>
      </c>
      <c r="M53" s="11">
        <v>31</v>
      </c>
      <c r="N53" s="11"/>
      <c r="O53" s="11"/>
      <c r="P53" s="11"/>
      <c r="Q53" s="11"/>
      <c r="R53" s="11"/>
      <c r="S53" s="30"/>
      <c r="T53" s="11"/>
      <c r="U53" s="11">
        <v>7</v>
      </c>
      <c r="V53" s="11"/>
      <c r="W53" s="11"/>
    </row>
    <row r="54" spans="1:23" x14ac:dyDescent="0.25">
      <c r="A54" t="s">
        <v>318</v>
      </c>
      <c r="B54" s="36">
        <f>表_昆仑元气石必成[[#This Row],[进化金币(J)]]+IF(ISNUMBER(B53), B53, 表_昆仑元气石必成[[#Totals],[进化阶段]])</f>
        <v>4748.5315322580645</v>
      </c>
      <c r="C54" s="35">
        <f>表_昆仑元气石必成[[#This Row],[进化点券]]+IF(ISNUMBER(C53), C53, 0)</f>
        <v>94000</v>
      </c>
      <c r="D54" s="36">
        <f>IF(A54="○",SUMPRODUCT(表_昆仑元气石必成[[#This Row],[天元结晶]:[列12]],表_昆仑元气石必成[[#Totals],[天元结晶]:[列12]])+表_昆仑元气石必成[[#This Row],[手续费(J)]]*折扣,0)</f>
        <v>987.50814516129026</v>
      </c>
      <c r="E54" s="36">
        <f>IF(A54="○",SUMPRODUCT(表_昆仑元气石必成[[#This Row],[破天武魂神物]:[列16]],表_昆仑元气石必成[[#Totals],[破天武魂神物]:[列16]]),0)</f>
        <v>4000</v>
      </c>
      <c r="F54" s="40" t="s">
        <v>215</v>
      </c>
      <c r="G54" s="11">
        <v>45</v>
      </c>
      <c r="H54" s="11">
        <v>10</v>
      </c>
      <c r="I54" s="11">
        <v>4</v>
      </c>
      <c r="J54" s="11">
        <v>2</v>
      </c>
      <c r="K54" s="11"/>
      <c r="L54" s="11">
        <v>25</v>
      </c>
      <c r="M54" s="11">
        <v>33</v>
      </c>
      <c r="N54" s="11"/>
      <c r="O54" s="11"/>
      <c r="P54" s="11"/>
      <c r="Q54" s="11"/>
      <c r="R54" s="11"/>
      <c r="S54" s="30"/>
      <c r="T54" s="11"/>
      <c r="U54" s="11">
        <v>8</v>
      </c>
      <c r="V54" s="11"/>
      <c r="W54" s="11"/>
    </row>
    <row r="55" spans="1:23" x14ac:dyDescent="0.25">
      <c r="A55" t="s">
        <v>318</v>
      </c>
      <c r="B55" s="36">
        <f>表_昆仑元气石必成[[#This Row],[进化金币(J)]]+IF(ISNUMBER(B54), B54, 表_昆仑元气石必成[[#Totals],[进化阶段]])</f>
        <v>5866.0441129032261</v>
      </c>
      <c r="C55" s="35">
        <f>表_昆仑元气石必成[[#This Row],[进化点券]]+IF(ISNUMBER(C54), C54, 0)</f>
        <v>98500</v>
      </c>
      <c r="D55" s="36">
        <f>IF(A55="○",SUMPRODUCT(表_昆仑元气石必成[[#This Row],[天元结晶]:[列12]],表_昆仑元气石必成[[#Totals],[天元结晶]:[列12]])+表_昆仑元气石必成[[#This Row],[手续费(J)]]*折扣,0)</f>
        <v>1117.5125806451613</v>
      </c>
      <c r="E55" s="36">
        <f>IF(A55="○",SUMPRODUCT(表_昆仑元气石必成[[#This Row],[破天武魂神物]:[列16]],表_昆仑元气石必成[[#Totals],[破天武魂神物]:[列16]]),0)</f>
        <v>4500</v>
      </c>
      <c r="F55" s="40" t="s">
        <v>216</v>
      </c>
      <c r="G55" s="11">
        <v>30</v>
      </c>
      <c r="H55" s="11">
        <v>11</v>
      </c>
      <c r="I55" s="11">
        <v>4</v>
      </c>
      <c r="J55" s="11">
        <v>2</v>
      </c>
      <c r="K55" s="11"/>
      <c r="L55" s="11">
        <v>27</v>
      </c>
      <c r="M55" s="11"/>
      <c r="N55" s="11">
        <v>2</v>
      </c>
      <c r="O55" s="11"/>
      <c r="P55" s="11"/>
      <c r="Q55" s="11"/>
      <c r="R55" s="11"/>
      <c r="S55" s="30"/>
      <c r="T55" s="11"/>
      <c r="U55" s="11">
        <v>9</v>
      </c>
      <c r="V55" s="11"/>
      <c r="W55" s="11"/>
    </row>
    <row r="56" spans="1:23" x14ac:dyDescent="0.25">
      <c r="A56" t="s">
        <v>318</v>
      </c>
      <c r="B56" s="36">
        <f>表_昆仑元气石必成[[#This Row],[进化金币(J)]]+IF(ISNUMBER(B55), B55, 表_昆仑元气石必成[[#Totals],[进化阶段]])</f>
        <v>7078.1066935483868</v>
      </c>
      <c r="C56" s="35">
        <f>表_昆仑元气石必成[[#This Row],[进化点券]]+IF(ISNUMBER(C55), C55, 0)</f>
        <v>103500</v>
      </c>
      <c r="D56" s="36">
        <f>IF(A56="○",SUMPRODUCT(表_昆仑元气石必成[[#This Row],[天元结晶]:[列12]],表_昆仑元气石必成[[#Totals],[天元结晶]:[列12]])+表_昆仑元气石必成[[#This Row],[手续费(J)]]*折扣,0)</f>
        <v>1212.0625806451612</v>
      </c>
      <c r="E56" s="36">
        <f>IF(A56="○",SUMPRODUCT(表_昆仑元气石必成[[#This Row],[破天武魂神物]:[列16]],表_昆仑元气石必成[[#Totals],[破天武魂神物]:[列16]]),0)</f>
        <v>5000</v>
      </c>
      <c r="F56" s="40" t="s">
        <v>217</v>
      </c>
      <c r="G56" s="11">
        <v>35</v>
      </c>
      <c r="H56" s="11">
        <v>15</v>
      </c>
      <c r="I56" s="11">
        <v>4</v>
      </c>
      <c r="J56" s="11">
        <v>2</v>
      </c>
      <c r="K56" s="11"/>
      <c r="L56" s="11">
        <v>35</v>
      </c>
      <c r="M56" s="11"/>
      <c r="N56" s="11">
        <v>2</v>
      </c>
      <c r="O56" s="11"/>
      <c r="P56" s="11"/>
      <c r="Q56" s="11"/>
      <c r="R56" s="11"/>
      <c r="S56" s="30"/>
      <c r="T56" s="11"/>
      <c r="U56" s="11">
        <v>10</v>
      </c>
      <c r="V56" s="11"/>
      <c r="W56" s="11"/>
    </row>
    <row r="57" spans="1:23" ht="15" thickBot="1" x14ac:dyDescent="0.3">
      <c r="A57" t="s">
        <v>318</v>
      </c>
      <c r="B57" s="38">
        <f>表_昆仑元气石必成[[#This Row],[进化金币(J)]]+IF(ISNUMBER(B56), B56, 表_昆仑元气石必成[[#Totals],[进化阶段]])</f>
        <v>8417.9692741935487</v>
      </c>
      <c r="C57" s="37">
        <f>表_昆仑元气石必成[[#This Row],[进化点券]]+IF(ISNUMBER(C56), C56, 0)</f>
        <v>109500</v>
      </c>
      <c r="D57" s="38">
        <f>IF(A57="○",SUMPRODUCT(表_昆仑元气石必成[[#This Row],[天元结晶]:[列12]],表_昆仑元气石必成[[#Totals],[天元结晶]:[列12]])+表_昆仑元气石必成[[#This Row],[手续费(J)]]*折扣,0)</f>
        <v>1339.8625806451612</v>
      </c>
      <c r="E57" s="38">
        <f>IF(A57="○",SUMPRODUCT(表_昆仑元气石必成[[#This Row],[破天武魂神物]:[列16]],表_昆仑元气石必成[[#Totals],[破天武魂神物]:[列16]]),0)</f>
        <v>6000</v>
      </c>
      <c r="F57" s="67" t="s">
        <v>218</v>
      </c>
      <c r="G57" s="25">
        <v>40</v>
      </c>
      <c r="H57" s="25">
        <v>21</v>
      </c>
      <c r="I57" s="25">
        <v>4</v>
      </c>
      <c r="J57" s="25">
        <v>2</v>
      </c>
      <c r="K57" s="25"/>
      <c r="L57" s="25">
        <v>38</v>
      </c>
      <c r="M57" s="25"/>
      <c r="N57" s="25">
        <v>2</v>
      </c>
      <c r="O57" s="25"/>
      <c r="P57" s="25"/>
      <c r="Q57" s="25"/>
      <c r="R57" s="25"/>
      <c r="S57" s="31"/>
      <c r="T57" s="25"/>
      <c r="U57" s="25">
        <v>12</v>
      </c>
      <c r="V57" s="25"/>
      <c r="W57" s="25"/>
    </row>
    <row r="58" spans="1:23" ht="15" thickTop="1" x14ac:dyDescent="0.25">
      <c r="B58" s="72">
        <f>SUBTOTAL(104,表_昆仑元气石必成[累计金币(J)])</f>
        <v>8417.9692741935487</v>
      </c>
      <c r="C58" s="72">
        <f>SUBTOTAL(104,表_昆仑元气石必成[累计点券])</f>
        <v>109500</v>
      </c>
      <c r="D58" s="73">
        <f>SUBTOTAL(109,表_昆仑元气石必成[进化金币(J)])</f>
        <v>8417.9692741935487</v>
      </c>
      <c r="E58" s="74">
        <f>SUBTOTAL(109,表_昆仑元气石必成[进化点券])</f>
        <v>109500</v>
      </c>
      <c r="F58" s="88"/>
      <c r="G58" s="76" t="s">
        <v>190</v>
      </c>
      <c r="H58" s="77">
        <f xml:space="preserve"> _xlfn.IFNA(VLOOKUP(表_昆仑元气石必成[[#Headers],[天元结晶]],金价一览,2,0), 0)</f>
        <v>20</v>
      </c>
      <c r="I58" s="77">
        <f xml:space="preserve"> _xlfn.IFNA(VLOOKUP(表_昆仑元气石必成[[#Headers],[黑风魂]],金价一览,2,0), 0)</f>
        <v>103</v>
      </c>
      <c r="J58" s="77">
        <f xml:space="preserve"> _xlfn.IFNA(VLOOKUP(表_昆仑元气石必成[[#Headers],[昆仑珠]],金价一览,2,0), 0)</f>
        <v>26</v>
      </c>
      <c r="K58" s="77">
        <f xml:space="preserve"> _xlfn.IFNA(VLOOKUP(表_昆仑元气石必成[[#Headers],[太阳珠]],金价一览,2,0), 0)</f>
        <v>1.5</v>
      </c>
      <c r="L58" s="77">
        <f xml:space="preserve"> _xlfn.IFNA(VLOOKUP(表_昆仑元气石必成[[#Headers],[月石]],金价一览,2,0), 0)</f>
        <v>1.35</v>
      </c>
      <c r="M58" s="77">
        <f xml:space="preserve"> _xlfn.IFNA(VLOOKUP(表_昆仑元气石必成[[#Headers],[进化石]],金价一览,2,0), 0)</f>
        <v>7.7578225806451613</v>
      </c>
      <c r="N58" s="77">
        <f xml:space="preserve"> _xlfn.IFNA(VLOOKUP(表_昆仑元气石必成[[#Headers],[高级进化石]],金价一览,2,0), 0)</f>
        <v>187.28129032258065</v>
      </c>
      <c r="O58" s="77">
        <f xml:space="preserve"> _xlfn.IFNA(VLOOKUP(表_昆仑元气石必成[[#Headers],[列8]],金价一览,2,0), 0)</f>
        <v>0</v>
      </c>
      <c r="P58" s="77">
        <f xml:space="preserve"> _xlfn.IFNA(VLOOKUP(表_昆仑元气石必成[[#Headers],[列9]],金价一览,2,0), 0)</f>
        <v>0</v>
      </c>
      <c r="Q58" s="77">
        <f xml:space="preserve"> _xlfn.IFNA(VLOOKUP(表_昆仑元气石必成[[#Headers],[列10]],金价一览,2,0), 0)</f>
        <v>0</v>
      </c>
      <c r="R58" s="77">
        <f xml:space="preserve"> _xlfn.IFNA(VLOOKUP(表_昆仑元气石必成[[#Headers],[列11]],金价一览,2,0), 0)</f>
        <v>0</v>
      </c>
      <c r="S58" s="77">
        <f xml:space="preserve"> _xlfn.IFNA(VLOOKUP(表_昆仑元气石必成[[#Headers],[列12]],金价一览,2,0), 0)</f>
        <v>0</v>
      </c>
      <c r="T58" s="78">
        <f>_xlfn.IFNA(VLOOKUP(表_昆仑元气石必成[[#Headers],[破天武魂神物]],点券一览,2,0),0)</f>
        <v>1500</v>
      </c>
      <c r="U58" s="78">
        <f>_xlfn.IFNA(VLOOKUP(表_昆仑元气石必成[[#Headers],[高级武魂神物]],点券一览,2,0),0)</f>
        <v>500</v>
      </c>
      <c r="V58" s="78">
        <f>_xlfn.IFNA(VLOOKUP(表_昆仑元气石必成[[#Headers],[列15]],点券一览,2,0),0)</f>
        <v>0</v>
      </c>
      <c r="W58" s="78">
        <f>_xlfn.IFNA(VLOOKUP(表_昆仑元气石必成[[#Headers],[列16]],点券一览,2,0),0)</f>
        <v>0</v>
      </c>
    </row>
    <row r="59" spans="1:23" x14ac:dyDescent="0.25">
      <c r="B59" s="188" t="s">
        <v>221</v>
      </c>
      <c r="C59" s="188"/>
      <c r="D59" s="188"/>
      <c r="E59" s="188"/>
      <c r="F59" s="189"/>
      <c r="G59" s="79" t="s">
        <v>224</v>
      </c>
      <c r="H59" s="52">
        <f>SUM(表_昆仑元气石必成[[#Data],[天元结晶]])</f>
        <v>126</v>
      </c>
      <c r="I59" s="52">
        <f>SUM(表_昆仑元气石必成[[#Data],[黑风魂]])</f>
        <v>22</v>
      </c>
      <c r="J59" s="52">
        <f>SUM(表_昆仑元气石必成[[#Data],[昆仑珠]])</f>
        <v>13</v>
      </c>
      <c r="K59" s="52">
        <f>SUM(表_昆仑元气石必成[[#Data],[太阳珠]])</f>
        <v>15</v>
      </c>
      <c r="L59" s="52">
        <f>SUM(表_昆仑元气石必成[[#Data],[月石]])</f>
        <v>231</v>
      </c>
      <c r="M59" s="52">
        <f>SUM(表_昆仑元气石必成[[#Data],[进化石]])</f>
        <v>183</v>
      </c>
      <c r="N59" s="52">
        <f>SUM(表_昆仑元气石必成[[#Data],[高级进化石]])</f>
        <v>6</v>
      </c>
      <c r="O59" s="52">
        <f>SUM(表_昆仑元气石必成[[#Data],[列8]])</f>
        <v>0</v>
      </c>
      <c r="P59" s="52">
        <f>SUM(表_昆仑元气石必成[[#Data],[列9]])</f>
        <v>0</v>
      </c>
      <c r="Q59" s="52">
        <f>SUM(表_昆仑元气石必成[[#Data],[列10]])</f>
        <v>0</v>
      </c>
      <c r="R59" s="52">
        <f>SUM(表_昆仑元气石必成[[#Data],[列11]])</f>
        <v>0</v>
      </c>
      <c r="S59" s="52">
        <f>SUM(表_昆仑元气石必成[[#Data],[列12]])</f>
        <v>0</v>
      </c>
      <c r="T59" s="52">
        <f>SUM(表_昆仑元气石必成[[#Data],[破天武魂神物]])</f>
        <v>54</v>
      </c>
      <c r="U59" s="52">
        <f>SUM(表_昆仑元气石必成[[#Data],[高级武魂神物]])</f>
        <v>57</v>
      </c>
      <c r="V59" s="52">
        <f>SUM(表_昆仑元气石必成[[#Data],[列15]])</f>
        <v>0</v>
      </c>
      <c r="W59" s="52">
        <f>SUM(表_昆仑元气石必成[[#Data],[列16]])</f>
        <v>0</v>
      </c>
    </row>
    <row r="60" spans="1:23" x14ac:dyDescent="0.25">
      <c r="B60" s="188"/>
      <c r="C60" s="188"/>
      <c r="D60" s="188"/>
      <c r="E60" s="188"/>
      <c r="F60" s="189"/>
      <c r="G60" s="80" t="s">
        <v>223</v>
      </c>
      <c r="H60" s="52">
        <f>H59*表_昆仑元气石必成[[#Totals],[天元结晶]]</f>
        <v>2520</v>
      </c>
      <c r="I60" s="52">
        <f>I59*表_昆仑元气石必成[[#Totals],[黑风魂]]</f>
        <v>2266</v>
      </c>
      <c r="J60" s="52">
        <f>J59*表_昆仑元气石必成[[#Totals],[昆仑珠]]</f>
        <v>338</v>
      </c>
      <c r="K60" s="52">
        <f>K59*表_昆仑元气石必成[[#Totals],[太阳珠]]</f>
        <v>22.5</v>
      </c>
      <c r="L60" s="52">
        <f>L59*表_昆仑元气石必成[[#Totals],[月石]]</f>
        <v>311.85000000000002</v>
      </c>
      <c r="M60" s="52">
        <f>M59*表_昆仑元气石必成[[#Totals],[进化石]]</f>
        <v>1419.6815322580644</v>
      </c>
      <c r="N60" s="52">
        <f>N59*表_昆仑元气石必成[[#Totals],[高级进化石]]</f>
        <v>1123.6877419354839</v>
      </c>
      <c r="O60" s="52">
        <f>O59*表_昆仑元气石必成[[#Totals],[列8]]</f>
        <v>0</v>
      </c>
      <c r="P60" s="52">
        <f>P59*表_昆仑元气石必成[[#Totals],[列9]]</f>
        <v>0</v>
      </c>
      <c r="Q60" s="52">
        <f>Q59*表_昆仑元气石必成[[#Totals],[列10]]</f>
        <v>0</v>
      </c>
      <c r="R60" s="52">
        <f>R59*表_昆仑元气石必成[[#Totals],[列11]]</f>
        <v>0</v>
      </c>
      <c r="S60" s="52">
        <f>S59*表_昆仑元气石必成[[#Totals],[列12]]</f>
        <v>0</v>
      </c>
      <c r="T60" s="52">
        <f>T59*表_昆仑元气石必成[[#Totals],[破天武魂神物]]</f>
        <v>81000</v>
      </c>
      <c r="U60" s="52">
        <f>U59*表_昆仑元气石必成[[#Totals],[高级武魂神物]]</f>
        <v>28500</v>
      </c>
      <c r="V60" s="52">
        <f>V59*表_昆仑元气石必成[[#Totals],[列15]]</f>
        <v>0</v>
      </c>
      <c r="W60" s="52">
        <f>W59*表_昆仑元气石必成[[#Totals],[列16]]</f>
        <v>0</v>
      </c>
    </row>
    <row r="88" spans="1:23" x14ac:dyDescent="0.25">
      <c r="B88" s="28" t="s">
        <v>409</v>
      </c>
      <c r="H88" s="43" t="s">
        <v>212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42" t="s">
        <v>211</v>
      </c>
      <c r="U88" s="41"/>
      <c r="V88" s="41"/>
      <c r="W88" s="41"/>
    </row>
    <row r="89" spans="1:23" ht="34.200000000000003" customHeight="1" thickBot="1" x14ac:dyDescent="0.3">
      <c r="B89" s="57" t="s">
        <v>187</v>
      </c>
      <c r="C89" s="57" t="s">
        <v>186</v>
      </c>
      <c r="D89" s="98" t="s">
        <v>253</v>
      </c>
      <c r="E89" s="98" t="s">
        <v>255</v>
      </c>
      <c r="F89" s="58" t="s">
        <v>181</v>
      </c>
      <c r="G89" s="58" t="s">
        <v>185</v>
      </c>
      <c r="H89" s="59" t="s">
        <v>157</v>
      </c>
      <c r="I89" s="60" t="s">
        <v>158</v>
      </c>
      <c r="J89" s="60" t="s">
        <v>159</v>
      </c>
      <c r="K89" s="60" t="s">
        <v>189</v>
      </c>
      <c r="L89" s="60" t="s">
        <v>199</v>
      </c>
      <c r="M89" s="60" t="s">
        <v>200</v>
      </c>
      <c r="N89" s="60" t="s">
        <v>201</v>
      </c>
      <c r="O89" s="60" t="s">
        <v>202</v>
      </c>
      <c r="P89" s="60" t="s">
        <v>203</v>
      </c>
      <c r="Q89" s="60" t="s">
        <v>204</v>
      </c>
      <c r="R89" s="60" t="s">
        <v>205</v>
      </c>
      <c r="S89" s="61" t="s">
        <v>206</v>
      </c>
      <c r="T89" s="62" t="s">
        <v>207</v>
      </c>
      <c r="U89" s="62" t="s">
        <v>208</v>
      </c>
      <c r="V89" s="62" t="s">
        <v>209</v>
      </c>
      <c r="W89" s="62" t="s">
        <v>210</v>
      </c>
    </row>
    <row r="90" spans="1:23" ht="15" thickTop="1" x14ac:dyDescent="0.25">
      <c r="A90" t="s">
        <v>318</v>
      </c>
      <c r="B90" s="55">
        <f>表模板_39[[#This Row],[进化金币(J)]]+IF(ISNUMBER(B89), B89, 表模板_39[[#Totals],[进化阶段]])</f>
        <v>0</v>
      </c>
      <c r="C90" s="54">
        <f>表模板_39[[#This Row],[进化点券]]+IF(ISNUMBER(C89), C89, 0)</f>
        <v>0</v>
      </c>
      <c r="D90" s="55">
        <f>IF(A90="○",SUMPRODUCT(表模板_39[[#This Row],[列1]:[列12]],表模板_39[[#Totals],[列1]:[列12]])+表模板_39[[#This Row],[手续费(J)]]*折扣,0)</f>
        <v>0</v>
      </c>
      <c r="E90" s="55">
        <f>IF(A90="○",SUMPRODUCT(表模板_39[[#This Row],[列13]:[列16]],表模板_39[[#Totals],[列13]:[列16]]),0)</f>
        <v>0</v>
      </c>
      <c r="F90" s="56" t="s">
        <v>192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2"/>
      <c r="T90" s="34"/>
      <c r="U90" s="34"/>
      <c r="V90" s="34"/>
      <c r="W90" s="34"/>
    </row>
    <row r="91" spans="1:23" x14ac:dyDescent="0.25">
      <c r="A91" t="s">
        <v>318</v>
      </c>
      <c r="B91" s="36">
        <f>表模板_39[[#This Row],[进化金币(J)]]+IF(ISNUMBER(B90), B90, 表模板_39[[#Totals],[进化阶段]])</f>
        <v>0</v>
      </c>
      <c r="C91" s="35">
        <f>表模板_39[[#This Row],[进化点券]]+IF(ISNUMBER(C90), C90, 0)</f>
        <v>0</v>
      </c>
      <c r="D91" s="36">
        <f>IF(A91="○",SUMPRODUCT(表模板_39[[#This Row],[列1]:[列12]],表模板_39[[#Totals],[列1]:[列12]])+表模板_39[[#This Row],[手续费(J)]]*折扣,0)</f>
        <v>0</v>
      </c>
      <c r="E91" s="36">
        <f>IF(A91="○",SUMPRODUCT(表模板_39[[#This Row],[列13]:[列16]],表模板_39[[#Totals],[列13]:[列16]]),0)</f>
        <v>0</v>
      </c>
      <c r="F91" s="39" t="s">
        <v>193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30"/>
      <c r="T91" s="34"/>
      <c r="U91" s="34"/>
      <c r="V91" s="34"/>
      <c r="W91" s="34"/>
    </row>
    <row r="92" spans="1:23" x14ac:dyDescent="0.25">
      <c r="A92" t="s">
        <v>318</v>
      </c>
      <c r="B92" s="36">
        <f>表模板_39[[#This Row],[进化金币(J)]]+IF(ISNUMBER(B91), B91, 表模板_39[[#Totals],[进化阶段]])</f>
        <v>0</v>
      </c>
      <c r="C92" s="35">
        <f>表模板_39[[#This Row],[进化点券]]+IF(ISNUMBER(C91), C91, 0)</f>
        <v>0</v>
      </c>
      <c r="D92" s="36">
        <f>IF(A92="○",SUMPRODUCT(表模板_39[[#This Row],[列1]:[列12]],表模板_39[[#Totals],[列1]:[列12]])+表模板_39[[#This Row],[手续费(J)]]*折扣,0)</f>
        <v>0</v>
      </c>
      <c r="E92" s="36">
        <f>IF(A92="○",SUMPRODUCT(表模板_39[[#This Row],[列13]:[列16]],表模板_39[[#Totals],[列13]:[列16]]),0)</f>
        <v>0</v>
      </c>
      <c r="F92" s="39" t="s">
        <v>194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30"/>
      <c r="T92" s="34"/>
      <c r="U92" s="34"/>
      <c r="V92" s="34"/>
      <c r="W92" s="34"/>
    </row>
    <row r="93" spans="1:23" x14ac:dyDescent="0.25">
      <c r="A93" t="s">
        <v>318</v>
      </c>
      <c r="B93" s="36">
        <f>表模板_39[[#This Row],[进化金币(J)]]+IF(ISNUMBER(B92), B92, 表模板_39[[#Totals],[进化阶段]])</f>
        <v>0</v>
      </c>
      <c r="C93" s="35">
        <f>表模板_39[[#This Row],[进化点券]]+IF(ISNUMBER(C92), C92, 0)</f>
        <v>0</v>
      </c>
      <c r="D93" s="36">
        <f>IF(A93="○",SUMPRODUCT(表模板_39[[#This Row],[列1]:[列12]],表模板_39[[#Totals],[列1]:[列12]])+表模板_39[[#This Row],[手续费(J)]]*折扣,0)</f>
        <v>0</v>
      </c>
      <c r="E93" s="36">
        <f>IF(A93="○",SUMPRODUCT(表模板_39[[#This Row],[列13]:[列16]],表模板_39[[#Totals],[列13]:[列16]]),0)</f>
        <v>0</v>
      </c>
      <c r="F93" s="39" t="s">
        <v>195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30"/>
      <c r="T93" s="34"/>
      <c r="U93" s="34"/>
      <c r="V93" s="34"/>
      <c r="W93" s="34"/>
    </row>
    <row r="94" spans="1:23" x14ac:dyDescent="0.25">
      <c r="A94" t="s">
        <v>318</v>
      </c>
      <c r="B94" s="36">
        <f>表模板_39[[#This Row],[进化金币(J)]]+IF(ISNUMBER(B93), B93, 表模板_39[[#Totals],[进化阶段]])</f>
        <v>0</v>
      </c>
      <c r="C94" s="35">
        <f>表模板_39[[#This Row],[进化点券]]+IF(ISNUMBER(C93), C93, 0)</f>
        <v>0</v>
      </c>
      <c r="D94" s="36">
        <f>IF(A94="○",SUMPRODUCT(表模板_39[[#This Row],[列1]:[列12]],表模板_39[[#Totals],[列1]:[列12]])+表模板_39[[#This Row],[手续费(J)]]*折扣,0)</f>
        <v>0</v>
      </c>
      <c r="E94" s="36">
        <f>IF(A94="○",SUMPRODUCT(表模板_39[[#This Row],[列13]:[列16]],表模板_39[[#Totals],[列13]:[列16]]),0)</f>
        <v>0</v>
      </c>
      <c r="F94" s="39" t="s">
        <v>196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30"/>
      <c r="T94" s="11"/>
      <c r="U94" s="11"/>
      <c r="V94" s="11"/>
      <c r="W94" s="11"/>
    </row>
    <row r="95" spans="1:23" x14ac:dyDescent="0.25">
      <c r="A95" t="s">
        <v>318</v>
      </c>
      <c r="B95" s="36">
        <f>表模板_39[[#This Row],[进化金币(J)]]+IF(ISNUMBER(B94), B94, 表模板_39[[#Totals],[进化阶段]])</f>
        <v>0</v>
      </c>
      <c r="C95" s="35">
        <f>表模板_39[[#This Row],[进化点券]]+IF(ISNUMBER(C94), C94, 0)</f>
        <v>0</v>
      </c>
      <c r="D95" s="38">
        <f>IF(A95="○",SUMPRODUCT(表模板_39[[#This Row],[列1]:[列12]],表模板_39[[#Totals],[列1]:[列12]])+表模板_39[[#This Row],[手续费(J)]]*折扣,0)</f>
        <v>0</v>
      </c>
      <c r="E95" s="38">
        <f>IF(A95="○",SUMPRODUCT(表模板_39[[#This Row],[列13]:[列16]],表模板_39[[#Totals],[列13]:[列16]]),0)</f>
        <v>0</v>
      </c>
      <c r="F95" s="39" t="s">
        <v>197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31"/>
      <c r="T95" s="25"/>
      <c r="U95" s="25"/>
      <c r="V95" s="25"/>
      <c r="W95" s="25"/>
    </row>
    <row r="96" spans="1:23" x14ac:dyDescent="0.25">
      <c r="A96" t="s">
        <v>318</v>
      </c>
      <c r="B96" s="36">
        <f>表模板_39[[#This Row],[进化金币(J)]]+IF(ISNUMBER(B95), B95, 表模板_39[[#Totals],[进化阶段]])</f>
        <v>0</v>
      </c>
      <c r="C96" s="35">
        <f>表模板_39[[#This Row],[进化点券]]+IF(ISNUMBER(C95), C95, 0)</f>
        <v>0</v>
      </c>
      <c r="D96" s="36">
        <f>IF(A96="○",SUMPRODUCT(表模板_39[[#This Row],[列1]:[列12]],表模板_39[[#Totals],[列1]:[列12]])+表模板_39[[#This Row],[手续费(J)]]*折扣,0)</f>
        <v>0</v>
      </c>
      <c r="E96" s="36">
        <f>IF(A96="○",SUMPRODUCT(表模板_39[[#This Row],[列13]:[列16]],表模板_39[[#Totals],[列13]:[列16]]),0)</f>
        <v>0</v>
      </c>
      <c r="F96" s="39" t="s">
        <v>198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30"/>
      <c r="T96" s="11"/>
      <c r="U96" s="11"/>
      <c r="V96" s="11"/>
      <c r="W96" s="11"/>
    </row>
    <row r="97" spans="1:23" x14ac:dyDescent="0.25">
      <c r="A97" t="s">
        <v>318</v>
      </c>
      <c r="B97" s="36">
        <f>表模板_39[[#This Row],[进化金币(J)]]+IF(ISNUMBER(B96), B96, 表模板_39[[#Totals],[进化阶段]])</f>
        <v>0</v>
      </c>
      <c r="C97" s="35">
        <f>表模板_39[[#This Row],[进化点券]]+IF(ISNUMBER(C96), C96, 0)</f>
        <v>0</v>
      </c>
      <c r="D97" s="36">
        <f>IF(A97="○",SUMPRODUCT(表模板_39[[#This Row],[列1]:[列12]],表模板_39[[#Totals],[列1]:[列12]])+表模板_39[[#This Row],[手续费(J)]]*折扣,0)</f>
        <v>0</v>
      </c>
      <c r="E97" s="36">
        <f>IF(A97="○",SUMPRODUCT(表模板_39[[#This Row],[列13]:[列16]],表模板_39[[#Totals],[列13]:[列16]]),0)</f>
        <v>0</v>
      </c>
      <c r="F97" s="40" t="s">
        <v>219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30"/>
      <c r="T97" s="11"/>
      <c r="U97" s="11"/>
      <c r="V97" s="11"/>
      <c r="W97" s="11"/>
    </row>
    <row r="98" spans="1:23" x14ac:dyDescent="0.25">
      <c r="A98" t="s">
        <v>318</v>
      </c>
      <c r="B98" s="36">
        <f>表模板_39[[#This Row],[进化金币(J)]]+IF(ISNUMBER(B97), B97, 表模板_39[[#Totals],[进化阶段]])</f>
        <v>0</v>
      </c>
      <c r="C98" s="35">
        <f>表模板_39[[#This Row],[进化点券]]+IF(ISNUMBER(C97), C97, 0)</f>
        <v>0</v>
      </c>
      <c r="D98" s="36">
        <f>IF(A98="○",SUMPRODUCT(表模板_39[[#This Row],[列1]:[列12]],表模板_39[[#Totals],[列1]:[列12]])+表模板_39[[#This Row],[手续费(J)]]*折扣,0)</f>
        <v>0</v>
      </c>
      <c r="E98" s="36">
        <f>IF(A98="○",SUMPRODUCT(表模板_39[[#This Row],[列13]:[列16]],表模板_39[[#Totals],[列13]:[列16]]),0)</f>
        <v>0</v>
      </c>
      <c r="F98" s="40" t="s">
        <v>213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30"/>
      <c r="T98" s="11"/>
      <c r="U98" s="11"/>
      <c r="V98" s="11"/>
      <c r="W98" s="11"/>
    </row>
    <row r="99" spans="1:23" x14ac:dyDescent="0.25">
      <c r="A99" t="s">
        <v>318</v>
      </c>
      <c r="B99" s="36">
        <f>表模板_39[[#This Row],[进化金币(J)]]+IF(ISNUMBER(B98), B98, 表模板_39[[#Totals],[进化阶段]])</f>
        <v>0</v>
      </c>
      <c r="C99" s="35">
        <f>表模板_39[[#This Row],[进化点券]]+IF(ISNUMBER(C98), C98, 0)</f>
        <v>0</v>
      </c>
      <c r="D99" s="36">
        <f>IF(A99="○",SUMPRODUCT(表模板_39[[#This Row],[列1]:[列12]],表模板_39[[#Totals],[列1]:[列12]])+表模板_39[[#This Row],[手续费(J)]]*折扣,0)</f>
        <v>0</v>
      </c>
      <c r="E99" s="36">
        <f>IF(A99="○",SUMPRODUCT(表模板_39[[#This Row],[列13]:[列16]],表模板_39[[#Totals],[列13]:[列16]]),0)</f>
        <v>0</v>
      </c>
      <c r="F99" s="40" t="s">
        <v>214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30"/>
      <c r="T99" s="11"/>
      <c r="U99" s="11"/>
      <c r="V99" s="11"/>
      <c r="W99" s="11"/>
    </row>
    <row r="100" spans="1:23" x14ac:dyDescent="0.25">
      <c r="A100" t="s">
        <v>318</v>
      </c>
      <c r="B100" s="36">
        <f>表模板_39[[#This Row],[进化金币(J)]]+IF(ISNUMBER(B99), B99, 表模板_39[[#Totals],[进化阶段]])</f>
        <v>0</v>
      </c>
      <c r="C100" s="35">
        <f>表模板_39[[#This Row],[进化点券]]+IF(ISNUMBER(C99), C99, 0)</f>
        <v>0</v>
      </c>
      <c r="D100" s="36">
        <f>IF(A100="○",SUMPRODUCT(表模板_39[[#This Row],[列1]:[列12]],表模板_39[[#Totals],[列1]:[列12]])+表模板_39[[#This Row],[手续费(J)]]*折扣,0)</f>
        <v>0</v>
      </c>
      <c r="E100" s="36">
        <f>IF(A100="○",SUMPRODUCT(表模板_39[[#This Row],[列13]:[列16]],表模板_39[[#Totals],[列13]:[列16]]),0)</f>
        <v>0</v>
      </c>
      <c r="F100" s="40" t="s">
        <v>215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30"/>
      <c r="T100" s="11"/>
      <c r="U100" s="11"/>
      <c r="V100" s="11"/>
      <c r="W100" s="11"/>
    </row>
    <row r="101" spans="1:23" x14ac:dyDescent="0.25">
      <c r="A101" t="s">
        <v>318</v>
      </c>
      <c r="B101" s="36">
        <f>表模板_39[[#This Row],[进化金币(J)]]+IF(ISNUMBER(B100), B100, 表模板_39[[#Totals],[进化阶段]])</f>
        <v>0</v>
      </c>
      <c r="C101" s="35">
        <f>表模板_39[[#This Row],[进化点券]]+IF(ISNUMBER(C100), C100, 0)</f>
        <v>0</v>
      </c>
      <c r="D101" s="36">
        <f>IF(A101="○",SUMPRODUCT(表模板_39[[#This Row],[列1]:[列12]],表模板_39[[#Totals],[列1]:[列12]])+表模板_39[[#This Row],[手续费(J)]]*折扣,0)</f>
        <v>0</v>
      </c>
      <c r="E101" s="36">
        <f>IF(A101="○",SUMPRODUCT(表模板_39[[#This Row],[列13]:[列16]],表模板_39[[#Totals],[列13]:[列16]]),0)</f>
        <v>0</v>
      </c>
      <c r="F101" s="40" t="s">
        <v>216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30"/>
      <c r="T101" s="11"/>
      <c r="U101" s="11"/>
      <c r="V101" s="11"/>
      <c r="W101" s="11"/>
    </row>
    <row r="102" spans="1:23" x14ac:dyDescent="0.25">
      <c r="A102" t="s">
        <v>318</v>
      </c>
      <c r="B102" s="36">
        <f>表模板_39[[#This Row],[进化金币(J)]]+IF(ISNUMBER(B101), B101, 表模板_39[[#Totals],[进化阶段]])</f>
        <v>0</v>
      </c>
      <c r="C102" s="35">
        <f>表模板_39[[#This Row],[进化点券]]+IF(ISNUMBER(C101), C101, 0)</f>
        <v>0</v>
      </c>
      <c r="D102" s="36">
        <f>IF(A102="○",SUMPRODUCT(表模板_39[[#This Row],[列1]:[列12]],表模板_39[[#Totals],[列1]:[列12]])+表模板_39[[#This Row],[手续费(J)]]*折扣,0)</f>
        <v>0</v>
      </c>
      <c r="E102" s="36">
        <f>IF(A102="○",SUMPRODUCT(表模板_39[[#This Row],[列13]:[列16]],表模板_39[[#Totals],[列13]:[列16]]),0)</f>
        <v>0</v>
      </c>
      <c r="F102" s="40" t="s">
        <v>217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30"/>
      <c r="T102" s="11"/>
      <c r="U102" s="11"/>
      <c r="V102" s="11"/>
      <c r="W102" s="11"/>
    </row>
    <row r="103" spans="1:23" ht="15" thickBot="1" x14ac:dyDescent="0.3">
      <c r="A103" t="s">
        <v>318</v>
      </c>
      <c r="B103" s="38">
        <f>表模板_39[[#This Row],[进化金币(J)]]+IF(ISNUMBER(B102), B102, 表模板_39[[#Totals],[进化阶段]])</f>
        <v>0</v>
      </c>
      <c r="C103" s="37">
        <f>表模板_39[[#This Row],[进化点券]]+IF(ISNUMBER(C102), C102, 0)</f>
        <v>0</v>
      </c>
      <c r="D103" s="38">
        <f>IF(A103="○",SUMPRODUCT(表模板_39[[#This Row],[列1]:[列12]],表模板_39[[#Totals],[列1]:[列12]])+表模板_39[[#This Row],[手续费(J)]]*折扣,0)</f>
        <v>0</v>
      </c>
      <c r="E103" s="38">
        <f>IF(A103="○",SUMPRODUCT(表模板_39[[#This Row],[列13]:[列16]],表模板_39[[#Totals],[列13]:[列16]]),0)</f>
        <v>0</v>
      </c>
      <c r="F103" s="67" t="s">
        <v>218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31"/>
      <c r="T103" s="25"/>
      <c r="U103" s="25"/>
      <c r="V103" s="25"/>
      <c r="W103" s="25"/>
    </row>
    <row r="104" spans="1:23" ht="15" thickTop="1" x14ac:dyDescent="0.25">
      <c r="B104" s="72">
        <f>SUBTOTAL(104,表模板_39[累计金币(J)])</f>
        <v>0</v>
      </c>
      <c r="C104" s="72">
        <f>SUBTOTAL(104,表模板_39[累计点券])</f>
        <v>0</v>
      </c>
      <c r="D104" s="73">
        <f>SUBTOTAL(109,表模板_39[进化金币(J)])</f>
        <v>0</v>
      </c>
      <c r="E104" s="74">
        <f>SUBTOTAL(109,表模板_39[进化点券])</f>
        <v>0</v>
      </c>
      <c r="F104" s="88"/>
      <c r="G104" s="76" t="s">
        <v>190</v>
      </c>
      <c r="H104" s="77">
        <f xml:space="preserve"> _xlfn.IFNA(VLOOKUP(表模板_39[[#Headers],[列1]],金价一览,2,0), 0)</f>
        <v>0</v>
      </c>
      <c r="I104" s="77">
        <f xml:space="preserve"> _xlfn.IFNA(VLOOKUP(表模板_39[[#Headers],[列2]],金价一览,2,0), 0)</f>
        <v>0</v>
      </c>
      <c r="J104" s="77">
        <f xml:space="preserve"> _xlfn.IFNA(VLOOKUP(表模板_39[[#Headers],[列3]],金价一览,2,0), 0)</f>
        <v>0</v>
      </c>
      <c r="K104" s="77">
        <f xml:space="preserve"> _xlfn.IFNA(VLOOKUP(表模板_39[[#Headers],[列4]],金价一览,2,0), 0)</f>
        <v>0</v>
      </c>
      <c r="L104" s="77">
        <f xml:space="preserve"> _xlfn.IFNA(VLOOKUP(表模板_39[[#Headers],[列5]],金价一览,2,0), 0)</f>
        <v>0</v>
      </c>
      <c r="M104" s="77">
        <f xml:space="preserve"> _xlfn.IFNA(VLOOKUP(表模板_39[[#Headers],[列6]],金价一览,2,0), 0)</f>
        <v>0</v>
      </c>
      <c r="N104" s="77">
        <f xml:space="preserve"> _xlfn.IFNA(VLOOKUP(表模板_39[[#Headers],[列7]],金价一览,2,0), 0)</f>
        <v>0</v>
      </c>
      <c r="O104" s="77">
        <f xml:space="preserve"> _xlfn.IFNA(VLOOKUP(表模板_39[[#Headers],[列8]],金价一览,2,0), 0)</f>
        <v>0</v>
      </c>
      <c r="P104" s="77">
        <f xml:space="preserve"> _xlfn.IFNA(VLOOKUP(表模板_39[[#Headers],[列9]],金价一览,2,0), 0)</f>
        <v>0</v>
      </c>
      <c r="Q104" s="77">
        <f xml:space="preserve"> _xlfn.IFNA(VLOOKUP(表模板_39[[#Headers],[列10]],金价一览,2,0), 0)</f>
        <v>0</v>
      </c>
      <c r="R104" s="77">
        <f xml:space="preserve"> _xlfn.IFNA(VLOOKUP(表模板_39[[#Headers],[列11]],金价一览,2,0), 0)</f>
        <v>0</v>
      </c>
      <c r="S104" s="77">
        <f xml:space="preserve"> _xlfn.IFNA(VLOOKUP(表模板_39[[#Headers],[列12]],金价一览,2,0), 0)</f>
        <v>0</v>
      </c>
      <c r="T104" s="78">
        <f>_xlfn.IFNA(VLOOKUP(表模板_39[[#Headers],[列13]],点券一览,2,0),0)</f>
        <v>0</v>
      </c>
      <c r="U104" s="78">
        <f>_xlfn.IFNA(VLOOKUP(表模板_39[[#Headers],[列14]],点券一览,2,0),0)</f>
        <v>0</v>
      </c>
      <c r="V104" s="78">
        <f>_xlfn.IFNA(VLOOKUP(表模板_39[[#Headers],[列15]],点券一览,2,0),0)</f>
        <v>0</v>
      </c>
      <c r="W104" s="78">
        <f>_xlfn.IFNA(VLOOKUP(表模板_39[[#Headers],[列16]],点券一览,2,0),0)</f>
        <v>0</v>
      </c>
    </row>
    <row r="105" spans="1:23" x14ac:dyDescent="0.25">
      <c r="B105" s="188" t="s">
        <v>221</v>
      </c>
      <c r="C105" s="188"/>
      <c r="D105" s="188"/>
      <c r="E105" s="188"/>
      <c r="F105" s="189"/>
      <c r="G105" s="79" t="s">
        <v>224</v>
      </c>
      <c r="H105" s="52">
        <f>SUM(表模板_39[[#Data],[列1]])</f>
        <v>0</v>
      </c>
      <c r="I105" s="52">
        <f>SUM(表模板_39[[#Data],[列2]])</f>
        <v>0</v>
      </c>
      <c r="J105" s="52">
        <f>SUM(表模板_39[[#Data],[列3]])</f>
        <v>0</v>
      </c>
      <c r="K105" s="52">
        <f>SUM(表模板_39[[#Data],[列4]])</f>
        <v>0</v>
      </c>
      <c r="L105" s="52">
        <f>SUM(表模板_39[[#Data],[列5]])</f>
        <v>0</v>
      </c>
      <c r="M105" s="52">
        <f>SUM(表模板_39[[#Data],[列6]])</f>
        <v>0</v>
      </c>
      <c r="N105" s="52">
        <f>SUM(表模板_39[[#Data],[列7]])</f>
        <v>0</v>
      </c>
      <c r="O105" s="52">
        <f>SUM(表模板_39[[#Data],[列8]])</f>
        <v>0</v>
      </c>
      <c r="P105" s="52">
        <f>SUM(表模板_39[[#Data],[列9]])</f>
        <v>0</v>
      </c>
      <c r="Q105" s="52">
        <f>SUM(表模板_39[[#Data],[列10]])</f>
        <v>0</v>
      </c>
      <c r="R105" s="52">
        <f>SUM(表模板_39[[#Data],[列11]])</f>
        <v>0</v>
      </c>
      <c r="S105" s="52">
        <f>SUM(表模板_39[[#Data],[列12]])</f>
        <v>0</v>
      </c>
      <c r="T105" s="52">
        <f>SUM(表模板_39[[#Data],[列13]])</f>
        <v>0</v>
      </c>
      <c r="U105" s="52">
        <f>SUM(表模板_39[[#Data],[列14]])</f>
        <v>0</v>
      </c>
      <c r="V105" s="52">
        <f>SUM(表模板_39[[#Data],[列15]])</f>
        <v>0</v>
      </c>
      <c r="W105" s="52">
        <f>SUM(表模板_39[[#Data],[列16]])</f>
        <v>0</v>
      </c>
    </row>
    <row r="106" spans="1:23" x14ac:dyDescent="0.25">
      <c r="B106" s="188"/>
      <c r="C106" s="188"/>
      <c r="D106" s="188"/>
      <c r="E106" s="188"/>
      <c r="F106" s="189"/>
      <c r="G106" s="80" t="s">
        <v>223</v>
      </c>
      <c r="H106" s="52">
        <f>H105*表模板_39[[#Totals],[列1]]</f>
        <v>0</v>
      </c>
      <c r="I106" s="52">
        <f>I105*表模板_39[[#Totals],[列2]]</f>
        <v>0</v>
      </c>
      <c r="J106" s="52">
        <f>J105*表模板_39[[#Totals],[列3]]</f>
        <v>0</v>
      </c>
      <c r="K106" s="52">
        <f>K105*表模板_39[[#Totals],[列4]]</f>
        <v>0</v>
      </c>
      <c r="L106" s="52">
        <f>L105*表模板_39[[#Totals],[列5]]</f>
        <v>0</v>
      </c>
      <c r="M106" s="52">
        <f>M105*表模板_39[[#Totals],[列6]]</f>
        <v>0</v>
      </c>
      <c r="N106" s="52">
        <f>N105*表模板_39[[#Totals],[列7]]</f>
        <v>0</v>
      </c>
      <c r="O106" s="52">
        <f>O105*表模板_39[[#Totals],[列8]]</f>
        <v>0</v>
      </c>
      <c r="P106" s="52">
        <f>P105*表模板_39[[#Totals],[列9]]</f>
        <v>0</v>
      </c>
      <c r="Q106" s="52">
        <f>Q105*表模板_39[[#Totals],[列10]]</f>
        <v>0</v>
      </c>
      <c r="R106" s="52">
        <f>R105*表模板_39[[#Totals],[列11]]</f>
        <v>0</v>
      </c>
      <c r="S106" s="52">
        <f>S105*表模板_39[[#Totals],[列12]]</f>
        <v>0</v>
      </c>
      <c r="T106" s="52">
        <f>T105*表模板_39[[#Totals],[列13]]</f>
        <v>0</v>
      </c>
      <c r="U106" s="52">
        <f>U105*表模板_39[[#Totals],[列14]]</f>
        <v>0</v>
      </c>
      <c r="V106" s="52">
        <f>V105*表模板_39[[#Totals],[列15]]</f>
        <v>0</v>
      </c>
      <c r="W106" s="52">
        <f>W105*表模板_39[[#Totals],[列16]]</f>
        <v>0</v>
      </c>
    </row>
    <row r="119" spans="1:23" x14ac:dyDescent="0.25">
      <c r="B119" s="28" t="s">
        <v>405</v>
      </c>
      <c r="H119" s="43" t="s">
        <v>212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42" t="s">
        <v>211</v>
      </c>
      <c r="U119" s="41"/>
      <c r="V119" s="41"/>
      <c r="W119" s="41"/>
    </row>
    <row r="120" spans="1:23" ht="34.200000000000003" customHeight="1" thickBot="1" x14ac:dyDescent="0.3">
      <c r="B120" s="57" t="s">
        <v>187</v>
      </c>
      <c r="C120" s="57" t="s">
        <v>186</v>
      </c>
      <c r="D120" s="98" t="s">
        <v>253</v>
      </c>
      <c r="E120" s="98" t="s">
        <v>255</v>
      </c>
      <c r="F120" s="58" t="s">
        <v>181</v>
      </c>
      <c r="G120" s="58" t="s">
        <v>185</v>
      </c>
      <c r="H120" s="59" t="s">
        <v>124</v>
      </c>
      <c r="I120" s="60" t="s">
        <v>406</v>
      </c>
      <c r="J120" s="60" t="s">
        <v>133</v>
      </c>
      <c r="K120" s="60" t="s">
        <v>122</v>
      </c>
      <c r="L120" s="60" t="s">
        <v>129</v>
      </c>
      <c r="M120" s="60" t="s">
        <v>248</v>
      </c>
      <c r="N120" s="60" t="s">
        <v>3</v>
      </c>
      <c r="O120" s="60" t="s">
        <v>2</v>
      </c>
      <c r="P120" s="60" t="s">
        <v>1</v>
      </c>
      <c r="Q120" s="60" t="s">
        <v>7</v>
      </c>
      <c r="R120" s="60" t="s">
        <v>134</v>
      </c>
      <c r="S120" s="61" t="s">
        <v>206</v>
      </c>
      <c r="T120" s="62" t="s">
        <v>130</v>
      </c>
      <c r="U120" s="62" t="s">
        <v>6</v>
      </c>
      <c r="V120" s="62" t="s">
        <v>151</v>
      </c>
      <c r="W120" s="62" t="s">
        <v>210</v>
      </c>
    </row>
    <row r="121" spans="1:23" ht="15" thickTop="1" x14ac:dyDescent="0.25">
      <c r="A121" t="s">
        <v>318</v>
      </c>
      <c r="B121" s="55">
        <f>表_时空元气石必成[[#This Row],[进化金币(J)]]+IF(ISNUMBER(B120), B120, 表_时空元气石必成[[#Totals],[进化阶段]])</f>
        <v>24.950000000000003</v>
      </c>
      <c r="C121" s="54">
        <f>表_时空元气石必成[[#This Row],[进化点券]]+IF(ISNUMBER(C120), C120, 0)</f>
        <v>750</v>
      </c>
      <c r="D121" s="55">
        <f>IF(A121="○",SUMPRODUCT(表_时空元气石必成[[#This Row],[时空碎片]:[列12]],表_时空元气石必成[[#Totals],[时空碎片]:[列12]])+表_时空元气石必成[[#This Row],[手续费(J)]]*折扣,0)</f>
        <v>24.950000000000003</v>
      </c>
      <c r="E121" s="55">
        <f>IF(A121="○",SUMPRODUCT(表_时空元气石必成[[#This Row],[武魂神物]:[列16]],表_时空元气石必成[[#Totals],[武魂神物]:[列16]]),0)</f>
        <v>750</v>
      </c>
      <c r="F121" s="56" t="s">
        <v>192</v>
      </c>
      <c r="G121" s="34">
        <v>2</v>
      </c>
      <c r="H121" s="34">
        <v>2</v>
      </c>
      <c r="I121" s="34"/>
      <c r="J121" s="34"/>
      <c r="K121" s="34">
        <v>1</v>
      </c>
      <c r="L121" s="34">
        <v>1</v>
      </c>
      <c r="M121" s="34"/>
      <c r="N121" s="34">
        <v>1</v>
      </c>
      <c r="O121" s="34">
        <f>表_时空元气石必成[[#This Row],[月石]]*10</f>
        <v>10</v>
      </c>
      <c r="P121" s="34"/>
      <c r="Q121" s="34"/>
      <c r="R121" s="34"/>
      <c r="S121" s="32"/>
      <c r="T121" s="34">
        <v>3</v>
      </c>
      <c r="U121" s="34"/>
      <c r="V121" s="34"/>
      <c r="W121" s="34"/>
    </row>
    <row r="122" spans="1:23" x14ac:dyDescent="0.25">
      <c r="A122" t="s">
        <v>318</v>
      </c>
      <c r="B122" s="36">
        <f>表_时空元气石必成[[#This Row],[进化金币(J)]]+IF(ISNUMBER(B121), B121, 表_时空元气石必成[[#Totals],[进化阶段]])</f>
        <v>51.85</v>
      </c>
      <c r="C122" s="35">
        <f>表_时空元气石必成[[#This Row],[进化点券]]+IF(ISNUMBER(C121), C121, 0)</f>
        <v>1750</v>
      </c>
      <c r="D122" s="36">
        <f>IF(A122="○",SUMPRODUCT(表_时空元气石必成[[#This Row],[时空碎片]:[列12]],表_时空元气石必成[[#Totals],[时空碎片]:[列12]])+表_时空元气石必成[[#This Row],[手续费(J)]]*折扣,0)</f>
        <v>26.9</v>
      </c>
      <c r="E122" s="36">
        <f>IF(A122="○",SUMPRODUCT(表_时空元气石必成[[#This Row],[武魂神物]:[列16]],表_时空元气石必成[[#Totals],[武魂神物]:[列16]]),0)</f>
        <v>1000</v>
      </c>
      <c r="F122" s="39" t="s">
        <v>193</v>
      </c>
      <c r="G122" s="11">
        <v>2</v>
      </c>
      <c r="H122" s="11">
        <v>2</v>
      </c>
      <c r="I122" s="11"/>
      <c r="J122" s="11"/>
      <c r="K122" s="34">
        <v>1</v>
      </c>
      <c r="L122" s="34">
        <v>1</v>
      </c>
      <c r="M122" s="11"/>
      <c r="N122" s="11">
        <v>2</v>
      </c>
      <c r="O122" s="11">
        <f>表_时空元气石必成[[#This Row],[月石]]*10</f>
        <v>20</v>
      </c>
      <c r="P122" s="11"/>
      <c r="Q122" s="11"/>
      <c r="R122" s="11"/>
      <c r="S122" s="30"/>
      <c r="T122" s="34">
        <v>4</v>
      </c>
      <c r="U122" s="34"/>
      <c r="V122" s="34"/>
      <c r="W122" s="34"/>
    </row>
    <row r="123" spans="1:23" x14ac:dyDescent="0.25">
      <c r="A123" t="s">
        <v>318</v>
      </c>
      <c r="B123" s="36">
        <f>表_时空元气石必成[[#This Row],[进化金币(J)]]+IF(ISNUMBER(B122), B122, 表_时空元气石必成[[#Totals],[进化阶段]])</f>
        <v>78.75</v>
      </c>
      <c r="C123" s="35">
        <f>表_时空元气石必成[[#This Row],[进化点券]]+IF(ISNUMBER(C122), C122, 0)</f>
        <v>3000</v>
      </c>
      <c r="D123" s="36">
        <f>IF(A123="○",SUMPRODUCT(表_时空元气石必成[[#This Row],[时空碎片]:[列12]],表_时空元气石必成[[#Totals],[时空碎片]:[列12]])+表_时空元气石必成[[#This Row],[手续费(J)]]*折扣,0)</f>
        <v>26.9</v>
      </c>
      <c r="E123" s="36">
        <f>IF(A123="○",SUMPRODUCT(表_时空元气石必成[[#This Row],[武魂神物]:[列16]],表_时空元气石必成[[#Totals],[武魂神物]:[列16]]),0)</f>
        <v>1250</v>
      </c>
      <c r="F123" s="39" t="s">
        <v>194</v>
      </c>
      <c r="G123" s="11">
        <v>2</v>
      </c>
      <c r="H123" s="11">
        <v>3</v>
      </c>
      <c r="I123" s="11"/>
      <c r="J123" s="11"/>
      <c r="K123" s="34">
        <v>1</v>
      </c>
      <c r="L123" s="34">
        <v>1</v>
      </c>
      <c r="M123" s="11"/>
      <c r="N123" s="11">
        <v>2</v>
      </c>
      <c r="O123" s="11">
        <f>表_时空元气石必成[[#This Row],[月石]]*10</f>
        <v>20</v>
      </c>
      <c r="P123" s="11"/>
      <c r="Q123" s="11"/>
      <c r="R123" s="11"/>
      <c r="S123" s="30"/>
      <c r="T123" s="34">
        <v>5</v>
      </c>
      <c r="U123" s="34"/>
      <c r="V123" s="34"/>
      <c r="W123" s="34"/>
    </row>
    <row r="124" spans="1:23" x14ac:dyDescent="0.25">
      <c r="A124" t="s">
        <v>318</v>
      </c>
      <c r="B124" s="36">
        <f>表_时空元气石必成[[#This Row],[进化金币(J)]]+IF(ISNUMBER(B123), B123, 表_时空元气石必成[[#Totals],[进化阶段]])</f>
        <v>113.45</v>
      </c>
      <c r="C124" s="35">
        <f>表_时空元气石必成[[#This Row],[进化点券]]+IF(ISNUMBER(C123), C123, 0)</f>
        <v>4500</v>
      </c>
      <c r="D124" s="36">
        <f>IF(A124="○",SUMPRODUCT(表_时空元气石必成[[#This Row],[时空碎片]:[列12]],表_时空元气石必成[[#Totals],[时空碎片]:[列12]])+表_时空元气石必成[[#This Row],[手续费(J)]]*折扣,0)</f>
        <v>34.700000000000003</v>
      </c>
      <c r="E124" s="36">
        <f>IF(A124="○",SUMPRODUCT(表_时空元气石必成[[#This Row],[武魂神物]:[列16]],表_时空元气石必成[[#Totals],[武魂神物]:[列16]]),0)</f>
        <v>1500</v>
      </c>
      <c r="F124" s="39" t="s">
        <v>195</v>
      </c>
      <c r="G124" s="11">
        <v>2</v>
      </c>
      <c r="H124" s="11">
        <v>4</v>
      </c>
      <c r="I124" s="11"/>
      <c r="J124" s="11"/>
      <c r="K124" s="34">
        <v>1</v>
      </c>
      <c r="L124" s="34">
        <v>1</v>
      </c>
      <c r="M124" s="11"/>
      <c r="N124" s="11">
        <v>6</v>
      </c>
      <c r="O124" s="11">
        <f>表_时空元气石必成[[#This Row],[月石]]*10</f>
        <v>60</v>
      </c>
      <c r="P124" s="11"/>
      <c r="Q124" s="11"/>
      <c r="R124" s="11"/>
      <c r="S124" s="30"/>
      <c r="T124" s="34">
        <v>6</v>
      </c>
      <c r="U124" s="34"/>
      <c r="V124" s="34"/>
      <c r="W124" s="34"/>
    </row>
    <row r="125" spans="1:23" x14ac:dyDescent="0.25">
      <c r="A125" t="s">
        <v>318</v>
      </c>
      <c r="B125" s="36">
        <f>表_时空元气石必成[[#This Row],[进化金币(J)]]+IF(ISNUMBER(B124), B124, 表_时空元气石必成[[#Totals],[进化阶段]])</f>
        <v>152.05000000000001</v>
      </c>
      <c r="C125" s="35">
        <f>表_时空元气石必成[[#This Row],[进化点券]]+IF(ISNUMBER(C124), C124, 0)</f>
        <v>6250</v>
      </c>
      <c r="D125" s="36">
        <f>IF(A125="○",SUMPRODUCT(表_时空元气石必成[[#This Row],[时空碎片]:[列12]],表_时空元气石必成[[#Totals],[时空碎片]:[列12]])+表_时空元气石必成[[#This Row],[手续费(J)]]*折扣,0)</f>
        <v>38.599999999999994</v>
      </c>
      <c r="E125" s="36">
        <f>IF(A125="○",SUMPRODUCT(表_时空元气石必成[[#This Row],[武魂神物]:[列16]],表_时空元气石必成[[#Totals],[武魂神物]:[列16]]),0)</f>
        <v>1750</v>
      </c>
      <c r="F125" s="39" t="s">
        <v>196</v>
      </c>
      <c r="G125" s="11">
        <v>2</v>
      </c>
      <c r="H125" s="11">
        <v>5</v>
      </c>
      <c r="I125" s="11"/>
      <c r="J125" s="11"/>
      <c r="K125" s="34">
        <v>1</v>
      </c>
      <c r="L125" s="34">
        <v>1</v>
      </c>
      <c r="M125" s="11"/>
      <c r="N125" s="11">
        <v>8</v>
      </c>
      <c r="O125" s="11">
        <f>表_时空元气石必成[[#This Row],[月石]]*10</f>
        <v>80</v>
      </c>
      <c r="P125" s="11"/>
      <c r="Q125" s="11"/>
      <c r="R125" s="11"/>
      <c r="S125" s="30"/>
      <c r="T125" s="34">
        <v>7</v>
      </c>
      <c r="U125" s="11"/>
      <c r="V125" s="11"/>
      <c r="W125" s="11"/>
    </row>
    <row r="126" spans="1:23" s="172" customFormat="1" x14ac:dyDescent="0.25">
      <c r="A126" s="172" t="s">
        <v>318</v>
      </c>
      <c r="B126" s="173">
        <f>表_时空元气石必成[[#This Row],[进化金币(J)]]+IF(ISNUMBER(B125), B125, 表_时空元气石必成[[#Totals],[进化阶段]])</f>
        <v>195.45000000000002</v>
      </c>
      <c r="C126" s="174">
        <f>表_时空元气石必成[[#This Row],[进化点券]]+IF(ISNUMBER(C125), C125, 0)</f>
        <v>8250</v>
      </c>
      <c r="D126" s="175">
        <f>IF(A126="○",SUMPRODUCT(表_时空元气石必成[[#This Row],[时空碎片]:[列12]],表_时空元气石必成[[#Totals],[时空碎片]:[列12]])+表_时空元气石必成[[#This Row],[手续费(J)]]*折扣,0)</f>
        <v>43.4</v>
      </c>
      <c r="E126" s="175">
        <f>IF(A126="○",SUMPRODUCT(表_时空元气石必成[[#This Row],[武魂神物]:[列16]],表_时空元气石必成[[#Totals],[武魂神物]:[列16]]),0)</f>
        <v>2000</v>
      </c>
      <c r="F126" s="176" t="s">
        <v>197</v>
      </c>
      <c r="G126" s="177">
        <v>3</v>
      </c>
      <c r="H126" s="177">
        <v>6</v>
      </c>
      <c r="I126" s="177"/>
      <c r="J126" s="177"/>
      <c r="K126" s="177">
        <v>1</v>
      </c>
      <c r="L126" s="177">
        <v>1</v>
      </c>
      <c r="M126" s="177"/>
      <c r="N126" s="177">
        <v>10</v>
      </c>
      <c r="O126" s="177">
        <f>表_时空元气石必成[[#This Row],[月石]]*10</f>
        <v>100</v>
      </c>
      <c r="P126" s="177">
        <v>1</v>
      </c>
      <c r="Q126" s="177"/>
      <c r="R126" s="177"/>
      <c r="S126" s="178"/>
      <c r="T126" s="179">
        <v>8</v>
      </c>
      <c r="U126" s="177"/>
      <c r="V126" s="177"/>
      <c r="W126" s="177"/>
    </row>
    <row r="127" spans="1:23" s="172" customFormat="1" x14ac:dyDescent="0.25">
      <c r="A127" s="172" t="s">
        <v>318</v>
      </c>
      <c r="B127" s="173">
        <f>表_时空元气石必成[[#This Row],[进化金币(J)]]+IF(ISNUMBER(B126), B126, 表_时空元气石必成[[#Totals],[进化阶段]])</f>
        <v>249.55</v>
      </c>
      <c r="C127" s="174">
        <f>表_时空元气石必成[[#This Row],[进化点券]]+IF(ISNUMBER(C126), C126, 0)</f>
        <v>10250</v>
      </c>
      <c r="D127" s="173">
        <f>IF(A127="○",SUMPRODUCT(表_时空元气石必成[[#This Row],[时空碎片]:[列12]],表_时空元气石必成[[#Totals],[时空碎片]:[列12]])+表_时空元气石必成[[#This Row],[手续费(J)]]*折扣,0)</f>
        <v>54.099999999999994</v>
      </c>
      <c r="E127" s="173">
        <f>IF(A127="○",SUMPRODUCT(表_时空元气石必成[[#This Row],[武魂神物]:[列16]],表_时空元气石必成[[#Totals],[武魂神物]:[列16]]),0)</f>
        <v>2000</v>
      </c>
      <c r="F127" s="176" t="s">
        <v>198</v>
      </c>
      <c r="G127" s="180">
        <v>4</v>
      </c>
      <c r="H127" s="180">
        <v>7</v>
      </c>
      <c r="I127" s="180"/>
      <c r="J127" s="180"/>
      <c r="K127" s="180">
        <v>2</v>
      </c>
      <c r="L127" s="180">
        <v>2</v>
      </c>
      <c r="M127" s="180"/>
      <c r="N127" s="180">
        <v>4</v>
      </c>
      <c r="O127" s="180">
        <f>表_时空元气石必成[[#This Row],[月石]]*10</f>
        <v>40</v>
      </c>
      <c r="P127" s="180">
        <v>2</v>
      </c>
      <c r="Q127" s="180"/>
      <c r="R127" s="180"/>
      <c r="S127" s="181"/>
      <c r="T127" s="180">
        <v>8</v>
      </c>
      <c r="U127" s="180"/>
      <c r="V127" s="180"/>
      <c r="W127" s="180"/>
    </row>
    <row r="128" spans="1:23" x14ac:dyDescent="0.25">
      <c r="A128" t="s">
        <v>318</v>
      </c>
      <c r="B128" s="36">
        <f>表_时空元气石必成[[#This Row],[进化金币(J)]]+IF(ISNUMBER(B127), B127, 表_时空元气石必成[[#Totals],[进化阶段]])</f>
        <v>323.5</v>
      </c>
      <c r="C128" s="35">
        <f>表_时空元气石必成[[#This Row],[进化点券]]+IF(ISNUMBER(C127), C127, 0)</f>
        <v>24250</v>
      </c>
      <c r="D128" s="36">
        <f>IF(A128="○",SUMPRODUCT(表_时空元气石必成[[#This Row],[时空碎片]:[列12]],表_时空元气石必成[[#Totals],[时空碎片]:[列12]])+表_时空元气石必成[[#This Row],[手续费(J)]]*折扣,0)</f>
        <v>73.950000000000017</v>
      </c>
      <c r="E128" s="36">
        <f>IF(A128="○",SUMPRODUCT(表_时空元气石必成[[#This Row],[武魂神物]:[列16]],表_时空元气石必成[[#Totals],[武魂神物]:[列16]]),0)</f>
        <v>14000</v>
      </c>
      <c r="F128" s="40" t="s">
        <v>219</v>
      </c>
      <c r="G128" s="11">
        <v>4</v>
      </c>
      <c r="H128" s="11">
        <v>8</v>
      </c>
      <c r="I128" s="11"/>
      <c r="J128" s="11"/>
      <c r="K128" s="11">
        <v>2</v>
      </c>
      <c r="L128" s="11">
        <v>3</v>
      </c>
      <c r="M128" s="11"/>
      <c r="N128" s="11">
        <v>4</v>
      </c>
      <c r="O128" s="11">
        <f>表_时空元气石必成[[#This Row],[月石]]*10</f>
        <v>40</v>
      </c>
      <c r="P128" s="11">
        <v>1</v>
      </c>
      <c r="Q128" s="11"/>
      <c r="R128" s="11"/>
      <c r="S128" s="30"/>
      <c r="T128" s="11"/>
      <c r="U128" s="11">
        <v>4</v>
      </c>
      <c r="V128" s="11">
        <v>8</v>
      </c>
      <c r="W128" s="11"/>
    </row>
    <row r="129" spans="1:23" x14ac:dyDescent="0.25">
      <c r="A129" t="s">
        <v>318</v>
      </c>
      <c r="B129" s="36">
        <f>表_时空元气石必成[[#This Row],[进化金币(J)]]+IF(ISNUMBER(B128), B128, 表_时空元气石必成[[#Totals],[进化阶段]])</f>
        <v>402.85</v>
      </c>
      <c r="C129" s="35">
        <f>表_时空元气石必成[[#This Row],[进化点券]]+IF(ISNUMBER(C128), C128, 0)</f>
        <v>39750</v>
      </c>
      <c r="D129" s="36">
        <f>IF(A129="○",SUMPRODUCT(表_时空元气石必成[[#This Row],[时空碎片]:[列12]],表_时空元气石必成[[#Totals],[时空碎片]:[列12]])+表_时空元气石必成[[#This Row],[手续费(J)]]*折扣,0)</f>
        <v>79.349999999999994</v>
      </c>
      <c r="E129" s="36">
        <f>IF(A129="○",SUMPRODUCT(表_时空元气石必成[[#This Row],[武魂神物]:[列16]],表_时空元气石必成[[#Totals],[武魂神物]:[列16]]),0)</f>
        <v>15500</v>
      </c>
      <c r="F129" s="40" t="s">
        <v>213</v>
      </c>
      <c r="G129" s="11">
        <v>4</v>
      </c>
      <c r="H129" s="11">
        <v>9</v>
      </c>
      <c r="I129" s="11"/>
      <c r="J129" s="11"/>
      <c r="K129" s="11">
        <v>3</v>
      </c>
      <c r="L129" s="11">
        <v>3</v>
      </c>
      <c r="M129" s="11"/>
      <c r="N129" s="11">
        <v>6</v>
      </c>
      <c r="O129" s="11">
        <f>表_时空元气石必成[[#This Row],[月石]]*10</f>
        <v>60</v>
      </c>
      <c r="P129" s="11">
        <v>1</v>
      </c>
      <c r="Q129" s="11"/>
      <c r="R129" s="11"/>
      <c r="S129" s="30"/>
      <c r="T129" s="11"/>
      <c r="U129" s="11">
        <v>4</v>
      </c>
      <c r="V129" s="11">
        <v>9</v>
      </c>
      <c r="W129" s="11"/>
    </row>
    <row r="130" spans="1:23" x14ac:dyDescent="0.25">
      <c r="A130" t="s">
        <v>318</v>
      </c>
      <c r="B130" s="36">
        <f>表_时空元气石必成[[#This Row],[进化金币(J)]]+IF(ISNUMBER(B129), B129, 表_时空元气石必成[[#Totals],[进化阶段]])</f>
        <v>487</v>
      </c>
      <c r="C130" s="35">
        <f>表_时空元气石必成[[#This Row],[进化点券]]+IF(ISNUMBER(C129), C129, 0)</f>
        <v>57250</v>
      </c>
      <c r="D130" s="36">
        <f>IF(A130="○",SUMPRODUCT(表_时空元气石必成[[#This Row],[时空碎片]:[列12]],表_时空元气石必成[[#Totals],[时空碎片]:[列12]])+表_时空元气石必成[[#This Row],[手续费(J)]]*折扣,0)</f>
        <v>84.149999999999991</v>
      </c>
      <c r="E130" s="36">
        <f>IF(A130="○",SUMPRODUCT(表_时空元气石必成[[#This Row],[武魂神物]:[列16]],表_时空元气石必成[[#Totals],[武魂神物]:[列16]]),0)</f>
        <v>17500</v>
      </c>
      <c r="F130" s="40" t="s">
        <v>214</v>
      </c>
      <c r="G130" s="11">
        <v>5</v>
      </c>
      <c r="H130" s="11">
        <v>10</v>
      </c>
      <c r="I130" s="11"/>
      <c r="J130" s="11"/>
      <c r="K130" s="11">
        <v>3</v>
      </c>
      <c r="L130" s="11">
        <v>3</v>
      </c>
      <c r="M130" s="11"/>
      <c r="N130" s="11">
        <v>8</v>
      </c>
      <c r="O130" s="11">
        <f>表_时空元气石必成[[#This Row],[月石]]*10</f>
        <v>80</v>
      </c>
      <c r="P130" s="11">
        <v>2</v>
      </c>
      <c r="Q130" s="11"/>
      <c r="R130" s="11"/>
      <c r="S130" s="30"/>
      <c r="T130" s="11"/>
      <c r="U130" s="11">
        <v>5</v>
      </c>
      <c r="V130" s="11">
        <v>10</v>
      </c>
      <c r="W130" s="11"/>
    </row>
    <row r="131" spans="1:23" x14ac:dyDescent="0.25">
      <c r="A131" t="s">
        <v>318</v>
      </c>
      <c r="B131" s="36">
        <f>表_时空元气石必成[[#This Row],[进化金币(J)]]+IF(ISNUMBER(B130), B130, 表_时空元气石必成[[#Totals],[进化阶段]])</f>
        <v>615.35</v>
      </c>
      <c r="C131" s="35">
        <f>表_时空元气石必成[[#This Row],[进化点券]]+IF(ISNUMBER(C130), C130, 0)</f>
        <v>77750</v>
      </c>
      <c r="D131" s="36">
        <f>IF(A131="○",SUMPRODUCT(表_时空元气石必成[[#This Row],[时空碎片]:[列12]],表_时空元气石必成[[#Totals],[时空碎片]:[列12]])+表_时空元气石必成[[#This Row],[手续费(J)]]*折扣,0)</f>
        <v>128.35000000000002</v>
      </c>
      <c r="E131" s="36">
        <f>IF(A131="○",SUMPRODUCT(表_时空元气石必成[[#This Row],[武魂神物]:[列16]],表_时空元气石必成[[#Totals],[武魂神物]:[列16]]),0)</f>
        <v>20500</v>
      </c>
      <c r="F131" s="40" t="s">
        <v>215</v>
      </c>
      <c r="G131" s="11">
        <v>8</v>
      </c>
      <c r="H131" s="11">
        <v>12</v>
      </c>
      <c r="I131" s="11"/>
      <c r="J131" s="11"/>
      <c r="K131" s="11">
        <v>3</v>
      </c>
      <c r="L131" s="11">
        <v>5</v>
      </c>
      <c r="M131" s="11"/>
      <c r="N131" s="11">
        <v>9</v>
      </c>
      <c r="O131" s="11">
        <f>表_时空元气石必成[[#This Row],[月石]]*10</f>
        <v>90</v>
      </c>
      <c r="P131" s="11">
        <v>2</v>
      </c>
      <c r="Q131" s="11"/>
      <c r="R131" s="11"/>
      <c r="S131" s="30"/>
      <c r="T131" s="11"/>
      <c r="U131" s="11">
        <v>5</v>
      </c>
      <c r="V131" s="11">
        <v>12</v>
      </c>
      <c r="W131" s="11"/>
    </row>
    <row r="132" spans="1:23" x14ac:dyDescent="0.25">
      <c r="A132" t="s">
        <v>318</v>
      </c>
      <c r="B132" s="36">
        <f>表_时空元气石必成[[#This Row],[进化金币(J)]]+IF(ISNUMBER(B131), B131, 表_时空元气石必成[[#Totals],[进化阶段]])</f>
        <v>745.95</v>
      </c>
      <c r="C132" s="35">
        <f>表_时空元气石必成[[#This Row],[进化点券]]+IF(ISNUMBER(C131), C131, 0)</f>
        <v>100250</v>
      </c>
      <c r="D132" s="36">
        <f>IF(A132="○",SUMPRODUCT(表_时空元气石必成[[#This Row],[时空碎片]:[列12]],表_时空元气石必成[[#Totals],[时空碎片]:[列12]])+表_时空元气石必成[[#This Row],[手续费(J)]]*折扣,0)</f>
        <v>130.60000000000002</v>
      </c>
      <c r="E132" s="36">
        <f>IF(A132="○",SUMPRODUCT(表_时空元气石必成[[#This Row],[武魂神物]:[列16]],表_时空元气石必成[[#Totals],[武魂神物]:[列16]]),0)</f>
        <v>22500</v>
      </c>
      <c r="F132" s="40" t="s">
        <v>216</v>
      </c>
      <c r="G132" s="11">
        <v>9</v>
      </c>
      <c r="H132" s="11">
        <v>13</v>
      </c>
      <c r="I132" s="11"/>
      <c r="J132" s="11"/>
      <c r="K132" s="11">
        <v>4</v>
      </c>
      <c r="L132" s="11">
        <v>5</v>
      </c>
      <c r="M132" s="11"/>
      <c r="N132" s="11">
        <v>9</v>
      </c>
      <c r="O132" s="11">
        <f>表_时空元气石必成[[#This Row],[月石]]*10</f>
        <v>90</v>
      </c>
      <c r="P132" s="11">
        <v>2</v>
      </c>
      <c r="Q132" s="11"/>
      <c r="R132" s="11"/>
      <c r="S132" s="30"/>
      <c r="T132" s="11"/>
      <c r="U132" s="11">
        <v>6</v>
      </c>
      <c r="V132" s="11">
        <v>13</v>
      </c>
      <c r="W132" s="11"/>
    </row>
    <row r="133" spans="1:23" x14ac:dyDescent="0.25">
      <c r="A133" t="s">
        <v>318</v>
      </c>
      <c r="B133" s="36">
        <f>表_时空元气石必成[[#This Row],[进化金币(J)]]+IF(ISNUMBER(B132), B132, 表_时空元气石必成[[#Totals],[进化阶段]])</f>
        <v>880.75</v>
      </c>
      <c r="C133" s="35">
        <f>表_时空元气石必成[[#This Row],[进化点券]]+IF(ISNUMBER(C132), C132, 0)</f>
        <v>126250</v>
      </c>
      <c r="D133" s="36">
        <f>IF(A133="○",SUMPRODUCT(表_时空元气石必成[[#This Row],[时空碎片]:[列12]],表_时空元气石必成[[#Totals],[时空碎片]:[列12]])+表_时空元气石必成[[#This Row],[手续费(J)]]*折扣,0)</f>
        <v>134.80000000000001</v>
      </c>
      <c r="E133" s="36">
        <f>IF(A133="○",SUMPRODUCT(表_时空元气石必成[[#This Row],[武魂神物]:[列16]],表_时空元气石必成[[#Totals],[武魂神物]:[列16]]),0)</f>
        <v>26000</v>
      </c>
      <c r="F133" s="40" t="s">
        <v>217</v>
      </c>
      <c r="G133" s="11">
        <v>10</v>
      </c>
      <c r="H133" s="11">
        <v>15</v>
      </c>
      <c r="I133" s="11"/>
      <c r="J133" s="11"/>
      <c r="K133" s="11">
        <v>5</v>
      </c>
      <c r="L133" s="11">
        <v>5</v>
      </c>
      <c r="M133" s="11"/>
      <c r="N133" s="11">
        <v>10</v>
      </c>
      <c r="O133" s="11">
        <f>表_时空元气石必成[[#This Row],[月石]]*10</f>
        <v>100</v>
      </c>
      <c r="P133" s="11">
        <v>2</v>
      </c>
      <c r="Q133" s="11"/>
      <c r="R133" s="11"/>
      <c r="S133" s="30"/>
      <c r="T133" s="11"/>
      <c r="U133" s="11">
        <v>7</v>
      </c>
      <c r="V133" s="11">
        <v>15</v>
      </c>
      <c r="W133" s="11"/>
    </row>
    <row r="134" spans="1:23" ht="15" thickBot="1" x14ac:dyDescent="0.3">
      <c r="A134" t="s">
        <v>318</v>
      </c>
      <c r="B134" s="38">
        <f>表_时空元气石必成[[#This Row],[进化金币(J)]]+IF(ISNUMBER(B133), B133, 表_时空元气石必成[[#Totals],[进化阶段]])</f>
        <v>1017.05</v>
      </c>
      <c r="C134" s="37">
        <f>表_时空元气石必成[[#This Row],[进化点券]]+IF(ISNUMBER(C133), C133, 0)</f>
        <v>155750</v>
      </c>
      <c r="D134" s="38">
        <f>IF(A134="○",SUMPRODUCT(表_时空元气石必成[[#This Row],[时空碎片]:[列12]],表_时空元气石必成[[#Totals],[时空碎片]:[列12]])+表_时空元气石必成[[#This Row],[手续费(J)]]*折扣,0)</f>
        <v>136.30000000000001</v>
      </c>
      <c r="E134" s="38">
        <f>IF(A134="○",SUMPRODUCT(表_时空元气石必成[[#This Row],[武魂神物]:[列16]],表_时空元气石必成[[#Totals],[武魂神物]:[列16]]),0)</f>
        <v>29500</v>
      </c>
      <c r="F134" s="67" t="s">
        <v>218</v>
      </c>
      <c r="G134" s="11">
        <v>10</v>
      </c>
      <c r="H134" s="25">
        <v>17</v>
      </c>
      <c r="I134" s="25"/>
      <c r="J134" s="25"/>
      <c r="K134" s="25">
        <v>6</v>
      </c>
      <c r="L134" s="25">
        <v>5</v>
      </c>
      <c r="M134" s="25"/>
      <c r="N134" s="11">
        <v>10</v>
      </c>
      <c r="O134" s="25">
        <f>表_时空元气石必成[[#This Row],[月石]]*10</f>
        <v>100</v>
      </c>
      <c r="P134" s="25">
        <v>2</v>
      </c>
      <c r="Q134" s="25"/>
      <c r="R134" s="25"/>
      <c r="S134" s="31"/>
      <c r="T134" s="25"/>
      <c r="U134" s="25">
        <v>8</v>
      </c>
      <c r="V134" s="25">
        <v>17</v>
      </c>
      <c r="W134" s="25"/>
    </row>
    <row r="135" spans="1:23" ht="15" thickTop="1" x14ac:dyDescent="0.25">
      <c r="B135" s="72">
        <f>SUBTOTAL(104,表_时空元气石必成[累计金币(J)])</f>
        <v>1017.05</v>
      </c>
      <c r="C135" s="72">
        <f>SUBTOTAL(104,表_时空元气石必成[累计点券])</f>
        <v>155750</v>
      </c>
      <c r="D135" s="73">
        <f>SUBTOTAL(109,表_时空元气石必成[进化金币(J)])</f>
        <v>1017.05</v>
      </c>
      <c r="E135" s="74">
        <f>SUBTOTAL(109,表_时空元气石必成[进化点券])</f>
        <v>155750</v>
      </c>
      <c r="F135" s="88"/>
      <c r="G135" s="76" t="s">
        <v>190</v>
      </c>
      <c r="H135" s="77">
        <f xml:space="preserve"> _xlfn.IFNA(VLOOKUP(表_时空元气石必成[[#Headers],[时空碎片]],金价一览,2,0), 0)</f>
        <v>0</v>
      </c>
      <c r="I135" s="77">
        <f xml:space="preserve"> _xlfn.IFNA(VLOOKUP(表_时空元气石必成[[#Headers],[时光碎片]],金价一览,2,0), 0)</f>
        <v>0</v>
      </c>
      <c r="J135" s="77">
        <f xml:space="preserve"> _xlfn.IFNA(VLOOKUP(表_时空元气石必成[[#Headers],[昆仑珠]],金价一览,2,0), 0)</f>
        <v>26</v>
      </c>
      <c r="K135" s="77">
        <f xml:space="preserve"> _xlfn.IFNA(VLOOKUP(表_时空元气石必成[[#Headers],[太阳珠]],金价一览,2,0), 0)</f>
        <v>1.5</v>
      </c>
      <c r="L135" s="77">
        <f xml:space="preserve"> _xlfn.IFNA(VLOOKUP(表_时空元气石必成[[#Headers],[天元结晶]],金价一览,2,0), 0)</f>
        <v>20</v>
      </c>
      <c r="M135" s="77">
        <f xml:space="preserve"> _xlfn.IFNA(VLOOKUP(表_时空元气石必成[[#Headers],[赤流结晶]],金价一览,2,0), 0)</f>
        <v>28</v>
      </c>
      <c r="N135" s="77">
        <f xml:space="preserve"> _xlfn.IFNA(VLOOKUP(表_时空元气石必成[[#Headers],[月石]],金价一览,2,0), 0)</f>
        <v>1.35</v>
      </c>
      <c r="O135" s="77">
        <f xml:space="preserve"> _xlfn.IFNA(VLOOKUP(表_时空元气石必成[[#Headers],[灵石]],金价一览,2,0), 0)</f>
        <v>0.06</v>
      </c>
      <c r="P135" s="77">
        <f xml:space="preserve"> _xlfn.IFNA(VLOOKUP(表_时空元气石必成[[#Headers],[灵丹]],金价一览,2,0), 0)</f>
        <v>0.15</v>
      </c>
      <c r="Q135" s="77">
        <f xml:space="preserve"> _xlfn.IFNA(VLOOKUP(表_时空元气石必成[[#Headers],[进化石]],金价一览,2,0), 0)</f>
        <v>7.7578225806451613</v>
      </c>
      <c r="R135" s="77">
        <f xml:space="preserve"> _xlfn.IFNA(VLOOKUP(表_时空元气石必成[[#Headers],[高级进化石]],金价一览,2,0), 0)</f>
        <v>187.28129032258065</v>
      </c>
      <c r="S135" s="77">
        <f xml:space="preserve"> _xlfn.IFNA(VLOOKUP(表_时空元气石必成[[#Headers],[列12]],金价一览,2,0), 0)</f>
        <v>0</v>
      </c>
      <c r="T135" s="78">
        <f>_xlfn.IFNA(VLOOKUP(表_时空元气石必成[[#Headers],[武魂神物]],点券一览,2,0),0)</f>
        <v>250</v>
      </c>
      <c r="U135" s="78">
        <f>_xlfn.IFNA(VLOOKUP(表_时空元气石必成[[#Headers],[高级武魂神物]],点券一览,2,0),0)</f>
        <v>500</v>
      </c>
      <c r="V135" s="78">
        <f>_xlfn.IFNA(VLOOKUP(表_时空元气石必成[[#Headers],[建元武魂神物]],点券一览,2,0),0)</f>
        <v>1500</v>
      </c>
      <c r="W135" s="78">
        <f>_xlfn.IFNA(VLOOKUP(表_时空元气石必成[[#Headers],[列16]],点券一览,2,0),0)</f>
        <v>0</v>
      </c>
    </row>
    <row r="136" spans="1:23" x14ac:dyDescent="0.25">
      <c r="B136" s="188" t="s">
        <v>221</v>
      </c>
      <c r="C136" s="188"/>
      <c r="D136" s="188"/>
      <c r="E136" s="188"/>
      <c r="F136" s="189"/>
      <c r="G136" s="79" t="s">
        <v>224</v>
      </c>
      <c r="H136" s="52">
        <f>SUM(表_时空元气石必成[[#Data],[时空碎片]])</f>
        <v>113</v>
      </c>
      <c r="I136" s="52">
        <f>SUM(表_时空元气石必成[[#Data],[时光碎片]])</f>
        <v>0</v>
      </c>
      <c r="J136" s="52">
        <f>SUM(表_时空元气石必成[[#Data],[昆仑珠]])</f>
        <v>0</v>
      </c>
      <c r="K136" s="52">
        <f>SUM(表_时空元气石必成[[#Data],[太阳珠]])</f>
        <v>34</v>
      </c>
      <c r="L136" s="52">
        <f>SUM(表_时空元气石必成[[#Data],[天元结晶]])</f>
        <v>37</v>
      </c>
      <c r="M136" s="52">
        <f>SUM(表_时空元气石必成[[#Data],[赤流结晶]])</f>
        <v>0</v>
      </c>
      <c r="N136" s="52">
        <f>SUM(表_时空元气石必成[[#Data],[月石]])</f>
        <v>89</v>
      </c>
      <c r="O136" s="52">
        <f>SUM(表_时空元气石必成[[#Data],[灵石]])</f>
        <v>890</v>
      </c>
      <c r="P136" s="52">
        <f>SUM(表_时空元气石必成[[#Data],[灵丹]])</f>
        <v>15</v>
      </c>
      <c r="Q136" s="52">
        <f>SUM(表_时空元气石必成[[#Data],[进化石]])</f>
        <v>0</v>
      </c>
      <c r="R136" s="52">
        <f>SUM(表_时空元气石必成[[#Data],[高级进化石]])</f>
        <v>0</v>
      </c>
      <c r="S136" s="52">
        <f>SUM(表_时空元气石必成[[#Data],[列12]])</f>
        <v>0</v>
      </c>
      <c r="T136" s="52">
        <f>SUM(表_时空元气石必成[[#Data],[武魂神物]])</f>
        <v>41</v>
      </c>
      <c r="U136" s="52">
        <f>SUM(表_时空元气石必成[[#Data],[高级武魂神物]])</f>
        <v>39</v>
      </c>
      <c r="V136" s="52">
        <f>SUM(表_时空元气石必成[[#Data],[建元武魂神物]])</f>
        <v>84</v>
      </c>
      <c r="W136" s="52">
        <f>SUM(表_时空元气石必成[[#Data],[列16]])</f>
        <v>0</v>
      </c>
    </row>
    <row r="137" spans="1:23" x14ac:dyDescent="0.25">
      <c r="B137" s="188"/>
      <c r="C137" s="188"/>
      <c r="D137" s="188"/>
      <c r="E137" s="188"/>
      <c r="F137" s="189"/>
      <c r="G137" s="80" t="s">
        <v>223</v>
      </c>
      <c r="H137" s="52">
        <f>H136*表_时空元气石必成[[#Totals],[时空碎片]]</f>
        <v>0</v>
      </c>
      <c r="I137" s="52">
        <f>I136*表_时空元气石必成[[#Totals],[时光碎片]]</f>
        <v>0</v>
      </c>
      <c r="J137" s="52">
        <f>J136*表_时空元气石必成[[#Totals],[昆仑珠]]</f>
        <v>0</v>
      </c>
      <c r="K137" s="52">
        <f>K136*表_时空元气石必成[[#Totals],[太阳珠]]</f>
        <v>51</v>
      </c>
      <c r="L137" s="52">
        <f>L136*表_时空元气石必成[[#Totals],[天元结晶]]</f>
        <v>740</v>
      </c>
      <c r="M137" s="52">
        <f>M136*表_时空元气石必成[[#Totals],[赤流结晶]]</f>
        <v>0</v>
      </c>
      <c r="N137" s="52">
        <f>N136*表_时空元气石必成[[#Totals],[月石]]</f>
        <v>120.15</v>
      </c>
      <c r="O137" s="52">
        <f>O136*表_时空元气石必成[[#Totals],[灵石]]</f>
        <v>53.4</v>
      </c>
      <c r="P137" s="52">
        <f>P136*表_时空元气石必成[[#Totals],[灵丹]]</f>
        <v>2.25</v>
      </c>
      <c r="Q137" s="52">
        <f>Q136*表_时空元气石必成[[#Totals],[进化石]]</f>
        <v>0</v>
      </c>
      <c r="R137" s="52">
        <f>R136*表_时空元气石必成[[#Totals],[高级进化石]]</f>
        <v>0</v>
      </c>
      <c r="S137" s="52">
        <f>S136*表_时空元气石必成[[#Totals],[列12]]</f>
        <v>0</v>
      </c>
      <c r="T137" s="52">
        <f>T136*表_时空元气石必成[[#Totals],[武魂神物]]</f>
        <v>10250</v>
      </c>
      <c r="U137" s="52">
        <f>U136*表_时空元气石必成[[#Totals],[高级武魂神物]]</f>
        <v>19500</v>
      </c>
      <c r="V137" s="52">
        <f>V136*表_时空元气石必成[[#Totals],[建元武魂神物]]</f>
        <v>126000</v>
      </c>
      <c r="W137" s="52">
        <f>W136*表_时空元气石必成[[#Totals],[列16]]</f>
        <v>0</v>
      </c>
    </row>
    <row r="139" spans="1:23" x14ac:dyDescent="0.25">
      <c r="B139" s="28" t="s">
        <v>404</v>
      </c>
      <c r="H139" s="43" t="s">
        <v>212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42" t="s">
        <v>211</v>
      </c>
      <c r="U139" s="41"/>
      <c r="V139" s="41"/>
      <c r="W139" s="41"/>
    </row>
    <row r="140" spans="1:23" ht="34.200000000000003" customHeight="1" thickBot="1" x14ac:dyDescent="0.3">
      <c r="B140" s="57" t="s">
        <v>187</v>
      </c>
      <c r="C140" s="57" t="s">
        <v>186</v>
      </c>
      <c r="D140" s="98" t="s">
        <v>253</v>
      </c>
      <c r="E140" s="98" t="s">
        <v>255</v>
      </c>
      <c r="F140" s="58" t="s">
        <v>181</v>
      </c>
      <c r="G140" s="58" t="s">
        <v>185</v>
      </c>
      <c r="H140" s="59" t="s">
        <v>121</v>
      </c>
      <c r="I140" s="60" t="s">
        <v>0</v>
      </c>
      <c r="J140" s="60" t="s">
        <v>1</v>
      </c>
      <c r="K140" s="60" t="s">
        <v>189</v>
      </c>
      <c r="L140" s="60" t="s">
        <v>199</v>
      </c>
      <c r="M140" s="60" t="s">
        <v>200</v>
      </c>
      <c r="N140" s="60" t="s">
        <v>201</v>
      </c>
      <c r="O140" s="60" t="s">
        <v>202</v>
      </c>
      <c r="P140" s="60" t="s">
        <v>203</v>
      </c>
      <c r="Q140" s="60" t="s">
        <v>204</v>
      </c>
      <c r="R140" s="60" t="s">
        <v>205</v>
      </c>
      <c r="S140" s="61" t="s">
        <v>206</v>
      </c>
      <c r="T140" s="62" t="s">
        <v>130</v>
      </c>
      <c r="U140" s="62" t="s">
        <v>208</v>
      </c>
      <c r="V140" s="62" t="s">
        <v>209</v>
      </c>
      <c r="W140" s="62" t="s">
        <v>210</v>
      </c>
    </row>
    <row r="141" spans="1:23" ht="15" thickTop="1" x14ac:dyDescent="0.25">
      <c r="A141" t="s">
        <v>318</v>
      </c>
      <c r="B141" s="55">
        <f>表_天空元气石必成[[#This Row],[进化金币(J)]]+IF(ISNUMBER(B140), B140, 表_天空元气石必成[[#Totals],[进化阶段]])</f>
        <v>5.5</v>
      </c>
      <c r="C141" s="54">
        <f>表_天空元气石必成[[#This Row],[进化点券]]+IF(ISNUMBER(C140), C140, 0)</f>
        <v>250</v>
      </c>
      <c r="D141" s="55">
        <f>IF(A141="○",SUMPRODUCT(表_天空元气石必成[[#This Row],[天空碎片]:[列12]],表_天空元气石必成[[#Totals],[天空碎片]:[列12]])+表_天空元气石必成[[#This Row],[手续费(J)]]*折扣,0)</f>
        <v>5.5</v>
      </c>
      <c r="E141" s="55">
        <f>IF(A141="○",SUMPRODUCT(表_天空元气石必成[[#This Row],[武魂神物]:[列16]],表_天空元气石必成[[#Totals],[武魂神物]:[列16]]),0)</f>
        <v>250</v>
      </c>
      <c r="F141" s="56" t="s">
        <v>192</v>
      </c>
      <c r="G141" s="34">
        <v>1</v>
      </c>
      <c r="H141" s="34">
        <v>2</v>
      </c>
      <c r="I141" s="34">
        <v>1</v>
      </c>
      <c r="J141" s="34">
        <v>5</v>
      </c>
      <c r="K141" s="34"/>
      <c r="L141" s="34"/>
      <c r="M141" s="34"/>
      <c r="N141" s="34"/>
      <c r="O141" s="34"/>
      <c r="P141" s="34"/>
      <c r="Q141" s="34"/>
      <c r="R141" s="34"/>
      <c r="S141" s="32"/>
      <c r="T141" s="34">
        <v>1</v>
      </c>
      <c r="U141" s="34"/>
      <c r="V141" s="34"/>
      <c r="W141" s="34"/>
    </row>
    <row r="142" spans="1:23" x14ac:dyDescent="0.25">
      <c r="A142" t="s">
        <v>318</v>
      </c>
      <c r="B142" s="36">
        <f>表_天空元气石必成[[#This Row],[进化金币(J)]]+IF(ISNUMBER(B141), B141, 表_天空元气石必成[[#Totals],[进化阶段]])</f>
        <v>11</v>
      </c>
      <c r="C142" s="35">
        <f>表_天空元气石必成[[#This Row],[进化点券]]+IF(ISNUMBER(C141), C141, 0)</f>
        <v>500</v>
      </c>
      <c r="D142" s="36">
        <f>IF(A142="○",SUMPRODUCT(表_天空元气石必成[[#This Row],[天空碎片]:[列12]],表_天空元气石必成[[#Totals],[天空碎片]:[列12]])+表_天空元气石必成[[#This Row],[手续费(J)]]*折扣,0)</f>
        <v>5.5</v>
      </c>
      <c r="E142" s="36">
        <f>IF(A142="○",SUMPRODUCT(表_天空元气石必成[[#This Row],[武魂神物]:[列16]],表_天空元气石必成[[#Totals],[武魂神物]:[列16]]),0)</f>
        <v>250</v>
      </c>
      <c r="F142" s="39" t="s">
        <v>193</v>
      </c>
      <c r="G142" s="11">
        <v>1</v>
      </c>
      <c r="H142" s="11">
        <v>3</v>
      </c>
      <c r="I142" s="11">
        <v>1</v>
      </c>
      <c r="J142" s="11">
        <v>5</v>
      </c>
      <c r="K142" s="11"/>
      <c r="L142" s="11"/>
      <c r="M142" s="11"/>
      <c r="N142" s="11"/>
      <c r="O142" s="11"/>
      <c r="P142" s="11"/>
      <c r="Q142" s="11"/>
      <c r="R142" s="11"/>
      <c r="S142" s="30"/>
      <c r="T142" s="34">
        <v>1</v>
      </c>
      <c r="U142" s="34"/>
      <c r="V142" s="34"/>
      <c r="W142" s="34"/>
    </row>
    <row r="143" spans="1:23" x14ac:dyDescent="0.25">
      <c r="A143" t="s">
        <v>318</v>
      </c>
      <c r="B143" s="36">
        <f>表_天空元气石必成[[#This Row],[进化金币(J)]]+IF(ISNUMBER(B142), B142, 表_天空元气石必成[[#Totals],[进化阶段]])</f>
        <v>21.25</v>
      </c>
      <c r="C143" s="35">
        <f>表_天空元气石必成[[#This Row],[进化点券]]+IF(ISNUMBER(C142), C142, 0)</f>
        <v>1000</v>
      </c>
      <c r="D143" s="36">
        <f>IF(A143="○",SUMPRODUCT(表_天空元气石必成[[#This Row],[天空碎片]:[列12]],表_天空元气石必成[[#Totals],[天空碎片]:[列12]])+表_天空元气石必成[[#This Row],[手续费(J)]]*折扣,0)</f>
        <v>10.25</v>
      </c>
      <c r="E143" s="36">
        <f>IF(A143="○",SUMPRODUCT(表_天空元气石必成[[#This Row],[武魂神物]:[列16]],表_天空元气石必成[[#Totals],[武魂神物]:[列16]]),0)</f>
        <v>500</v>
      </c>
      <c r="F143" s="39" t="s">
        <v>194</v>
      </c>
      <c r="G143" s="11">
        <v>2</v>
      </c>
      <c r="H143" s="11">
        <v>3</v>
      </c>
      <c r="I143" s="11">
        <v>2</v>
      </c>
      <c r="J143" s="11">
        <v>5</v>
      </c>
      <c r="K143" s="11"/>
      <c r="L143" s="11"/>
      <c r="M143" s="11"/>
      <c r="N143" s="11"/>
      <c r="O143" s="11"/>
      <c r="P143" s="11"/>
      <c r="Q143" s="11"/>
      <c r="R143" s="11"/>
      <c r="S143" s="30"/>
      <c r="T143" s="34">
        <v>2</v>
      </c>
      <c r="U143" s="34"/>
      <c r="V143" s="34"/>
      <c r="W143" s="34"/>
    </row>
    <row r="144" spans="1:23" x14ac:dyDescent="0.25">
      <c r="A144" t="s">
        <v>318</v>
      </c>
      <c r="B144" s="36">
        <f>表_天空元气石必成[[#This Row],[进化金币(J)]]+IF(ISNUMBER(B143), B143, 表_天空元气石必成[[#Totals],[进化阶段]])</f>
        <v>31.5</v>
      </c>
      <c r="C144" s="35">
        <f>表_天空元气石必成[[#This Row],[进化点券]]+IF(ISNUMBER(C143), C143, 0)</f>
        <v>1500</v>
      </c>
      <c r="D144" s="36">
        <f>IF(A144="○",SUMPRODUCT(表_天空元气石必成[[#This Row],[天空碎片]:[列12]],表_天空元气石必成[[#Totals],[天空碎片]:[列12]])+表_天空元气石必成[[#This Row],[手续费(J)]]*折扣,0)</f>
        <v>10.25</v>
      </c>
      <c r="E144" s="36">
        <f>IF(A144="○",SUMPRODUCT(表_天空元气石必成[[#This Row],[武魂神物]:[列16]],表_天空元气石必成[[#Totals],[武魂神物]:[列16]]),0)</f>
        <v>500</v>
      </c>
      <c r="F144" s="39" t="s">
        <v>195</v>
      </c>
      <c r="G144" s="11">
        <v>2</v>
      </c>
      <c r="H144" s="11">
        <v>3</v>
      </c>
      <c r="I144" s="11">
        <v>2</v>
      </c>
      <c r="J144" s="11">
        <v>5</v>
      </c>
      <c r="K144" s="11"/>
      <c r="L144" s="11"/>
      <c r="M144" s="11"/>
      <c r="N144" s="11"/>
      <c r="O144" s="11"/>
      <c r="P144" s="11"/>
      <c r="Q144" s="11"/>
      <c r="R144" s="11"/>
      <c r="S144" s="30"/>
      <c r="T144" s="34">
        <v>2</v>
      </c>
      <c r="U144" s="34"/>
      <c r="V144" s="34"/>
      <c r="W144" s="34"/>
    </row>
    <row r="145" spans="1:23" x14ac:dyDescent="0.25">
      <c r="A145" t="s">
        <v>318</v>
      </c>
      <c r="B145" s="36">
        <f>表_天空元气石必成[[#This Row],[进化金币(J)]]+IF(ISNUMBER(B144), B144, 表_天空元气石必成[[#Totals],[进化阶段]])</f>
        <v>41.9</v>
      </c>
      <c r="C145" s="35">
        <f>表_天空元气石必成[[#This Row],[进化点券]]+IF(ISNUMBER(C144), C144, 0)</f>
        <v>2250</v>
      </c>
      <c r="D145" s="36">
        <f>IF(A145="○",SUMPRODUCT(表_天空元气石必成[[#This Row],[天空碎片]:[列12]],表_天空元气石必成[[#Totals],[天空碎片]:[列12]])+表_天空元气石必成[[#This Row],[手续费(J)]]*折扣,0)</f>
        <v>10.4</v>
      </c>
      <c r="E145" s="36">
        <f>IF(A145="○",SUMPRODUCT(表_天空元气石必成[[#This Row],[武魂神物]:[列16]],表_天空元气石必成[[#Totals],[武魂神物]:[列16]]),0)</f>
        <v>750</v>
      </c>
      <c r="F145" s="39" t="s">
        <v>196</v>
      </c>
      <c r="G145" s="11">
        <v>2</v>
      </c>
      <c r="H145" s="11">
        <v>3</v>
      </c>
      <c r="I145" s="11">
        <v>2</v>
      </c>
      <c r="J145" s="11">
        <v>6</v>
      </c>
      <c r="K145" s="11"/>
      <c r="L145" s="11"/>
      <c r="M145" s="11"/>
      <c r="N145" s="11"/>
      <c r="O145" s="11"/>
      <c r="P145" s="11"/>
      <c r="Q145" s="11"/>
      <c r="R145" s="11"/>
      <c r="S145" s="30"/>
      <c r="T145" s="11">
        <v>3</v>
      </c>
      <c r="U145" s="11"/>
      <c r="V145" s="11"/>
      <c r="W145" s="11"/>
    </row>
    <row r="146" spans="1:23" x14ac:dyDescent="0.25">
      <c r="A146" t="s">
        <v>318</v>
      </c>
      <c r="B146" s="36">
        <f>表_天空元气石必成[[#This Row],[进化金币(J)]]+IF(ISNUMBER(B145), B145, 表_天空元气石必成[[#Totals],[进化阶段]])</f>
        <v>57.349999999999994</v>
      </c>
      <c r="C146" s="35">
        <f>表_天空元气石必成[[#This Row],[进化点券]]+IF(ISNUMBER(C145), C145, 0)</f>
        <v>3250</v>
      </c>
      <c r="D146" s="38">
        <f>IF(A146="○",SUMPRODUCT(表_天空元气石必成[[#This Row],[天空碎片]:[列12]],表_天空元气石必成[[#Totals],[天空碎片]:[列12]])+表_天空元气石必成[[#This Row],[手续费(J)]]*折扣,0)</f>
        <v>15.45</v>
      </c>
      <c r="E146" s="38">
        <f>IF(A146="○",SUMPRODUCT(表_天空元气石必成[[#This Row],[武魂神物]:[列16]],表_天空元气石必成[[#Totals],[武魂神物]:[列16]]),0)</f>
        <v>1000</v>
      </c>
      <c r="F146" s="39" t="s">
        <v>197</v>
      </c>
      <c r="G146" s="25">
        <v>3</v>
      </c>
      <c r="H146" s="25">
        <v>4</v>
      </c>
      <c r="I146" s="25">
        <v>3</v>
      </c>
      <c r="J146" s="25">
        <v>8</v>
      </c>
      <c r="K146" s="25"/>
      <c r="L146" s="25"/>
      <c r="M146" s="25"/>
      <c r="N146" s="25"/>
      <c r="O146" s="25"/>
      <c r="P146" s="25"/>
      <c r="Q146" s="25"/>
      <c r="R146" s="25"/>
      <c r="S146" s="31"/>
      <c r="T146" s="25">
        <v>4</v>
      </c>
      <c r="U146" s="25"/>
      <c r="V146" s="25"/>
      <c r="W146" s="25"/>
    </row>
    <row r="147" spans="1:23" x14ac:dyDescent="0.25">
      <c r="A147" t="s">
        <v>318</v>
      </c>
      <c r="B147" s="36">
        <f>表_天空元气石必成[[#This Row],[进化金币(J)]]+IF(ISNUMBER(B146), B146, 表_天空元气石必成[[#Totals],[进化阶段]])</f>
        <v>72.949999999999989</v>
      </c>
      <c r="C147" s="35">
        <f>表_天空元气石必成[[#This Row],[进化点券]]+IF(ISNUMBER(C146), C146, 0)</f>
        <v>4500</v>
      </c>
      <c r="D147" s="36">
        <f>IF(A147="○",SUMPRODUCT(表_天空元气石必成[[#This Row],[天空碎片]:[列12]],表_天空元气石必成[[#Totals],[天空碎片]:[列12]])+表_天空元气石必成[[#This Row],[手续费(J)]]*折扣,0)</f>
        <v>15.6</v>
      </c>
      <c r="E147" s="36">
        <f>IF(A147="○",SUMPRODUCT(表_天空元气石必成[[#This Row],[武魂神物]:[列16]],表_天空元气石必成[[#Totals],[武魂神物]:[列16]]),0)</f>
        <v>1250</v>
      </c>
      <c r="F147" s="39" t="s">
        <v>198</v>
      </c>
      <c r="G147" s="11">
        <v>3</v>
      </c>
      <c r="H147" s="11">
        <v>4</v>
      </c>
      <c r="I147" s="11">
        <v>3</v>
      </c>
      <c r="J147" s="11">
        <v>9</v>
      </c>
      <c r="K147" s="11"/>
      <c r="L147" s="11"/>
      <c r="M147" s="11"/>
      <c r="N147" s="11"/>
      <c r="O147" s="11"/>
      <c r="P147" s="11"/>
      <c r="Q147" s="11"/>
      <c r="R147" s="11"/>
      <c r="S147" s="30"/>
      <c r="T147" s="11">
        <v>5</v>
      </c>
      <c r="U147" s="11"/>
      <c r="V147" s="11"/>
      <c r="W147" s="11"/>
    </row>
    <row r="148" spans="1:23" x14ac:dyDescent="0.25">
      <c r="A148" t="s">
        <v>318</v>
      </c>
      <c r="B148" s="36">
        <f>表_天空元气石必成[[#This Row],[进化金币(J)]]+IF(ISNUMBER(B147), B147, 表_天空元气石必成[[#Totals],[进化阶段]])</f>
        <v>93.449999999999989</v>
      </c>
      <c r="C148" s="35">
        <f>表_天空元气石必成[[#This Row],[进化点券]]+IF(ISNUMBER(C147), C147, 0)</f>
        <v>6000</v>
      </c>
      <c r="D148" s="36">
        <f>IF(A148="○",SUMPRODUCT(表_天空元气石必成[[#This Row],[天空碎片]:[列12]],表_天空元气石必成[[#Totals],[天空碎片]:[列12]])+表_天空元气石必成[[#This Row],[手续费(J)]]*折扣,0)</f>
        <v>20.5</v>
      </c>
      <c r="E148" s="36">
        <f>IF(A148="○",SUMPRODUCT(表_天空元气石必成[[#This Row],[武魂神物]:[列16]],表_天空元气石必成[[#Totals],[武魂神物]:[列16]]),0)</f>
        <v>1500</v>
      </c>
      <c r="F148" s="40" t="s">
        <v>219</v>
      </c>
      <c r="G148" s="11">
        <v>4</v>
      </c>
      <c r="H148" s="11">
        <v>5</v>
      </c>
      <c r="I148" s="11">
        <v>4</v>
      </c>
      <c r="J148" s="11">
        <v>10</v>
      </c>
      <c r="K148" s="11"/>
      <c r="L148" s="11"/>
      <c r="M148" s="11"/>
      <c r="N148" s="11"/>
      <c r="O148" s="11"/>
      <c r="P148" s="11"/>
      <c r="Q148" s="11"/>
      <c r="R148" s="11"/>
      <c r="S148" s="30"/>
      <c r="T148" s="25">
        <v>6</v>
      </c>
      <c r="U148" s="11"/>
      <c r="V148" s="11"/>
      <c r="W148" s="11"/>
    </row>
    <row r="149" spans="1:23" x14ac:dyDescent="0.25">
      <c r="A149" t="s">
        <v>318</v>
      </c>
      <c r="B149" s="36">
        <f>表_天空元气石必成[[#This Row],[进化金币(J)]]+IF(ISNUMBER(B148), B148, 表_天空元气石必成[[#Totals],[进化阶段]])</f>
        <v>113.94999999999999</v>
      </c>
      <c r="C149" s="35">
        <f>表_天空元气石必成[[#This Row],[进化点券]]+IF(ISNUMBER(C148), C148, 0)</f>
        <v>7750</v>
      </c>
      <c r="D149" s="36">
        <f>IF(A149="○",SUMPRODUCT(表_天空元气石必成[[#This Row],[天空碎片]:[列12]],表_天空元气石必成[[#Totals],[天空碎片]:[列12]])+表_天空元气石必成[[#This Row],[手续费(J)]]*折扣,0)</f>
        <v>20.5</v>
      </c>
      <c r="E149" s="36">
        <f>IF(A149="○",SUMPRODUCT(表_天空元气石必成[[#This Row],[武魂神物]:[列16]],表_天空元气石必成[[#Totals],[武魂神物]:[列16]]),0)</f>
        <v>1750</v>
      </c>
      <c r="F149" s="40" t="s">
        <v>213</v>
      </c>
      <c r="G149" s="11">
        <v>4</v>
      </c>
      <c r="H149" s="11">
        <v>6</v>
      </c>
      <c r="I149" s="11">
        <v>4</v>
      </c>
      <c r="J149" s="11">
        <v>10</v>
      </c>
      <c r="K149" s="11"/>
      <c r="L149" s="11"/>
      <c r="M149" s="11"/>
      <c r="N149" s="11"/>
      <c r="O149" s="11"/>
      <c r="P149" s="11"/>
      <c r="Q149" s="11"/>
      <c r="R149" s="11"/>
      <c r="S149" s="30"/>
      <c r="T149" s="11">
        <v>7</v>
      </c>
      <c r="U149" s="11"/>
      <c r="V149" s="11"/>
      <c r="W149" s="11"/>
    </row>
    <row r="150" spans="1:23" x14ac:dyDescent="0.25">
      <c r="A150" t="s">
        <v>318</v>
      </c>
      <c r="B150" s="36">
        <f>表_天空元气石必成[[#This Row],[进化金币(J)]]+IF(ISNUMBER(B149), B149, 表_天空元气石必成[[#Totals],[进化阶段]])</f>
        <v>134.75</v>
      </c>
      <c r="C150" s="35">
        <f>表_天空元气石必成[[#This Row],[进化点券]]+IF(ISNUMBER(C149), C149, 0)</f>
        <v>9750</v>
      </c>
      <c r="D150" s="36">
        <f>IF(A150="○",SUMPRODUCT(表_天空元气石必成[[#This Row],[天空碎片]:[列12]],表_天空元气石必成[[#Totals],[天空碎片]:[列12]])+表_天空元气石必成[[#This Row],[手续费(J)]]*折扣,0)</f>
        <v>20.8</v>
      </c>
      <c r="E150" s="36">
        <f>IF(A150="○",SUMPRODUCT(表_天空元气石必成[[#This Row],[武魂神物]:[列16]],表_天空元气石必成[[#Totals],[武魂神物]:[列16]]),0)</f>
        <v>2000</v>
      </c>
      <c r="F150" s="40" t="s">
        <v>214</v>
      </c>
      <c r="G150" s="11">
        <v>4</v>
      </c>
      <c r="H150" s="11">
        <v>7</v>
      </c>
      <c r="I150" s="11">
        <v>4</v>
      </c>
      <c r="J150" s="11">
        <v>12</v>
      </c>
      <c r="K150" s="11"/>
      <c r="L150" s="11"/>
      <c r="M150" s="11"/>
      <c r="N150" s="11"/>
      <c r="O150" s="11"/>
      <c r="P150" s="11"/>
      <c r="Q150" s="11"/>
      <c r="R150" s="11"/>
      <c r="S150" s="30"/>
      <c r="T150" s="25">
        <v>8</v>
      </c>
      <c r="U150" s="11"/>
      <c r="V150" s="11"/>
      <c r="W150" s="11"/>
    </row>
    <row r="151" spans="1:23" ht="15" thickBot="1" x14ac:dyDescent="0.3">
      <c r="A151" t="s">
        <v>318</v>
      </c>
      <c r="B151" s="36">
        <f>表_天空元气石必成[[#This Row],[进化金币(J)]]+IF(ISNUMBER(B150), B150, 表_天空元气石必成[[#Totals],[进化阶段]])</f>
        <v>155.55000000000001</v>
      </c>
      <c r="C151" s="35">
        <f>表_天空元气石必成[[#This Row],[进化点券]]+IF(ISNUMBER(C150), C150, 0)</f>
        <v>12000</v>
      </c>
      <c r="D151" s="36">
        <f>IF(A151="○",SUMPRODUCT(表_天空元气石必成[[#This Row],[天空碎片]:[列12]],表_天空元气石必成[[#Totals],[天空碎片]:[列12]])+表_天空元气石必成[[#This Row],[手续费(J)]]*折扣,0)</f>
        <v>20.8</v>
      </c>
      <c r="E151" s="36">
        <f>IF(A151="○",SUMPRODUCT(表_天空元气石必成[[#This Row],[武魂神物]:[列16]],表_天空元气石必成[[#Totals],[武魂神物]:[列16]]),0)</f>
        <v>2250</v>
      </c>
      <c r="F151" s="40" t="s">
        <v>215</v>
      </c>
      <c r="G151" s="11">
        <v>4</v>
      </c>
      <c r="H151" s="11">
        <v>7</v>
      </c>
      <c r="I151" s="11">
        <v>4</v>
      </c>
      <c r="J151" s="11">
        <v>12</v>
      </c>
      <c r="K151" s="11"/>
      <c r="L151" s="11"/>
      <c r="M151" s="11"/>
      <c r="N151" s="11"/>
      <c r="O151" s="11"/>
      <c r="P151" s="11"/>
      <c r="Q151" s="11"/>
      <c r="R151" s="11"/>
      <c r="S151" s="30"/>
      <c r="T151" s="11">
        <v>9</v>
      </c>
      <c r="U151" s="11"/>
      <c r="V151" s="11"/>
      <c r="W151" s="11"/>
    </row>
    <row r="152" spans="1:23" ht="15" thickTop="1" x14ac:dyDescent="0.25">
      <c r="B152" s="72">
        <f>SUBTOTAL(104,表_天空元气石必成[累计金币(J)])</f>
        <v>155.55000000000001</v>
      </c>
      <c r="C152" s="72">
        <f>SUBTOTAL(104,表_天空元气石必成[累计点券])</f>
        <v>12000</v>
      </c>
      <c r="D152" s="73">
        <f>SUBTOTAL(109,表_天空元气石必成[进化金币(J)])</f>
        <v>155.55000000000001</v>
      </c>
      <c r="E152" s="74">
        <f>SUBTOTAL(109,表_天空元气石必成[进化点券])</f>
        <v>12000</v>
      </c>
      <c r="F152" s="88"/>
      <c r="G152" s="76" t="s">
        <v>190</v>
      </c>
      <c r="H152" s="77">
        <f xml:space="preserve"> _xlfn.IFNA(VLOOKUP(表_天空元气石必成[[#Headers],[天空碎片]],金价一览,2,0), 0)</f>
        <v>0</v>
      </c>
      <c r="I152" s="77">
        <f xml:space="preserve"> _xlfn.IFNA(VLOOKUP(表_天空元气石必成[[#Headers],[仙丹]],金价一览,2,0), 0)</f>
        <v>4</v>
      </c>
      <c r="J152" s="77">
        <f xml:space="preserve"> _xlfn.IFNA(VLOOKUP(表_天空元气石必成[[#Headers],[灵丹]],金价一览,2,0), 0)</f>
        <v>0.15</v>
      </c>
      <c r="K152" s="77">
        <f xml:space="preserve"> _xlfn.IFNA(VLOOKUP(表_天空元气石必成[[#Headers],[列4]],金价一览,2,0), 0)</f>
        <v>0</v>
      </c>
      <c r="L152" s="77">
        <f xml:space="preserve"> _xlfn.IFNA(VLOOKUP(表_天空元气石必成[[#Headers],[列5]],金价一览,2,0), 0)</f>
        <v>0</v>
      </c>
      <c r="M152" s="77">
        <f xml:space="preserve"> _xlfn.IFNA(VLOOKUP(表_天空元气石必成[[#Headers],[列6]],金价一览,2,0), 0)</f>
        <v>0</v>
      </c>
      <c r="N152" s="77">
        <f xml:space="preserve"> _xlfn.IFNA(VLOOKUP(表_天空元气石必成[[#Headers],[列7]],金价一览,2,0), 0)</f>
        <v>0</v>
      </c>
      <c r="O152" s="77">
        <f xml:space="preserve"> _xlfn.IFNA(VLOOKUP(表_天空元气石必成[[#Headers],[列8]],金价一览,2,0), 0)</f>
        <v>0</v>
      </c>
      <c r="P152" s="77">
        <f xml:space="preserve"> _xlfn.IFNA(VLOOKUP(表_天空元气石必成[[#Headers],[列9]],金价一览,2,0), 0)</f>
        <v>0</v>
      </c>
      <c r="Q152" s="77">
        <f xml:space="preserve"> _xlfn.IFNA(VLOOKUP(表_天空元气石必成[[#Headers],[列10]],金价一览,2,0), 0)</f>
        <v>0</v>
      </c>
      <c r="R152" s="77">
        <f xml:space="preserve"> _xlfn.IFNA(VLOOKUP(表_天空元气石必成[[#Headers],[列11]],金价一览,2,0), 0)</f>
        <v>0</v>
      </c>
      <c r="S152" s="77">
        <f xml:space="preserve"> _xlfn.IFNA(VLOOKUP(表_天空元气石必成[[#Headers],[列12]],金价一览,2,0), 0)</f>
        <v>0</v>
      </c>
      <c r="T152" s="78">
        <f>_xlfn.IFNA(VLOOKUP(表_天空元气石必成[[#Headers],[武魂神物]],点券一览,2,0),0)</f>
        <v>250</v>
      </c>
      <c r="U152" s="78">
        <f>_xlfn.IFNA(VLOOKUP(表_天空元气石必成[[#Headers],[列14]],点券一览,2,0),0)</f>
        <v>0</v>
      </c>
      <c r="V152" s="78">
        <f>_xlfn.IFNA(VLOOKUP(表_天空元气石必成[[#Headers],[列15]],点券一览,2,0),0)</f>
        <v>0</v>
      </c>
      <c r="W152" s="78">
        <f>_xlfn.IFNA(VLOOKUP(表_天空元气石必成[[#Headers],[列16]],点券一览,2,0),0)</f>
        <v>0</v>
      </c>
    </row>
    <row r="153" spans="1:23" x14ac:dyDescent="0.25">
      <c r="B153" s="188" t="s">
        <v>221</v>
      </c>
      <c r="C153" s="188"/>
      <c r="D153" s="188"/>
      <c r="E153" s="188"/>
      <c r="F153" s="189"/>
      <c r="G153" s="79" t="s">
        <v>224</v>
      </c>
      <c r="H153" s="52">
        <f>SUM(表_天空元气石必成[[#Data],[天空碎片]])</f>
        <v>47</v>
      </c>
      <c r="I153" s="52">
        <f>SUM(表_天空元气石必成[[#Data],[仙丹]])</f>
        <v>30</v>
      </c>
      <c r="J153" s="52">
        <f>SUM(表_天空元气石必成[[#Data],[灵丹]])</f>
        <v>87</v>
      </c>
      <c r="K153" s="52">
        <f>SUM(表_天空元气石必成[[#Data],[列4]])</f>
        <v>0</v>
      </c>
      <c r="L153" s="52">
        <f>SUM(表_天空元气石必成[[#Data],[列5]])</f>
        <v>0</v>
      </c>
      <c r="M153" s="52">
        <f>SUM(表_天空元气石必成[[#Data],[列6]])</f>
        <v>0</v>
      </c>
      <c r="N153" s="52">
        <f>SUM(表_天空元气石必成[[#Data],[列7]])</f>
        <v>0</v>
      </c>
      <c r="O153" s="52">
        <f>SUM(表_天空元气石必成[[#Data],[列8]])</f>
        <v>0</v>
      </c>
      <c r="P153" s="52">
        <f>SUM(表_天空元气石必成[[#Data],[列9]])</f>
        <v>0</v>
      </c>
      <c r="Q153" s="52">
        <f>SUM(表_天空元气石必成[[#Data],[列10]])</f>
        <v>0</v>
      </c>
      <c r="R153" s="52">
        <f>SUM(表_天空元气石必成[[#Data],[列11]])</f>
        <v>0</v>
      </c>
      <c r="S153" s="52">
        <f>SUM(表_天空元气石必成[[#Data],[列12]])</f>
        <v>0</v>
      </c>
      <c r="T153" s="52">
        <f>SUM(表_天空元气石必成[[#Data],[武魂神物]])</f>
        <v>48</v>
      </c>
      <c r="U153" s="52">
        <f>SUM(表_天空元气石必成[[#Data],[列14]])</f>
        <v>0</v>
      </c>
      <c r="V153" s="52">
        <f>SUM(表_天空元气石必成[[#Data],[列15]])</f>
        <v>0</v>
      </c>
      <c r="W153" s="52">
        <f>SUM(表_天空元气石必成[[#Data],[列16]])</f>
        <v>0</v>
      </c>
    </row>
    <row r="154" spans="1:23" x14ac:dyDescent="0.25">
      <c r="B154" s="188"/>
      <c r="C154" s="188"/>
      <c r="D154" s="188"/>
      <c r="E154" s="188"/>
      <c r="F154" s="189"/>
      <c r="G154" s="80" t="s">
        <v>223</v>
      </c>
      <c r="H154" s="52">
        <f>H153*表_天空元气石必成[[#Totals],[天空碎片]]</f>
        <v>0</v>
      </c>
      <c r="I154" s="52">
        <f>I153*表_天空元气石必成[[#Totals],[仙丹]]</f>
        <v>120</v>
      </c>
      <c r="J154" s="52">
        <f>J153*表_天空元气石必成[[#Totals],[灵丹]]</f>
        <v>13.049999999999999</v>
      </c>
      <c r="K154" s="52">
        <f>K153*表_天空元气石必成[[#Totals],[列4]]</f>
        <v>0</v>
      </c>
      <c r="L154" s="52">
        <f>L153*表_天空元气石必成[[#Totals],[列5]]</f>
        <v>0</v>
      </c>
      <c r="M154" s="52">
        <f>M153*表_天空元气石必成[[#Totals],[列6]]</f>
        <v>0</v>
      </c>
      <c r="N154" s="52">
        <f>N153*表_天空元气石必成[[#Totals],[列7]]</f>
        <v>0</v>
      </c>
      <c r="O154" s="52">
        <f>O153*表_天空元气石必成[[#Totals],[列8]]</f>
        <v>0</v>
      </c>
      <c r="P154" s="52">
        <f>P153*表_天空元气石必成[[#Totals],[列9]]</f>
        <v>0</v>
      </c>
      <c r="Q154" s="52">
        <f>Q153*表_天空元气石必成[[#Totals],[列10]]</f>
        <v>0</v>
      </c>
      <c r="R154" s="52">
        <f>R153*表_天空元气石必成[[#Totals],[列11]]</f>
        <v>0</v>
      </c>
      <c r="S154" s="52">
        <f>S153*表_天空元气石必成[[#Totals],[列12]]</f>
        <v>0</v>
      </c>
      <c r="T154" s="52">
        <f>T153*表_天空元气石必成[[#Totals],[武魂神物]]</f>
        <v>12000</v>
      </c>
      <c r="U154" s="52">
        <f>U153*表_天空元气石必成[[#Totals],[列14]]</f>
        <v>0</v>
      </c>
      <c r="V154" s="52">
        <f>V153*表_天空元气石必成[[#Totals],[列15]]</f>
        <v>0</v>
      </c>
      <c r="W154" s="52">
        <f>W153*表_天空元气石必成[[#Totals],[列16]]</f>
        <v>0</v>
      </c>
    </row>
    <row r="159" spans="1:23" x14ac:dyDescent="0.25">
      <c r="D159" t="s">
        <v>191</v>
      </c>
    </row>
  </sheetData>
  <mergeCells count="6">
    <mergeCell ref="B19:F20"/>
    <mergeCell ref="B59:F60"/>
    <mergeCell ref="B39:F40"/>
    <mergeCell ref="B153:F154"/>
    <mergeCell ref="B136:F137"/>
    <mergeCell ref="B105:F106"/>
  </mergeCells>
  <phoneticPr fontId="10" type="noConversion"/>
  <conditionalFormatting sqref="H3:S3">
    <cfRule type="containsText" dxfId="898" priority="12" operator="containsText" text="列">
      <formula>NOT(ISERROR(SEARCH("列",H3)))</formula>
    </cfRule>
  </conditionalFormatting>
  <conditionalFormatting sqref="T3:W3">
    <cfRule type="containsText" dxfId="897" priority="11" operator="containsText" text="列">
      <formula>NOT(ISERROR(SEARCH("列",T3)))</formula>
    </cfRule>
  </conditionalFormatting>
  <conditionalFormatting sqref="H43:S43">
    <cfRule type="containsText" dxfId="896" priority="10" operator="containsText" text="列">
      <formula>NOT(ISERROR(SEARCH("列",H43)))</formula>
    </cfRule>
  </conditionalFormatting>
  <conditionalFormatting sqref="T43:W43">
    <cfRule type="containsText" dxfId="895" priority="9" operator="containsText" text="列">
      <formula>NOT(ISERROR(SEARCH("列",T43)))</formula>
    </cfRule>
  </conditionalFormatting>
  <conditionalFormatting sqref="H23:S23">
    <cfRule type="containsText" dxfId="894" priority="8" operator="containsText" text="列">
      <formula>NOT(ISERROR(SEARCH("列",H23)))</formula>
    </cfRule>
  </conditionalFormatting>
  <conditionalFormatting sqref="T23:W23">
    <cfRule type="containsText" dxfId="893" priority="7" operator="containsText" text="列">
      <formula>NOT(ISERROR(SEARCH("列",T23)))</formula>
    </cfRule>
  </conditionalFormatting>
  <conditionalFormatting sqref="H140:S140">
    <cfRule type="containsText" dxfId="892" priority="6" operator="containsText" text="列">
      <formula>NOT(ISERROR(SEARCH("列",H140)))</formula>
    </cfRule>
  </conditionalFormatting>
  <conditionalFormatting sqref="T140:W140">
    <cfRule type="containsText" dxfId="891" priority="5" operator="containsText" text="列">
      <formula>NOT(ISERROR(SEARCH("列",T140)))</formula>
    </cfRule>
  </conditionalFormatting>
  <conditionalFormatting sqref="H120:S120">
    <cfRule type="containsText" dxfId="890" priority="4" operator="containsText" text="列">
      <formula>NOT(ISERROR(SEARCH("列",H120)))</formula>
    </cfRule>
  </conditionalFormatting>
  <conditionalFormatting sqref="T120:W120">
    <cfRule type="containsText" dxfId="889" priority="3" operator="containsText" text="列">
      <formula>NOT(ISERROR(SEARCH("列",T120)))</formula>
    </cfRule>
  </conditionalFormatting>
  <conditionalFormatting sqref="H89:S89">
    <cfRule type="containsText" dxfId="888" priority="2" operator="containsText" text="列">
      <formula>NOT(ISERROR(SEARCH("列",H89)))</formula>
    </cfRule>
  </conditionalFormatting>
  <conditionalFormatting sqref="T89:W89">
    <cfRule type="containsText" dxfId="887" priority="1" operator="containsText" text="列">
      <formula>NOT(ISERROR(SEARCH("列",T89)))</formula>
    </cfRule>
  </conditionalFormatting>
  <dataValidations count="2">
    <dataValidation type="list" allowBlank="1" showInputMessage="1" showErrorMessage="1" sqref="T3:W3 T43:W43 T23:W23 T140:W140 T120:W120 T89:W89">
      <formula1>神物名</formula1>
    </dataValidation>
    <dataValidation type="list" allowBlank="1" showInputMessage="1" showErrorMessage="1" error="不存在的材料名" sqref="H3:S3 H43:S43 H23:S23 H140:S140 H120:S120 H89:S89">
      <formula1>材料名</formula1>
    </dataValidation>
  </dataValidations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5"/>
  <sheetViews>
    <sheetView workbookViewId="0">
      <selection activeCell="A16" sqref="A16:XFD16"/>
    </sheetView>
  </sheetViews>
  <sheetFormatPr defaultRowHeight="14.4" x14ac:dyDescent="0.25"/>
  <cols>
    <col min="5" max="5" width="10.21875" customWidth="1"/>
    <col min="7" max="7" width="9.77734375" customWidth="1"/>
    <col min="8" max="8" width="12.6640625" customWidth="1"/>
    <col min="9" max="9" width="11.5546875" customWidth="1"/>
    <col min="16" max="16" width="9.33203125" bestFit="1" customWidth="1"/>
    <col min="25" max="25" width="11" customWidth="1"/>
  </cols>
  <sheetData>
    <row r="2" spans="1:26" x14ac:dyDescent="0.25">
      <c r="D2" s="28" t="s">
        <v>359</v>
      </c>
      <c r="J2" s="43" t="s">
        <v>212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42" t="s">
        <v>211</v>
      </c>
      <c r="W2" s="41"/>
      <c r="X2" s="41"/>
      <c r="Y2" s="41"/>
    </row>
    <row r="3" spans="1:26" ht="34.200000000000003" customHeight="1" thickBot="1" x14ac:dyDescent="0.3">
      <c r="D3" s="57" t="s">
        <v>187</v>
      </c>
      <c r="E3" s="57" t="s">
        <v>186</v>
      </c>
      <c r="F3" s="98" t="s">
        <v>253</v>
      </c>
      <c r="G3" s="98" t="s">
        <v>255</v>
      </c>
      <c r="H3" s="58" t="s">
        <v>181</v>
      </c>
      <c r="I3" s="58" t="s">
        <v>185</v>
      </c>
      <c r="J3" s="59" t="s">
        <v>179</v>
      </c>
      <c r="K3" s="60" t="s">
        <v>133</v>
      </c>
      <c r="L3" s="60" t="s">
        <v>122</v>
      </c>
      <c r="M3" s="60" t="s">
        <v>4</v>
      </c>
      <c r="N3" s="60" t="s">
        <v>129</v>
      </c>
      <c r="O3" s="60" t="s">
        <v>248</v>
      </c>
      <c r="P3" s="60" t="s">
        <v>370</v>
      </c>
      <c r="Q3" s="60" t="s">
        <v>7</v>
      </c>
      <c r="R3" s="60" t="s">
        <v>134</v>
      </c>
      <c r="S3" s="60" t="s">
        <v>3</v>
      </c>
      <c r="T3" s="60" t="s">
        <v>2</v>
      </c>
      <c r="U3" s="60" t="s">
        <v>0</v>
      </c>
      <c r="V3" s="61" t="s">
        <v>1</v>
      </c>
      <c r="W3" s="62" t="s">
        <v>6</v>
      </c>
      <c r="X3" s="62" t="s">
        <v>137</v>
      </c>
      <c r="Y3" s="62" t="s">
        <v>151</v>
      </c>
      <c r="Z3" s="62" t="s">
        <v>210</v>
      </c>
    </row>
    <row r="4" spans="1:26" ht="15" thickTop="1" x14ac:dyDescent="0.25">
      <c r="B4" t="s">
        <v>389</v>
      </c>
      <c r="D4" s="55">
        <f>表_光辉真气石进化[[#This Row],[进化金币(J)]]+IF(ISNUMBER(D3), D3, 表_光辉真气石进化[[#Totals],[进化阶段]])</f>
        <v>0</v>
      </c>
      <c r="E4" s="54">
        <f>表_光辉真气石进化[[#This Row],[进化点券]]+IF(ISNUMBER(E3), E3, 0)</f>
        <v>0</v>
      </c>
      <c r="F4" s="55">
        <f>IF(A4="○",SUMPRODUCT(表_光辉真气石进化[[#This Row],[黑风魂]:[灵丹]],表_光辉真气石进化[[#Totals],[黑风魂]:[灵丹]])+表_光辉真气石进化[[#This Row],[手续费(J)]]*折扣,0)</f>
        <v>0</v>
      </c>
      <c r="G4" s="55">
        <f>IF(A4="○",SUMPRODUCT(表_光辉真气石进化[[#This Row],[高级武魂神物]:[列16]],表_光辉真气石进化[[#Totals],[高级武魂神物]:[列16]]),0)</f>
        <v>0</v>
      </c>
      <c r="H4" s="56" t="s">
        <v>192</v>
      </c>
      <c r="I4" s="34">
        <v>10</v>
      </c>
      <c r="J4" s="34"/>
      <c r="K4" s="34"/>
      <c r="L4" s="34"/>
      <c r="M4" s="34">
        <v>4</v>
      </c>
      <c r="N4" s="34"/>
      <c r="O4" s="34"/>
      <c r="P4" s="34"/>
      <c r="Q4" s="34"/>
      <c r="R4" s="34"/>
      <c r="S4" s="34">
        <v>6</v>
      </c>
      <c r="T4" s="34">
        <v>18</v>
      </c>
      <c r="U4" s="34">
        <v>5</v>
      </c>
      <c r="V4" s="32">
        <v>15</v>
      </c>
      <c r="W4" s="34">
        <v>2</v>
      </c>
      <c r="X4" s="34"/>
      <c r="Y4" s="34"/>
      <c r="Z4" s="34"/>
    </row>
    <row r="5" spans="1:26" x14ac:dyDescent="0.25">
      <c r="B5" t="s">
        <v>390</v>
      </c>
      <c r="D5" s="36">
        <f>表_光辉真气石进化[[#This Row],[进化金币(J)]]+IF(ISNUMBER(D4), D4, 表_光辉真气石进化[[#Totals],[进化阶段]])</f>
        <v>0</v>
      </c>
      <c r="E5" s="35">
        <f>表_光辉真气石进化[[#This Row],[进化点券]]+IF(ISNUMBER(E4), E4, 0)</f>
        <v>0</v>
      </c>
      <c r="F5" s="36">
        <f>IF(A5="○",SUMPRODUCT(表_光辉真气石进化[[#This Row],[黑风魂]:[灵丹]],表_光辉真气石进化[[#Totals],[黑风魂]:[灵丹]])+表_光辉真气石进化[[#This Row],[手续费(J)]]*折扣,0)</f>
        <v>0</v>
      </c>
      <c r="G5" s="36">
        <f>IF(A5="○",SUMPRODUCT(表_光辉真气石进化[[#This Row],[高级武魂神物]:[列16]],表_光辉真气石进化[[#Totals],[高级武魂神物]:[列16]]),0)</f>
        <v>0</v>
      </c>
      <c r="H5" s="39" t="s">
        <v>193</v>
      </c>
      <c r="I5" s="11">
        <v>11</v>
      </c>
      <c r="J5" s="11"/>
      <c r="K5" s="11"/>
      <c r="L5" s="11"/>
      <c r="M5" s="11">
        <v>5</v>
      </c>
      <c r="N5" s="11"/>
      <c r="O5" s="11"/>
      <c r="P5" s="11"/>
      <c r="Q5" s="11"/>
      <c r="R5" s="11"/>
      <c r="S5" s="34">
        <v>7</v>
      </c>
      <c r="T5" s="11">
        <v>21</v>
      </c>
      <c r="U5" s="11">
        <v>6</v>
      </c>
      <c r="V5" s="30">
        <v>18</v>
      </c>
      <c r="W5" s="34">
        <v>3</v>
      </c>
      <c r="X5" s="34"/>
      <c r="Y5" s="34"/>
      <c r="Z5" s="34"/>
    </row>
    <row r="6" spans="1:26" x14ac:dyDescent="0.25">
      <c r="B6" t="s">
        <v>391</v>
      </c>
      <c r="D6" s="36">
        <f>表_光辉真气石进化[[#This Row],[进化金币(J)]]+IF(ISNUMBER(D5), D5, 表_光辉真气石进化[[#Totals],[进化阶段]])</f>
        <v>0</v>
      </c>
      <c r="E6" s="35">
        <f>表_光辉真气石进化[[#This Row],[进化点券]]+IF(ISNUMBER(E5), E5, 0)</f>
        <v>0</v>
      </c>
      <c r="F6" s="36">
        <f>IF(A6="○",SUMPRODUCT(表_光辉真气石进化[[#This Row],[黑风魂]:[灵丹]],表_光辉真气石进化[[#Totals],[黑风魂]:[灵丹]])+表_光辉真气石进化[[#This Row],[手续费(J)]]*折扣,0)</f>
        <v>0</v>
      </c>
      <c r="G6" s="36">
        <f>IF(A6="○",SUMPRODUCT(表_光辉真气石进化[[#This Row],[高级武魂神物]:[列16]],表_光辉真气石进化[[#Totals],[高级武魂神物]:[列16]]),0)</f>
        <v>0</v>
      </c>
      <c r="H6" s="39" t="s">
        <v>194</v>
      </c>
      <c r="I6" s="11">
        <v>13</v>
      </c>
      <c r="J6" s="11"/>
      <c r="K6" s="11"/>
      <c r="L6" s="11"/>
      <c r="M6" s="11">
        <v>6</v>
      </c>
      <c r="N6" s="11"/>
      <c r="O6" s="11"/>
      <c r="P6" s="11"/>
      <c r="Q6" s="11"/>
      <c r="R6" s="11"/>
      <c r="S6" s="34">
        <v>8</v>
      </c>
      <c r="T6" s="11">
        <v>24</v>
      </c>
      <c r="U6" s="34">
        <v>7</v>
      </c>
      <c r="V6" s="30">
        <v>21</v>
      </c>
      <c r="W6" s="34">
        <v>3</v>
      </c>
      <c r="X6" s="34"/>
      <c r="Y6" s="34"/>
      <c r="Z6" s="34"/>
    </row>
    <row r="7" spans="1:26" x14ac:dyDescent="0.25">
      <c r="B7" t="s">
        <v>392</v>
      </c>
      <c r="D7" s="36">
        <f>表_光辉真气石进化[[#This Row],[进化金币(J)]]+IF(ISNUMBER(D6), D6, 表_光辉真气石进化[[#Totals],[进化阶段]])</f>
        <v>0</v>
      </c>
      <c r="E7" s="35">
        <f>表_光辉真气石进化[[#This Row],[进化点券]]+IF(ISNUMBER(E6), E6, 0)</f>
        <v>0</v>
      </c>
      <c r="F7" s="36">
        <f>IF(A7="○",SUMPRODUCT(表_光辉真气石进化[[#This Row],[黑风魂]:[灵丹]],表_光辉真气石进化[[#Totals],[黑风魂]:[灵丹]])+表_光辉真气石进化[[#This Row],[手续费(J)]]*折扣,0)</f>
        <v>0</v>
      </c>
      <c r="G7" s="36">
        <f>IF(A7="○",SUMPRODUCT(表_光辉真气石进化[[#This Row],[高级武魂神物]:[列16]],表_光辉真气石进化[[#Totals],[高级武魂神物]:[列16]]),0)</f>
        <v>0</v>
      </c>
      <c r="H7" s="39" t="s">
        <v>195</v>
      </c>
      <c r="I7" s="11">
        <v>14</v>
      </c>
      <c r="J7" s="11"/>
      <c r="K7" s="11"/>
      <c r="L7" s="11"/>
      <c r="M7" s="11">
        <v>7</v>
      </c>
      <c r="N7" s="11"/>
      <c r="O7" s="11"/>
      <c r="P7" s="11"/>
      <c r="Q7" s="11"/>
      <c r="R7" s="11"/>
      <c r="S7" s="11">
        <v>10</v>
      </c>
      <c r="T7" s="11">
        <v>30</v>
      </c>
      <c r="U7" s="11">
        <v>8</v>
      </c>
      <c r="V7" s="30">
        <v>24</v>
      </c>
      <c r="W7" s="34">
        <v>4</v>
      </c>
      <c r="X7" s="34"/>
      <c r="Y7" s="34"/>
      <c r="Z7" s="34"/>
    </row>
    <row r="8" spans="1:26" x14ac:dyDescent="0.25">
      <c r="B8" t="s">
        <v>393</v>
      </c>
      <c r="D8" s="36">
        <f>表_光辉真气石进化[[#This Row],[进化金币(J)]]+IF(ISNUMBER(D7), D7, 表_光辉真气石进化[[#Totals],[进化阶段]])</f>
        <v>0</v>
      </c>
      <c r="E8" s="35">
        <f>表_光辉真气石进化[[#This Row],[进化点券]]+IF(ISNUMBER(E7), E7, 0)</f>
        <v>0</v>
      </c>
      <c r="F8" s="36">
        <f>IF(A8="○",SUMPRODUCT(表_光辉真气石进化[[#This Row],[黑风魂]:[灵丹]],表_光辉真气石进化[[#Totals],[黑风魂]:[灵丹]])+表_光辉真气石进化[[#This Row],[手续费(J)]]*折扣,0)</f>
        <v>0</v>
      </c>
      <c r="G8" s="36">
        <f>IF(A8="○",SUMPRODUCT(表_光辉真气石进化[[#This Row],[高级武魂神物]:[列16]],表_光辉真气石进化[[#Totals],[高级武魂神物]:[列16]]),0)</f>
        <v>0</v>
      </c>
      <c r="H8" s="39" t="s">
        <v>196</v>
      </c>
      <c r="I8" s="11">
        <v>15</v>
      </c>
      <c r="J8" s="11"/>
      <c r="K8" s="11"/>
      <c r="L8" s="11"/>
      <c r="M8" s="11">
        <v>8</v>
      </c>
      <c r="N8" s="11"/>
      <c r="O8" s="11"/>
      <c r="P8" s="11"/>
      <c r="Q8" s="11"/>
      <c r="R8" s="11"/>
      <c r="S8" s="11">
        <v>12</v>
      </c>
      <c r="T8" s="11">
        <v>36</v>
      </c>
      <c r="U8" s="11">
        <v>10</v>
      </c>
      <c r="V8" s="30">
        <v>30</v>
      </c>
      <c r="W8" s="11">
        <v>5</v>
      </c>
      <c r="X8" s="11"/>
      <c r="Y8" s="11"/>
      <c r="Z8" s="11"/>
    </row>
    <row r="9" spans="1:26" x14ac:dyDescent="0.25">
      <c r="B9" t="s">
        <v>394</v>
      </c>
      <c r="D9" s="36">
        <f>表_光辉真气石进化[[#This Row],[进化金币(J)]]+IF(ISNUMBER(D8), D8, 表_光辉真气石进化[[#Totals],[进化阶段]])</f>
        <v>0</v>
      </c>
      <c r="E9" s="35">
        <f>表_光辉真气石进化[[#This Row],[进化点券]]+IF(ISNUMBER(E8), E8, 0)</f>
        <v>0</v>
      </c>
      <c r="F9" s="38">
        <f>IF(A9="○",SUMPRODUCT(表_光辉真气石进化[[#This Row],[黑风魂]:[灵丹]],表_光辉真气石进化[[#Totals],[黑风魂]:[灵丹]])+表_光辉真气石进化[[#This Row],[手续费(J)]]*折扣,0)</f>
        <v>0</v>
      </c>
      <c r="G9" s="38">
        <f>IF(A9="○",SUMPRODUCT(表_光辉真气石进化[[#This Row],[高级武魂神物]:[列16]],表_光辉真气石进化[[#Totals],[高级武魂神物]:[列16]]),0)</f>
        <v>0</v>
      </c>
      <c r="H9" s="39" t="s">
        <v>197</v>
      </c>
      <c r="I9" s="25">
        <v>16</v>
      </c>
      <c r="J9" s="25"/>
      <c r="K9" s="25"/>
      <c r="L9" s="25"/>
      <c r="M9" s="25">
        <v>9</v>
      </c>
      <c r="N9" s="25"/>
      <c r="O9" s="25"/>
      <c r="P9" s="25"/>
      <c r="Q9" s="25"/>
      <c r="R9" s="25"/>
      <c r="S9" s="25">
        <v>14</v>
      </c>
      <c r="T9" s="25">
        <v>42</v>
      </c>
      <c r="U9" s="25">
        <v>12</v>
      </c>
      <c r="V9" s="31">
        <v>36</v>
      </c>
      <c r="W9" s="25">
        <v>5</v>
      </c>
      <c r="X9" s="25"/>
      <c r="Y9" s="25"/>
      <c r="Z9" s="25"/>
    </row>
    <row r="10" spans="1:26" x14ac:dyDescent="0.25">
      <c r="B10" t="s">
        <v>395</v>
      </c>
      <c r="D10" s="36">
        <f>表_光辉真气石进化[[#This Row],[进化金币(J)]]+IF(ISNUMBER(D9), D9, 表_光辉真气石进化[[#Totals],[进化阶段]])</f>
        <v>0</v>
      </c>
      <c r="E10" s="35">
        <f>表_光辉真气石进化[[#This Row],[进化点券]]+IF(ISNUMBER(E9), E9, 0)</f>
        <v>0</v>
      </c>
      <c r="F10" s="36">
        <f>IF(A10="○",SUMPRODUCT(表_光辉真气石进化[[#This Row],[黑风魂]:[灵丹]],表_光辉真气石进化[[#Totals],[黑风魂]:[灵丹]])+表_光辉真气石进化[[#This Row],[手续费(J)]]*折扣,0)</f>
        <v>0</v>
      </c>
      <c r="G10" s="36">
        <f>IF(A10="○",SUMPRODUCT(表_光辉真气石进化[[#This Row],[高级武魂神物]:[列16]],表_光辉真气石进化[[#Totals],[高级武魂神物]:[列16]]),0)</f>
        <v>0</v>
      </c>
      <c r="H10" s="39" t="s">
        <v>198</v>
      </c>
      <c r="I10" s="11">
        <v>18</v>
      </c>
      <c r="J10" s="11"/>
      <c r="K10" s="11"/>
      <c r="L10" s="11"/>
      <c r="M10" s="11">
        <v>10</v>
      </c>
      <c r="N10" s="11"/>
      <c r="O10" s="11"/>
      <c r="P10" s="11"/>
      <c r="Q10" s="11"/>
      <c r="R10" s="11"/>
      <c r="S10" s="11">
        <v>17</v>
      </c>
      <c r="T10" s="11">
        <v>51</v>
      </c>
      <c r="U10" s="11">
        <v>14</v>
      </c>
      <c r="V10" s="30">
        <v>42</v>
      </c>
      <c r="W10" s="11">
        <v>6</v>
      </c>
      <c r="X10" s="11"/>
      <c r="Y10" s="11"/>
      <c r="Z10" s="11"/>
    </row>
    <row r="11" spans="1:26" s="156" customFormat="1" x14ac:dyDescent="0.25">
      <c r="B11" s="156" t="s">
        <v>396</v>
      </c>
      <c r="D11" s="157">
        <f>表_光辉真气石进化[[#This Row],[进化金币(J)]]+IF(ISNUMBER(D10), D10, 表_光辉真气石进化[[#Totals],[进化阶段]])</f>
        <v>0</v>
      </c>
      <c r="E11" s="158">
        <f>表_光辉真气石进化[[#This Row],[进化点券]]+IF(ISNUMBER(E10), E10, 0)</f>
        <v>0</v>
      </c>
      <c r="F11" s="157">
        <f>IF(A11="○",SUMPRODUCT(表_光辉真气石进化[[#This Row],[黑风魂]:[灵丹]],表_光辉真气石进化[[#Totals],[黑风魂]:[灵丹]])+表_光辉真气石进化[[#This Row],[手续费(J)]]*折扣,0)</f>
        <v>0</v>
      </c>
      <c r="G11" s="157">
        <f>IF(A11="○",SUMPRODUCT(表_光辉真气石进化[[#This Row],[高级武魂神物]:[列16]],表_光辉真气石进化[[#Totals],[高级武魂神物]:[列16]]),0)</f>
        <v>0</v>
      </c>
      <c r="H11" s="159" t="s">
        <v>219</v>
      </c>
      <c r="I11" s="160">
        <v>19</v>
      </c>
      <c r="J11" s="160"/>
      <c r="K11" s="160"/>
      <c r="L11" s="160"/>
      <c r="M11" s="160">
        <v>11</v>
      </c>
      <c r="N11" s="160"/>
      <c r="O11" s="160"/>
      <c r="P11" s="160"/>
      <c r="Q11" s="160"/>
      <c r="R11" s="160"/>
      <c r="S11" s="160">
        <v>21</v>
      </c>
      <c r="T11" s="160">
        <v>63</v>
      </c>
      <c r="U11" s="160">
        <v>16</v>
      </c>
      <c r="V11" s="161">
        <v>48</v>
      </c>
      <c r="W11" s="160"/>
      <c r="X11" s="160">
        <v>2</v>
      </c>
      <c r="Y11" s="160"/>
      <c r="Z11" s="160"/>
    </row>
    <row r="12" spans="1:26" s="156" customFormat="1" x14ac:dyDescent="0.25">
      <c r="B12" s="156" t="s">
        <v>397</v>
      </c>
      <c r="D12" s="157">
        <f>表_光辉真气石进化[[#This Row],[进化金币(J)]]+IF(ISNUMBER(D11), D11, 表_光辉真气石进化[[#Totals],[进化阶段]])</f>
        <v>0</v>
      </c>
      <c r="E12" s="158">
        <f>表_光辉真气石进化[[#This Row],[进化点券]]+IF(ISNUMBER(E11), E11, 0)</f>
        <v>0</v>
      </c>
      <c r="F12" s="157">
        <f>IF(A12="○",SUMPRODUCT(表_光辉真气石进化[[#This Row],[黑风魂]:[灵丹]],表_光辉真气石进化[[#Totals],[黑风魂]:[灵丹]])+表_光辉真气石进化[[#This Row],[手续费(J)]]*折扣,0)</f>
        <v>0</v>
      </c>
      <c r="G12" s="157">
        <f>IF(A12="○",SUMPRODUCT(表_光辉真气石进化[[#This Row],[高级武魂神物]:[列16]],表_光辉真气石进化[[#Totals],[高级武魂神物]:[列16]]),0)</f>
        <v>0</v>
      </c>
      <c r="H12" s="159" t="s">
        <v>213</v>
      </c>
      <c r="I12" s="160">
        <v>20</v>
      </c>
      <c r="J12" s="160"/>
      <c r="K12" s="160"/>
      <c r="L12" s="160"/>
      <c r="M12" s="160">
        <v>12</v>
      </c>
      <c r="N12" s="160"/>
      <c r="O12" s="160"/>
      <c r="P12" s="160"/>
      <c r="Q12" s="160"/>
      <c r="R12" s="160"/>
      <c r="S12" s="160">
        <v>25</v>
      </c>
      <c r="T12" s="160">
        <v>75</v>
      </c>
      <c r="U12" s="160">
        <v>20</v>
      </c>
      <c r="V12" s="161">
        <v>60</v>
      </c>
      <c r="W12" s="160"/>
      <c r="X12" s="160">
        <v>2</v>
      </c>
      <c r="Y12" s="160"/>
      <c r="Z12" s="160"/>
    </row>
    <row r="13" spans="1:26" s="156" customFormat="1" x14ac:dyDescent="0.25">
      <c r="B13" s="156" t="s">
        <v>398</v>
      </c>
      <c r="C13" s="156" t="s">
        <v>375</v>
      </c>
      <c r="D13" s="157">
        <f>表_光辉真气石进化[[#This Row],[进化金币(J)]]+IF(ISNUMBER(D12), D12, 表_光辉真气石进化[[#Totals],[进化阶段]])</f>
        <v>0</v>
      </c>
      <c r="E13" s="158">
        <f>表_光辉真气石进化[[#This Row],[进化点券]]+IF(ISNUMBER(E12), E12, 0)</f>
        <v>0</v>
      </c>
      <c r="F13" s="157">
        <f>IF(A13="○",SUMPRODUCT(表_光辉真气石进化[[#This Row],[黑风魂]:[灵丹]],表_光辉真气石进化[[#Totals],[黑风魂]:[灵丹]])+表_光辉真气石进化[[#This Row],[手续费(J)]]*折扣,0)</f>
        <v>0</v>
      </c>
      <c r="G13" s="157">
        <f>IF(A13="○",SUMPRODUCT(表_光辉真气石进化[[#This Row],[高级武魂神物]:[列16]],表_光辉真气石进化[[#Totals],[高级武魂神物]:[列16]]),0)</f>
        <v>0</v>
      </c>
      <c r="H13" s="159" t="s">
        <v>214</v>
      </c>
      <c r="I13" s="160">
        <v>21</v>
      </c>
      <c r="J13" s="160"/>
      <c r="K13" s="160"/>
      <c r="L13" s="160"/>
      <c r="M13" s="160">
        <v>13</v>
      </c>
      <c r="N13" s="160"/>
      <c r="O13" s="160"/>
      <c r="P13" s="160"/>
      <c r="Q13" s="160"/>
      <c r="R13" s="160"/>
      <c r="S13" s="160">
        <v>29</v>
      </c>
      <c r="T13" s="160">
        <v>87</v>
      </c>
      <c r="U13" s="160">
        <v>24</v>
      </c>
      <c r="V13" s="161">
        <v>72</v>
      </c>
      <c r="W13" s="160"/>
      <c r="X13" s="160">
        <v>2</v>
      </c>
      <c r="Y13" s="160"/>
      <c r="Z13" s="160"/>
    </row>
    <row r="14" spans="1:26" x14ac:dyDescent="0.25">
      <c r="B14" t="s">
        <v>399</v>
      </c>
      <c r="C14" s="171" t="s">
        <v>376</v>
      </c>
      <c r="D14" s="36">
        <f>表_光辉真气石进化[[#This Row],[进化金币(J)]]+IF(ISNUMBER(D13), D13, 表_光辉真气石进化[[#Totals],[进化阶段]])</f>
        <v>0</v>
      </c>
      <c r="E14" s="35">
        <f>表_光辉真气石进化[[#This Row],[进化点券]]+IF(ISNUMBER(E13), E13, 0)</f>
        <v>0</v>
      </c>
      <c r="F14" s="36">
        <f>IF(A14="○",SUMPRODUCT(表_光辉真气石进化[[#This Row],[黑风魂]:[灵丹]],表_光辉真气石进化[[#Totals],[黑风魂]:[灵丹]])+表_光辉真气石进化[[#This Row],[手续费(J)]]*折扣,0)</f>
        <v>0</v>
      </c>
      <c r="G14" s="36">
        <f>IF(A14="○",SUMPRODUCT(表_光辉真气石进化[[#This Row],[高级武魂神物]:[列16]],表_光辉真气石进化[[#Totals],[高级武魂神物]:[列16]]),0)</f>
        <v>0</v>
      </c>
      <c r="H14" s="40" t="s">
        <v>215</v>
      </c>
      <c r="I14" s="11">
        <v>23</v>
      </c>
      <c r="J14" s="11"/>
      <c r="K14" s="11">
        <v>1</v>
      </c>
      <c r="L14" s="11">
        <v>5</v>
      </c>
      <c r="M14" s="11"/>
      <c r="N14" s="11">
        <v>10</v>
      </c>
      <c r="O14" s="11"/>
      <c r="P14" s="11"/>
      <c r="Q14" s="11"/>
      <c r="R14" s="11"/>
      <c r="S14" s="11">
        <v>13</v>
      </c>
      <c r="T14" s="11">
        <v>38</v>
      </c>
      <c r="U14" s="11"/>
      <c r="V14" s="30"/>
      <c r="W14" s="11"/>
      <c r="X14" s="11">
        <v>5</v>
      </c>
      <c r="Y14" s="11"/>
      <c r="Z14" s="11"/>
    </row>
    <row r="15" spans="1:26" x14ac:dyDescent="0.25">
      <c r="B15" t="s">
        <v>400</v>
      </c>
      <c r="C15" s="171" t="s">
        <v>377</v>
      </c>
      <c r="D15" s="36">
        <f>表_光辉真气石进化[[#This Row],[进化金币(J)]]+IF(ISNUMBER(D14), D14, 表_光辉真气石进化[[#Totals],[进化阶段]])</f>
        <v>0</v>
      </c>
      <c r="E15" s="35">
        <f>表_光辉真气石进化[[#This Row],[进化点券]]+IF(ISNUMBER(E14), E14, 0)</f>
        <v>0</v>
      </c>
      <c r="F15" s="36">
        <f>IF(A15="○",SUMPRODUCT(表_光辉真气石进化[[#This Row],[黑风魂]:[灵丹]],表_光辉真气石进化[[#Totals],[黑风魂]:[灵丹]])+表_光辉真气石进化[[#This Row],[手续费(J)]]*折扣,0)</f>
        <v>0</v>
      </c>
      <c r="G15" s="36">
        <f>IF(A15="○",SUMPRODUCT(表_光辉真气石进化[[#This Row],[高级武魂神物]:[列16]],表_光辉真气石进化[[#Totals],[高级武魂神物]:[列16]]),0)</f>
        <v>0</v>
      </c>
      <c r="H15" s="40" t="s">
        <v>216</v>
      </c>
      <c r="I15" s="11">
        <v>24</v>
      </c>
      <c r="J15" s="11"/>
      <c r="K15" s="11">
        <v>1</v>
      </c>
      <c r="L15" s="11">
        <v>5</v>
      </c>
      <c r="M15" s="11"/>
      <c r="N15" s="11">
        <v>11</v>
      </c>
      <c r="O15" s="11"/>
      <c r="P15" s="11"/>
      <c r="Q15" s="11"/>
      <c r="R15" s="11"/>
      <c r="S15" s="11">
        <v>14</v>
      </c>
      <c r="T15" s="11">
        <v>41</v>
      </c>
      <c r="U15" s="11"/>
      <c r="V15" s="30"/>
      <c r="W15" s="11"/>
      <c r="X15" s="11">
        <v>6</v>
      </c>
      <c r="Y15" s="11"/>
      <c r="Z15" s="11"/>
    </row>
    <row r="16" spans="1:26" x14ac:dyDescent="0.25">
      <c r="A16" t="s">
        <v>318</v>
      </c>
      <c r="C16" s="171" t="s">
        <v>378</v>
      </c>
      <c r="D16" s="36">
        <f>表_光辉真气石进化[[#This Row],[进化金币(J)]]+IF(ISNUMBER(D15), D15, 表_光辉真气石进化[[#Totals],[进化阶段]])</f>
        <v>342.7</v>
      </c>
      <c r="E16" s="35">
        <f>表_光辉真气石进化[[#This Row],[进化点券]]+IF(ISNUMBER(E15), E15, 0)</f>
        <v>12000</v>
      </c>
      <c r="F16" s="36">
        <f>IF(A16="○",SUMPRODUCT(表_光辉真气石进化[[#This Row],[黑风魂]:[灵丹]],表_光辉真气石进化[[#Totals],[黑风魂]:[灵丹]])+表_光辉真气石进化[[#This Row],[手续费(J)]]*折扣,0)</f>
        <v>342.7</v>
      </c>
      <c r="G16" s="36">
        <f>IF(A16="○",SUMPRODUCT(表_光辉真气石进化[[#This Row],[高级武魂神物]:[列16]],表_光辉真气石进化[[#Totals],[高级武魂神物]:[列16]]),0)</f>
        <v>12000</v>
      </c>
      <c r="H16" s="40" t="s">
        <v>217</v>
      </c>
      <c r="I16" s="11">
        <v>25</v>
      </c>
      <c r="J16" s="11"/>
      <c r="K16" s="11">
        <v>2</v>
      </c>
      <c r="L16" s="11">
        <v>6</v>
      </c>
      <c r="M16" s="11"/>
      <c r="N16" s="11">
        <v>12</v>
      </c>
      <c r="O16" s="11"/>
      <c r="P16" s="11"/>
      <c r="Q16" s="11"/>
      <c r="R16" s="11"/>
      <c r="S16" s="11">
        <v>15</v>
      </c>
      <c r="T16" s="11">
        <v>45</v>
      </c>
      <c r="U16" s="11"/>
      <c r="V16" s="30"/>
      <c r="W16" s="11"/>
      <c r="X16" s="11">
        <v>8</v>
      </c>
      <c r="Y16" s="11"/>
      <c r="Z16" s="11"/>
    </row>
    <row r="17" spans="1:26" x14ac:dyDescent="0.25">
      <c r="A17" t="s">
        <v>318</v>
      </c>
      <c r="B17" t="s">
        <v>401</v>
      </c>
      <c r="C17" s="171" t="s">
        <v>379</v>
      </c>
      <c r="D17" s="38">
        <f>表_光辉真气石进化[[#This Row],[进化金币(J)]]+IF(ISNUMBER(D16), D16, 表_光辉真气石进化[[#Totals],[进化阶段]])</f>
        <v>707.74</v>
      </c>
      <c r="E17" s="37">
        <f>表_光辉真气石进化[[#This Row],[进化点券]]+IF(ISNUMBER(E16), E16, 0)</f>
        <v>25500</v>
      </c>
      <c r="F17" s="38">
        <f>IF(A17="○",SUMPRODUCT(表_光辉真气石进化[[#This Row],[黑风魂]:[灵丹]],表_光辉真气石进化[[#Totals],[黑风魂]:[灵丹]])+表_光辉真气石进化[[#This Row],[手续费(J)]]*折扣,0)</f>
        <v>365.04</v>
      </c>
      <c r="G17" s="38">
        <f>IF(A17="○",SUMPRODUCT(表_光辉真气石进化[[#This Row],[高级武魂神物]:[列16]],表_光辉真气石进化[[#Totals],[高级武魂神物]:[列16]]),0)</f>
        <v>13500</v>
      </c>
      <c r="H17" s="67" t="s">
        <v>218</v>
      </c>
      <c r="I17" s="25">
        <v>26</v>
      </c>
      <c r="J17" s="25"/>
      <c r="K17" s="25">
        <v>2</v>
      </c>
      <c r="L17" s="25">
        <v>6</v>
      </c>
      <c r="M17" s="25"/>
      <c r="N17" s="25">
        <v>13</v>
      </c>
      <c r="O17" s="25"/>
      <c r="P17" s="25"/>
      <c r="Q17" s="25"/>
      <c r="R17" s="25"/>
      <c r="S17" s="25">
        <v>16</v>
      </c>
      <c r="T17" s="25">
        <v>49</v>
      </c>
      <c r="U17" s="25"/>
      <c r="V17" s="31"/>
      <c r="W17" s="25"/>
      <c r="X17" s="25">
        <v>9</v>
      </c>
      <c r="Y17" s="25"/>
      <c r="Z17" s="25"/>
    </row>
    <row r="18" spans="1:26" x14ac:dyDescent="0.25">
      <c r="A18" t="s">
        <v>318</v>
      </c>
      <c r="C18" s="171" t="s">
        <v>380</v>
      </c>
      <c r="D18" s="151">
        <f>表_光辉真气石进化[[#This Row],[进化金币(J)]]+IF(ISNUMBER(D17), D17, 表_光辉真气石进化[[#Totals],[进化阶段]])</f>
        <v>1172.22</v>
      </c>
      <c r="E18" s="152">
        <f>表_光辉真气石进化[[#This Row],[进化点券]]+IF(ISNUMBER(E17), E17, 0)</f>
        <v>40500</v>
      </c>
      <c r="F18" s="153">
        <f>IF(A18="○",SUMPRODUCT(表_光辉真气石进化[[#This Row],[黑风魂]:[灵丹]],表_光辉真气石进化[[#Totals],[黑风魂]:[灵丹]])+表_光辉真气石进化[[#This Row],[手续费(J)]]*折扣,0)</f>
        <v>464.48</v>
      </c>
      <c r="G18" s="154">
        <f>IF(A18="○",SUMPRODUCT(表_光辉真气石进化[[#This Row],[高级武魂神物]:[列16]],表_光辉真气石进化[[#Totals],[高级武魂神物]:[列16]]),0)</f>
        <v>15000</v>
      </c>
      <c r="H18" s="67" t="s">
        <v>360</v>
      </c>
      <c r="I18" s="150">
        <v>28</v>
      </c>
      <c r="J18" s="155"/>
      <c r="K18" s="155">
        <v>4</v>
      </c>
      <c r="L18" s="155">
        <v>8</v>
      </c>
      <c r="M18" s="155"/>
      <c r="N18" s="155">
        <v>15</v>
      </c>
      <c r="O18" s="155"/>
      <c r="P18" s="155"/>
      <c r="Q18" s="155"/>
      <c r="R18" s="155"/>
      <c r="S18" s="155">
        <v>18</v>
      </c>
      <c r="T18" s="155">
        <v>53</v>
      </c>
      <c r="U18" s="155"/>
      <c r="V18" s="149"/>
      <c r="W18" s="155"/>
      <c r="X18" s="155">
        <v>10</v>
      </c>
      <c r="Y18" s="155"/>
      <c r="Z18" s="155"/>
    </row>
    <row r="19" spans="1:26" x14ac:dyDescent="0.25">
      <c r="A19" t="s">
        <v>318</v>
      </c>
      <c r="B19" t="s">
        <v>402</v>
      </c>
      <c r="C19" s="171" t="s">
        <v>381</v>
      </c>
      <c r="D19" s="151">
        <f>表_光辉真气石进化[[#This Row],[进化金币(J)]]+IF(ISNUMBER(D18), D18, 表_光辉真气石进化[[#Totals],[进化阶段]])</f>
        <v>1684.98</v>
      </c>
      <c r="E19" s="152">
        <f>表_光辉真气石进化[[#This Row],[进化点券]]+IF(ISNUMBER(E18), E18, 0)</f>
        <v>57000</v>
      </c>
      <c r="F19" s="153">
        <f>IF(A19="○",SUMPRODUCT(表_光辉真气石进化[[#This Row],[黑风魂]:[灵丹]],表_光辉真气石进化[[#Totals],[黑风魂]:[灵丹]])+表_光辉真气石进化[[#This Row],[手续费(J)]]*折扣,0)</f>
        <v>512.76</v>
      </c>
      <c r="G19" s="154">
        <f>IF(A19="○",SUMPRODUCT(表_光辉真气石进化[[#This Row],[高级武魂神物]:[列16]],表_光辉真气石进化[[#Totals],[高级武魂神物]:[列16]]),0)</f>
        <v>16500</v>
      </c>
      <c r="H19" s="67" t="s">
        <v>361</v>
      </c>
      <c r="I19" s="150">
        <v>29</v>
      </c>
      <c r="J19" s="155"/>
      <c r="K19" s="155">
        <v>5</v>
      </c>
      <c r="L19" s="155">
        <v>8</v>
      </c>
      <c r="M19" s="155"/>
      <c r="N19" s="155">
        <v>16</v>
      </c>
      <c r="O19" s="155"/>
      <c r="P19" s="155"/>
      <c r="Q19" s="155"/>
      <c r="R19" s="155"/>
      <c r="S19" s="155">
        <v>19</v>
      </c>
      <c r="T19" s="155">
        <v>56</v>
      </c>
      <c r="U19" s="155"/>
      <c r="V19" s="149"/>
      <c r="W19" s="155"/>
      <c r="X19" s="155">
        <v>11</v>
      </c>
      <c r="Y19" s="155"/>
      <c r="Z19" s="155"/>
    </row>
    <row r="20" spans="1:26" s="156" customFormat="1" x14ac:dyDescent="0.25">
      <c r="A20" s="156" t="s">
        <v>318</v>
      </c>
      <c r="C20" s="156" t="s">
        <v>382</v>
      </c>
      <c r="D20" s="162">
        <f>表_光辉真气石进化[[#This Row],[进化金币(J)]]+IF(ISNUMBER(D19), D19, 表_光辉真气石进化[[#Totals],[进化阶段]])</f>
        <v>2432.6816935483871</v>
      </c>
      <c r="E20" s="163">
        <f>表_光辉真气石进化[[#This Row],[进化点券]]+IF(ISNUMBER(E19), E19, 0)</f>
        <v>75000</v>
      </c>
      <c r="F20" s="164">
        <f>IF(A20="○",SUMPRODUCT(表_光辉真气石进化[[#This Row],[黑风魂]:[灵丹]],表_光辉真气石进化[[#Totals],[黑风魂]:[灵丹]])+表_光辉真气石进化[[#This Row],[手续费(J)]]*折扣,0)</f>
        <v>747.70169354838708</v>
      </c>
      <c r="G20" s="165">
        <f>IF(A20="○",SUMPRODUCT(表_光辉真气石进化[[#This Row],[高级武魂神物]:[列16]],表_光辉真气石进化[[#Totals],[高级武魂神物]:[列16]]),0)</f>
        <v>18000</v>
      </c>
      <c r="H20" s="166" t="s">
        <v>362</v>
      </c>
      <c r="I20" s="167">
        <v>31</v>
      </c>
      <c r="J20" s="168">
        <v>1</v>
      </c>
      <c r="K20" s="168">
        <v>5</v>
      </c>
      <c r="L20" s="168"/>
      <c r="M20" s="168"/>
      <c r="N20" s="168">
        <v>18</v>
      </c>
      <c r="O20" s="168"/>
      <c r="P20" s="168"/>
      <c r="Q20" s="168">
        <v>13</v>
      </c>
      <c r="R20" s="168"/>
      <c r="S20" s="168">
        <v>20</v>
      </c>
      <c r="T20" s="168">
        <v>60</v>
      </c>
      <c r="U20" s="168"/>
      <c r="V20" s="169"/>
      <c r="W20" s="168"/>
      <c r="X20" s="168"/>
      <c r="Y20" s="168">
        <v>12</v>
      </c>
      <c r="Z20" s="168"/>
    </row>
    <row r="21" spans="1:26" s="156" customFormat="1" x14ac:dyDescent="0.25">
      <c r="A21" s="156" t="s">
        <v>318</v>
      </c>
      <c r="B21" s="156" t="s">
        <v>403</v>
      </c>
      <c r="C21" s="156" t="s">
        <v>383</v>
      </c>
      <c r="D21" s="162">
        <f>表_光辉真气石进化[[#This Row],[进化金币(J)]]+IF(ISNUMBER(D20), D20, 表_光辉真气石进化[[#Totals],[进化阶段]])</f>
        <v>3304.2390322580645</v>
      </c>
      <c r="E21" s="163">
        <f>表_光辉真气石进化[[#This Row],[进化点券]]+IF(ISNUMBER(E20), E20, 0)</f>
        <v>96000</v>
      </c>
      <c r="F21" s="164">
        <f>IF(A21="○",SUMPRODUCT(表_光辉真气石进化[[#This Row],[黑风魂]:[灵丹]],表_光辉真气石进化[[#Totals],[黑风魂]:[灵丹]])+表_光辉真气石进化[[#This Row],[手续费(J)]]*折扣,0)</f>
        <v>871.55733870967742</v>
      </c>
      <c r="G21" s="165">
        <f>IF(A21="○",SUMPRODUCT(表_光辉真气石进化[[#This Row],[高级武魂神物]:[列16]],表_光辉真气石进化[[#Totals],[高级武魂神物]:[列16]]),0)</f>
        <v>21000</v>
      </c>
      <c r="H21" s="166" t="s">
        <v>363</v>
      </c>
      <c r="I21" s="167">
        <v>36</v>
      </c>
      <c r="J21" s="168">
        <v>2</v>
      </c>
      <c r="K21" s="168">
        <v>5</v>
      </c>
      <c r="L21" s="168"/>
      <c r="M21" s="168"/>
      <c r="N21" s="168">
        <v>18</v>
      </c>
      <c r="O21" s="168"/>
      <c r="P21" s="168"/>
      <c r="Q21" s="168">
        <v>15</v>
      </c>
      <c r="R21" s="168"/>
      <c r="S21" s="168">
        <v>21</v>
      </c>
      <c r="T21" s="168">
        <v>64</v>
      </c>
      <c r="U21" s="168"/>
      <c r="V21" s="169"/>
      <c r="W21" s="168"/>
      <c r="X21" s="168"/>
      <c r="Y21" s="168">
        <v>14</v>
      </c>
      <c r="Z21" s="168"/>
    </row>
    <row r="22" spans="1:26" s="156" customFormat="1" x14ac:dyDescent="0.25">
      <c r="A22" s="156" t="s">
        <v>318</v>
      </c>
      <c r="C22" s="156" t="s">
        <v>384</v>
      </c>
      <c r="D22" s="162">
        <f>表_光辉真气石进化[[#This Row],[进化金币(J)]]+IF(ISNUMBER(D21), D21, 表_光辉真气石进化[[#Totals],[进化阶段]])</f>
        <v>4282.486370967742</v>
      </c>
      <c r="E22" s="163">
        <f>表_光辉真气石进化[[#This Row],[进化点券]]+IF(ISNUMBER(E21), E21, 0)</f>
        <v>121500</v>
      </c>
      <c r="F22" s="164">
        <f>IF(A22="○",SUMPRODUCT(表_光辉真气石进化[[#This Row],[黑风魂]:[灵丹]],表_光辉真气石进化[[#Totals],[黑风魂]:[灵丹]])+表_光辉真气石进化[[#This Row],[手续费(J)]]*折扣,0)</f>
        <v>978.24733870967736</v>
      </c>
      <c r="G22" s="165">
        <f>IF(A22="○",SUMPRODUCT(表_光辉真气石进化[[#This Row],[高级武魂神物]:[列16]],表_光辉真气石进化[[#Totals],[高级武魂神物]:[列16]]),0)</f>
        <v>25500</v>
      </c>
      <c r="H22" s="166" t="s">
        <v>364</v>
      </c>
      <c r="I22" s="167">
        <v>37</v>
      </c>
      <c r="J22" s="168">
        <v>3</v>
      </c>
      <c r="K22" s="168">
        <v>5</v>
      </c>
      <c r="L22" s="168"/>
      <c r="M22" s="168"/>
      <c r="N22" s="168">
        <v>18</v>
      </c>
      <c r="O22" s="168"/>
      <c r="P22" s="168"/>
      <c r="Q22" s="168">
        <v>15</v>
      </c>
      <c r="R22" s="168"/>
      <c r="S22" s="168">
        <v>23</v>
      </c>
      <c r="T22" s="168">
        <v>68</v>
      </c>
      <c r="U22" s="168"/>
      <c r="V22" s="169"/>
      <c r="W22" s="168"/>
      <c r="X22" s="168"/>
      <c r="Y22" s="168">
        <v>17</v>
      </c>
      <c r="Z22" s="168"/>
    </row>
    <row r="23" spans="1:26" s="156" customFormat="1" x14ac:dyDescent="0.25">
      <c r="A23" s="156" t="s">
        <v>318</v>
      </c>
      <c r="C23" s="156" t="s">
        <v>385</v>
      </c>
      <c r="D23" s="162">
        <f>表_光辉真气石进化[[#This Row],[进化金币(J)]]+IF(ISNUMBER(D22), D22, 表_光辉真气石进化[[#Totals],[进化阶段]])</f>
        <v>5381.0137096774197</v>
      </c>
      <c r="E23" s="163">
        <f>表_光辉真气石进化[[#This Row],[进化点券]]+IF(ISNUMBER(E22), E22, 0)</f>
        <v>153000</v>
      </c>
      <c r="F23" s="164">
        <f>IF(A23="○",SUMPRODUCT(表_光辉真气石进化[[#This Row],[黑风魂]:[灵丹]],表_光辉真气石进化[[#Totals],[黑风魂]:[灵丹]])+表_光辉真气石进化[[#This Row],[手续费(J)]]*折扣,0)</f>
        <v>1098.5273387096775</v>
      </c>
      <c r="G23" s="165">
        <f>IF(A23="○",SUMPRODUCT(表_光辉真气石进化[[#This Row],[高级武魂神物]:[列16]],表_光辉真气石进化[[#Totals],[高级武魂神物]:[列16]]),0)</f>
        <v>31500</v>
      </c>
      <c r="H23" s="166" t="s">
        <v>365</v>
      </c>
      <c r="I23" s="167">
        <v>38</v>
      </c>
      <c r="J23" s="168">
        <v>3</v>
      </c>
      <c r="K23" s="168">
        <v>8</v>
      </c>
      <c r="L23" s="168"/>
      <c r="M23" s="168"/>
      <c r="N23" s="168">
        <v>20</v>
      </c>
      <c r="O23" s="168"/>
      <c r="P23" s="168"/>
      <c r="Q23" s="168">
        <v>15</v>
      </c>
      <c r="R23" s="168"/>
      <c r="S23" s="168">
        <v>24</v>
      </c>
      <c r="T23" s="168">
        <v>71</v>
      </c>
      <c r="U23" s="168"/>
      <c r="V23" s="169"/>
      <c r="W23" s="168"/>
      <c r="X23" s="168"/>
      <c r="Y23" s="168">
        <v>21</v>
      </c>
      <c r="Z23" s="168"/>
    </row>
    <row r="24" spans="1:26" x14ac:dyDescent="0.25">
      <c r="A24" t="s">
        <v>318</v>
      </c>
      <c r="B24" s="171"/>
      <c r="C24" s="171" t="s">
        <v>386</v>
      </c>
      <c r="D24" s="151">
        <f>表_光辉真气石进化[[#This Row],[进化金币(J)]]+IF(ISNUMBER(D23), D23, 表_光辉真气石进化[[#Totals],[进化阶段]])</f>
        <v>7025.7950000000001</v>
      </c>
      <c r="E24" s="152">
        <f>表_光辉真气石进化[[#This Row],[进化点券]]+IF(ISNUMBER(E23), E23, 0)</f>
        <v>192000</v>
      </c>
      <c r="F24" s="153">
        <f>IF(A24="○",SUMPRODUCT(表_光辉真气石进化[[#This Row],[黑风魂]:[灵丹]],表_光辉真气石进化[[#Totals],[黑风魂]:[灵丹]])+表_光辉真气石进化[[#This Row],[手续费(J)]]*折扣,0)</f>
        <v>1644.7812903225806</v>
      </c>
      <c r="G24" s="154">
        <f>IF(A24="○",SUMPRODUCT(表_光辉真气石进化[[#This Row],[高级武魂神物]:[列16]],表_光辉真气石进化[[#Totals],[高级武魂神物]:[列16]]),0)</f>
        <v>39000</v>
      </c>
      <c r="H24" s="67" t="s">
        <v>366</v>
      </c>
      <c r="I24" s="150">
        <v>63</v>
      </c>
      <c r="J24" s="155">
        <v>4</v>
      </c>
      <c r="K24" s="155">
        <v>10</v>
      </c>
      <c r="L24" s="155"/>
      <c r="M24" s="155"/>
      <c r="N24" s="155"/>
      <c r="O24" s="155">
        <v>25</v>
      </c>
      <c r="P24" s="155"/>
      <c r="Q24" s="155"/>
      <c r="R24" s="155">
        <v>1</v>
      </c>
      <c r="S24" s="155">
        <v>25</v>
      </c>
      <c r="T24" s="155">
        <v>75</v>
      </c>
      <c r="U24" s="155"/>
      <c r="V24" s="149"/>
      <c r="W24" s="155"/>
      <c r="X24" s="155"/>
      <c r="Y24" s="155">
        <v>26</v>
      </c>
      <c r="Z24" s="155"/>
    </row>
    <row r="25" spans="1:26" x14ac:dyDescent="0.25">
      <c r="A25" t="s">
        <v>318</v>
      </c>
      <c r="B25" s="171"/>
      <c r="C25" s="171" t="s">
        <v>387</v>
      </c>
      <c r="D25" s="151">
        <f>表_光辉真气石进化[[#This Row],[进化金币(J)]]+IF(ISNUMBER(D24), D24, 表_光辉真气石进化[[#Totals],[进化阶段]])</f>
        <v>8884.6062903225811</v>
      </c>
      <c r="E25" s="152">
        <f>表_光辉真气石进化[[#This Row],[进化点券]]+IF(ISNUMBER(E24), E24, 0)</f>
        <v>237000</v>
      </c>
      <c r="F25" s="153">
        <f>IF(A25="○",SUMPRODUCT(表_光辉真气石进化[[#This Row],[黑风魂]:[灵丹]],表_光辉真气石进化[[#Totals],[黑风魂]:[灵丹]])+表_光辉真气石进化[[#This Row],[手续费(J)]]*折扣,0)</f>
        <v>1858.8112903225806</v>
      </c>
      <c r="G25" s="154">
        <f>IF(A25="○",SUMPRODUCT(表_光辉真气石进化[[#This Row],[高级武魂神物]:[列16]],表_光辉真气石进化[[#Totals],[高级武魂神物]:[列16]]),0)</f>
        <v>45000</v>
      </c>
      <c r="H25" s="67" t="s">
        <v>367</v>
      </c>
      <c r="I25" s="150">
        <v>75</v>
      </c>
      <c r="J25" s="155">
        <v>4</v>
      </c>
      <c r="K25" s="155">
        <v>15</v>
      </c>
      <c r="L25" s="155"/>
      <c r="M25" s="155"/>
      <c r="N25" s="155"/>
      <c r="O25" s="155">
        <v>28</v>
      </c>
      <c r="P25" s="155"/>
      <c r="Q25" s="155"/>
      <c r="R25" s="155">
        <v>1</v>
      </c>
      <c r="S25" s="155">
        <v>18</v>
      </c>
      <c r="T25" s="155">
        <v>83</v>
      </c>
      <c r="U25" s="155"/>
      <c r="V25" s="149"/>
      <c r="W25" s="155"/>
      <c r="X25" s="155"/>
      <c r="Y25" s="155">
        <v>30</v>
      </c>
      <c r="Z25" s="155"/>
    </row>
    <row r="26" spans="1:26" x14ac:dyDescent="0.25">
      <c r="A26" t="s">
        <v>318</v>
      </c>
      <c r="B26" s="171"/>
      <c r="C26" s="171" t="s">
        <v>388</v>
      </c>
      <c r="D26" s="151">
        <f>表_光辉真气石进化[[#This Row],[进化金币(J)]]+IF(ISNUMBER(D25), D25, 表_光辉真气石进化[[#Totals],[进化阶段]])</f>
        <v>11086.787580645163</v>
      </c>
      <c r="E26" s="152">
        <f>表_光辉真气石进化[[#This Row],[进化点券]]+IF(ISNUMBER(E25), E25, 0)</f>
        <v>291000</v>
      </c>
      <c r="F26" s="153">
        <f>IF(A26="○",SUMPRODUCT(表_光辉真气石进化[[#This Row],[黑风魂]:[灵丹]],表_光辉真气石进化[[#Totals],[黑风魂]:[灵丹]])+表_光辉真气石进化[[#This Row],[手续费(J)]]*折扣,0)</f>
        <v>2202.1812903225809</v>
      </c>
      <c r="G26" s="154">
        <f>IF(A26="○",SUMPRODUCT(表_光辉真气石进化[[#This Row],[高级武魂神物]:[列16]],表_光辉真气石进化[[#Totals],[高级武魂神物]:[列16]]),0)</f>
        <v>54000</v>
      </c>
      <c r="H26" s="67" t="s">
        <v>368</v>
      </c>
      <c r="I26" s="150">
        <v>88</v>
      </c>
      <c r="J26" s="155">
        <v>5</v>
      </c>
      <c r="K26" s="155">
        <v>20</v>
      </c>
      <c r="L26" s="155"/>
      <c r="M26" s="155"/>
      <c r="N26" s="155"/>
      <c r="O26" s="155">
        <v>31</v>
      </c>
      <c r="P26" s="155"/>
      <c r="Q26" s="155"/>
      <c r="R26" s="155">
        <v>1</v>
      </c>
      <c r="S26" s="155">
        <v>30</v>
      </c>
      <c r="T26" s="155">
        <v>90</v>
      </c>
      <c r="U26" s="155"/>
      <c r="V26" s="149"/>
      <c r="W26" s="155"/>
      <c r="X26" s="155"/>
      <c r="Y26" s="155">
        <v>36</v>
      </c>
      <c r="Z26" s="155"/>
    </row>
    <row r="27" spans="1:26" ht="15" thickBot="1" x14ac:dyDescent="0.3">
      <c r="A27" t="s">
        <v>318</v>
      </c>
      <c r="B27" s="171"/>
      <c r="C27" s="171" t="s">
        <v>374</v>
      </c>
      <c r="D27" s="151">
        <f>表_光辉真气石进化[[#This Row],[进化金币(J)]]+IF(ISNUMBER(D26), D26, 表_光辉真气石进化[[#Totals],[进化阶段]])</f>
        <v>19668.618870967744</v>
      </c>
      <c r="E27" s="152">
        <f>表_光辉真气石进化[[#This Row],[进化点券]]+IF(ISNUMBER(E26), E26, 0)</f>
        <v>354000</v>
      </c>
      <c r="F27" s="153">
        <f>IF(A27="○",SUMPRODUCT(表_光辉真气石进化[[#This Row],[黑风魂]:[灵丹]],表_光辉真气石进化[[#Totals],[黑风魂]:[灵丹]])+表_光辉真气石进化[[#This Row],[手续费(J)]]*折扣,0)</f>
        <v>8581.8312903225797</v>
      </c>
      <c r="G27" s="154">
        <f>IF(A27="○",SUMPRODUCT(表_光辉真气石进化[[#This Row],[高级武魂神物]:[列16]],表_光辉真气石进化[[#Totals],[高级武魂神物]:[列16]]),0)</f>
        <v>63000</v>
      </c>
      <c r="H27" s="67" t="s">
        <v>369</v>
      </c>
      <c r="I27" s="150">
        <v>100</v>
      </c>
      <c r="J27" s="155">
        <v>5</v>
      </c>
      <c r="K27" s="155">
        <v>10</v>
      </c>
      <c r="L27" s="155"/>
      <c r="M27" s="155"/>
      <c r="N27" s="155"/>
      <c r="O27" s="155"/>
      <c r="P27" s="155">
        <v>25</v>
      </c>
      <c r="Q27" s="155"/>
      <c r="R27" s="155">
        <v>1</v>
      </c>
      <c r="S27" s="155">
        <v>33</v>
      </c>
      <c r="T27" s="155"/>
      <c r="U27" s="155"/>
      <c r="V27" s="149"/>
      <c r="W27" s="155"/>
      <c r="X27" s="155"/>
      <c r="Y27" s="155">
        <v>42</v>
      </c>
      <c r="Z27" s="155"/>
    </row>
    <row r="28" spans="1:26" ht="15" thickTop="1" x14ac:dyDescent="0.25">
      <c r="D28" s="72">
        <f>SUBTOTAL(104,表_光辉真气石进化[累计金币(J)])</f>
        <v>19668.618870967744</v>
      </c>
      <c r="E28" s="72">
        <f>SUBTOTAL(104,表_光辉真气石进化[累计点券])</f>
        <v>354000</v>
      </c>
      <c r="F28" s="73">
        <f>SUBTOTAL(109,表_光辉真气石进化[进化金币(J)])</f>
        <v>19668.618870967744</v>
      </c>
      <c r="G28" s="74">
        <f>SUBTOTAL(109,表_光辉真气石进化[进化点券])</f>
        <v>354000</v>
      </c>
      <c r="H28" s="88"/>
      <c r="I28" s="76" t="s">
        <v>190</v>
      </c>
      <c r="J28" s="77">
        <f xml:space="preserve"> _xlfn.IFNA(VLOOKUP(表_光辉真气石进化[[#Headers],[黑风魂]],金价一览,2,0), 0)</f>
        <v>103</v>
      </c>
      <c r="K28" s="77">
        <f xml:space="preserve"> _xlfn.IFNA(VLOOKUP(表_光辉真气石进化[[#Headers],[昆仑珠]],金价一览,2,0), 0)</f>
        <v>26</v>
      </c>
      <c r="L28" s="77">
        <f xml:space="preserve"> _xlfn.IFNA(VLOOKUP(表_光辉真气石进化[[#Headers],[太阳珠]],金价一览,2,0), 0)</f>
        <v>1.5</v>
      </c>
      <c r="M28" s="77">
        <f xml:space="preserve"> _xlfn.IFNA(VLOOKUP(表_光辉真气石进化[[#Headers],[烛魔羽毛]],金价一览,2,0), 0)</f>
        <v>6.5</v>
      </c>
      <c r="N28" s="77">
        <f xml:space="preserve"> _xlfn.IFNA(VLOOKUP(表_光辉真气石进化[[#Headers],[天元结晶]],金价一览,2,0), 0)</f>
        <v>20</v>
      </c>
      <c r="O28" s="77">
        <f xml:space="preserve"> _xlfn.IFNA(VLOOKUP(表_光辉真气石进化[[#Headers],[赤流结晶]],金价一览,2,0), 0)</f>
        <v>28</v>
      </c>
      <c r="P28" s="77">
        <f xml:space="preserve"> _xlfn.IFNA(VLOOKUP(表_光辉真气石进化[[#Headers],[法悦石]],金价一览,2,0), 0)</f>
        <v>300</v>
      </c>
      <c r="Q28" s="77">
        <f xml:space="preserve"> _xlfn.IFNA(VLOOKUP(表_光辉真气石进化[[#Headers],[进化石]],金价一览,2,0), 0)</f>
        <v>7.7578225806451613</v>
      </c>
      <c r="R28" s="77">
        <f xml:space="preserve"> _xlfn.IFNA(VLOOKUP(表_光辉真气石进化[[#Headers],[高级进化石]],金价一览,2,0), 0)</f>
        <v>187.28129032258065</v>
      </c>
      <c r="S28" s="77">
        <f xml:space="preserve"> _xlfn.IFNA(VLOOKUP(表_光辉真气石进化[[#Headers],[月石]],金价一览,2,0), 0)</f>
        <v>1.35</v>
      </c>
      <c r="T28" s="77">
        <f xml:space="preserve"> _xlfn.IFNA(VLOOKUP(表_光辉真气石进化[[#Headers],[灵石]],金价一览,2,0), 0)</f>
        <v>0.06</v>
      </c>
      <c r="U28" s="77">
        <f xml:space="preserve"> _xlfn.IFNA(VLOOKUP(表_光辉真气石进化[[#Headers],[仙丹]],金价一览,2,0), 0)</f>
        <v>4</v>
      </c>
      <c r="V28" s="77">
        <f xml:space="preserve"> _xlfn.IFNA(VLOOKUP(表_光辉真气石进化[[#Headers],[灵丹]],金价一览,2,0), 0)</f>
        <v>0.15</v>
      </c>
      <c r="W28" s="78">
        <f>_xlfn.IFNA(VLOOKUP(表_光辉真气石进化[[#Headers],[高级武魂神物]],点券一览,2,0),0)</f>
        <v>500</v>
      </c>
      <c r="X28" s="78">
        <f>_xlfn.IFNA(VLOOKUP(表_光辉真气石进化[[#Headers],[破天武魂神物]],点券一览,2,0),0)</f>
        <v>1500</v>
      </c>
      <c r="Y28" s="78">
        <f>_xlfn.IFNA(VLOOKUP(表_光辉真气石进化[[#Headers],[建元武魂神物]],点券一览,2,0),0)</f>
        <v>1500</v>
      </c>
      <c r="Z28" s="78">
        <f>_xlfn.IFNA(VLOOKUP(表_光辉真气石进化[[#Headers],[列16]],点券一览,2,0),0)</f>
        <v>0</v>
      </c>
    </row>
    <row r="29" spans="1:26" x14ac:dyDescent="0.25">
      <c r="D29" s="188" t="s">
        <v>221</v>
      </c>
      <c r="E29" s="188"/>
      <c r="F29" s="188"/>
      <c r="G29" s="188"/>
      <c r="H29" s="189"/>
      <c r="I29" s="79" t="s">
        <v>224</v>
      </c>
      <c r="J29" s="52">
        <f>SUM(表_光辉真气石进化[[#Data],[黑风魂]])</f>
        <v>27</v>
      </c>
      <c r="K29" s="52">
        <f>SUM(表_光辉真气石进化[[#Data],[昆仑珠]])</f>
        <v>93</v>
      </c>
      <c r="L29" s="52">
        <f>SUM(表_光辉真气石进化[[#Data],[太阳珠]])</f>
        <v>38</v>
      </c>
      <c r="M29" s="52">
        <f>SUM(表_光辉真气石进化[[#Data],[烛魔羽毛]])</f>
        <v>85</v>
      </c>
      <c r="N29" s="52">
        <f>SUM(表_光辉真气石进化[[#Data],[天元结晶]])</f>
        <v>151</v>
      </c>
      <c r="O29" s="52">
        <f>SUM(表_光辉真气石进化[[#Data],[赤流结晶]])</f>
        <v>84</v>
      </c>
      <c r="P29" s="52">
        <f>SUM(表_光辉真气石进化[[#Data],[法悦石]])</f>
        <v>25</v>
      </c>
      <c r="Q29" s="52">
        <f>SUM(表_光辉真气石进化[[#Data],[进化石]])</f>
        <v>58</v>
      </c>
      <c r="R29" s="52">
        <f>SUM(表_光辉真气石进化[[#Data],[高级进化石]])</f>
        <v>4</v>
      </c>
      <c r="S29" s="52">
        <f>SUM(表_光辉真气石进化[[#Data],[月石]])</f>
        <v>438</v>
      </c>
      <c r="T29" s="52">
        <f>SUM(表_光辉真气石进化[[#Data],[灵石]])</f>
        <v>1240</v>
      </c>
      <c r="U29" s="52">
        <f>SUM(表_光辉真气石进化[[#Data],[仙丹]])</f>
        <v>122</v>
      </c>
      <c r="V29" s="52">
        <f>SUM(表_光辉真气石进化[[#Data],[灵丹]])</f>
        <v>366</v>
      </c>
      <c r="W29" s="52">
        <f>SUM(表_光辉真气石进化[[#Data],[高级武魂神物]])</f>
        <v>28</v>
      </c>
      <c r="X29" s="52">
        <f>SUM(表_光辉真气石进化[[#Data],[破天武魂神物]])</f>
        <v>55</v>
      </c>
      <c r="Y29" s="52">
        <f>SUM(表_光辉真气石进化[[#Data],[建元武魂神物]])</f>
        <v>198</v>
      </c>
      <c r="Z29" s="52">
        <f>SUM(表_光辉真气石进化[[#Data],[列16]])</f>
        <v>0</v>
      </c>
    </row>
    <row r="30" spans="1:26" x14ac:dyDescent="0.25">
      <c r="D30" s="188"/>
      <c r="E30" s="188"/>
      <c r="F30" s="188"/>
      <c r="G30" s="188"/>
      <c r="H30" s="189"/>
      <c r="I30" s="80" t="s">
        <v>223</v>
      </c>
      <c r="J30" s="52">
        <f>J29*表_光辉真气石进化[[#Totals],[黑风魂]]</f>
        <v>2781</v>
      </c>
      <c r="K30" s="52">
        <f>K29*表_光辉真气石进化[[#Totals],[昆仑珠]]</f>
        <v>2418</v>
      </c>
      <c r="L30" s="52">
        <f>L29*表_光辉真气石进化[[#Totals],[太阳珠]]</f>
        <v>57</v>
      </c>
      <c r="M30" s="52">
        <f>M29*表_光辉真气石进化[[#Totals],[烛魔羽毛]]</f>
        <v>552.5</v>
      </c>
      <c r="N30" s="52">
        <f>N29*表_光辉真气石进化[[#Totals],[天元结晶]]</f>
        <v>3020</v>
      </c>
      <c r="O30" s="52">
        <f>O29*表_光辉真气石进化[[#Totals],[赤流结晶]]</f>
        <v>2352</v>
      </c>
      <c r="P30" s="52">
        <f>P29*表_光辉真气石进化[[#Totals],[法悦石]]</f>
        <v>7500</v>
      </c>
      <c r="Q30" s="52">
        <f>Q29*表_光辉真气石进化[[#Totals],[进化石]]</f>
        <v>449.95370967741934</v>
      </c>
      <c r="R30" s="52">
        <f>R29*表_光辉真气石进化[[#Totals],[高级进化石]]</f>
        <v>749.12516129032258</v>
      </c>
      <c r="S30" s="52">
        <f>S29*表_光辉真气石进化[[#Totals],[月石]]</f>
        <v>591.30000000000007</v>
      </c>
      <c r="T30" s="52">
        <f>T29*表_光辉真气石进化[[#Totals],[灵石]]</f>
        <v>74.399999999999991</v>
      </c>
      <c r="U30" s="52">
        <f>U29*表_光辉真气石进化[[#Totals],[仙丹]]</f>
        <v>488</v>
      </c>
      <c r="V30" s="52">
        <f>V29*表_光辉真气石进化[[#Totals],[灵丹]]</f>
        <v>54.9</v>
      </c>
      <c r="W30" s="52">
        <f>W29*表_光辉真气石进化[[#Totals],[高级武魂神物]]</f>
        <v>14000</v>
      </c>
      <c r="X30" s="52">
        <f>X29*表_光辉真气石进化[[#Totals],[破天武魂神物]]</f>
        <v>82500</v>
      </c>
      <c r="Y30" s="52">
        <f>Y29*表_光辉真气石进化[[#Totals],[建元武魂神物]]</f>
        <v>297000</v>
      </c>
      <c r="Z30" s="52">
        <f>Z29*表_光辉真气石进化[[#Totals],[列16]]</f>
        <v>0</v>
      </c>
    </row>
    <row r="35" spans="6:6" x14ac:dyDescent="0.25">
      <c r="F35" t="s">
        <v>191</v>
      </c>
    </row>
  </sheetData>
  <mergeCells count="1">
    <mergeCell ref="D29:H30"/>
  </mergeCells>
  <phoneticPr fontId="10" type="noConversion"/>
  <conditionalFormatting sqref="J3:V3">
    <cfRule type="containsText" dxfId="703" priority="2" operator="containsText" text="列">
      <formula>NOT(ISERROR(SEARCH("列",J3)))</formula>
    </cfRule>
  </conditionalFormatting>
  <conditionalFormatting sqref="W3:Z3">
    <cfRule type="containsText" dxfId="702" priority="1" operator="containsText" text="列">
      <formula>NOT(ISERROR(SEARCH("列",W3)))</formula>
    </cfRule>
  </conditionalFormatting>
  <dataValidations disablePrompts="1" count="2">
    <dataValidation type="list" allowBlank="1" showInputMessage="1" showErrorMessage="1" sqref="W3:Z3">
      <formula1>神物名</formula1>
    </dataValidation>
    <dataValidation type="list" allowBlank="1" showInputMessage="1" showErrorMessage="1" error="不存在的材料名" sqref="J3:V3">
      <formula1>材料名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08"/>
  <sheetViews>
    <sheetView showGridLines="0" topLeftCell="A88" zoomScale="85" zoomScaleNormal="85" workbookViewId="0">
      <pane xSplit="6" topLeftCell="G1" activePane="topRight" state="frozen"/>
      <selection pane="topRight" activeCell="A97" sqref="A97:XFD99"/>
    </sheetView>
  </sheetViews>
  <sheetFormatPr defaultRowHeight="14.4" outlineLevelCol="1" x14ac:dyDescent="0.25"/>
  <cols>
    <col min="1" max="1" width="8.88671875" customWidth="1"/>
    <col min="2" max="5" width="13" customWidth="1"/>
    <col min="6" max="6" width="22" customWidth="1"/>
    <col min="7" max="15" width="13" customWidth="1"/>
    <col min="16" max="19" width="13" hidden="1" customWidth="1" outlineLevel="1"/>
    <col min="20" max="20" width="13" customWidth="1" collapsed="1"/>
    <col min="21" max="21" width="13" customWidth="1"/>
    <col min="22" max="23" width="13" hidden="1" customWidth="1" outlineLevel="1"/>
    <col min="24" max="24" width="8.88671875" collapsed="1"/>
  </cols>
  <sheetData>
    <row r="2" spans="1:23" x14ac:dyDescent="0.25">
      <c r="B2" s="12" t="s">
        <v>288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x14ac:dyDescent="0.25">
      <c r="B3" s="44" t="s">
        <v>187</v>
      </c>
      <c r="C3" s="45" t="s">
        <v>186</v>
      </c>
      <c r="D3" s="46" t="s">
        <v>252</v>
      </c>
      <c r="E3" s="46" t="s">
        <v>254</v>
      </c>
      <c r="F3" s="46" t="s">
        <v>181</v>
      </c>
      <c r="G3" s="46" t="s">
        <v>185</v>
      </c>
      <c r="H3" s="47" t="s">
        <v>0</v>
      </c>
      <c r="I3" s="48" t="s">
        <v>1</v>
      </c>
      <c r="J3" s="48" t="s">
        <v>2</v>
      </c>
      <c r="K3" s="48" t="s">
        <v>3</v>
      </c>
      <c r="L3" s="48" t="s">
        <v>4</v>
      </c>
      <c r="M3" s="48" t="s">
        <v>5</v>
      </c>
      <c r="N3" s="48" t="s">
        <v>136</v>
      </c>
      <c r="O3" s="48" t="s">
        <v>138</v>
      </c>
      <c r="P3" s="48" t="s">
        <v>203</v>
      </c>
      <c r="Q3" s="48" t="s">
        <v>204</v>
      </c>
      <c r="R3" s="48" t="s">
        <v>205</v>
      </c>
      <c r="S3" s="49" t="s">
        <v>206</v>
      </c>
      <c r="T3" s="50" t="s">
        <v>6</v>
      </c>
      <c r="U3" s="50" t="s">
        <v>137</v>
      </c>
      <c r="V3" s="50" t="s">
        <v>209</v>
      </c>
      <c r="W3" s="50" t="s">
        <v>210</v>
      </c>
    </row>
    <row r="4" spans="1:23" x14ac:dyDescent="0.25">
      <c r="B4" s="35">
        <f>表_烛魔1到12必成12[[#This Row],[进化金币(J)]]+IF(ISNUMBER(B3), B3, 表_烛魔1到12必成12[[#Totals],[进化阶段]])</f>
        <v>0</v>
      </c>
      <c r="C4" s="35">
        <f>表_烛魔1到12必成12[[#This Row],[进化点券]]+IF(ISNUMBER(C3), C3, 0)</f>
        <v>0</v>
      </c>
      <c r="D4" s="36">
        <f>IF(A4="○",SUMPRODUCT(表_烛魔1到12必成12[[#This Row],[仙丹]:[列12]],表_烛魔1到12必成12[[#Totals],[仙丹]:[列12]])+表_烛魔1到12必成12[[#This Row],[手续费(J)]]*折扣,0)</f>
        <v>0</v>
      </c>
      <c r="E4" s="36">
        <f>IF(A4="○",SUMPRODUCT(表_烛魔1到12必成12[[#This Row],[高级武魂神物]:[列16]],表_烛魔1到12必成12[[#Totals],[高级武魂神物]:[列16]]),0)</f>
        <v>0</v>
      </c>
      <c r="F4" s="39" t="s">
        <v>192</v>
      </c>
      <c r="G4" s="11">
        <v>100</v>
      </c>
      <c r="H4" s="11">
        <v>20</v>
      </c>
      <c r="I4" s="11">
        <v>40</v>
      </c>
      <c r="J4" s="11">
        <v>40</v>
      </c>
      <c r="K4" s="11">
        <v>20</v>
      </c>
      <c r="L4" s="11">
        <v>25</v>
      </c>
      <c r="M4" s="11">
        <v>2</v>
      </c>
      <c r="N4" s="11"/>
      <c r="O4" s="11"/>
      <c r="P4" s="11"/>
      <c r="Q4" s="11"/>
      <c r="R4" s="11"/>
      <c r="S4" s="30"/>
      <c r="T4" s="34">
        <v>2</v>
      </c>
      <c r="U4" s="34"/>
      <c r="V4" s="34"/>
      <c r="W4" s="34"/>
    </row>
    <row r="5" spans="1:23" x14ac:dyDescent="0.25">
      <c r="B5" s="35">
        <f>表_烛魔1到12必成12[[#This Row],[进化金币(J)]]+IF(ISNUMBER(B4), B4, 表_烛魔1到12必成12[[#Totals],[进化阶段]])</f>
        <v>0</v>
      </c>
      <c r="C5" s="35">
        <f>表_烛魔1到12必成12[[#This Row],[进化点券]]+IF(ISNUMBER(C4), C4, 0)</f>
        <v>0</v>
      </c>
      <c r="D5" s="36">
        <f>IF(A5="○",SUMPRODUCT(表_烛魔1到12必成12[[#This Row],[仙丹]:[列12]],表_烛魔1到12必成12[[#Totals],[仙丹]:[列12]])+表_烛魔1到12必成12[[#This Row],[手续费(J)]]*折扣,0)</f>
        <v>0</v>
      </c>
      <c r="E5" s="36">
        <f>IF(A5="○",SUMPRODUCT(表_烛魔1到12必成12[[#This Row],[高级武魂神物]:[列16]],表_烛魔1到12必成12[[#Totals],[高级武魂神物]:[列16]]),0)</f>
        <v>0</v>
      </c>
      <c r="F5" s="39" t="s">
        <v>193</v>
      </c>
      <c r="G5" s="11">
        <v>100</v>
      </c>
      <c r="H5" s="11">
        <v>30</v>
      </c>
      <c r="I5" s="11">
        <v>60</v>
      </c>
      <c r="J5" s="11">
        <v>60</v>
      </c>
      <c r="K5" s="11">
        <v>30</v>
      </c>
      <c r="L5" s="11">
        <v>50</v>
      </c>
      <c r="M5" s="11">
        <v>2</v>
      </c>
      <c r="N5" s="11"/>
      <c r="O5" s="11"/>
      <c r="P5" s="11"/>
      <c r="Q5" s="11"/>
      <c r="R5" s="11"/>
      <c r="S5" s="30"/>
      <c r="T5" s="34">
        <v>4</v>
      </c>
      <c r="U5" s="34"/>
      <c r="V5" s="34"/>
      <c r="W5" s="34"/>
    </row>
    <row r="6" spans="1:23" x14ac:dyDescent="0.25">
      <c r="B6" s="35">
        <f>表_烛魔1到12必成12[[#This Row],[进化金币(J)]]+IF(ISNUMBER(B5), B5, 表_烛魔1到12必成12[[#Totals],[进化阶段]])</f>
        <v>0</v>
      </c>
      <c r="C6" s="35">
        <f>表_烛魔1到12必成12[[#This Row],[进化点券]]+IF(ISNUMBER(C5), C5, 0)</f>
        <v>0</v>
      </c>
      <c r="D6" s="36">
        <f>IF(A6="○",SUMPRODUCT(表_烛魔1到12必成12[[#This Row],[仙丹]:[列12]],表_烛魔1到12必成12[[#Totals],[仙丹]:[列12]])+表_烛魔1到12必成12[[#This Row],[手续费(J)]]*折扣,0)</f>
        <v>0</v>
      </c>
      <c r="E6" s="36">
        <f>IF(A6="○",SUMPRODUCT(表_烛魔1到12必成12[[#This Row],[高级武魂神物]:[列16]],表_烛魔1到12必成12[[#Totals],[高级武魂神物]:[列16]]),0)</f>
        <v>0</v>
      </c>
      <c r="F6" s="39" t="s">
        <v>194</v>
      </c>
      <c r="G6" s="11">
        <v>100</v>
      </c>
      <c r="H6" s="11">
        <v>40</v>
      </c>
      <c r="I6" s="11">
        <v>80</v>
      </c>
      <c r="J6" s="11">
        <v>80</v>
      </c>
      <c r="K6" s="11">
        <v>40</v>
      </c>
      <c r="L6" s="11">
        <v>60</v>
      </c>
      <c r="M6" s="11">
        <v>3</v>
      </c>
      <c r="N6" s="11"/>
      <c r="O6" s="11"/>
      <c r="P6" s="11"/>
      <c r="Q6" s="11"/>
      <c r="R6" s="11"/>
      <c r="S6" s="30"/>
      <c r="T6" s="34">
        <v>6</v>
      </c>
      <c r="U6" s="34"/>
      <c r="V6" s="34"/>
      <c r="W6" s="34"/>
    </row>
    <row r="7" spans="1:23" x14ac:dyDescent="0.25">
      <c r="B7" s="35">
        <f>表_烛魔1到12必成12[[#This Row],[进化金币(J)]]+IF(ISNUMBER(B6), B6, 表_烛魔1到12必成12[[#Totals],[进化阶段]])</f>
        <v>0</v>
      </c>
      <c r="C7" s="35">
        <f>表_烛魔1到12必成12[[#This Row],[进化点券]]+IF(ISNUMBER(C6), C6, 0)</f>
        <v>0</v>
      </c>
      <c r="D7" s="36">
        <f>IF(A7="○",SUMPRODUCT(表_烛魔1到12必成12[[#This Row],[仙丹]:[列12]],表_烛魔1到12必成12[[#Totals],[仙丹]:[列12]])+表_烛魔1到12必成12[[#This Row],[手续费(J)]]*折扣,0)</f>
        <v>0</v>
      </c>
      <c r="E7" s="36">
        <f>IF(A7="○",SUMPRODUCT(表_烛魔1到12必成12[[#This Row],[高级武魂神物]:[列16]],表_烛魔1到12必成12[[#Totals],[高级武魂神物]:[列16]]),0)</f>
        <v>0</v>
      </c>
      <c r="F7" s="39" t="s">
        <v>195</v>
      </c>
      <c r="G7" s="11">
        <v>100</v>
      </c>
      <c r="H7" s="11">
        <v>55</v>
      </c>
      <c r="I7" s="11">
        <v>110</v>
      </c>
      <c r="J7" s="11">
        <v>110</v>
      </c>
      <c r="K7" s="11">
        <v>55</v>
      </c>
      <c r="L7" s="11">
        <v>70</v>
      </c>
      <c r="M7" s="11">
        <v>3</v>
      </c>
      <c r="N7" s="11"/>
      <c r="O7" s="11"/>
      <c r="P7" s="11"/>
      <c r="Q7" s="11"/>
      <c r="R7" s="11"/>
      <c r="S7" s="30"/>
      <c r="T7" s="34">
        <v>18</v>
      </c>
      <c r="U7" s="34"/>
      <c r="V7" s="34"/>
      <c r="W7" s="34"/>
    </row>
    <row r="8" spans="1:23" x14ac:dyDescent="0.25">
      <c r="B8" s="35">
        <f>表_烛魔1到12必成12[[#This Row],[进化金币(J)]]+IF(ISNUMBER(B7), B7, 表_烛魔1到12必成12[[#Totals],[进化阶段]])</f>
        <v>0</v>
      </c>
      <c r="C8" s="35">
        <f>表_烛魔1到12必成12[[#This Row],[进化点券]]+IF(ISNUMBER(C7), C7, 0)</f>
        <v>0</v>
      </c>
      <c r="D8" s="36">
        <f>IF(A8="○",SUMPRODUCT(表_烛魔1到12必成12[[#This Row],[仙丹]:[列12]],表_烛魔1到12必成12[[#Totals],[仙丹]:[列12]])+表_烛魔1到12必成12[[#This Row],[手续费(J)]]*折扣,0)</f>
        <v>0</v>
      </c>
      <c r="E8" s="36">
        <f>IF(A8="○",SUMPRODUCT(表_烛魔1到12必成12[[#This Row],[高级武魂神物]:[列16]],表_烛魔1到12必成12[[#Totals],[高级武魂神物]:[列16]]),0)</f>
        <v>0</v>
      </c>
      <c r="F8" s="39" t="s">
        <v>196</v>
      </c>
      <c r="G8" s="11">
        <v>100</v>
      </c>
      <c r="H8" s="11">
        <v>70</v>
      </c>
      <c r="I8" s="11">
        <v>140</v>
      </c>
      <c r="J8" s="11">
        <v>140</v>
      </c>
      <c r="K8" s="11">
        <v>70</v>
      </c>
      <c r="L8" s="11">
        <v>75</v>
      </c>
      <c r="M8" s="11">
        <v>6</v>
      </c>
      <c r="N8" s="11"/>
      <c r="O8" s="11"/>
      <c r="P8" s="11"/>
      <c r="Q8" s="11"/>
      <c r="R8" s="11"/>
      <c r="S8" s="30"/>
      <c r="T8" s="11">
        <v>22</v>
      </c>
      <c r="U8" s="11"/>
      <c r="V8" s="11"/>
      <c r="W8" s="11"/>
    </row>
    <row r="9" spans="1:23" x14ac:dyDescent="0.25">
      <c r="B9" s="35">
        <f>表_烛魔1到12必成12[[#This Row],[进化金币(J)]]+IF(ISNUMBER(B8), B8, 表_烛魔1到12必成12[[#Totals],[进化阶段]])</f>
        <v>0</v>
      </c>
      <c r="C9" s="35">
        <f>表_烛魔1到12必成12[[#This Row],[进化点券]]+IF(ISNUMBER(C8), C8, 0)</f>
        <v>0</v>
      </c>
      <c r="D9" s="36">
        <f>IF(A9="○",SUMPRODUCT(表_烛魔1到12必成12[[#This Row],[仙丹]:[列12]],表_烛魔1到12必成12[[#Totals],[仙丹]:[列12]])+表_烛魔1到12必成12[[#This Row],[手续费(J)]]*折扣,0)</f>
        <v>0</v>
      </c>
      <c r="E9" s="36">
        <f>IF(A9="○",SUMPRODUCT(表_烛魔1到12必成12[[#This Row],[高级武魂神物]:[列16]],表_烛魔1到12必成12[[#Totals],[高级武魂神物]:[列16]]),0)</f>
        <v>0</v>
      </c>
      <c r="F9" s="39" t="s">
        <v>197</v>
      </c>
      <c r="G9" s="25">
        <v>150</v>
      </c>
      <c r="H9" s="25">
        <v>80</v>
      </c>
      <c r="I9" s="25">
        <v>160</v>
      </c>
      <c r="J9" s="25">
        <v>160</v>
      </c>
      <c r="K9" s="25">
        <v>80</v>
      </c>
      <c r="L9" s="25">
        <v>90</v>
      </c>
      <c r="M9" s="25">
        <v>8</v>
      </c>
      <c r="N9" s="25"/>
      <c r="O9" s="25"/>
      <c r="P9" s="25"/>
      <c r="Q9" s="25"/>
      <c r="R9" s="25"/>
      <c r="S9" s="31"/>
      <c r="T9" s="25">
        <v>24</v>
      </c>
      <c r="U9" s="25"/>
      <c r="V9" s="25"/>
      <c r="W9" s="25"/>
    </row>
    <row r="10" spans="1:23" x14ac:dyDescent="0.25">
      <c r="B10" s="35">
        <f>表_烛魔1到12必成12[[#This Row],[进化金币(J)]]+IF(ISNUMBER(B9), B9, 表_烛魔1到12必成12[[#Totals],[进化阶段]])</f>
        <v>0</v>
      </c>
      <c r="C10" s="35">
        <f>表_烛魔1到12必成12[[#This Row],[进化点券]]+IF(ISNUMBER(C9), C9, 0)</f>
        <v>0</v>
      </c>
      <c r="D10" s="36">
        <f>IF(A10="○",SUMPRODUCT(表_烛魔1到12必成12[[#This Row],[仙丹]:[列12]],表_烛魔1到12必成12[[#Totals],[仙丹]:[列12]])+表_烛魔1到12必成12[[#This Row],[手续费(J)]]*折扣,0)</f>
        <v>0</v>
      </c>
      <c r="E10" s="36">
        <f>IF(A10="○",SUMPRODUCT(表_烛魔1到12必成12[[#This Row],[高级武魂神物]:[列16]],表_烛魔1到12必成12[[#Totals],[高级武魂神物]:[列16]]),0)</f>
        <v>0</v>
      </c>
      <c r="F10" s="39" t="s">
        <v>198</v>
      </c>
      <c r="G10" s="11">
        <v>150</v>
      </c>
      <c r="H10" s="11">
        <v>90</v>
      </c>
      <c r="I10" s="11">
        <v>180</v>
      </c>
      <c r="J10" s="11">
        <v>180</v>
      </c>
      <c r="K10" s="11">
        <v>90</v>
      </c>
      <c r="L10" s="11">
        <v>120</v>
      </c>
      <c r="M10" s="11">
        <v>8</v>
      </c>
      <c r="N10" s="11"/>
      <c r="O10" s="11"/>
      <c r="P10" s="11"/>
      <c r="Q10" s="11"/>
      <c r="R10" s="11"/>
      <c r="S10" s="30"/>
      <c r="T10" s="11">
        <v>35</v>
      </c>
      <c r="U10" s="11"/>
      <c r="V10" s="11"/>
      <c r="W10" s="11"/>
    </row>
    <row r="11" spans="1:23" x14ac:dyDescent="0.25">
      <c r="B11" s="35">
        <f>表_烛魔1到12必成12[[#This Row],[进化金币(J)]]+IF(ISNUMBER(B10), B10, 表_烛魔1到12必成12[[#Totals],[进化阶段]])</f>
        <v>0</v>
      </c>
      <c r="C11" s="35">
        <f>表_烛魔1到12必成12[[#This Row],[进化点券]]+IF(ISNUMBER(C10), C10, 0)</f>
        <v>0</v>
      </c>
      <c r="D11" s="36">
        <f>IF(A11="○",SUMPRODUCT(表_烛魔1到12必成12[[#This Row],[仙丹]:[列12]],表_烛魔1到12必成12[[#Totals],[仙丹]:[列12]])+表_烛魔1到12必成12[[#This Row],[手续费(J)]]*折扣,0)</f>
        <v>0</v>
      </c>
      <c r="E11" s="36">
        <f>IF(A11="○",SUMPRODUCT(表_烛魔1到12必成12[[#This Row],[高级武魂神物]:[列16]],表_烛魔1到12必成12[[#Totals],[高级武魂神物]:[列16]]),0)</f>
        <v>0</v>
      </c>
      <c r="F11" s="40" t="s">
        <v>219</v>
      </c>
      <c r="G11" s="11">
        <v>150</v>
      </c>
      <c r="H11" s="11">
        <v>50</v>
      </c>
      <c r="I11" s="11">
        <v>100</v>
      </c>
      <c r="J11" s="11">
        <v>100</v>
      </c>
      <c r="K11" s="11">
        <v>50</v>
      </c>
      <c r="L11" s="11">
        <v>120</v>
      </c>
      <c r="M11" s="11">
        <v>9</v>
      </c>
      <c r="N11" s="11">
        <v>4</v>
      </c>
      <c r="O11" s="11"/>
      <c r="P11" s="11"/>
      <c r="Q11" s="11"/>
      <c r="R11" s="11"/>
      <c r="S11" s="30"/>
      <c r="T11" s="11"/>
      <c r="U11" s="11">
        <v>20</v>
      </c>
      <c r="V11" s="11"/>
      <c r="W11" s="11"/>
    </row>
    <row r="12" spans="1:23" s="143" customFormat="1" x14ac:dyDescent="0.25">
      <c r="B12" s="144">
        <f>表_烛魔1到12必成12[[#This Row],[进化金币(J)]]+IF(ISNUMBER(B11), B11, 表_烛魔1到12必成12[[#Totals],[进化阶段]])</f>
        <v>0</v>
      </c>
      <c r="C12" s="144">
        <f>表_烛魔1到12必成12[[#This Row],[进化点券]]+IF(ISNUMBER(C11), C11, 0)</f>
        <v>0</v>
      </c>
      <c r="D12" s="145">
        <f>IF(A12="○",SUMPRODUCT(表_烛魔1到12必成12[[#This Row],[仙丹]:[列12]],表_烛魔1到12必成12[[#Totals],[仙丹]:[列12]])+表_烛魔1到12必成12[[#This Row],[手续费(J)]]*折扣,0)</f>
        <v>0</v>
      </c>
      <c r="E12" s="145">
        <f>IF(A12="○",SUMPRODUCT(表_烛魔1到12必成12[[#This Row],[高级武魂神物]:[列16]],表_烛魔1到12必成12[[#Totals],[高级武魂神物]:[列16]]),0)</f>
        <v>0</v>
      </c>
      <c r="F12" s="146" t="s">
        <v>213</v>
      </c>
      <c r="G12" s="147">
        <v>150</v>
      </c>
      <c r="H12" s="147">
        <v>50</v>
      </c>
      <c r="I12" s="147">
        <v>100</v>
      </c>
      <c r="J12" s="147">
        <v>100</v>
      </c>
      <c r="K12" s="147">
        <v>50</v>
      </c>
      <c r="L12" s="147">
        <v>120</v>
      </c>
      <c r="M12" s="147">
        <v>12</v>
      </c>
      <c r="N12" s="147">
        <v>4</v>
      </c>
      <c r="O12" s="147"/>
      <c r="P12" s="147"/>
      <c r="Q12" s="147"/>
      <c r="R12" s="147"/>
      <c r="S12" s="148"/>
      <c r="T12" s="147"/>
      <c r="U12" s="147">
        <v>20</v>
      </c>
      <c r="V12" s="147"/>
      <c r="W12" s="147"/>
    </row>
    <row r="13" spans="1:23" s="143" customFormat="1" x14ac:dyDescent="0.25">
      <c r="A13" s="143" t="s">
        <v>318</v>
      </c>
      <c r="B13" s="144">
        <f>表_烛魔1到12必成12[[#This Row],[进化金币(J)]]+IF(ISNUMBER(B12), B12, 表_烛魔1到12必成12[[#Totals],[进化阶段]])</f>
        <v>1244.2</v>
      </c>
      <c r="C13" s="144">
        <f>表_烛魔1到12必成12[[#This Row],[进化点券]]+IF(ISNUMBER(C12), C12, 0)</f>
        <v>45000</v>
      </c>
      <c r="D13" s="145">
        <f>IF(A13="○",SUMPRODUCT(表_烛魔1到12必成12[[#This Row],[仙丹]:[列12]],表_烛魔1到12必成12[[#Totals],[仙丹]:[列12]])+表_烛魔1到12必成12[[#This Row],[手续费(J)]]*折扣,0)</f>
        <v>1244.2</v>
      </c>
      <c r="E13" s="145">
        <f>IF(A13="○",SUMPRODUCT(表_烛魔1到12必成12[[#This Row],[高级武魂神物]:[列16]],表_烛魔1到12必成12[[#Totals],[高级武魂神物]:[列16]]),0)</f>
        <v>45000</v>
      </c>
      <c r="F13" s="146" t="s">
        <v>214</v>
      </c>
      <c r="G13" s="147">
        <v>150</v>
      </c>
      <c r="H13" s="147">
        <v>50</v>
      </c>
      <c r="I13" s="147">
        <v>100</v>
      </c>
      <c r="J13" s="147">
        <v>100</v>
      </c>
      <c r="K13" s="147">
        <v>50</v>
      </c>
      <c r="L13" s="147">
        <v>120</v>
      </c>
      <c r="M13" s="147">
        <v>12</v>
      </c>
      <c r="N13" s="147">
        <v>4</v>
      </c>
      <c r="O13" s="147"/>
      <c r="P13" s="147"/>
      <c r="Q13" s="147"/>
      <c r="R13" s="147"/>
      <c r="S13" s="148"/>
      <c r="T13" s="147"/>
      <c r="U13" s="147">
        <v>30</v>
      </c>
      <c r="V13" s="147"/>
      <c r="W13" s="147"/>
    </row>
    <row r="14" spans="1:23" s="143" customFormat="1" x14ac:dyDescent="0.25">
      <c r="A14" s="143" t="s">
        <v>318</v>
      </c>
      <c r="B14" s="144">
        <f>表_烛魔1到12必成12[[#This Row],[进化金币(J)]]+IF(ISNUMBER(B13), B13, 表_烛魔1到12必成12[[#Totals],[进化阶段]])</f>
        <v>2499.1999999999998</v>
      </c>
      <c r="C14" s="144">
        <f>表_烛魔1到12必成12[[#This Row],[进化点券]]+IF(ISNUMBER(C13), C13, 0)</f>
        <v>105000</v>
      </c>
      <c r="D14" s="145">
        <f>IF(A14="○",SUMPRODUCT(表_烛魔1到12必成12[[#This Row],[仙丹]:[列12]],表_烛魔1到12必成12[[#Totals],[仙丹]:[列12]])+表_烛魔1到12必成12[[#This Row],[手续费(J)]]*折扣,0)</f>
        <v>1255</v>
      </c>
      <c r="E14" s="145">
        <f>IF(A14="○",SUMPRODUCT(表_烛魔1到12必成12[[#This Row],[高级武魂神物]:[列16]],表_烛魔1到12必成12[[#Totals],[高级武魂神物]:[列16]]),0)</f>
        <v>60000</v>
      </c>
      <c r="F14" s="146" t="s">
        <v>215</v>
      </c>
      <c r="G14" s="147">
        <v>150</v>
      </c>
      <c r="H14" s="147">
        <v>50</v>
      </c>
      <c r="I14" s="147">
        <v>100</v>
      </c>
      <c r="J14" s="147">
        <v>100</v>
      </c>
      <c r="K14" s="147">
        <v>50</v>
      </c>
      <c r="L14" s="147">
        <v>120</v>
      </c>
      <c r="M14" s="147">
        <v>15</v>
      </c>
      <c r="N14" s="147">
        <v>4</v>
      </c>
      <c r="O14" s="147"/>
      <c r="P14" s="147"/>
      <c r="Q14" s="147"/>
      <c r="R14" s="147"/>
      <c r="S14" s="148"/>
      <c r="T14" s="147"/>
      <c r="U14" s="147">
        <v>40</v>
      </c>
      <c r="V14" s="147"/>
      <c r="W14" s="147"/>
    </row>
    <row r="15" spans="1:23" x14ac:dyDescent="0.25">
      <c r="A15" t="s">
        <v>318</v>
      </c>
      <c r="B15" s="35">
        <f>表_烛魔1到12必成12[[#This Row],[进化金币(J)]]+IF(ISNUMBER(B14), B14, 表_烛魔1到12必成12[[#Totals],[进化阶段]])</f>
        <v>3816.7</v>
      </c>
      <c r="C15" s="35">
        <f>表_烛魔1到12必成12[[#This Row],[进化点券]]+IF(ISNUMBER(C14), C14, 0)</f>
        <v>255000</v>
      </c>
      <c r="D15" s="36">
        <f>IF(A15="○",SUMPRODUCT(表_烛魔1到12必成12[[#This Row],[仙丹]:[列12]],表_烛魔1到12必成12[[#Totals],[仙丹]:[列12]])+表_烛魔1到12必成12[[#This Row],[手续费(J)]]*折扣,0)</f>
        <v>1317.5</v>
      </c>
      <c r="E15" s="36">
        <f>IF(A15="○",SUMPRODUCT(表_烛魔1到12必成12[[#This Row],[高级武魂神物]:[列16]],表_烛魔1到12必成12[[#Totals],[高级武魂神物]:[列16]]),0)</f>
        <v>150000</v>
      </c>
      <c r="F15" s="40" t="s">
        <v>216</v>
      </c>
      <c r="G15" s="11">
        <v>300</v>
      </c>
      <c r="H15" s="11">
        <v>50</v>
      </c>
      <c r="I15" s="11">
        <v>100</v>
      </c>
      <c r="J15" s="11">
        <v>100</v>
      </c>
      <c r="K15" s="11">
        <v>50</v>
      </c>
      <c r="L15" s="11">
        <v>120</v>
      </c>
      <c r="M15" s="11"/>
      <c r="N15" s="11">
        <v>4</v>
      </c>
      <c r="O15" s="11">
        <v>4</v>
      </c>
      <c r="P15" s="11"/>
      <c r="Q15" s="11"/>
      <c r="R15" s="11"/>
      <c r="S15" s="30"/>
      <c r="T15" s="11"/>
      <c r="U15" s="11">
        <v>100</v>
      </c>
      <c r="V15" s="11"/>
      <c r="W15" s="11"/>
    </row>
    <row r="16" spans="1:23" x14ac:dyDescent="0.25">
      <c r="A16" t="s">
        <v>318</v>
      </c>
      <c r="B16" s="35">
        <f>表_烛魔1到12必成12[[#This Row],[进化金币(J)]]+IF(ISNUMBER(B15), B15, 表_烛魔1到12必成12[[#Totals],[进化阶段]])</f>
        <v>5138.2</v>
      </c>
      <c r="C16" s="35">
        <f>表_烛魔1到12必成12[[#This Row],[进化点券]]+IF(ISNUMBER(C15), C15, 0)</f>
        <v>480000</v>
      </c>
      <c r="D16" s="36">
        <f>IF(A16="○",SUMPRODUCT(表_烛魔1到12必成12[[#This Row],[仙丹]:[列12]],表_烛魔1到12必成12[[#Totals],[仙丹]:[列12]])+表_烛魔1到12必成12[[#This Row],[手续费(J)]]*折扣,0)</f>
        <v>1321.5</v>
      </c>
      <c r="E16" s="36">
        <f>IF(A16="○",SUMPRODUCT(表_烛魔1到12必成12[[#This Row],[高级武魂神物]:[列16]],表_烛魔1到12必成12[[#Totals],[高级武魂神物]:[列16]]),0)</f>
        <v>225000</v>
      </c>
      <c r="F16" s="40" t="s">
        <v>217</v>
      </c>
      <c r="G16" s="11">
        <v>300</v>
      </c>
      <c r="H16" s="11">
        <v>50</v>
      </c>
      <c r="I16" s="11">
        <v>100</v>
      </c>
      <c r="J16" s="11">
        <v>100</v>
      </c>
      <c r="K16" s="11">
        <v>50</v>
      </c>
      <c r="L16" s="11">
        <v>120</v>
      </c>
      <c r="M16" s="11"/>
      <c r="N16" s="11">
        <v>4</v>
      </c>
      <c r="O16" s="11">
        <v>8</v>
      </c>
      <c r="P16" s="11"/>
      <c r="Q16" s="11"/>
      <c r="R16" s="11"/>
      <c r="S16" s="30"/>
      <c r="T16" s="11"/>
      <c r="U16" s="11">
        <v>150</v>
      </c>
      <c r="V16" s="11"/>
      <c r="W16" s="11"/>
    </row>
    <row r="17" spans="1:26" ht="15" thickBot="1" x14ac:dyDescent="0.3">
      <c r="A17" t="s">
        <v>318</v>
      </c>
      <c r="B17" s="37">
        <f>表_烛魔1到12必成12[[#This Row],[进化金币(J)]]+IF(ISNUMBER(B16), B16, 表_烛魔1到12必成12[[#Totals],[进化阶段]])</f>
        <v>6463.7</v>
      </c>
      <c r="C17" s="37">
        <f>表_烛魔1到12必成12[[#This Row],[进化点券]]+IF(ISNUMBER(C16), C16, 0)</f>
        <v>780000</v>
      </c>
      <c r="D17" s="38">
        <f>IF(A17="○",SUMPRODUCT(表_烛魔1到12必成12[[#This Row],[仙丹]:[列12]],表_烛魔1到12必成12[[#Totals],[仙丹]:[列12]])+表_烛魔1到12必成12[[#This Row],[手续费(J)]]*折扣,0)</f>
        <v>1325.5</v>
      </c>
      <c r="E17" s="38">
        <f>IF(A17="○",SUMPRODUCT(表_烛魔1到12必成12[[#This Row],[高级武魂神物]:[列16]],表_烛魔1到12必成12[[#Totals],[高级武魂神物]:[列16]]),0)</f>
        <v>300000</v>
      </c>
      <c r="F17" s="67" t="s">
        <v>218</v>
      </c>
      <c r="G17" s="25">
        <v>300</v>
      </c>
      <c r="H17" s="25">
        <v>50</v>
      </c>
      <c r="I17" s="25">
        <v>100</v>
      </c>
      <c r="J17" s="25">
        <v>100</v>
      </c>
      <c r="K17" s="25">
        <v>50</v>
      </c>
      <c r="L17" s="25">
        <v>120</v>
      </c>
      <c r="M17" s="25"/>
      <c r="N17" s="25">
        <v>4</v>
      </c>
      <c r="O17" s="25">
        <v>12</v>
      </c>
      <c r="P17" s="25"/>
      <c r="Q17" s="25"/>
      <c r="R17" s="25"/>
      <c r="S17" s="31"/>
      <c r="T17" s="25"/>
      <c r="U17" s="25">
        <v>200</v>
      </c>
      <c r="V17" s="11"/>
      <c r="W17" s="11"/>
    </row>
    <row r="18" spans="1:26" ht="15" thickTop="1" x14ac:dyDescent="0.25">
      <c r="B18" s="72">
        <f>SUBTOTAL(104,表_烛魔1到12必成12[累计金币(J)])</f>
        <v>6463.7</v>
      </c>
      <c r="C18" s="72">
        <f>SUBTOTAL(104,表_烛魔1到12必成12[累计点券])</f>
        <v>780000</v>
      </c>
      <c r="D18" s="72">
        <f>SUBTOTAL(109,表_烛魔1到12必成12[进化金币(J)])</f>
        <v>6463.7</v>
      </c>
      <c r="E18" s="74">
        <f>SUBTOTAL(109,表_烛魔1到12必成12[进化点券])</f>
        <v>780000</v>
      </c>
      <c r="F18" s="70"/>
      <c r="G18" s="76" t="s">
        <v>190</v>
      </c>
      <c r="H18" s="82">
        <f xml:space="preserve"> _xlfn.IFNA(VLOOKUP(表_烛魔1到12必成12[[#Headers],[仙丹]],金价一览,2,0), 0)</f>
        <v>4</v>
      </c>
      <c r="I18" s="82">
        <f xml:space="preserve"> _xlfn.IFNA(VLOOKUP(表_烛魔1到12必成12[[#Headers],[灵丹]],金价一览,2,0), 0)</f>
        <v>0.15</v>
      </c>
      <c r="J18" s="82">
        <f xml:space="preserve"> _xlfn.IFNA(VLOOKUP(表_烛魔1到12必成12[[#Headers],[灵石]],金价一览,2,0), 0)</f>
        <v>0.06</v>
      </c>
      <c r="K18" s="82">
        <f xml:space="preserve"> _xlfn.IFNA(VLOOKUP(表_烛魔1到12必成12[[#Headers],[月石]],金价一览,2,0), 0)</f>
        <v>1.35</v>
      </c>
      <c r="L18" s="82">
        <f xml:space="preserve"> _xlfn.IFNA(VLOOKUP(表_烛魔1到12必成12[[#Headers],[烛魔羽毛]],金价一览,2,0), 0)</f>
        <v>6.5</v>
      </c>
      <c r="M18" s="82">
        <f xml:space="preserve"> _xlfn.IFNA(VLOOKUP(表_烛魔1到12必成12[[#Headers],[烛魔黑鳞]],金价一览,2,0), 0)</f>
        <v>3.6</v>
      </c>
      <c r="N18" s="82">
        <f xml:space="preserve"> _xlfn.IFNA(VLOOKUP(表_烛魔1到12必成12[[#Headers],[红色烛魔黑鳞]],金价一览,2,0), 0)</f>
        <v>5</v>
      </c>
      <c r="O18" s="82">
        <f xml:space="preserve"> _xlfn.IFNA(VLOOKUP(表_烛魔1到12必成12[[#Headers],[烛魔魂]],金价一览,2,0), 0)</f>
        <v>1</v>
      </c>
      <c r="P18" s="82">
        <f xml:space="preserve"> _xlfn.IFNA(VLOOKUP(表_烛魔1到12必成12[[#Headers],[列9]],金价一览,2,0), 0)</f>
        <v>0</v>
      </c>
      <c r="Q18" s="82">
        <f xml:space="preserve"> _xlfn.IFNA(VLOOKUP(表_烛魔1到12必成12[[#Headers],[列10]],金价一览,2,0), 0)</f>
        <v>0</v>
      </c>
      <c r="R18" s="82">
        <f xml:space="preserve"> _xlfn.IFNA(VLOOKUP(表_烛魔1到12必成12[[#Headers],[列11]],金价一览,2,0), 0)</f>
        <v>0</v>
      </c>
      <c r="S18" s="82">
        <f xml:space="preserve"> _xlfn.IFNA(VLOOKUP(表_烛魔1到12必成12[[#Headers],[列12]],金价一览,2,0), 0)</f>
        <v>0</v>
      </c>
      <c r="T18" s="83">
        <f>_xlfn.IFNA(VLOOKUP(表_烛魔1到12必成12[[#Headers],[高级武魂神物]],点券一览,2,0),0)</f>
        <v>500</v>
      </c>
      <c r="U18" s="83">
        <f>_xlfn.IFNA(VLOOKUP(表_烛魔1到12必成12[[#Headers],[破天武魂神物]],点券一览,2,0),0)</f>
        <v>1500</v>
      </c>
      <c r="V18" s="33">
        <f>_xlfn.IFNA(VLOOKUP(表_烛魔1到12必成12[[#Headers],[列15]],点券一览,2,0),0)</f>
        <v>0</v>
      </c>
      <c r="W18" s="33">
        <f>_xlfn.IFNA(VLOOKUP(表_烛魔1到12必成12[[#Headers],[列16]],点券一览,2,0),0)</f>
        <v>0</v>
      </c>
    </row>
    <row r="19" spans="1:26" x14ac:dyDescent="0.25">
      <c r="B19" s="188" t="s">
        <v>221</v>
      </c>
      <c r="C19" s="188"/>
      <c r="D19" s="188"/>
      <c r="E19" s="188"/>
      <c r="F19" s="189"/>
      <c r="G19" s="79" t="s">
        <v>224</v>
      </c>
      <c r="H19" s="52">
        <f>SUM(表_烛魔1到12必成12[[#Data],[仙丹]])</f>
        <v>735</v>
      </c>
      <c r="I19" s="52">
        <f>SUM(表_烛魔1到12必成12[[#Data],[灵丹]])</f>
        <v>1470</v>
      </c>
      <c r="J19" s="52">
        <f>SUM(表_烛魔1到12必成12[[#Data],[灵石]])</f>
        <v>1470</v>
      </c>
      <c r="K19" s="52">
        <f>SUM(表_烛魔1到12必成12[[#Data],[月石]])</f>
        <v>735</v>
      </c>
      <c r="L19" s="52">
        <f>SUM(表_烛魔1到12必成12[[#Data],[烛魔羽毛]])</f>
        <v>1330</v>
      </c>
      <c r="M19" s="52">
        <f>SUM(表_烛魔1到12必成12[[#Data],[烛魔黑鳞]])</f>
        <v>80</v>
      </c>
      <c r="N19" s="52">
        <f>SUM(表_烛魔1到12必成12[[#Data],[红色烛魔黑鳞]])</f>
        <v>28</v>
      </c>
      <c r="O19" s="52">
        <f>SUM(表_烛魔1到12必成12[[#Data],[烛魔魂]])</f>
        <v>24</v>
      </c>
      <c r="P19" s="52">
        <f>SUM(表_烛魔1到12必成12[[#Data],[列9]]) * 表_烛魔1到12必成12[[#Totals],[列9]]</f>
        <v>0</v>
      </c>
      <c r="Q19" s="52">
        <f>SUM(表_烛魔1到12必成12[[#Data],[列10]]) * 表_烛魔1到12必成12[[#Totals],[列10]]</f>
        <v>0</v>
      </c>
      <c r="R19" s="52">
        <f>SUM(表_烛魔1到12必成12[[#Data],[列11]]) * 表_烛魔1到12必成12[[#Totals],[列11]]</f>
        <v>0</v>
      </c>
      <c r="S19" s="52">
        <f>SUM(表_烛魔1到12必成12[[#Data],[列12]]) * 表_烛魔1到12必成12[[#Totals],[列12]]</f>
        <v>0</v>
      </c>
      <c r="T19" s="84">
        <f>SUM(表_烛魔1到12必成12[[#Data],[高级武魂神物]])</f>
        <v>111</v>
      </c>
      <c r="U19" s="84">
        <f>SUM(表_烛魔1到12必成12[[#Data],[破天武魂神物]])</f>
        <v>560</v>
      </c>
      <c r="V19" s="51">
        <f>SUM(表模板[[#Data],[列15]]) * 表模板[[#Totals],[列15]]</f>
        <v>0</v>
      </c>
      <c r="W19" s="51">
        <f>SUM(表模板[[#Data],[列16]]) * 表模板[[#Totals],[列16]]</f>
        <v>0</v>
      </c>
    </row>
    <row r="20" spans="1:26" x14ac:dyDescent="0.25">
      <c r="B20" s="188"/>
      <c r="C20" s="188"/>
      <c r="D20" s="188"/>
      <c r="E20" s="188"/>
      <c r="F20" s="189"/>
      <c r="G20" s="80" t="s">
        <v>223</v>
      </c>
      <c r="H20" s="52">
        <f>H19*表_烛魔1到12必成12[[#Totals],[仙丹]]</f>
        <v>2940</v>
      </c>
      <c r="I20" s="52">
        <f>I19*表_烛魔1到12必成12[[#Totals],[灵丹]]</f>
        <v>220.5</v>
      </c>
      <c r="J20" s="52">
        <f>J19*表_烛魔1到12必成12[[#Totals],[灵石]]</f>
        <v>88.2</v>
      </c>
      <c r="K20" s="52">
        <f>K19*表_烛魔1到12必成12[[#Totals],[月石]]</f>
        <v>992.25000000000011</v>
      </c>
      <c r="L20" s="52">
        <f>L19*表_烛魔1到12必成12[[#Totals],[烛魔羽毛]]</f>
        <v>8645</v>
      </c>
      <c r="M20" s="52">
        <f>M19*表_烛魔1到12必成12[[#Totals],[烛魔黑鳞]]</f>
        <v>288</v>
      </c>
      <c r="N20" s="52">
        <f>N19*表_烛魔1到12必成12[[#Totals],[红色烛魔黑鳞]]</f>
        <v>140</v>
      </c>
      <c r="O20" s="52">
        <f>O19*表_烛魔1到12必成12[[#Totals],[烛魔魂]]</f>
        <v>24</v>
      </c>
      <c r="P20" s="52">
        <f>P19*表_烛魔1到12必成12[[#Totals],[列9]]</f>
        <v>0</v>
      </c>
      <c r="Q20" s="52">
        <f>Q19*表_烛魔1到12必成12[[#Totals],[列10]]</f>
        <v>0</v>
      </c>
      <c r="R20" s="52">
        <f>R19*表_烛魔1到12必成12[[#Totals],[列11]]</f>
        <v>0</v>
      </c>
      <c r="S20" s="52">
        <f>S19*表_烛魔1到12必成12[[#Totals],[列12]]</f>
        <v>0</v>
      </c>
      <c r="T20" s="52">
        <f>T19*表_烛魔1到12必成12[[#Totals],[高级武魂神物]]</f>
        <v>55500</v>
      </c>
      <c r="U20" s="52">
        <f>U19*表_烛魔1到12必成12[[#Totals],[破天武魂神物]]</f>
        <v>840000</v>
      </c>
    </row>
    <row r="23" spans="1:26" x14ac:dyDescent="0.25">
      <c r="B23" s="12" t="s">
        <v>226</v>
      </c>
      <c r="H23" s="43" t="s">
        <v>212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42" t="s">
        <v>211</v>
      </c>
      <c r="U23" s="41"/>
      <c r="V23" s="41"/>
      <c r="W23" s="41"/>
    </row>
    <row r="24" spans="1:26" ht="34.200000000000003" customHeight="1" x14ac:dyDescent="0.25">
      <c r="B24" s="44" t="s">
        <v>187</v>
      </c>
      <c r="C24" s="45" t="s">
        <v>186</v>
      </c>
      <c r="D24" s="46" t="s">
        <v>252</v>
      </c>
      <c r="E24" s="46" t="s">
        <v>254</v>
      </c>
      <c r="F24" s="46" t="s">
        <v>181</v>
      </c>
      <c r="G24" s="46" t="s">
        <v>185</v>
      </c>
      <c r="H24" s="47" t="s">
        <v>0</v>
      </c>
      <c r="I24" s="48" t="s">
        <v>1</v>
      </c>
      <c r="J24" s="48" t="s">
        <v>2</v>
      </c>
      <c r="K24" s="48" t="s">
        <v>3</v>
      </c>
      <c r="L24" s="48" t="s">
        <v>4</v>
      </c>
      <c r="M24" s="48" t="s">
        <v>5</v>
      </c>
      <c r="N24" s="48" t="s">
        <v>136</v>
      </c>
      <c r="O24" s="48" t="s">
        <v>138</v>
      </c>
      <c r="P24" s="48" t="s">
        <v>203</v>
      </c>
      <c r="Q24" s="48" t="s">
        <v>204</v>
      </c>
      <c r="R24" s="48" t="s">
        <v>205</v>
      </c>
      <c r="S24" s="49" t="s">
        <v>206</v>
      </c>
      <c r="T24" s="50" t="s">
        <v>6</v>
      </c>
      <c r="U24" s="50" t="s">
        <v>137</v>
      </c>
      <c r="V24" s="50" t="s">
        <v>209</v>
      </c>
      <c r="W24" s="50" t="s">
        <v>210</v>
      </c>
      <c r="Y24" t="s">
        <v>312</v>
      </c>
    </row>
    <row r="25" spans="1:26" x14ac:dyDescent="0.25">
      <c r="A25" t="s">
        <v>318</v>
      </c>
      <c r="B25" s="35">
        <f>表_烛魔13到15必成20[[#This Row],[进化金币(J)]]+IF(ISNUMBER(B24),B24, 0)</f>
        <v>1317.5</v>
      </c>
      <c r="C25" s="35">
        <f>表_烛魔13到15必成20[[#This Row],[进化点券]]+IF(ISNUMBER(C24),C24, 0)</f>
        <v>150000</v>
      </c>
      <c r="D25" s="36">
        <f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f>
        <v>1317.5</v>
      </c>
      <c r="E25" s="36">
        <f>SUMPRODUCT(表_烛魔13到15必成20[[#This Row],[高级武魂神物]:[列16]],表_烛魔13到15必成20[[#Totals],[高级武魂神物]:[列16]])</f>
        <v>150000</v>
      </c>
      <c r="F25" s="40" t="s">
        <v>216</v>
      </c>
      <c r="G25" s="11">
        <v>300</v>
      </c>
      <c r="H25" s="11">
        <v>50</v>
      </c>
      <c r="I25" s="11">
        <v>100</v>
      </c>
      <c r="J25" s="11">
        <v>100</v>
      </c>
      <c r="K25" s="11">
        <v>50</v>
      </c>
      <c r="L25" s="11">
        <v>120</v>
      </c>
      <c r="M25" s="11"/>
      <c r="N25" s="11">
        <v>4</v>
      </c>
      <c r="O25" s="11">
        <v>4</v>
      </c>
      <c r="P25" s="11"/>
      <c r="Q25" s="11"/>
      <c r="R25" s="11"/>
      <c r="S25" s="30"/>
      <c r="T25" s="11"/>
      <c r="U25" s="11">
        <v>100</v>
      </c>
      <c r="V25" s="11"/>
      <c r="W25" s="11"/>
      <c r="Y25" s="114">
        <f>表_烛魔13到15必成20[[#This Row],[进化金币(J)]]/D35</f>
        <v>2.1705107084019768</v>
      </c>
      <c r="Z25" s="114">
        <f>表_烛魔13到15必成20[[#This Row],[进化点券]]/E35</f>
        <v>5.4545454545454541</v>
      </c>
    </row>
    <row r="26" spans="1:26" x14ac:dyDescent="0.25">
      <c r="A26" t="s">
        <v>318</v>
      </c>
      <c r="B26" s="35">
        <f>表_烛魔13到15必成20[[#This Row],[进化金币(J)]]+IF(ISNUMBER(B25),B25, 0)</f>
        <v>2639</v>
      </c>
      <c r="C26" s="35">
        <f>表_烛魔13到15必成20[[#This Row],[进化点券]]+IF(ISNUMBER(C25),C25, 0)</f>
        <v>375000</v>
      </c>
      <c r="D26" s="36">
        <f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f>
        <v>1321.5</v>
      </c>
      <c r="E26" s="36">
        <f>SUMPRODUCT(表_烛魔13到15必成20[[#This Row],[高级武魂神物]:[列16]],表_烛魔13到15必成20[[#Totals],[高级武魂神物]:[列16]])</f>
        <v>225000</v>
      </c>
      <c r="F26" s="40" t="s">
        <v>217</v>
      </c>
      <c r="G26" s="11">
        <v>300</v>
      </c>
      <c r="H26" s="11">
        <v>50</v>
      </c>
      <c r="I26" s="11">
        <v>100</v>
      </c>
      <c r="J26" s="11">
        <v>100</v>
      </c>
      <c r="K26" s="11">
        <v>50</v>
      </c>
      <c r="L26" s="11">
        <v>120</v>
      </c>
      <c r="M26" s="11"/>
      <c r="N26" s="11">
        <v>4</v>
      </c>
      <c r="O26" s="11">
        <v>8</v>
      </c>
      <c r="P26" s="11"/>
      <c r="Q26" s="11"/>
      <c r="R26" s="11"/>
      <c r="S26" s="30"/>
      <c r="T26" s="11"/>
      <c r="U26" s="11">
        <v>150</v>
      </c>
      <c r="V26" s="11"/>
      <c r="W26" s="11"/>
      <c r="Y26" s="114">
        <f>表_烛魔13到15必成20[[#This Row],[进化金币(J)]]/D36</f>
        <v>2.1735197368421053</v>
      </c>
      <c r="Z26" s="114">
        <f>表_烛魔13到15必成20[[#This Row],[进化点券]]/E36</f>
        <v>5.625</v>
      </c>
    </row>
    <row r="27" spans="1:26" ht="15" thickBot="1" x14ac:dyDescent="0.3">
      <c r="A27" t="s">
        <v>318</v>
      </c>
      <c r="B27" s="37">
        <f>表_烛魔13到15必成20[[#This Row],[进化金币(J)]]+IF(ISNUMBER(B26),B26, 0)</f>
        <v>3964.5</v>
      </c>
      <c r="C27" s="37">
        <f>表_烛魔13到15必成20[[#This Row],[进化点券]]+IF(ISNUMBER(C26),C26, 0)</f>
        <v>675000</v>
      </c>
      <c r="D27" s="38">
        <f>SUMPRODUCT(表_烛魔13到15必成20[[#This Row],[仙丹]:[列12]],表_烛魔13到15必成20[[#Totals],[仙丹]:[列12]])+表_烛魔13到15必成20[[#This Row],[手续费(J)]]*折扣+IF(表_烛魔13到15必成20[[#This Row],[进化阶段]]="1段-&gt;2段",表_烛魔13到15必成20[[#Totals],[进化阶段]],0)</f>
        <v>1325.5</v>
      </c>
      <c r="E27" s="38">
        <f>SUMPRODUCT(表_烛魔13到15必成20[[#This Row],[高级武魂神物]:[列16]],表_烛魔13到15必成20[[#Totals],[高级武魂神物]:[列16]])</f>
        <v>300000</v>
      </c>
      <c r="F27" s="67" t="s">
        <v>218</v>
      </c>
      <c r="G27" s="25">
        <v>300</v>
      </c>
      <c r="H27" s="25">
        <v>50</v>
      </c>
      <c r="I27" s="25">
        <v>100</v>
      </c>
      <c r="J27" s="25">
        <v>100</v>
      </c>
      <c r="K27" s="25">
        <v>50</v>
      </c>
      <c r="L27" s="25">
        <v>120</v>
      </c>
      <c r="M27" s="25"/>
      <c r="N27" s="25">
        <v>4</v>
      </c>
      <c r="O27" s="25">
        <v>12</v>
      </c>
      <c r="P27" s="25"/>
      <c r="Q27" s="25"/>
      <c r="R27" s="25"/>
      <c r="S27" s="31"/>
      <c r="T27" s="25"/>
      <c r="U27" s="25">
        <v>200</v>
      </c>
      <c r="V27" s="11"/>
      <c r="W27" s="11"/>
      <c r="Y27" s="114">
        <f>表_烛魔13到15必成20[[#This Row],[进化金币(J)]]/D37</f>
        <v>2.1765188834154352</v>
      </c>
      <c r="Z27" s="114">
        <f>表_烛魔13到15必成20[[#This Row],[进化点券]]/E37</f>
        <v>5.4545454545454541</v>
      </c>
    </row>
    <row r="28" spans="1:26" ht="15" thickTop="1" x14ac:dyDescent="0.25">
      <c r="B28" s="72">
        <f>SUBTOTAL(104,表_烛魔13到15必成20[累计金币(J)])</f>
        <v>3964.5</v>
      </c>
      <c r="C28" s="72">
        <f>SUBTOTAL(104,表_烛魔13到15必成20[累计点券])</f>
        <v>675000</v>
      </c>
      <c r="D28" s="72">
        <f>SUBTOTAL(109,表_烛魔13到15必成20[进化金币(J)])</f>
        <v>3964.5</v>
      </c>
      <c r="E28" s="74">
        <f>SUBTOTAL(109,表_烛魔13到15必成20[进化点券])</f>
        <v>675000</v>
      </c>
      <c r="F28" s="81"/>
      <c r="G28" s="76" t="s">
        <v>190</v>
      </c>
      <c r="H28" s="82">
        <f xml:space="preserve"> _xlfn.IFNA(VLOOKUP(表_烛魔13到15必成20[[#Headers],[仙丹]],金价一览,2,0), 0)</f>
        <v>4</v>
      </c>
      <c r="I28" s="82">
        <f xml:space="preserve"> _xlfn.IFNA(VLOOKUP(表_烛魔13到15必成20[[#Headers],[灵丹]],金价一览,2,0), 0)</f>
        <v>0.15</v>
      </c>
      <c r="J28" s="82">
        <f xml:space="preserve"> _xlfn.IFNA(VLOOKUP(表_烛魔13到15必成20[[#Headers],[灵石]],金价一览,2,0), 0)</f>
        <v>0.06</v>
      </c>
      <c r="K28" s="82">
        <f xml:space="preserve"> _xlfn.IFNA(VLOOKUP(表_烛魔13到15必成20[[#Headers],[月石]],金价一览,2,0), 0)</f>
        <v>1.35</v>
      </c>
      <c r="L28" s="82">
        <f xml:space="preserve"> _xlfn.IFNA(VLOOKUP(表_烛魔13到15必成20[[#Headers],[烛魔羽毛]],金价一览,2,0), 0)</f>
        <v>6.5</v>
      </c>
      <c r="M28" s="82">
        <f xml:space="preserve"> _xlfn.IFNA(VLOOKUP(表_烛魔13到15必成20[[#Headers],[烛魔黑鳞]],金价一览,2,0), 0)</f>
        <v>3.6</v>
      </c>
      <c r="N28" s="82">
        <f xml:space="preserve"> _xlfn.IFNA(VLOOKUP(表_烛魔13到15必成20[[#Headers],[红色烛魔黑鳞]],金价一览,2,0), 0)</f>
        <v>5</v>
      </c>
      <c r="O28" s="82">
        <f xml:space="preserve"> _xlfn.IFNA(VLOOKUP(表_烛魔13到15必成20[[#Headers],[烛魔魂]],金价一览,2,0), 0)</f>
        <v>1</v>
      </c>
      <c r="P28" s="82">
        <f xml:space="preserve"> _xlfn.IFNA(VLOOKUP(表_烛魔13到15必成20[[#Headers],[列9]],金价一览,2,0), 0)</f>
        <v>0</v>
      </c>
      <c r="Q28" s="82">
        <f xml:space="preserve"> _xlfn.IFNA(VLOOKUP(表_烛魔13到15必成20[[#Headers],[列10]],金价一览,2,0), 0)</f>
        <v>0</v>
      </c>
      <c r="R28" s="82">
        <f xml:space="preserve"> _xlfn.IFNA(VLOOKUP(表_烛魔13到15必成20[[#Headers],[列11]],金价一览,2,0), 0)</f>
        <v>0</v>
      </c>
      <c r="S28" s="82">
        <f xml:space="preserve"> _xlfn.IFNA(VLOOKUP(表_烛魔13到15必成20[[#Headers],[列12]],金价一览,2,0), 0)</f>
        <v>0</v>
      </c>
      <c r="T28" s="83">
        <f>_xlfn.IFNA(VLOOKUP(表_烛魔13到15必成20[[#Headers],[高级武魂神物]],点券一览,2,0),0)</f>
        <v>500</v>
      </c>
      <c r="U28" s="83">
        <f>_xlfn.IFNA(VLOOKUP(表_烛魔13到15必成20[[#Headers],[破天武魂神物]],点券一览,2,0),0)</f>
        <v>1500</v>
      </c>
      <c r="V28" s="33">
        <f>_xlfn.IFNA(VLOOKUP(表_烛魔13到15必成20[[#Headers],[列15]],点券一览,2,0),0)</f>
        <v>0</v>
      </c>
      <c r="W28" s="33">
        <f>_xlfn.IFNA(VLOOKUP(表_烛魔13到15必成20[[#Headers],[列16]],点券一览,2,0),0)</f>
        <v>0</v>
      </c>
    </row>
    <row r="29" spans="1:26" x14ac:dyDescent="0.25">
      <c r="B29" s="188" t="s">
        <v>221</v>
      </c>
      <c r="C29" s="188"/>
      <c r="D29" s="188"/>
      <c r="E29" s="188"/>
      <c r="F29" s="189"/>
      <c r="G29" s="79" t="s">
        <v>224</v>
      </c>
      <c r="H29" s="52">
        <f>SUM(表_烛魔13到15必成20[[#Data],[仙丹]])</f>
        <v>150</v>
      </c>
      <c r="I29" s="52">
        <f>SUM(表_烛魔13到15必成20[[#Data],[灵丹]])</f>
        <v>300</v>
      </c>
      <c r="J29" s="52">
        <f>SUM(表_烛魔13到15必成20[[#Data],[灵石]])</f>
        <v>300</v>
      </c>
      <c r="K29" s="52">
        <f>SUM(表_烛魔13到15必成20[[#Data],[月石]])</f>
        <v>150</v>
      </c>
      <c r="L29" s="52">
        <f>SUM(表_烛魔13到15必成20[[#Data],[烛魔羽毛]])</f>
        <v>360</v>
      </c>
      <c r="M29" s="52">
        <f>SUM(表_烛魔13到15必成20[[#Data],[烛魔黑鳞]])</f>
        <v>0</v>
      </c>
      <c r="N29" s="52">
        <f>SUM(表_烛魔13到15必成20[[#Data],[红色烛魔黑鳞]])</f>
        <v>12</v>
      </c>
      <c r="O29" s="52">
        <f>SUM(表_烛魔13到15必成20[[#Data],[烛魔魂]])</f>
        <v>24</v>
      </c>
      <c r="P29" s="52">
        <f>SUM(表_烛魔13到15必成20[[#Data],[列9]]) * 表_烛魔13到15必成20[[#Totals],[列9]]</f>
        <v>0</v>
      </c>
      <c r="Q29" s="52">
        <f>SUM(表_烛魔13到15必成20[[#Data],[列10]]) * 表_烛魔13到15必成20[[#Totals],[列10]]</f>
        <v>0</v>
      </c>
      <c r="R29" s="52">
        <f>SUM(表_烛魔13到15必成20[[#Data],[列11]]) * 表_烛魔13到15必成20[[#Totals],[列11]]</f>
        <v>0</v>
      </c>
      <c r="S29" s="52">
        <f>SUM(表_烛魔13到15必成20[[#Data],[列12]]) * 表_烛魔13到15必成20[[#Totals],[列12]]</f>
        <v>0</v>
      </c>
      <c r="T29" s="84">
        <f>SUM(表_烛魔13到15必成20[[#Data],[高级武魂神物]])</f>
        <v>0</v>
      </c>
      <c r="U29" s="84">
        <f>SUM(表_烛魔13到15必成20[[#Data],[破天武魂神物]])</f>
        <v>450</v>
      </c>
      <c r="V29" s="51">
        <f>SUM(表模板[[#Data],[列15]]) * 表模板[[#Totals],[列15]]</f>
        <v>0</v>
      </c>
      <c r="W29" s="51">
        <f>SUM(表模板[[#Data],[列16]]) * 表模板[[#Totals],[列16]]</f>
        <v>0</v>
      </c>
    </row>
    <row r="30" spans="1:26" x14ac:dyDescent="0.25">
      <c r="B30" s="188"/>
      <c r="C30" s="188"/>
      <c r="D30" s="188"/>
      <c r="E30" s="188"/>
      <c r="F30" s="189"/>
      <c r="G30" s="80" t="s">
        <v>223</v>
      </c>
      <c r="H30" s="52">
        <f>H29*表_烛魔13到15必成20[[#Totals],[仙丹]]</f>
        <v>600</v>
      </c>
      <c r="I30" s="52">
        <f>I29*表_烛魔13到15必成20[[#Totals],[灵丹]]</f>
        <v>45</v>
      </c>
      <c r="J30" s="52">
        <f>J29*表_烛魔13到15必成20[[#Totals],[灵石]]</f>
        <v>18</v>
      </c>
      <c r="K30" s="52">
        <f>K29*表_烛魔13到15必成20[[#Totals],[月石]]</f>
        <v>202.5</v>
      </c>
      <c r="L30" s="52">
        <f>L29*表_烛魔13到15必成20[[#Totals],[烛魔羽毛]]</f>
        <v>2340</v>
      </c>
      <c r="M30" s="52">
        <f>M29*表_烛魔13到15必成20[[#Totals],[烛魔黑鳞]]</f>
        <v>0</v>
      </c>
      <c r="N30" s="52">
        <f>N29*表_烛魔13到15必成20[[#Totals],[红色烛魔黑鳞]]</f>
        <v>60</v>
      </c>
      <c r="O30" s="52">
        <f>O29*表_烛魔13到15必成20[[#Totals],[烛魔魂]]</f>
        <v>24</v>
      </c>
      <c r="P30" s="52">
        <f>P29*表_烛魔13到15必成20[[#Totals],[列9]]</f>
        <v>0</v>
      </c>
      <c r="Q30" s="52">
        <f>Q29*表_烛魔13到15必成20[[#Totals],[列10]]</f>
        <v>0</v>
      </c>
      <c r="R30" s="52">
        <f>R29*表_烛魔13到15必成20[[#Totals],[列11]]</f>
        <v>0</v>
      </c>
      <c r="S30" s="52">
        <f>S29*表_烛魔13到15必成20[[#Totals],[列12]]</f>
        <v>0</v>
      </c>
      <c r="T30" s="52">
        <f>T29*表_烛魔13到15必成20[[#Totals],[高级武魂神物]]</f>
        <v>0</v>
      </c>
      <c r="U30" s="52">
        <f>U29*表_烛魔13到15必成20[[#Totals],[破天武魂神物]]</f>
        <v>675000</v>
      </c>
    </row>
    <row r="33" spans="1:23" x14ac:dyDescent="0.25">
      <c r="B33" s="28" t="s">
        <v>222</v>
      </c>
      <c r="H33" s="43" t="s">
        <v>212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42" t="s">
        <v>211</v>
      </c>
      <c r="U33" s="41"/>
      <c r="V33" s="41"/>
      <c r="W33" s="41"/>
    </row>
    <row r="34" spans="1:23" ht="34.200000000000003" customHeight="1" thickBot="1" x14ac:dyDescent="0.3">
      <c r="B34" s="57" t="s">
        <v>187</v>
      </c>
      <c r="C34" s="57" t="s">
        <v>186</v>
      </c>
      <c r="D34" s="58" t="s">
        <v>252</v>
      </c>
      <c r="E34" s="58" t="s">
        <v>254</v>
      </c>
      <c r="F34" s="58" t="s">
        <v>181</v>
      </c>
      <c r="G34" s="58" t="s">
        <v>185</v>
      </c>
      <c r="H34" s="59" t="s">
        <v>0</v>
      </c>
      <c r="I34" s="60" t="s">
        <v>1</v>
      </c>
      <c r="J34" s="60" t="s">
        <v>2</v>
      </c>
      <c r="K34" s="60" t="s">
        <v>3</v>
      </c>
      <c r="L34" s="60" t="s">
        <v>4</v>
      </c>
      <c r="M34" s="60" t="s">
        <v>5</v>
      </c>
      <c r="N34" s="60" t="s">
        <v>136</v>
      </c>
      <c r="O34" s="60" t="s">
        <v>138</v>
      </c>
      <c r="P34" s="60" t="s">
        <v>203</v>
      </c>
      <c r="Q34" s="60" t="s">
        <v>204</v>
      </c>
      <c r="R34" s="60" t="s">
        <v>205</v>
      </c>
      <c r="S34" s="61" t="s">
        <v>206</v>
      </c>
      <c r="T34" s="62" t="s">
        <v>6</v>
      </c>
      <c r="U34" s="62" t="s">
        <v>157</v>
      </c>
      <c r="V34" s="62" t="s">
        <v>209</v>
      </c>
      <c r="W34" s="62" t="s">
        <v>210</v>
      </c>
    </row>
    <row r="35" spans="1:23" ht="15" thickTop="1" x14ac:dyDescent="0.25">
      <c r="A35" t="s">
        <v>318</v>
      </c>
      <c r="B35" s="36">
        <f>表_烛魔13到15保底14[[#This Row],[进化金币(J)]]+IF(ISNUMBER(B34), B34, 0)</f>
        <v>607</v>
      </c>
      <c r="C35" s="35">
        <f>表_烛魔13到15保底14[[#This Row],[进化点券]]+IF(ISNUMBER(C34), C34, 0)</f>
        <v>27500</v>
      </c>
      <c r="D35" s="36">
        <f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f>
        <v>607</v>
      </c>
      <c r="E35" s="36">
        <f>SUMPRODUCT(表_烛魔13到15保底14[[#This Row],[高级武魂神物]:[列16]],表_烛魔13到15保底14[[#Totals],[高级武魂神物]:[列16]])</f>
        <v>27500</v>
      </c>
      <c r="F35" s="40" t="s">
        <v>216</v>
      </c>
      <c r="G35" s="11">
        <v>150</v>
      </c>
      <c r="H35" s="11">
        <v>50</v>
      </c>
      <c r="I35" s="11">
        <v>100</v>
      </c>
      <c r="J35" s="11">
        <v>100</v>
      </c>
      <c r="K35" s="11">
        <v>50</v>
      </c>
      <c r="L35" s="11">
        <v>30</v>
      </c>
      <c r="M35" s="11"/>
      <c r="N35" s="11">
        <v>2</v>
      </c>
      <c r="O35" s="22">
        <v>1</v>
      </c>
      <c r="P35" s="11"/>
      <c r="Q35" s="11"/>
      <c r="R35" s="11"/>
      <c r="S35" s="30"/>
      <c r="T35" s="22">
        <v>55</v>
      </c>
      <c r="U35" s="11"/>
      <c r="V35" s="11"/>
      <c r="W35" s="11"/>
    </row>
    <row r="36" spans="1:23" x14ac:dyDescent="0.25">
      <c r="A36" t="s">
        <v>318</v>
      </c>
      <c r="B36" s="36">
        <f>表_烛魔13到15保底14[[#This Row],[进化金币(J)]]+IF(ISNUMBER(B35), B35, 0)</f>
        <v>1215</v>
      </c>
      <c r="C36" s="35">
        <f>表_烛魔13到15保底14[[#This Row],[进化点券]]+IF(ISNUMBER(C35), C35, 0)</f>
        <v>67500</v>
      </c>
      <c r="D36" s="36">
        <f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f>
        <v>608</v>
      </c>
      <c r="E36" s="36">
        <f>SUMPRODUCT(表_烛魔13到15保底14[[#This Row],[高级武魂神物]:[列16]],表_烛魔13到15保底14[[#Totals],[高级武魂神物]:[列16]])</f>
        <v>40000</v>
      </c>
      <c r="F36" s="40" t="s">
        <v>217</v>
      </c>
      <c r="G36" s="11">
        <v>150</v>
      </c>
      <c r="H36" s="11">
        <v>50</v>
      </c>
      <c r="I36" s="11">
        <v>100</v>
      </c>
      <c r="J36" s="11">
        <v>100</v>
      </c>
      <c r="K36" s="11">
        <v>50</v>
      </c>
      <c r="L36" s="11">
        <v>30</v>
      </c>
      <c r="M36" s="11"/>
      <c r="N36" s="11">
        <v>2</v>
      </c>
      <c r="O36" s="22">
        <v>2</v>
      </c>
      <c r="P36" s="11"/>
      <c r="Q36" s="11"/>
      <c r="R36" s="11"/>
      <c r="S36" s="30"/>
      <c r="T36" s="22">
        <v>80</v>
      </c>
      <c r="U36" s="11"/>
      <c r="V36" s="11"/>
      <c r="W36" s="11"/>
    </row>
    <row r="37" spans="1:23" ht="15" thickBot="1" x14ac:dyDescent="0.3">
      <c r="A37" t="s">
        <v>318</v>
      </c>
      <c r="B37" s="38">
        <f>表_烛魔13到15保底14[[#This Row],[进化金币(J)]]+IF(ISNUMBER(B36), B36, 0)</f>
        <v>1824</v>
      </c>
      <c r="C37" s="37">
        <f>表_烛魔13到15保底14[[#This Row],[进化点券]]+IF(ISNUMBER(C36), C36, 0)</f>
        <v>122500</v>
      </c>
      <c r="D37" s="38">
        <f>SUMPRODUCT(表_烛魔13到15保底14[[#This Row],[仙丹]:[列12]],表_烛魔13到15保底14[[#Totals],[仙丹]:[列12]])+表_烛魔13到15保底14[[#This Row],[手续费(J)]]*折扣+IF(表_烛魔13到15保底14[[#This Row],[进化阶段]]="1段-&gt;2段",表_烛魔13到15保底14[[#Totals],[进化阶段]],0)</f>
        <v>609</v>
      </c>
      <c r="E37" s="38">
        <f>SUMPRODUCT(表_烛魔13到15保底14[[#This Row],[高级武魂神物]:[列16]],表_烛魔13到15保底14[[#Totals],[高级武魂神物]:[列16]])</f>
        <v>55000</v>
      </c>
      <c r="F37" s="67" t="s">
        <v>218</v>
      </c>
      <c r="G37" s="25">
        <v>150</v>
      </c>
      <c r="H37" s="25">
        <v>50</v>
      </c>
      <c r="I37" s="25">
        <v>100</v>
      </c>
      <c r="J37" s="25">
        <v>100</v>
      </c>
      <c r="K37" s="25">
        <v>50</v>
      </c>
      <c r="L37" s="25">
        <v>30</v>
      </c>
      <c r="M37" s="25"/>
      <c r="N37" s="25">
        <v>2</v>
      </c>
      <c r="O37" s="69">
        <v>3</v>
      </c>
      <c r="P37" s="25"/>
      <c r="Q37" s="25"/>
      <c r="R37" s="25"/>
      <c r="S37" s="31"/>
      <c r="T37" s="69">
        <v>110</v>
      </c>
      <c r="U37" s="25"/>
      <c r="V37" s="11"/>
      <c r="W37" s="11"/>
    </row>
    <row r="38" spans="1:23" ht="15" thickTop="1" x14ac:dyDescent="0.25">
      <c r="B38" s="72">
        <f>SUBTOTAL(104,表_烛魔13到15保底14[累计金币(J)])</f>
        <v>1824</v>
      </c>
      <c r="C38" s="72">
        <f>SUBTOTAL(104,表_烛魔13到15保底14[累计点券])</f>
        <v>122500</v>
      </c>
      <c r="D38" s="85">
        <f>SUBTOTAL(109,表_烛魔13到15保底14[进化金币(J)])</f>
        <v>1824</v>
      </c>
      <c r="E38" s="74">
        <f>SUBTOTAL(109,表_烛魔13到15保底14[进化点券])</f>
        <v>122500</v>
      </c>
      <c r="F38" s="86"/>
      <c r="G38" s="76" t="s">
        <v>190</v>
      </c>
      <c r="H38" s="82">
        <f xml:space="preserve"> _xlfn.IFNA(VLOOKUP(表_烛魔13到15保底14[[#Headers],[仙丹]],金价一览,2,0), 0)</f>
        <v>4</v>
      </c>
      <c r="I38" s="82">
        <f xml:space="preserve"> _xlfn.IFNA(VLOOKUP(表_烛魔13到15保底14[[#Headers],[灵丹]],金价一览,2,0), 0)</f>
        <v>0.15</v>
      </c>
      <c r="J38" s="82">
        <f xml:space="preserve"> _xlfn.IFNA(VLOOKUP(表_烛魔13到15保底14[[#Headers],[灵石]],金价一览,2,0), 0)</f>
        <v>0.06</v>
      </c>
      <c r="K38" s="82">
        <f xml:space="preserve"> _xlfn.IFNA(VLOOKUP(表_烛魔13到15保底14[[#Headers],[月石]],金价一览,2,0), 0)</f>
        <v>1.35</v>
      </c>
      <c r="L38" s="82">
        <f xml:space="preserve"> _xlfn.IFNA(VLOOKUP(表_烛魔13到15保底14[[#Headers],[烛魔羽毛]],金价一览,2,0), 0)</f>
        <v>6.5</v>
      </c>
      <c r="M38" s="82">
        <f xml:space="preserve"> _xlfn.IFNA(VLOOKUP(表_烛魔13到15保底14[[#Headers],[烛魔黑鳞]],金价一览,2,0), 0)</f>
        <v>3.6</v>
      </c>
      <c r="N38" s="82">
        <f xml:space="preserve"> _xlfn.IFNA(VLOOKUP(表_烛魔13到15保底14[[#Headers],[红色烛魔黑鳞]],金价一览,2,0), 0)</f>
        <v>5</v>
      </c>
      <c r="O38" s="82">
        <f xml:space="preserve"> _xlfn.IFNA(VLOOKUP(表_烛魔13到15保底14[[#Headers],[烛魔魂]],金价一览,2,0), 0)</f>
        <v>1</v>
      </c>
      <c r="P38" s="82">
        <f xml:space="preserve"> _xlfn.IFNA(VLOOKUP(表_烛魔13到15保底14[[#Headers],[列9]],金价一览,2,0), 0)</f>
        <v>0</v>
      </c>
      <c r="Q38" s="82">
        <f xml:space="preserve"> _xlfn.IFNA(VLOOKUP(表_烛魔13到15保底14[[#Headers],[列10]],金价一览,2,0), 0)</f>
        <v>0</v>
      </c>
      <c r="R38" s="82">
        <f xml:space="preserve"> _xlfn.IFNA(VLOOKUP(表_烛魔13到15保底14[[#Headers],[列11]],金价一览,2,0), 0)</f>
        <v>0</v>
      </c>
      <c r="S38" s="82">
        <f xml:space="preserve"> _xlfn.IFNA(VLOOKUP(表_烛魔13到15保底14[[#Headers],[列12]],金价一览,2,0), 0)</f>
        <v>0</v>
      </c>
      <c r="T38" s="87">
        <f>_xlfn.IFNA(VLOOKUP(表_烛魔13到15保底14[[#Headers],[高级武魂神物]],点券一览,2,0),0)</f>
        <v>500</v>
      </c>
      <c r="U38" s="87">
        <f>_xlfn.IFNA(VLOOKUP(表_烛魔13到15保底14[[#Headers],[列1]],点券一览,2,0),0)</f>
        <v>0</v>
      </c>
      <c r="V38" s="53">
        <f>_xlfn.IFNA(VLOOKUP(表_烛魔13到15保底14[[#Headers],[列15]],点券一览,2,0),0)</f>
        <v>0</v>
      </c>
      <c r="W38" s="53">
        <f>_xlfn.IFNA(VLOOKUP(表_烛魔13到15保底14[[#Headers],[列16]],点券一览,2,0),0)</f>
        <v>0</v>
      </c>
    </row>
    <row r="39" spans="1:23" x14ac:dyDescent="0.25">
      <c r="B39" s="188" t="s">
        <v>221</v>
      </c>
      <c r="C39" s="188"/>
      <c r="D39" s="188"/>
      <c r="E39" s="188"/>
      <c r="F39" s="189"/>
      <c r="G39" s="79" t="s">
        <v>224</v>
      </c>
      <c r="H39" s="52">
        <f>SUM(表_烛魔13到15保底14[[#Data],[仙丹]])</f>
        <v>150</v>
      </c>
      <c r="I39" s="52">
        <f>SUM(表_烛魔13到15保底14[[#Data],[灵丹]])</f>
        <v>300</v>
      </c>
      <c r="J39" s="52">
        <f>SUM(表_烛魔13到15保底14[[#Data],[灵石]])</f>
        <v>300</v>
      </c>
      <c r="K39" s="52">
        <f>SUM(表_烛魔13到15保底14[[#Data],[月石]])</f>
        <v>150</v>
      </c>
      <c r="L39" s="52">
        <f>SUM(表_烛魔13到15保底14[[#Data],[烛魔羽毛]])</f>
        <v>90</v>
      </c>
      <c r="M39" s="52">
        <f>SUM(表_烛魔13到15保底14[[#Data],[烛魔黑鳞]])</f>
        <v>0</v>
      </c>
      <c r="N39" s="52">
        <f>SUM(表_烛魔13到15保底14[[#Data],[红色烛魔黑鳞]])</f>
        <v>6</v>
      </c>
      <c r="O39" s="52">
        <f>SUM(表_烛魔13到15保底14[[#Data],[烛魔魂]])</f>
        <v>6</v>
      </c>
      <c r="P39" s="52">
        <f>SUM(表_烛魔13到15保底14[[#Data],[列9]])</f>
        <v>0</v>
      </c>
      <c r="Q39" s="52">
        <f>SUM(表_烛魔13到15保底14[[#Data],[列10]])</f>
        <v>0</v>
      </c>
      <c r="R39" s="52">
        <f>SUM(表_烛魔13到15保底14[[#Data],[列11]])</f>
        <v>0</v>
      </c>
      <c r="S39" s="52">
        <f>SUM(表_烛魔13到15保底14[[#Data],[列12]])</f>
        <v>0</v>
      </c>
      <c r="T39" s="52">
        <f>SUM(表_烛魔13到15保底14[[#Data],[高级武魂神物]])</f>
        <v>245</v>
      </c>
      <c r="U39" s="52">
        <f>SUM(表_烛魔13到15保底14[[#Data],[列1]])</f>
        <v>0</v>
      </c>
      <c r="V39" s="52">
        <f>SUM(表_烛魔13到15保底14[[#Data],[列15]]) * 表_烛魔13到15保底14[[#Totals],[列15]]</f>
        <v>0</v>
      </c>
      <c r="W39" s="52">
        <f>SUM(表_烛魔13到15保底14[[#Data],[列16]]) * 表_烛魔13到15保底14[[#Totals],[列16]]</f>
        <v>0</v>
      </c>
    </row>
    <row r="40" spans="1:23" x14ac:dyDescent="0.25">
      <c r="B40" s="188"/>
      <c r="C40" s="188"/>
      <c r="D40" s="188"/>
      <c r="E40" s="188"/>
      <c r="F40" s="189"/>
      <c r="G40" s="80" t="s">
        <v>223</v>
      </c>
      <c r="H40" s="52">
        <f>H39*表_烛魔13到15保底14[[#Totals],[仙丹]]</f>
        <v>600</v>
      </c>
      <c r="I40" s="52">
        <f>I39*表_烛魔13到15保底14[[#Totals],[灵丹]]</f>
        <v>45</v>
      </c>
      <c r="J40" s="52">
        <f>J39*表_烛魔13到15保底14[[#Totals],[灵石]]</f>
        <v>18</v>
      </c>
      <c r="K40" s="52">
        <f>K39*表_烛魔13到15保底14[[#Totals],[月石]]</f>
        <v>202.5</v>
      </c>
      <c r="L40" s="52">
        <f>L39*表_烛魔13到15保底14[[#Totals],[烛魔羽毛]]</f>
        <v>585</v>
      </c>
      <c r="M40" s="52">
        <f>M39*表_烛魔13到15保底14[[#Totals],[烛魔黑鳞]]</f>
        <v>0</v>
      </c>
      <c r="N40" s="52">
        <f>N39*表_烛魔13到15保底14[[#Totals],[红色烛魔黑鳞]]</f>
        <v>30</v>
      </c>
      <c r="O40" s="52">
        <f>O39*表_烛魔13到15保底14[[#Totals],[烛魔魂]]</f>
        <v>6</v>
      </c>
      <c r="P40" s="52">
        <f>P39*表_烛魔13到15保底14[[#Totals],[列9]]</f>
        <v>0</v>
      </c>
      <c r="Q40" s="52">
        <f>Q39*表_烛魔13到15保底14[[#Totals],[列10]]</f>
        <v>0</v>
      </c>
      <c r="R40" s="52">
        <f>R39*表_烛魔13到15保底14[[#Totals],[列11]]</f>
        <v>0</v>
      </c>
      <c r="S40" s="52">
        <f>S39*表_烛魔13到15保底14[[#Totals],[列12]]</f>
        <v>0</v>
      </c>
      <c r="T40" s="52">
        <f>T39*表_烛魔13到15保底14[[#Totals],[高级武魂神物]]</f>
        <v>122500</v>
      </c>
      <c r="U40" s="52">
        <f>U39*表_烛魔13到15保底14[[#Totals],[列1]]</f>
        <v>0</v>
      </c>
    </row>
    <row r="44" spans="1:23" x14ac:dyDescent="0.25">
      <c r="B44" s="1" t="s">
        <v>225</v>
      </c>
      <c r="H44" s="43" t="s">
        <v>212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42" t="s">
        <v>211</v>
      </c>
      <c r="U44" s="41"/>
      <c r="V44" s="41"/>
      <c r="W44" s="41"/>
    </row>
    <row r="45" spans="1:23" ht="34.200000000000003" customHeight="1" thickBot="1" x14ac:dyDescent="0.3">
      <c r="B45" s="57" t="s">
        <v>187</v>
      </c>
      <c r="C45" s="57" t="s">
        <v>186</v>
      </c>
      <c r="D45" s="58" t="s">
        <v>252</v>
      </c>
      <c r="E45" s="58" t="s">
        <v>254</v>
      </c>
      <c r="F45" s="58" t="s">
        <v>181</v>
      </c>
      <c r="G45" s="58" t="s">
        <v>185</v>
      </c>
      <c r="H45" s="59" t="s">
        <v>121</v>
      </c>
      <c r="I45" s="60" t="s">
        <v>124</v>
      </c>
      <c r="J45" s="60" t="s">
        <v>129</v>
      </c>
      <c r="K45" s="60" t="s">
        <v>122</v>
      </c>
      <c r="L45" s="60" t="s">
        <v>0</v>
      </c>
      <c r="M45" s="60" t="s">
        <v>3</v>
      </c>
      <c r="N45" s="60" t="s">
        <v>2</v>
      </c>
      <c r="O45" s="60" t="s">
        <v>7</v>
      </c>
      <c r="P45" s="60" t="s">
        <v>203</v>
      </c>
      <c r="Q45" s="60" t="s">
        <v>204</v>
      </c>
      <c r="R45" s="60" t="s">
        <v>205</v>
      </c>
      <c r="S45" s="61" t="s">
        <v>206</v>
      </c>
      <c r="T45" s="62" t="s">
        <v>130</v>
      </c>
      <c r="U45" s="62" t="s">
        <v>6</v>
      </c>
      <c r="V45" s="62" t="s">
        <v>209</v>
      </c>
      <c r="W45" s="62" t="s">
        <v>210</v>
      </c>
    </row>
    <row r="46" spans="1:23" ht="15" thickTop="1" x14ac:dyDescent="0.25">
      <c r="A46" t="s">
        <v>318</v>
      </c>
      <c r="B46" s="55">
        <f>表_时空必成15[[#This Row],[进化金币(J)]]+IF(ISNUMBER(B45), B45, 0)</f>
        <v>449.8</v>
      </c>
      <c r="C46" s="54">
        <f>表_时空必成15[[#This Row],[进化点券]]+IF(ISNUMBER(C45), C45, 0)</f>
        <v>61500</v>
      </c>
      <c r="D46" s="55">
        <f>SUMPRODUCT(表_时空必成15[[#This Row],[天空碎片]:[列12]],表_时空必成15[[#Totals],[天空碎片]:[列12]])+表_时空必成15[[#This Row],[手续费(J)]]*折扣+IF(表_时空必成15[[#This Row],[进化阶段]]="1段-&gt;2段",表_时空必成15[[#Totals],[进化阶段]],0)</f>
        <v>449.8</v>
      </c>
      <c r="E46" s="55">
        <f>SUMPRODUCT(表_时空必成15[[#This Row],[武魂神物]:[列16]],表_时空必成15[[#Totals],[武魂神物]:[列16]])</f>
        <v>61500</v>
      </c>
      <c r="F46" s="56" t="s">
        <v>178</v>
      </c>
      <c r="G46" s="34">
        <v>126</v>
      </c>
      <c r="H46" s="34">
        <v>172</v>
      </c>
      <c r="I46" s="34"/>
      <c r="J46" s="34"/>
      <c r="K46" s="34"/>
      <c r="L46" s="34">
        <v>85</v>
      </c>
      <c r="M46" s="34"/>
      <c r="N46" s="34">
        <v>255</v>
      </c>
      <c r="O46" s="34"/>
      <c r="P46" s="34"/>
      <c r="Q46" s="34"/>
      <c r="R46" s="34"/>
      <c r="S46" s="32"/>
      <c r="T46" s="34">
        <v>246</v>
      </c>
      <c r="U46" s="34"/>
      <c r="V46" s="34"/>
      <c r="W46" s="34"/>
    </row>
    <row r="47" spans="1:23" ht="15" thickBot="1" x14ac:dyDescent="0.3">
      <c r="A47" t="s">
        <v>318</v>
      </c>
      <c r="B47" s="36">
        <f>表_时空必成15[[#This Row],[进化金币(J)]]+IF(ISNUMBER(B46), B46, 0)</f>
        <v>4315.0583064516131</v>
      </c>
      <c r="C47" s="35">
        <f>表_时空必成15[[#This Row],[进化点券]]+IF(ISNUMBER(C46), C46, 0)</f>
        <v>237000</v>
      </c>
      <c r="D47" s="36">
        <f>SUMPRODUCT(表_时空必成15[[#This Row],[天空碎片]:[列12]],表_时空必成15[[#Totals],[天空碎片]:[列12]])+表_时空必成15[[#This Row],[手续费(J)]]*折扣+IF(表_时空必成15[[#This Row],[进化阶段]]="1段-&gt;2段",表_时空必成15[[#Totals],[进化阶段]],0)</f>
        <v>3865.258306451613</v>
      </c>
      <c r="E47" s="36">
        <f>SUMPRODUCT(表_时空必成15[[#This Row],[武魂神物]:[列16]],表_时空必成15[[#Totals],[武魂神物]:[列16]])</f>
        <v>175500</v>
      </c>
      <c r="F47" s="39" t="s">
        <v>131</v>
      </c>
      <c r="G47" s="11">
        <v>185.5</v>
      </c>
      <c r="H47" s="11"/>
      <c r="I47" s="11">
        <v>298</v>
      </c>
      <c r="J47" s="11">
        <v>134</v>
      </c>
      <c r="K47" s="11">
        <v>119</v>
      </c>
      <c r="L47" s="11"/>
      <c r="M47" s="11">
        <v>250</v>
      </c>
      <c r="N47" s="11">
        <v>2500</v>
      </c>
      <c r="O47" s="11">
        <v>49</v>
      </c>
      <c r="P47" s="11"/>
      <c r="Q47" s="11"/>
      <c r="R47" s="11"/>
      <c r="S47" s="30"/>
      <c r="T47" s="34">
        <v>282</v>
      </c>
      <c r="U47" s="34">
        <v>210</v>
      </c>
      <c r="V47" s="34"/>
      <c r="W47" s="34"/>
    </row>
    <row r="48" spans="1:23" ht="15" thickTop="1" x14ac:dyDescent="0.25">
      <c r="B48" s="72">
        <f>SUBTOTAL(104,表_时空必成15[累计金币(J)])</f>
        <v>4315.0583064516131</v>
      </c>
      <c r="C48" s="72">
        <f>SUBTOTAL(104,表_时空必成15[累计点券])</f>
        <v>237000</v>
      </c>
      <c r="D48" s="73">
        <f>SUBTOTAL(109,表_时空必成15[进化金币(J)])</f>
        <v>4315.0583064516131</v>
      </c>
      <c r="E48" s="74">
        <f>SUBTOTAL(109,表_时空必成15[进化点券])</f>
        <v>237000</v>
      </c>
      <c r="F48" s="75"/>
      <c r="G48" s="76" t="s">
        <v>190</v>
      </c>
      <c r="H48" s="77">
        <f xml:space="preserve"> _xlfn.IFNA(VLOOKUP(表_时空必成15[[#Headers],[天空碎片]],金价一览,2,0), 0)</f>
        <v>0</v>
      </c>
      <c r="I48" s="77">
        <f xml:space="preserve"> _xlfn.IFNA(VLOOKUP(表_时空必成15[[#Headers],[时空碎片]],金价一览,2,0), 0)</f>
        <v>0</v>
      </c>
      <c r="J48" s="77">
        <f xml:space="preserve"> _xlfn.IFNA(VLOOKUP(表_时空必成15[[#Headers],[天元结晶]],金价一览,2,0), 0)</f>
        <v>20</v>
      </c>
      <c r="K48" s="77">
        <f xml:space="preserve"> _xlfn.IFNA(VLOOKUP(表_时空必成15[[#Headers],[太阳珠]],金价一览,2,0), 0)</f>
        <v>1.5</v>
      </c>
      <c r="L48" s="77">
        <f xml:space="preserve"> _xlfn.IFNA(VLOOKUP(表_时空必成15[[#Headers],[仙丹]],金价一览,2,0), 0)</f>
        <v>4</v>
      </c>
      <c r="M48" s="77">
        <f xml:space="preserve"> _xlfn.IFNA(VLOOKUP(表_时空必成15[[#Headers],[月石]],金价一览,2,0), 0)</f>
        <v>1.35</v>
      </c>
      <c r="N48" s="77">
        <f xml:space="preserve"> _xlfn.IFNA(VLOOKUP(表_时空必成15[[#Headers],[灵石]],金价一览,2,0), 0)</f>
        <v>0.06</v>
      </c>
      <c r="O48" s="77">
        <f xml:space="preserve"> _xlfn.IFNA(VLOOKUP(表_时空必成15[[#Headers],[进化石]],金价一览,2,0), 0)</f>
        <v>7.7578225806451613</v>
      </c>
      <c r="P48" s="77">
        <f xml:space="preserve"> _xlfn.IFNA(VLOOKUP(表_时空必成15[[#Headers],[列9]],金价一览,2,0), 0)</f>
        <v>0</v>
      </c>
      <c r="Q48" s="77">
        <f xml:space="preserve"> _xlfn.IFNA(VLOOKUP(表_时空必成15[[#Headers],[列10]],金价一览,2,0), 0)</f>
        <v>0</v>
      </c>
      <c r="R48" s="77">
        <f xml:space="preserve"> _xlfn.IFNA(VLOOKUP(表_时空必成15[[#Headers],[列11]],金价一览,2,0), 0)</f>
        <v>0</v>
      </c>
      <c r="S48" s="77">
        <f xml:space="preserve"> _xlfn.IFNA(VLOOKUP(表_时空必成15[[#Headers],[列12]],金价一览,2,0), 0)</f>
        <v>0</v>
      </c>
      <c r="T48" s="78">
        <f>_xlfn.IFNA(VLOOKUP(表_时空必成15[[#Headers],[武魂神物]],点券一览,2,0),0)</f>
        <v>250</v>
      </c>
      <c r="U48" s="78">
        <f>_xlfn.IFNA(VLOOKUP(表_时空必成15[[#Headers],[高级武魂神物]],点券一览,2,0),0)</f>
        <v>500</v>
      </c>
      <c r="V48" s="68">
        <f>_xlfn.IFNA(VLOOKUP(表_时空必成15[[#Headers],[列15]],点券一览,2,0),0)</f>
        <v>0</v>
      </c>
      <c r="W48" s="68">
        <f>_xlfn.IFNA(VLOOKUP(表_时空必成15[[#Headers],[列16]],点券一览,2,0),0)</f>
        <v>0</v>
      </c>
    </row>
    <row r="49" spans="1:23" x14ac:dyDescent="0.25">
      <c r="B49" s="188" t="s">
        <v>221</v>
      </c>
      <c r="C49" s="188"/>
      <c r="D49" s="188"/>
      <c r="E49" s="188"/>
      <c r="F49" s="189"/>
      <c r="G49" s="79" t="s">
        <v>224</v>
      </c>
      <c r="H49" s="52">
        <f>SUM(表_时空必成15[[#Data],[天空碎片]])</f>
        <v>172</v>
      </c>
      <c r="I49" s="52">
        <f>SUM(表_时空必成15[[#Data],[时空碎片]])</f>
        <v>298</v>
      </c>
      <c r="J49" s="52">
        <f>SUM(表_时空必成15[[#Data],[天元结晶]])</f>
        <v>134</v>
      </c>
      <c r="K49" s="52">
        <f>SUM(表_时空必成15[[#Data],[太阳珠]])</f>
        <v>119</v>
      </c>
      <c r="L49" s="52">
        <f>SUM(表_时空必成15[[#Data],[仙丹]])</f>
        <v>85</v>
      </c>
      <c r="M49" s="52">
        <f>SUM(表_时空必成15[[#Data],[月石]])</f>
        <v>250</v>
      </c>
      <c r="N49" s="52">
        <f>SUM(表_时空必成15[[#Data],[灵石]])</f>
        <v>2755</v>
      </c>
      <c r="O49" s="52">
        <f>SUM(表_时空必成15[[#Data],[进化石]])</f>
        <v>49</v>
      </c>
      <c r="P49" s="52">
        <f>SUM(表_时空必成15[[#Data],[列9]])</f>
        <v>0</v>
      </c>
      <c r="Q49" s="52">
        <f>SUM(表_时空必成15[[#Data],[列10]])</f>
        <v>0</v>
      </c>
      <c r="R49" s="52">
        <f>SUM(表_时空必成15[[#Data],[列11]])</f>
        <v>0</v>
      </c>
      <c r="S49" s="52">
        <f>SUM(表_时空必成15[[#Data],[列12]])</f>
        <v>0</v>
      </c>
      <c r="T49" s="52">
        <f>SUM(表_时空必成15[[#Data],[武魂神物]])</f>
        <v>528</v>
      </c>
      <c r="U49" s="52">
        <f>SUM(表_时空必成15[[#Data],[高级武魂神物]])</f>
        <v>210</v>
      </c>
      <c r="V49" s="66">
        <f>SUM(表_时空必成15[[#Data],[列15]])</f>
        <v>0</v>
      </c>
      <c r="W49" s="66">
        <f>SUM(表_时空必成15[[#Data],[列16]])</f>
        <v>0</v>
      </c>
    </row>
    <row r="50" spans="1:23" x14ac:dyDescent="0.25">
      <c r="B50" s="188"/>
      <c r="C50" s="188"/>
      <c r="D50" s="188"/>
      <c r="E50" s="188"/>
      <c r="F50" s="189"/>
      <c r="G50" s="80" t="s">
        <v>223</v>
      </c>
      <c r="H50" s="52">
        <f>H49*表_时空必成15[[#Totals],[天空碎片]]</f>
        <v>0</v>
      </c>
      <c r="I50" s="52">
        <f>I49*表_时空必成15[[#Totals],[时空碎片]]</f>
        <v>0</v>
      </c>
      <c r="J50" s="52">
        <f>J49*表_时空必成15[[#Totals],[天元结晶]]</f>
        <v>2680</v>
      </c>
      <c r="K50" s="52">
        <f>K49*表_时空必成15[[#Totals],[太阳珠]]</f>
        <v>178.5</v>
      </c>
      <c r="L50" s="52">
        <f>L49*表_时空必成15[[#Totals],[仙丹]]</f>
        <v>340</v>
      </c>
      <c r="M50" s="52">
        <f>M49*表_时空必成15[[#Totals],[月石]]</f>
        <v>337.5</v>
      </c>
      <c r="N50" s="52">
        <f>N49*表_时空必成15[[#Totals],[灵石]]</f>
        <v>165.29999999999998</v>
      </c>
      <c r="O50" s="52">
        <f>O49*表_时空必成15[[#Totals],[进化石]]</f>
        <v>380.1333064516129</v>
      </c>
      <c r="P50" s="52">
        <f>P49*表_时空必成15[[#Totals],[列9]]</f>
        <v>0</v>
      </c>
      <c r="Q50" s="52">
        <f>Q49*表_时空必成15[[#Totals],[列10]]</f>
        <v>0</v>
      </c>
      <c r="R50" s="52">
        <f>R49*表_时空必成15[[#Totals],[列11]]</f>
        <v>0</v>
      </c>
      <c r="S50" s="52">
        <f>S49*表_时空必成15[[#Totals],[列12]]</f>
        <v>0</v>
      </c>
      <c r="T50" s="52">
        <f>T49*表_时空必成15[[#Totals],[武魂神物]]</f>
        <v>132000</v>
      </c>
      <c r="U50" s="52">
        <f>U49*表_时空必成15[[#Totals],[高级武魂神物]]</f>
        <v>105000</v>
      </c>
      <c r="V50" s="66">
        <f>V49*表_时空必成15[[#Totals],[列15]]</f>
        <v>0</v>
      </c>
      <c r="W50" s="66">
        <f>W49*表_时空必成15[[#Totals],[列16]]</f>
        <v>0</v>
      </c>
    </row>
    <row r="53" spans="1:23" x14ac:dyDescent="0.25">
      <c r="B53" s="28" t="s">
        <v>228</v>
      </c>
      <c r="H53" s="43" t="s">
        <v>212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42" t="s">
        <v>211</v>
      </c>
      <c r="U53" s="41"/>
      <c r="V53" s="41"/>
      <c r="W53" s="41"/>
    </row>
    <row r="54" spans="1:23" ht="34.200000000000003" customHeight="1" thickBot="1" x14ac:dyDescent="0.3">
      <c r="B54" s="57" t="s">
        <v>187</v>
      </c>
      <c r="C54" s="57" t="s">
        <v>186</v>
      </c>
      <c r="D54" s="58" t="s">
        <v>252</v>
      </c>
      <c r="E54" s="58" t="s">
        <v>254</v>
      </c>
      <c r="F54" s="58" t="s">
        <v>181</v>
      </c>
      <c r="G54" s="58" t="s">
        <v>185</v>
      </c>
      <c r="H54" s="59" t="s">
        <v>133</v>
      </c>
      <c r="I54" s="60" t="s">
        <v>122</v>
      </c>
      <c r="J54" s="60" t="s">
        <v>129</v>
      </c>
      <c r="K54" s="60" t="s">
        <v>3</v>
      </c>
      <c r="L54" s="60" t="s">
        <v>134</v>
      </c>
      <c r="M54" s="60" t="s">
        <v>179</v>
      </c>
      <c r="N54" s="60" t="s">
        <v>201</v>
      </c>
      <c r="O54" s="60" t="s">
        <v>202</v>
      </c>
      <c r="P54" s="60" t="s">
        <v>203</v>
      </c>
      <c r="Q54" s="60" t="s">
        <v>204</v>
      </c>
      <c r="R54" s="60" t="s">
        <v>205</v>
      </c>
      <c r="S54" s="61" t="s">
        <v>206</v>
      </c>
      <c r="T54" s="62" t="s">
        <v>137</v>
      </c>
      <c r="U54" s="62" t="s">
        <v>151</v>
      </c>
      <c r="V54" s="62" t="s">
        <v>209</v>
      </c>
      <c r="W54" s="62" t="s">
        <v>210</v>
      </c>
    </row>
    <row r="55" spans="1:23" ht="15" thickTop="1" x14ac:dyDescent="0.25">
      <c r="A55" t="s">
        <v>318</v>
      </c>
      <c r="B55" s="55">
        <f>表_昆仑1到15段必成22[[#This Row],[进化金币(J)]]+IF(ISNUMBER(B54), B54, 表_昆仑1到15段必成22[[#Totals],[进化阶段]])</f>
        <v>3099.5625806451612</v>
      </c>
      <c r="C55" s="54">
        <f>表_昆仑1到15段必成22[[#This Row],[进化点券]]+IF(ISNUMBER(C54), C54, 0)</f>
        <v>9000</v>
      </c>
      <c r="D55" s="55">
        <f>SUMPRODUCT(表_昆仑1到15段必成22[[#This Row],[昆仑珠]:[列12]],表_昆仑1到15段必成22[[#Totals],[昆仑珠]:[列12]])+表_昆仑1到15段必成22[[#This Row],[手续费(J)]]*折扣</f>
        <v>1099.5625806451612</v>
      </c>
      <c r="E55" s="55">
        <f>SUMPRODUCT(表_昆仑1到15段必成22[[#This Row],[破天武魂神物]:[列16]],表_昆仑1到15段必成22[[#Totals],[破天武魂神物]:[列16]])</f>
        <v>9000</v>
      </c>
      <c r="F55" s="56" t="s">
        <v>229</v>
      </c>
      <c r="G55" s="34">
        <v>200</v>
      </c>
      <c r="H55" s="34">
        <v>5</v>
      </c>
      <c r="I55" s="34">
        <v>12</v>
      </c>
      <c r="J55" s="34">
        <v>20</v>
      </c>
      <c r="K55" s="34">
        <v>20</v>
      </c>
      <c r="L55" s="34">
        <v>2</v>
      </c>
      <c r="M55" s="34"/>
      <c r="N55" s="34"/>
      <c r="O55" s="34"/>
      <c r="P55" s="34"/>
      <c r="Q55" s="34"/>
      <c r="R55" s="34"/>
      <c r="S55" s="32"/>
      <c r="T55" s="34">
        <v>6</v>
      </c>
      <c r="U55" s="34"/>
      <c r="V55" s="34"/>
      <c r="W55" s="34"/>
    </row>
    <row r="56" spans="1:23" x14ac:dyDescent="0.25">
      <c r="A56" t="s">
        <v>318</v>
      </c>
      <c r="B56" s="36">
        <f>表_昆仑1到15段必成22[[#This Row],[进化金币(J)]]+IF(ISNUMBER(B55), B55, 表_昆仑1到15段必成22[[#Totals],[进化阶段]])</f>
        <v>4499.9064516129038</v>
      </c>
      <c r="C56" s="35">
        <f>表_昆仑1到15段必成22[[#This Row],[进化点券]]+IF(ISNUMBER(C55), C55, 0)</f>
        <v>19500</v>
      </c>
      <c r="D56" s="36">
        <f>SUMPRODUCT(表_昆仑1到15段必成22[[#This Row],[昆仑珠]:[列12]],表_昆仑1到15段必成22[[#Totals],[昆仑珠]:[列12]])+表_昆仑1到15段必成22[[#This Row],[手续费(J)]]*折扣</f>
        <v>1400.3438709677421</v>
      </c>
      <c r="E56" s="36">
        <f>SUMPRODUCT(表_昆仑1到15段必成22[[#This Row],[破天武魂神物]:[列16]],表_昆仑1到15段必成22[[#Totals],[破天武魂神物]:[列16]])</f>
        <v>10500</v>
      </c>
      <c r="F56" s="39" t="s">
        <v>230</v>
      </c>
      <c r="G56" s="11">
        <v>200</v>
      </c>
      <c r="H56" s="11">
        <v>5</v>
      </c>
      <c r="I56" s="11">
        <v>12</v>
      </c>
      <c r="J56" s="11">
        <v>25</v>
      </c>
      <c r="K56" s="11">
        <v>30</v>
      </c>
      <c r="L56" s="11">
        <v>3</v>
      </c>
      <c r="M56" s="11"/>
      <c r="N56" s="11"/>
      <c r="O56" s="11"/>
      <c r="P56" s="11"/>
      <c r="Q56" s="11"/>
      <c r="R56" s="11"/>
      <c r="S56" s="30"/>
      <c r="T56" s="34">
        <v>7</v>
      </c>
      <c r="U56" s="34"/>
      <c r="V56" s="34"/>
      <c r="W56" s="34"/>
    </row>
    <row r="57" spans="1:23" x14ac:dyDescent="0.25">
      <c r="A57" t="s">
        <v>318</v>
      </c>
      <c r="B57" s="36">
        <f>表_昆仑1到15段必成22[[#This Row],[进化金币(J)]]+IF(ISNUMBER(B56), B56, 表_昆仑1到15段必成22[[#Totals],[进化阶段]])</f>
        <v>6030.7503225806458</v>
      </c>
      <c r="C57" s="35">
        <f>表_昆仑1到15段必成22[[#This Row],[进化点券]]+IF(ISNUMBER(C56), C56, 0)</f>
        <v>31500</v>
      </c>
      <c r="D57" s="36">
        <f>SUMPRODUCT(表_昆仑1到15段必成22[[#This Row],[昆仑珠]:[列12]],表_昆仑1到15段必成22[[#Totals],[昆仑珠]:[列12]])+表_昆仑1到15段必成22[[#This Row],[手续费(J)]]*折扣</f>
        <v>1530.8438709677421</v>
      </c>
      <c r="E57" s="36">
        <f>SUMPRODUCT(表_昆仑1到15段必成22[[#This Row],[破天武魂神物]:[列16]],表_昆仑1到15段必成22[[#Totals],[破天武魂神物]:[列16]])</f>
        <v>12000</v>
      </c>
      <c r="F57" s="39" t="s">
        <v>231</v>
      </c>
      <c r="G57" s="11">
        <v>200</v>
      </c>
      <c r="H57" s="11">
        <v>6</v>
      </c>
      <c r="I57" s="11">
        <v>15</v>
      </c>
      <c r="J57" s="11">
        <v>30</v>
      </c>
      <c r="K57" s="11">
        <v>30</v>
      </c>
      <c r="L57" s="11">
        <v>3</v>
      </c>
      <c r="M57" s="11"/>
      <c r="N57" s="11"/>
      <c r="O57" s="11"/>
      <c r="P57" s="11"/>
      <c r="Q57" s="11"/>
      <c r="R57" s="11"/>
      <c r="S57" s="30"/>
      <c r="T57" s="34">
        <v>8</v>
      </c>
      <c r="U57" s="34"/>
      <c r="V57" s="34"/>
      <c r="W57" s="34"/>
    </row>
    <row r="58" spans="1:23" x14ac:dyDescent="0.25">
      <c r="A58" t="s">
        <v>318</v>
      </c>
      <c r="B58" s="36">
        <f>表_昆仑1到15段必成22[[#This Row],[进化金币(J)]]+IF(ISNUMBER(B57), B57, 表_昆仑1到15段必成22[[#Totals],[进化阶段]])</f>
        <v>7862.3754838709683</v>
      </c>
      <c r="C58" s="35">
        <f>表_昆仑1到15段必成22[[#This Row],[进化点券]]+IF(ISNUMBER(C57), C57, 0)</f>
        <v>46500</v>
      </c>
      <c r="D58" s="36">
        <f>SUMPRODUCT(表_昆仑1到15段必成22[[#This Row],[昆仑珠]:[列12]],表_昆仑1到15段必成22[[#Totals],[昆仑珠]:[列12]])+表_昆仑1到15段必成22[[#This Row],[手续费(J)]]*折扣</f>
        <v>1831.6251612903225</v>
      </c>
      <c r="E58" s="36">
        <f>SUMPRODUCT(表_昆仑1到15段必成22[[#This Row],[破天武魂神物]:[列16]],表_昆仑1到15段必成22[[#Totals],[破天武魂神物]:[列16]])</f>
        <v>15000</v>
      </c>
      <c r="F58" s="39" t="s">
        <v>232</v>
      </c>
      <c r="G58" s="11">
        <v>200</v>
      </c>
      <c r="H58" s="11">
        <v>6</v>
      </c>
      <c r="I58" s="11">
        <v>15</v>
      </c>
      <c r="J58" s="11">
        <v>35</v>
      </c>
      <c r="K58" s="11">
        <v>40</v>
      </c>
      <c r="L58" s="11">
        <v>4</v>
      </c>
      <c r="M58" s="11"/>
      <c r="N58" s="11"/>
      <c r="O58" s="11"/>
      <c r="P58" s="11"/>
      <c r="Q58" s="11"/>
      <c r="R58" s="11"/>
      <c r="S58" s="30"/>
      <c r="T58" s="34">
        <v>10</v>
      </c>
      <c r="U58" s="34"/>
      <c r="V58" s="34"/>
      <c r="W58" s="34"/>
    </row>
    <row r="59" spans="1:23" x14ac:dyDescent="0.25">
      <c r="A59" t="s">
        <v>318</v>
      </c>
      <c r="B59" s="36">
        <f>表_昆仑1到15段必成22[[#This Row],[进化金币(J)]]+IF(ISNUMBER(B58), B58, 表_昆仑1到15段必成22[[#Totals],[进化阶段]])</f>
        <v>9827.5006451612899</v>
      </c>
      <c r="C59" s="35">
        <f>表_昆仑1到15段必成22[[#This Row],[进化点券]]+IF(ISNUMBER(C58), C58, 0)</f>
        <v>64500</v>
      </c>
      <c r="D59" s="36">
        <f>SUMPRODUCT(表_昆仑1到15段必成22[[#This Row],[昆仑珠]:[列12]],表_昆仑1到15段必成22[[#Totals],[昆仑珠]:[列12]])+表_昆仑1到15段必成22[[#This Row],[手续费(J)]]*折扣</f>
        <v>1965.1251612903225</v>
      </c>
      <c r="E59" s="36">
        <f>SUMPRODUCT(表_昆仑1到15段必成22[[#This Row],[破天武魂神物]:[列16]],表_昆仑1到15段必成22[[#Totals],[破天武魂神物]:[列16]])</f>
        <v>18000</v>
      </c>
      <c r="F59" s="39" t="s">
        <v>233</v>
      </c>
      <c r="G59" s="11">
        <v>200</v>
      </c>
      <c r="H59" s="11">
        <v>7</v>
      </c>
      <c r="I59" s="11">
        <v>20</v>
      </c>
      <c r="J59" s="11">
        <v>40</v>
      </c>
      <c r="K59" s="11">
        <v>40</v>
      </c>
      <c r="L59" s="11">
        <v>4</v>
      </c>
      <c r="M59" s="11"/>
      <c r="N59" s="11"/>
      <c r="O59" s="11"/>
      <c r="P59" s="11"/>
      <c r="Q59" s="11"/>
      <c r="R59" s="11"/>
      <c r="S59" s="30"/>
      <c r="T59" s="11">
        <v>12</v>
      </c>
      <c r="U59" s="11"/>
      <c r="V59" s="11"/>
      <c r="W59" s="11"/>
    </row>
    <row r="60" spans="1:23" x14ac:dyDescent="0.25">
      <c r="A60" t="s">
        <v>318</v>
      </c>
      <c r="B60" s="36">
        <f>表_昆仑1到15段必成22[[#This Row],[进化金币(J)]]+IF(ISNUMBER(B59), B59, 表_昆仑1到15段必成22[[#Totals],[进化阶段]])</f>
        <v>12164.407096774194</v>
      </c>
      <c r="C60" s="35">
        <f>表_昆仑1到15段必成22[[#This Row],[进化点券]]+IF(ISNUMBER(C59), C59, 0)</f>
        <v>87000</v>
      </c>
      <c r="D60" s="96">
        <f>SUMPRODUCT(表_昆仑1到15段必成22[[#This Row],[昆仑珠]:[列12]],表_昆仑1到15段必成22[[#Totals],[昆仑珠]:[列12]])+表_昆仑1到15段必成22[[#This Row],[手续费(J)]]*折扣</f>
        <v>2336.9064516129033</v>
      </c>
      <c r="E60" s="38">
        <f>SUMPRODUCT(表_昆仑1到15段必成22[[#This Row],[破天武魂神物]:[列16]],表_昆仑1到15段必成22[[#Totals],[破天武魂神物]:[列16]])</f>
        <v>22500</v>
      </c>
      <c r="F60" s="39" t="s">
        <v>234</v>
      </c>
      <c r="G60" s="25">
        <v>250</v>
      </c>
      <c r="H60" s="25">
        <v>8</v>
      </c>
      <c r="I60" s="25">
        <v>25</v>
      </c>
      <c r="J60" s="25">
        <v>45</v>
      </c>
      <c r="K60" s="25">
        <v>50</v>
      </c>
      <c r="L60" s="25">
        <v>5</v>
      </c>
      <c r="M60" s="25"/>
      <c r="N60" s="25"/>
      <c r="O60" s="25"/>
      <c r="P60" s="25"/>
      <c r="Q60" s="25"/>
      <c r="R60" s="25"/>
      <c r="S60" s="31"/>
      <c r="T60" s="25">
        <v>15</v>
      </c>
      <c r="U60" s="25"/>
      <c r="V60" s="25"/>
      <c r="W60" s="25"/>
    </row>
    <row r="61" spans="1:23" x14ac:dyDescent="0.25">
      <c r="A61" t="s">
        <v>318</v>
      </c>
      <c r="B61" s="92">
        <f>表_昆仑1到15段必成22[[#This Row],[进化金币(J)]]+IF(ISNUMBER(B60), B60, 表_昆仑1到15段必成22[[#Totals],[进化阶段]])</f>
        <v>14861.594838709678</v>
      </c>
      <c r="C61" s="93">
        <f>表_昆仑1到15段必成22[[#This Row],[进化点券]]+IF(ISNUMBER(C60), C60, 0)</f>
        <v>115500</v>
      </c>
      <c r="D61" s="92">
        <f>SUMPRODUCT(表_昆仑1到15段必成22[[#This Row],[昆仑珠]:[列12]],表_昆仑1到15段必成22[[#Totals],[昆仑珠]:[列12]])+表_昆仑1到15段必成22[[#This Row],[手续费(J)]]*折扣</f>
        <v>2697.1877419354842</v>
      </c>
      <c r="E61" s="36">
        <f>SUMPRODUCT(表_昆仑1到15段必成22[[#This Row],[破天武魂神物]:[列16]],表_昆仑1到15段必成22[[#Totals],[破天武魂神物]:[列16]])</f>
        <v>28500</v>
      </c>
      <c r="F61" s="39" t="s">
        <v>235</v>
      </c>
      <c r="G61" s="11">
        <v>250</v>
      </c>
      <c r="H61" s="11">
        <v>10</v>
      </c>
      <c r="I61" s="11">
        <v>30</v>
      </c>
      <c r="J61" s="11">
        <v>50</v>
      </c>
      <c r="K61" s="11">
        <v>60</v>
      </c>
      <c r="L61" s="11">
        <v>6</v>
      </c>
      <c r="M61" s="11"/>
      <c r="N61" s="11"/>
      <c r="O61" s="11"/>
      <c r="P61" s="11"/>
      <c r="Q61" s="11"/>
      <c r="R61" s="11"/>
      <c r="S61" s="30"/>
      <c r="T61" s="11">
        <v>19</v>
      </c>
      <c r="U61" s="11"/>
      <c r="V61" s="11"/>
      <c r="W61" s="11"/>
    </row>
    <row r="62" spans="1:23" x14ac:dyDescent="0.25">
      <c r="A62" t="s">
        <v>318</v>
      </c>
      <c r="B62" s="55">
        <f>表_昆仑1到15段必成22[[#This Row],[进化金币(J)]]+IF(ISNUMBER(B61), B61, 表_昆仑1到15段必成22[[#Totals],[进化阶段]])</f>
        <v>18694.845161290323</v>
      </c>
      <c r="C62" s="54">
        <f>表_昆仑1到15段必成22[[#This Row],[进化点券]]+IF(ISNUMBER(C61), C61, 0)</f>
        <v>145500</v>
      </c>
      <c r="D62" s="89">
        <f>SUMPRODUCT(表_昆仑1到15段必成22[[#This Row],[昆仑珠]:[列12]],表_昆仑1到15段必成22[[#Totals],[昆仑珠]:[列12]])+表_昆仑1到15段必成22[[#This Row],[手续费(J)]]*折扣</f>
        <v>3833.2503225806449</v>
      </c>
      <c r="E62" s="90">
        <f>SUMPRODUCT(表_昆仑1到15段必成22[[#This Row],[破天武魂神物]:[列16]],表_昆仑1到15段必成22[[#Totals],[破天武魂神物]:[列16]])</f>
        <v>30000</v>
      </c>
      <c r="F62" s="91" t="s">
        <v>236</v>
      </c>
      <c r="G62" s="71">
        <v>300</v>
      </c>
      <c r="H62" s="34">
        <v>15</v>
      </c>
      <c r="I62" s="34"/>
      <c r="J62" s="34">
        <v>60</v>
      </c>
      <c r="K62" s="34">
        <v>80</v>
      </c>
      <c r="L62" s="34">
        <v>8</v>
      </c>
      <c r="M62" s="34">
        <v>4</v>
      </c>
      <c r="N62" s="34"/>
      <c r="O62" s="34"/>
      <c r="P62" s="34"/>
      <c r="Q62" s="34"/>
      <c r="R62" s="34"/>
      <c r="S62" s="32"/>
      <c r="T62" s="34"/>
      <c r="U62" s="34">
        <v>20</v>
      </c>
      <c r="V62" s="34"/>
      <c r="W62" s="34"/>
    </row>
    <row r="63" spans="1:23" x14ac:dyDescent="0.25">
      <c r="A63" t="s">
        <v>318</v>
      </c>
      <c r="B63" s="55">
        <f>表_昆仑1到15段必成22[[#This Row],[进化金币(J)]]+IF(ISNUMBER(B62), B62, 表_昆仑1到15段必成22[[#Totals],[进化阶段]])</f>
        <v>22895.595483870966</v>
      </c>
      <c r="C63" s="54">
        <f>表_昆仑1到15段必成22[[#This Row],[进化点券]]+IF(ISNUMBER(C62), C62, 0)</f>
        <v>180000</v>
      </c>
      <c r="D63" s="89">
        <f>SUMPRODUCT(表_昆仑1到15段必成22[[#This Row],[昆仑珠]:[列12]],表_昆仑1到15段必成22[[#Totals],[昆仑珠]:[列12]])+表_昆仑1到15段必成22[[#This Row],[手续费(J)]]*折扣</f>
        <v>4200.7503225806449</v>
      </c>
      <c r="E63" s="90">
        <f>SUMPRODUCT(表_昆仑1到15段必成22[[#This Row],[破天武魂神物]:[列16]],表_昆仑1到15段必成22[[#Totals],[破天武魂神物]:[列16]])</f>
        <v>34500</v>
      </c>
      <c r="F63" s="91" t="s">
        <v>237</v>
      </c>
      <c r="G63" s="71">
        <v>350</v>
      </c>
      <c r="H63" s="34">
        <v>20</v>
      </c>
      <c r="I63" s="34"/>
      <c r="J63" s="34">
        <v>70</v>
      </c>
      <c r="K63" s="34">
        <v>80</v>
      </c>
      <c r="L63" s="34">
        <v>8</v>
      </c>
      <c r="M63" s="34">
        <v>4</v>
      </c>
      <c r="N63" s="34"/>
      <c r="O63" s="34"/>
      <c r="P63" s="34"/>
      <c r="Q63" s="34"/>
      <c r="R63" s="34"/>
      <c r="S63" s="32"/>
      <c r="T63" s="34"/>
      <c r="U63" s="34">
        <v>23</v>
      </c>
      <c r="V63" s="34"/>
      <c r="W63" s="34"/>
    </row>
    <row r="64" spans="1:23" x14ac:dyDescent="0.25">
      <c r="A64" t="s">
        <v>318</v>
      </c>
      <c r="B64" s="55">
        <f>表_昆仑1到15段必成22[[#This Row],[进化金币(J)]]+IF(ISNUMBER(B63), B63, 表_昆仑1到15段必成22[[#Totals],[进化阶段]])</f>
        <v>27669.845806451609</v>
      </c>
      <c r="C64" s="54">
        <f>表_昆仑1到15段必成22[[#This Row],[进化点券]]+IF(ISNUMBER(C63), C63, 0)</f>
        <v>222000</v>
      </c>
      <c r="D64" s="89">
        <f>SUMPRODUCT(表_昆仑1到15段必成22[[#This Row],[昆仑珠]:[列12]],表_昆仑1到15段必成22[[#Totals],[昆仑珠]:[列12]])+表_昆仑1到15段必成22[[#This Row],[手续费(J)]]*折扣</f>
        <v>4774.2503225806449</v>
      </c>
      <c r="E64" s="90">
        <f>SUMPRODUCT(表_昆仑1到15段必成22[[#This Row],[破天武魂神物]:[列16]],表_昆仑1到15段必成22[[#Totals],[破天武魂神物]:[列16]])</f>
        <v>42000</v>
      </c>
      <c r="F64" s="91" t="s">
        <v>238</v>
      </c>
      <c r="G64" s="71">
        <v>400</v>
      </c>
      <c r="H64" s="34">
        <v>25</v>
      </c>
      <c r="I64" s="34"/>
      <c r="J64" s="34">
        <v>80</v>
      </c>
      <c r="K64" s="34">
        <v>80</v>
      </c>
      <c r="L64" s="34">
        <v>8</v>
      </c>
      <c r="M64" s="34">
        <v>6</v>
      </c>
      <c r="N64" s="34"/>
      <c r="O64" s="34"/>
      <c r="P64" s="34"/>
      <c r="Q64" s="34"/>
      <c r="R64" s="34"/>
      <c r="S64" s="32"/>
      <c r="T64" s="34"/>
      <c r="U64" s="34">
        <v>28</v>
      </c>
      <c r="V64" s="34"/>
      <c r="W64" s="34"/>
    </row>
    <row r="65" spans="1:23" x14ac:dyDescent="0.25">
      <c r="A65" t="s">
        <v>318</v>
      </c>
      <c r="B65" s="94">
        <f>表_昆仑1到15段必成22[[#This Row],[进化金币(J)]]+IF(ISNUMBER(B64), B64, 表_昆仑1到15段必成22[[#Totals],[进化阶段]])</f>
        <v>33213.158709677416</v>
      </c>
      <c r="C65" s="95">
        <f>表_昆仑1到15段必成22[[#This Row],[进化点券]]+IF(ISNUMBER(C64), C64, 0)</f>
        <v>271500</v>
      </c>
      <c r="D65" s="89">
        <f>SUMPRODUCT(表_昆仑1到15段必成22[[#This Row],[昆仑珠]:[列12]],表_昆仑1到15段必成22[[#Totals],[昆仑珠]:[列12]])+表_昆仑1到15段必成22[[#This Row],[手续费(J)]]*折扣</f>
        <v>5543.3129032258066</v>
      </c>
      <c r="E65" s="90">
        <f>SUMPRODUCT(表_昆仑1到15段必成22[[#This Row],[破天武魂神物]:[列16]],表_昆仑1到15段必成22[[#Totals],[破天武魂神物]:[列16]])</f>
        <v>49500</v>
      </c>
      <c r="F65" s="91" t="s">
        <v>239</v>
      </c>
      <c r="G65" s="71">
        <v>450</v>
      </c>
      <c r="H65" s="34">
        <v>30</v>
      </c>
      <c r="I65" s="34"/>
      <c r="J65" s="34">
        <v>90</v>
      </c>
      <c r="K65" s="34">
        <v>100</v>
      </c>
      <c r="L65" s="34">
        <v>10</v>
      </c>
      <c r="M65" s="34">
        <v>6</v>
      </c>
      <c r="N65" s="34"/>
      <c r="O65" s="34"/>
      <c r="P65" s="34"/>
      <c r="Q65" s="34"/>
      <c r="R65" s="34"/>
      <c r="S65" s="32"/>
      <c r="T65" s="34"/>
      <c r="U65" s="34">
        <v>33</v>
      </c>
      <c r="V65" s="34"/>
      <c r="W65" s="34"/>
    </row>
    <row r="66" spans="1:23" x14ac:dyDescent="0.25">
      <c r="A66" t="s">
        <v>318</v>
      </c>
      <c r="B66" s="55">
        <f>表_昆仑1到15段必成22[[#This Row],[进化金币(J)]]+IF(ISNUMBER(B65), B65, 表_昆仑1到15段必成22[[#Totals],[进化阶段]])</f>
        <v>39806.534193548388</v>
      </c>
      <c r="C66" s="54">
        <f>表_昆仑1到15段必成22[[#This Row],[进化点券]]+IF(ISNUMBER(C65), C65, 0)</f>
        <v>331500</v>
      </c>
      <c r="D66" s="89">
        <f>SUMPRODUCT(表_昆仑1到15段必成22[[#This Row],[昆仑珠]:[列12]],表_昆仑1到15段必成22[[#Totals],[昆仑珠]:[列12]])+表_昆仑1到15段必成22[[#This Row],[手续费(J)]]*折扣</f>
        <v>6593.3754838709683</v>
      </c>
      <c r="E66" s="90">
        <f>SUMPRODUCT(表_昆仑1到15段必成22[[#This Row],[破天武魂神物]:[列16]],表_昆仑1到15段必成22[[#Totals],[破天武魂神物]:[列16]])</f>
        <v>60000</v>
      </c>
      <c r="F66" s="91" t="s">
        <v>240</v>
      </c>
      <c r="G66" s="71">
        <v>600</v>
      </c>
      <c r="H66" s="34">
        <v>35</v>
      </c>
      <c r="I66" s="34"/>
      <c r="J66" s="34">
        <v>100</v>
      </c>
      <c r="K66" s="34">
        <v>120</v>
      </c>
      <c r="L66" s="34">
        <v>12</v>
      </c>
      <c r="M66" s="34">
        <v>8</v>
      </c>
      <c r="N66" s="34"/>
      <c r="O66" s="34"/>
      <c r="P66" s="34"/>
      <c r="Q66" s="34"/>
      <c r="R66" s="34"/>
      <c r="S66" s="32"/>
      <c r="T66" s="34"/>
      <c r="U66" s="34">
        <v>40</v>
      </c>
      <c r="V66" s="34"/>
      <c r="W66" s="34"/>
    </row>
    <row r="67" spans="1:23" x14ac:dyDescent="0.25">
      <c r="A67" t="s">
        <v>318</v>
      </c>
      <c r="B67" s="55">
        <f>表_昆仑1到15段必成22[[#This Row],[进化金币(J)]]+IF(ISNUMBER(B66), B66, 表_昆仑1到15段必成22[[#Totals],[进化阶段]])</f>
        <v>48014.034838709675</v>
      </c>
      <c r="C67" s="54">
        <f>表_昆仑1到15段必成22[[#This Row],[进化点券]]+IF(ISNUMBER(C66), C66, 0)</f>
        <v>406500</v>
      </c>
      <c r="D67" s="89">
        <f>SUMPRODUCT(表_昆仑1到15段必成22[[#This Row],[昆仑珠]:[列12]],表_昆仑1到15段必成22[[#Totals],[昆仑珠]:[列12]])+表_昆仑1到15段必成22[[#This Row],[手续费(J)]]*折扣</f>
        <v>8207.5006451612899</v>
      </c>
      <c r="E67" s="90">
        <f>SUMPRODUCT(表_昆仑1到15段必成22[[#This Row],[破天武魂神物]:[列16]],表_昆仑1到15段必成22[[#Totals],[破天武魂神物]:[列16]])</f>
        <v>75000</v>
      </c>
      <c r="F67" s="91" t="s">
        <v>241</v>
      </c>
      <c r="G67" s="71">
        <v>700</v>
      </c>
      <c r="H67" s="34">
        <v>40</v>
      </c>
      <c r="I67" s="34"/>
      <c r="J67" s="34">
        <v>120</v>
      </c>
      <c r="K67" s="34">
        <v>160</v>
      </c>
      <c r="L67" s="34">
        <v>16</v>
      </c>
      <c r="M67" s="34">
        <v>10</v>
      </c>
      <c r="N67" s="34"/>
      <c r="O67" s="34"/>
      <c r="P67" s="34"/>
      <c r="Q67" s="34"/>
      <c r="R67" s="34"/>
      <c r="S67" s="32"/>
      <c r="T67" s="34"/>
      <c r="U67" s="34">
        <v>50</v>
      </c>
      <c r="V67" s="34"/>
      <c r="W67" s="34"/>
    </row>
    <row r="68" spans="1:23" ht="15" thickBot="1" x14ac:dyDescent="0.3">
      <c r="A68" t="s">
        <v>318</v>
      </c>
      <c r="B68" s="55">
        <f>表_昆仑1到15段必成22[[#This Row],[进化金币(J)]]+IF(ISNUMBER(B67), B67, 表_昆仑1到15段必成22[[#Totals],[进化阶段]])</f>
        <v>57032.535483870961</v>
      </c>
      <c r="C68" s="54">
        <f>表_昆仑1到15段必成22[[#This Row],[进化点券]]+IF(ISNUMBER(C67), C67, 0)</f>
        <v>504000</v>
      </c>
      <c r="D68" s="89">
        <f>SUMPRODUCT(表_昆仑1到15段必成22[[#This Row],[昆仑珠]:[列12]],表_昆仑1到15段必成22[[#Totals],[昆仑珠]:[列12]])+表_昆仑1到15段必成22[[#This Row],[手续费(J)]]*折扣</f>
        <v>9018.5006451612899</v>
      </c>
      <c r="E68" s="90">
        <f>SUMPRODUCT(表_昆仑1到15段必成22[[#This Row],[破天武魂神物]:[列16]],表_昆仑1到15段必成22[[#Totals],[破天武魂神物]:[列16]])</f>
        <v>97500</v>
      </c>
      <c r="F68" s="91" t="s">
        <v>242</v>
      </c>
      <c r="G68" s="71">
        <v>800</v>
      </c>
      <c r="H68" s="34">
        <v>45</v>
      </c>
      <c r="I68" s="34"/>
      <c r="J68" s="34">
        <v>140</v>
      </c>
      <c r="K68" s="34">
        <v>160</v>
      </c>
      <c r="L68" s="34">
        <v>16</v>
      </c>
      <c r="M68" s="34">
        <v>12</v>
      </c>
      <c r="N68" s="34"/>
      <c r="O68" s="34"/>
      <c r="P68" s="34"/>
      <c r="Q68" s="34"/>
      <c r="R68" s="34"/>
      <c r="S68" s="32"/>
      <c r="T68" s="34"/>
      <c r="U68" s="34">
        <v>65</v>
      </c>
      <c r="V68" s="34"/>
      <c r="W68" s="34"/>
    </row>
    <row r="69" spans="1:23" ht="15" thickTop="1" x14ac:dyDescent="0.25">
      <c r="B69" s="72">
        <f>SUBTOTAL(104,表_昆仑1到15段必成22[累计金币(J)])</f>
        <v>57032.535483870961</v>
      </c>
      <c r="C69" s="72">
        <f>SUBTOTAL(104,表_昆仑1到15段必成22[累计点券])</f>
        <v>504000</v>
      </c>
      <c r="D69" s="73">
        <f>SUBTOTAL(109,表_昆仑1到15段必成22[进化金币(J)])</f>
        <v>55032.535483870961</v>
      </c>
      <c r="E69" s="74">
        <f>SUBTOTAL(109,表_昆仑1到15段必成22[进化点券])</f>
        <v>504000</v>
      </c>
      <c r="F69" s="88" t="s">
        <v>227</v>
      </c>
      <c r="G69" s="76" t="s">
        <v>190</v>
      </c>
      <c r="H69" s="77">
        <f xml:space="preserve"> _xlfn.IFNA(VLOOKUP(表_昆仑1到15段必成22[[#Headers],[昆仑珠]],金价一览,2,0), 0)</f>
        <v>26</v>
      </c>
      <c r="I69" s="77">
        <f xml:space="preserve"> _xlfn.IFNA(VLOOKUP(表_昆仑1到15段必成22[[#Headers],[太阳珠]],金价一览,2,0), 0)</f>
        <v>1.5</v>
      </c>
      <c r="J69" s="77">
        <f xml:space="preserve"> _xlfn.IFNA(VLOOKUP(表_昆仑1到15段必成22[[#Headers],[天元结晶]],金价一览,2,0), 0)</f>
        <v>20</v>
      </c>
      <c r="K69" s="77">
        <f xml:space="preserve"> _xlfn.IFNA(VLOOKUP(表_昆仑1到15段必成22[[#Headers],[月石]],金价一览,2,0), 0)</f>
        <v>1.35</v>
      </c>
      <c r="L69" s="77">
        <f xml:space="preserve"> _xlfn.IFNA(VLOOKUP(表_昆仑1到15段必成22[[#Headers],[高级进化石]],金价一览,2,0), 0)</f>
        <v>187.28129032258065</v>
      </c>
      <c r="M69" s="77">
        <f xml:space="preserve"> _xlfn.IFNA(VLOOKUP(表_昆仑1到15段必成22[[#Headers],[黑风魂]],金价一览,2,0), 0)</f>
        <v>103</v>
      </c>
      <c r="N69" s="77">
        <f xml:space="preserve"> _xlfn.IFNA(VLOOKUP(表_昆仑1到15段必成22[[#Headers],[列7]],金价一览,2,0), 0)</f>
        <v>0</v>
      </c>
      <c r="O69" s="77">
        <f xml:space="preserve"> _xlfn.IFNA(VLOOKUP(表_昆仑1到15段必成22[[#Headers],[列8]],金价一览,2,0), 0)</f>
        <v>0</v>
      </c>
      <c r="P69" s="77">
        <f xml:space="preserve"> _xlfn.IFNA(VLOOKUP(表_昆仑1到15段必成22[[#Headers],[列9]],金价一览,2,0), 0)</f>
        <v>0</v>
      </c>
      <c r="Q69" s="77">
        <f xml:space="preserve"> _xlfn.IFNA(VLOOKUP(表_昆仑1到15段必成22[[#Headers],[列10]],金价一览,2,0), 0)</f>
        <v>0</v>
      </c>
      <c r="R69" s="77">
        <f xml:space="preserve"> _xlfn.IFNA(VLOOKUP(表_昆仑1到15段必成22[[#Headers],[列11]],金价一览,2,0), 0)</f>
        <v>0</v>
      </c>
      <c r="S69" s="77">
        <f xml:space="preserve"> _xlfn.IFNA(VLOOKUP(表_昆仑1到15段必成22[[#Headers],[列12]],金价一览,2,0), 0)</f>
        <v>0</v>
      </c>
      <c r="T69" s="78">
        <f>_xlfn.IFNA(VLOOKUP(表_昆仑1到15段必成22[[#Headers],[破天武魂神物]],点券一览,2,0),0)</f>
        <v>1500</v>
      </c>
      <c r="U69" s="78">
        <f>_xlfn.IFNA(VLOOKUP(表_昆仑1到15段必成22[[#Headers],[建元武魂神物]],点券一览,2,0),0)</f>
        <v>1500</v>
      </c>
      <c r="V69" s="78">
        <f>_xlfn.IFNA(VLOOKUP(表_昆仑1到15段必成22[[#Headers],[列15]],点券一览,2,0),0)</f>
        <v>0</v>
      </c>
      <c r="W69" s="78">
        <f>_xlfn.IFNA(VLOOKUP(表_昆仑1到15段必成22[[#Headers],[列16]],点券一览,2,0),0)</f>
        <v>0</v>
      </c>
    </row>
    <row r="70" spans="1:23" x14ac:dyDescent="0.25">
      <c r="B70" s="188" t="s">
        <v>221</v>
      </c>
      <c r="C70" s="188"/>
      <c r="D70" s="188"/>
      <c r="E70" s="188"/>
      <c r="F70" s="189"/>
      <c r="G70" s="79" t="s">
        <v>224</v>
      </c>
      <c r="H70" s="52">
        <f>SUM(表_昆仑1到15段必成22[[#Data],[昆仑珠]])</f>
        <v>257</v>
      </c>
      <c r="I70" s="52">
        <f>SUM(表_昆仑1到15段必成22[[#Data],[太阳珠]])</f>
        <v>129</v>
      </c>
      <c r="J70" s="52">
        <f>SUM(表_昆仑1到15段必成22[[#Data],[天元结晶]])</f>
        <v>905</v>
      </c>
      <c r="K70" s="52">
        <f>SUM(表_昆仑1到15段必成22[[#Data],[月石]])</f>
        <v>1050</v>
      </c>
      <c r="L70" s="52">
        <f>SUM(表_昆仑1到15段必成22[[#Data],[高级进化石]])</f>
        <v>105</v>
      </c>
      <c r="M70" s="52">
        <f>SUM(表_昆仑1到15段必成22[[#Data],[黑风魂]])</f>
        <v>50</v>
      </c>
      <c r="N70" s="52">
        <f>SUM(表_昆仑1到15段必成22[[#Data],[列7]])</f>
        <v>0</v>
      </c>
      <c r="O70" s="52">
        <f>SUM(表_昆仑1到15段必成22[[#Data],[列8]])</f>
        <v>0</v>
      </c>
      <c r="P70" s="52">
        <f>SUM(表_昆仑1到15段必成22[[#Data],[列9]])</f>
        <v>0</v>
      </c>
      <c r="Q70" s="52">
        <f>SUM(表_昆仑1到15段必成22[[#Data],[列10]])</f>
        <v>0</v>
      </c>
      <c r="R70" s="52">
        <f>SUM(表_昆仑1到15段必成22[[#Data],[列11]])</f>
        <v>0</v>
      </c>
      <c r="S70" s="52">
        <f>SUM(表_昆仑1到15段必成22[[#Data],[列12]])</f>
        <v>0</v>
      </c>
      <c r="T70" s="52">
        <f>SUM(表_昆仑1到15段必成22[[#Data],[破天武魂神物]])</f>
        <v>77</v>
      </c>
      <c r="U70" s="52">
        <f>SUM(表_昆仑1到15段必成22[[#Data],[建元武魂神物]])</f>
        <v>259</v>
      </c>
      <c r="V70" s="52">
        <f>SUM(表_昆仑1到15段必成22[[#Data],[列15]])</f>
        <v>0</v>
      </c>
      <c r="W70" s="52">
        <f>SUM(表_昆仑1到15段必成22[[#Data],[列16]])</f>
        <v>0</v>
      </c>
    </row>
    <row r="71" spans="1:23" x14ac:dyDescent="0.25">
      <c r="B71" s="188"/>
      <c r="C71" s="188"/>
      <c r="D71" s="188"/>
      <c r="E71" s="188"/>
      <c r="F71" s="189"/>
      <c r="G71" s="80" t="s">
        <v>223</v>
      </c>
      <c r="H71" s="52">
        <f>H70*表_昆仑1到15段必成22[[#Totals],[昆仑珠]]</f>
        <v>6682</v>
      </c>
      <c r="I71" s="52">
        <f>I70*表_昆仑1到15段必成22[[#Totals],[太阳珠]]</f>
        <v>193.5</v>
      </c>
      <c r="J71" s="52">
        <f>J70*表_昆仑1到15段必成22[[#Totals],[天元结晶]]</f>
        <v>18100</v>
      </c>
      <c r="K71" s="52">
        <f>K70*表_昆仑1到15段必成22[[#Totals],[月石]]</f>
        <v>1417.5</v>
      </c>
      <c r="L71" s="52">
        <f>L70*表_昆仑1到15段必成22[[#Totals],[高级进化石]]</f>
        <v>19664.535483870968</v>
      </c>
      <c r="M71" s="52">
        <f>M70*表_昆仑1到15段必成22[[#Totals],[黑风魂]]</f>
        <v>5150</v>
      </c>
      <c r="N71" s="52">
        <f>N70*表_昆仑1到15段必成22[[#Totals],[列7]]</f>
        <v>0</v>
      </c>
      <c r="O71" s="52">
        <f>O70*表_昆仑1到15段必成22[[#Totals],[列8]]</f>
        <v>0</v>
      </c>
      <c r="P71" s="52">
        <f>P70*表_昆仑1到15段必成22[[#Totals],[列9]]</f>
        <v>0</v>
      </c>
      <c r="Q71" s="52">
        <f>Q70*表_昆仑1到15段必成22[[#Totals],[列10]]</f>
        <v>0</v>
      </c>
      <c r="R71" s="52">
        <f>R70*表_昆仑1到15段必成22[[#Totals],[列11]]</f>
        <v>0</v>
      </c>
      <c r="S71" s="52">
        <f>S70*表_昆仑1到15段必成22[[#Totals],[列12]]</f>
        <v>0</v>
      </c>
      <c r="T71" s="52">
        <f>T70*表_昆仑1到15段必成22[[#Totals],[破天武魂神物]]</f>
        <v>115500</v>
      </c>
      <c r="U71" s="52">
        <f>U70*表_昆仑1到15段必成22[[#Totals],[建元武魂神物]]</f>
        <v>388500</v>
      </c>
      <c r="V71" s="52">
        <f>V70*表_昆仑1到15段必成22[[#Totals],[列15]]</f>
        <v>0</v>
      </c>
      <c r="W71" s="52">
        <f>W70*表_昆仑1到15段必成22[[#Totals],[列16]]</f>
        <v>0</v>
      </c>
    </row>
    <row r="74" spans="1:23" x14ac:dyDescent="0.25">
      <c r="B74" s="28" t="s">
        <v>243</v>
      </c>
      <c r="H74" s="43" t="s">
        <v>212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42" t="s">
        <v>211</v>
      </c>
      <c r="U74" s="41"/>
      <c r="V74" s="41"/>
      <c r="W74" s="41"/>
    </row>
    <row r="75" spans="1:23" ht="34.200000000000003" customHeight="1" thickBot="1" x14ac:dyDescent="0.3">
      <c r="B75" s="57" t="s">
        <v>187</v>
      </c>
      <c r="C75" s="57" t="s">
        <v>186</v>
      </c>
      <c r="D75" s="58" t="s">
        <v>252</v>
      </c>
      <c r="E75" s="58" t="s">
        <v>254</v>
      </c>
      <c r="F75" s="58" t="s">
        <v>181</v>
      </c>
      <c r="G75" s="58" t="s">
        <v>185</v>
      </c>
      <c r="H75" s="59" t="s">
        <v>133</v>
      </c>
      <c r="I75" s="60" t="s">
        <v>122</v>
      </c>
      <c r="J75" s="60" t="s">
        <v>129</v>
      </c>
      <c r="K75" s="60" t="s">
        <v>3</v>
      </c>
      <c r="L75" s="60" t="s">
        <v>134</v>
      </c>
      <c r="M75" s="60" t="s">
        <v>179</v>
      </c>
      <c r="N75" s="60" t="s">
        <v>201</v>
      </c>
      <c r="O75" s="60" t="s">
        <v>202</v>
      </c>
      <c r="P75" s="60" t="s">
        <v>203</v>
      </c>
      <c r="Q75" s="60" t="s">
        <v>204</v>
      </c>
      <c r="R75" s="60" t="s">
        <v>205</v>
      </c>
      <c r="S75" s="61" t="s">
        <v>206</v>
      </c>
      <c r="T75" s="62" t="s">
        <v>137</v>
      </c>
      <c r="U75" s="62" t="s">
        <v>208</v>
      </c>
      <c r="V75" s="62" t="s">
        <v>209</v>
      </c>
      <c r="W75" s="62" t="s">
        <v>210</v>
      </c>
    </row>
    <row r="76" spans="1:23" ht="15" thickTop="1" x14ac:dyDescent="0.25">
      <c r="A76" t="s">
        <v>318</v>
      </c>
      <c r="B76" s="55">
        <f>表_昆仑1到15段保底31[[#This Row],[进化金币(J)]]+IF(ISNUMBER(B75), B75, 表_昆仑1到15段保底31[[#Totals],[进化阶段]])</f>
        <v>3005.5625806451612</v>
      </c>
      <c r="C76" s="54">
        <f>表_昆仑1到15段保底31[[#This Row],[进化点券]]+IF(ISNUMBER(C75), C75, 0)</f>
        <v>0</v>
      </c>
      <c r="D76" s="55">
        <f>SUMPRODUCT(表_昆仑1到15段保底31[[#This Row],[昆仑珠]:[列12]],表_昆仑1到15段保底31[[#Totals],[昆仑珠]:[列12]])+表_昆仑1到15段保底31[[#This Row],[手续费(J)]]*折扣</f>
        <v>1005.5625806451612</v>
      </c>
      <c r="E76" s="55">
        <f>SUMPRODUCT(表_昆仑1到15段保底31[[#This Row],[破天武魂神物]:[列16]],表_昆仑1到15段保底31[[#Totals],[破天武魂神物]:[列16]])</f>
        <v>0</v>
      </c>
      <c r="F76" s="56" t="s">
        <v>192</v>
      </c>
      <c r="G76" s="34">
        <v>150</v>
      </c>
      <c r="H76" s="34">
        <v>3</v>
      </c>
      <c r="I76" s="34">
        <v>9</v>
      </c>
      <c r="J76" s="34">
        <v>20</v>
      </c>
      <c r="K76" s="34">
        <v>20</v>
      </c>
      <c r="L76" s="34">
        <v>2</v>
      </c>
      <c r="M76" s="34"/>
      <c r="N76" s="34"/>
      <c r="O76" s="34"/>
      <c r="P76" s="34"/>
      <c r="Q76" s="34"/>
      <c r="R76" s="34"/>
      <c r="S76" s="32"/>
      <c r="T76" s="34"/>
      <c r="U76" s="34"/>
      <c r="V76" s="34"/>
      <c r="W76" s="34"/>
    </row>
    <row r="77" spans="1:23" x14ac:dyDescent="0.25">
      <c r="A77" t="s">
        <v>318</v>
      </c>
      <c r="B77" s="36">
        <f>表_昆仑1到15段保底31[[#This Row],[进化金币(J)]]+IF(ISNUMBER(B76), B76, 表_昆仑1到15段保底31[[#Totals],[进化阶段]])</f>
        <v>4111.1251612903225</v>
      </c>
      <c r="C77" s="35">
        <f>表_昆仑1到15段保底31[[#This Row],[进化点券]]+IF(ISNUMBER(C76), C76, 0)</f>
        <v>0</v>
      </c>
      <c r="D77" s="36">
        <f>SUMPRODUCT(表_昆仑1到15段保底31[[#This Row],[昆仑珠]:[列12]],表_昆仑1到15段保底31[[#Totals],[昆仑珠]:[列12]])+表_昆仑1到15段保底31[[#This Row],[手续费(J)]]*折扣</f>
        <v>1105.5625806451612</v>
      </c>
      <c r="E77" s="36">
        <f>SUMPRODUCT(表_昆仑1到15段保底31[[#This Row],[破天武魂神物]:[列16]],表_昆仑1到15段保底31[[#Totals],[破天武魂神物]:[列16]])</f>
        <v>0</v>
      </c>
      <c r="F77" s="39" t="s">
        <v>193</v>
      </c>
      <c r="G77" s="11">
        <v>150</v>
      </c>
      <c r="H77" s="11">
        <v>3</v>
      </c>
      <c r="I77" s="11">
        <v>9</v>
      </c>
      <c r="J77" s="11">
        <v>25</v>
      </c>
      <c r="K77" s="11">
        <v>20</v>
      </c>
      <c r="L77" s="11">
        <v>2</v>
      </c>
      <c r="M77" s="11"/>
      <c r="N77" s="11"/>
      <c r="O77" s="11"/>
      <c r="P77" s="11"/>
      <c r="Q77" s="11"/>
      <c r="R77" s="11"/>
      <c r="S77" s="30"/>
      <c r="T77" s="34"/>
      <c r="U77" s="34"/>
      <c r="V77" s="34"/>
      <c r="W77" s="34"/>
    </row>
    <row r="78" spans="1:23" x14ac:dyDescent="0.25">
      <c r="A78" t="s">
        <v>318</v>
      </c>
      <c r="B78" s="36">
        <f>表_昆仑1到15段保底31[[#This Row],[进化金币(J)]]+IF(ISNUMBER(B77), B77, 表_昆仑1到15段保底31[[#Totals],[进化阶段]])</f>
        <v>5547.9690322580645</v>
      </c>
      <c r="C78" s="35">
        <f>表_昆仑1到15段保底31[[#This Row],[进化点券]]+IF(ISNUMBER(C77), C77, 0)</f>
        <v>0</v>
      </c>
      <c r="D78" s="36">
        <f>SUMPRODUCT(表_昆仑1到15段保底31[[#This Row],[昆仑珠]:[列12]],表_昆仑1到15段保底31[[#Totals],[昆仑珠]:[列12]])+表_昆仑1到15段保底31[[#This Row],[手续费(J)]]*折扣</f>
        <v>1436.8438709677421</v>
      </c>
      <c r="E78" s="36">
        <f>SUMPRODUCT(表_昆仑1到15段保底31[[#This Row],[破天武魂神物]:[列16]],表_昆仑1到15段保底31[[#Totals],[破天武魂神物]:[列16]])</f>
        <v>0</v>
      </c>
      <c r="F78" s="39" t="s">
        <v>194</v>
      </c>
      <c r="G78" s="11">
        <v>150</v>
      </c>
      <c r="H78" s="11">
        <v>4</v>
      </c>
      <c r="I78" s="11">
        <v>12</v>
      </c>
      <c r="J78" s="11">
        <v>30</v>
      </c>
      <c r="K78" s="11">
        <v>30</v>
      </c>
      <c r="L78" s="11">
        <v>3</v>
      </c>
      <c r="M78" s="11"/>
      <c r="N78" s="11"/>
      <c r="O78" s="11"/>
      <c r="P78" s="11"/>
      <c r="Q78" s="11"/>
      <c r="R78" s="11"/>
      <c r="S78" s="30"/>
      <c r="T78" s="34"/>
      <c r="U78" s="34"/>
      <c r="V78" s="34"/>
      <c r="W78" s="34"/>
    </row>
    <row r="79" spans="1:23" x14ac:dyDescent="0.25">
      <c r="A79" t="s">
        <v>318</v>
      </c>
      <c r="B79" s="36">
        <f>表_昆仑1到15段保底31[[#This Row],[进化金币(J)]]+IF(ISNUMBER(B78), B78, 表_昆仑1到15段保底31[[#Totals],[进化阶段]])</f>
        <v>6984.8129032258066</v>
      </c>
      <c r="C79" s="35">
        <f>表_昆仑1到15段保底31[[#This Row],[进化点券]]+IF(ISNUMBER(C78), C78, 0)</f>
        <v>0</v>
      </c>
      <c r="D79" s="36">
        <f>SUMPRODUCT(表_昆仑1到15段保底31[[#This Row],[昆仑珠]:[列12]],表_昆仑1到15段保底31[[#Totals],[昆仑珠]:[列12]])+表_昆仑1到15段保底31[[#This Row],[手续费(J)]]*折扣</f>
        <v>1436.8438709677421</v>
      </c>
      <c r="E79" s="36">
        <f>SUMPRODUCT(表_昆仑1到15段保底31[[#This Row],[破天武魂神物]:[列16]],表_昆仑1到15段保底31[[#Totals],[破天武魂神物]:[列16]])</f>
        <v>0</v>
      </c>
      <c r="F79" s="39" t="s">
        <v>195</v>
      </c>
      <c r="G79" s="11">
        <v>150</v>
      </c>
      <c r="H79" s="11">
        <v>4</v>
      </c>
      <c r="I79" s="11">
        <v>12</v>
      </c>
      <c r="J79" s="11">
        <v>30</v>
      </c>
      <c r="K79" s="11">
        <v>30</v>
      </c>
      <c r="L79" s="11">
        <v>3</v>
      </c>
      <c r="M79" s="11"/>
      <c r="N79" s="11"/>
      <c r="O79" s="11"/>
      <c r="P79" s="11"/>
      <c r="Q79" s="11"/>
      <c r="R79" s="11"/>
      <c r="S79" s="30"/>
      <c r="T79" s="34"/>
      <c r="U79" s="34"/>
      <c r="V79" s="34"/>
      <c r="W79" s="34"/>
    </row>
    <row r="80" spans="1:23" x14ac:dyDescent="0.25">
      <c r="A80" t="s">
        <v>318</v>
      </c>
      <c r="B80" s="36">
        <f>表_昆仑1到15段保底31[[#This Row],[进化金币(J)]]+IF(ISNUMBER(B79), B79, 表_昆仑1到15段保底31[[#Totals],[进化阶段]])</f>
        <v>8751.4380645161291</v>
      </c>
      <c r="C80" s="35">
        <f>表_昆仑1到15段保底31[[#This Row],[进化点券]]+IF(ISNUMBER(C79), C79, 0)</f>
        <v>0</v>
      </c>
      <c r="D80" s="36">
        <f>SUMPRODUCT(表_昆仑1到15段保底31[[#This Row],[昆仑珠]:[列12]],表_昆仑1到15段保底31[[#Totals],[昆仑珠]:[列12]])+表_昆仑1到15段保底31[[#This Row],[手续费(J)]]*折扣</f>
        <v>1766.6251612903225</v>
      </c>
      <c r="E80" s="36">
        <f>SUMPRODUCT(表_昆仑1到15段保底31[[#This Row],[破天武魂神物]:[列16]],表_昆仑1到15段保底31[[#Totals],[破天武魂神物]:[列16]])</f>
        <v>0</v>
      </c>
      <c r="F80" s="39" t="s">
        <v>196</v>
      </c>
      <c r="G80" s="11">
        <v>150</v>
      </c>
      <c r="H80" s="11">
        <v>5</v>
      </c>
      <c r="I80" s="11">
        <v>14</v>
      </c>
      <c r="J80" s="11">
        <v>35</v>
      </c>
      <c r="K80" s="11">
        <v>40</v>
      </c>
      <c r="L80" s="11">
        <v>4</v>
      </c>
      <c r="M80" s="11"/>
      <c r="N80" s="11"/>
      <c r="O80" s="11"/>
      <c r="P80" s="11"/>
      <c r="Q80" s="11"/>
      <c r="R80" s="11"/>
      <c r="S80" s="30"/>
      <c r="T80" s="11"/>
      <c r="U80" s="11"/>
      <c r="V80" s="11"/>
      <c r="W80" s="11"/>
    </row>
    <row r="81" spans="1:23" x14ac:dyDescent="0.25">
      <c r="A81" t="s">
        <v>318</v>
      </c>
      <c r="B81" s="36">
        <f>表_昆仑1到15段保底31[[#This Row],[进化金币(J)]]+IF(ISNUMBER(B80), B80, 表_昆仑1到15段保底31[[#Totals],[进化阶段]])</f>
        <v>10687.563225806451</v>
      </c>
      <c r="C81" s="35">
        <f>表_昆仑1到15段保底31[[#This Row],[进化点券]]+IF(ISNUMBER(C80), C80, 0)</f>
        <v>0</v>
      </c>
      <c r="D81" s="96">
        <f>SUMPRODUCT(表_昆仑1到15段保底31[[#This Row],[昆仑珠]:[列12]],表_昆仑1到15段保底31[[#Totals],[昆仑珠]:[列12]])+表_昆仑1到15段保底31[[#This Row],[手续费(J)]]*折扣</f>
        <v>1936.1251612903225</v>
      </c>
      <c r="E81" s="38">
        <f>SUMPRODUCT(表_昆仑1到15段保底31[[#This Row],[破天武魂神物]:[列16]],表_昆仑1到15段保底31[[#Totals],[破天武魂神物]:[列16]])</f>
        <v>0</v>
      </c>
      <c r="F81" s="39" t="s">
        <v>197</v>
      </c>
      <c r="G81" s="25">
        <v>200</v>
      </c>
      <c r="H81" s="25">
        <v>6</v>
      </c>
      <c r="I81" s="25">
        <v>18</v>
      </c>
      <c r="J81" s="25">
        <v>40</v>
      </c>
      <c r="K81" s="25">
        <v>40</v>
      </c>
      <c r="L81" s="25">
        <v>4</v>
      </c>
      <c r="M81" s="25"/>
      <c r="N81" s="25"/>
      <c r="O81" s="25"/>
      <c r="P81" s="25"/>
      <c r="Q81" s="25"/>
      <c r="R81" s="25"/>
      <c r="S81" s="31"/>
      <c r="T81" s="25"/>
      <c r="U81" s="25"/>
      <c r="V81" s="25"/>
      <c r="W81" s="25"/>
    </row>
    <row r="82" spans="1:23" x14ac:dyDescent="0.25">
      <c r="A82" t="s">
        <v>318</v>
      </c>
      <c r="B82" s="36">
        <f>表_昆仑1到15段保底31[[#This Row],[进化金币(J)]]+IF(ISNUMBER(B81), B81, 表_昆仑1到15段保底31[[#Totals],[进化阶段]])</f>
        <v>12956.469677419354</v>
      </c>
      <c r="C82" s="35">
        <f>表_昆仑1到15段保底31[[#This Row],[进化点券]]+IF(ISNUMBER(C81), C81, 0)</f>
        <v>0</v>
      </c>
      <c r="D82" s="92">
        <f>SUMPRODUCT(表_昆仑1到15段保底31[[#This Row],[昆仑珠]:[列12]],表_昆仑1到15段保底31[[#Totals],[昆仑珠]:[列12]])+表_昆仑1到15段保底31[[#This Row],[手续费(J)]]*折扣</f>
        <v>2268.9064516129033</v>
      </c>
      <c r="E82" s="36">
        <f>SUMPRODUCT(表_昆仑1到15段保底31[[#This Row],[破天武魂神物]:[列16]],表_昆仑1到15段保底31[[#Totals],[破天武魂神物]:[列16]])</f>
        <v>0</v>
      </c>
      <c r="F82" s="39" t="s">
        <v>198</v>
      </c>
      <c r="G82" s="11">
        <v>200</v>
      </c>
      <c r="H82" s="11">
        <v>7</v>
      </c>
      <c r="I82" s="11">
        <v>22</v>
      </c>
      <c r="J82" s="11">
        <v>45</v>
      </c>
      <c r="K82" s="11">
        <v>50</v>
      </c>
      <c r="L82" s="11">
        <v>5</v>
      </c>
      <c r="M82" s="11"/>
      <c r="N82" s="11"/>
      <c r="O82" s="11"/>
      <c r="P82" s="11"/>
      <c r="Q82" s="11"/>
      <c r="R82" s="11"/>
      <c r="S82" s="30"/>
      <c r="T82" s="11"/>
      <c r="U82" s="11"/>
      <c r="V82" s="11"/>
      <c r="W82" s="11"/>
    </row>
    <row r="83" spans="1:23" x14ac:dyDescent="0.25">
      <c r="A83" t="s">
        <v>318</v>
      </c>
      <c r="B83" s="36">
        <f>表_昆仑1到15段保底31[[#This Row],[进化金币(J)]]+IF(ISNUMBER(B82), B82, 表_昆仑1到15段保底31[[#Totals],[进化阶段]])</f>
        <v>14911.094838709676</v>
      </c>
      <c r="C83" s="35">
        <f>表_昆仑1到15段保底31[[#This Row],[进化点券]]+IF(ISNUMBER(C82), C82, 0)</f>
        <v>16500</v>
      </c>
      <c r="D83" s="36">
        <f>SUMPRODUCT(表_昆仑1到15段保底31[[#This Row],[昆仑珠]:[列12]],表_昆仑1到15段保底31[[#Totals],[昆仑珠]:[列12]])+表_昆仑1到15段保底31[[#This Row],[手续费(J)]]*折扣</f>
        <v>1954.6251612903225</v>
      </c>
      <c r="E83" s="36">
        <f>SUMPRODUCT(表_昆仑1到15段保底31[[#This Row],[破天武魂神物]:[列16]],表_昆仑1到15段保底31[[#Totals],[破天武魂神物]:[列16]])</f>
        <v>16500</v>
      </c>
      <c r="F83" s="40" t="s">
        <v>219</v>
      </c>
      <c r="G83" s="11">
        <v>150</v>
      </c>
      <c r="H83" s="11">
        <v>5</v>
      </c>
      <c r="I83" s="11"/>
      <c r="J83" s="11">
        <v>30</v>
      </c>
      <c r="K83" s="11">
        <v>40</v>
      </c>
      <c r="L83" s="11">
        <v>4</v>
      </c>
      <c r="M83" s="11">
        <v>3</v>
      </c>
      <c r="N83" s="11"/>
      <c r="O83" s="11"/>
      <c r="P83" s="11"/>
      <c r="Q83" s="11"/>
      <c r="R83" s="11"/>
      <c r="S83" s="30"/>
      <c r="T83" s="11">
        <v>11</v>
      </c>
      <c r="U83" s="11"/>
      <c r="V83" s="11"/>
      <c r="W83" s="11"/>
    </row>
    <row r="84" spans="1:23" x14ac:dyDescent="0.25">
      <c r="A84" t="s">
        <v>318</v>
      </c>
      <c r="B84" s="36">
        <f>表_昆仑1到15段保底31[[#This Row],[进化金币(J)]]+IF(ISNUMBER(B83), B83, 表_昆仑1到15段保底31[[#Totals],[进化阶段]])</f>
        <v>17113.469999999998</v>
      </c>
      <c r="C84" s="35">
        <f>表_昆仑1到15段保底31[[#This Row],[进化点券]]+IF(ISNUMBER(C83), C83, 0)</f>
        <v>34500</v>
      </c>
      <c r="D84" s="36">
        <f>SUMPRODUCT(表_昆仑1到15段保底31[[#This Row],[昆仑珠]:[列12]],表_昆仑1到15段保底31[[#Totals],[昆仑珠]:[列12]])+表_昆仑1到15段保底31[[#This Row],[手续费(J)]]*折扣</f>
        <v>2202.3751612903225</v>
      </c>
      <c r="E84" s="36">
        <f>SUMPRODUCT(表_昆仑1到15段保底31[[#This Row],[破天武魂神物]:[列16]],表_昆仑1到15段保底31[[#Totals],[破天武魂神物]:[列16]])</f>
        <v>18000</v>
      </c>
      <c r="F84" s="40" t="s">
        <v>213</v>
      </c>
      <c r="G84" s="11">
        <v>175</v>
      </c>
      <c r="H84" s="11">
        <v>6</v>
      </c>
      <c r="I84" s="11"/>
      <c r="J84" s="11">
        <v>35</v>
      </c>
      <c r="K84" s="11">
        <v>40</v>
      </c>
      <c r="L84" s="11">
        <v>4</v>
      </c>
      <c r="M84" s="11">
        <v>4</v>
      </c>
      <c r="N84" s="11"/>
      <c r="O84" s="11"/>
      <c r="P84" s="11"/>
      <c r="Q84" s="11"/>
      <c r="R84" s="11"/>
      <c r="S84" s="30"/>
      <c r="T84" s="11">
        <v>12</v>
      </c>
      <c r="U84" s="11"/>
      <c r="V84" s="11"/>
      <c r="W84" s="11"/>
    </row>
    <row r="85" spans="1:23" x14ac:dyDescent="0.25">
      <c r="A85" t="s">
        <v>318</v>
      </c>
      <c r="B85" s="36">
        <f>表_昆仑1到15段保底31[[#This Row],[进化金币(J)]]+IF(ISNUMBER(B84), B84, 表_昆仑1到15段保底31[[#Totals],[进化阶段]])</f>
        <v>19460.595161290319</v>
      </c>
      <c r="C85" s="35">
        <f>表_昆仑1到15段保底31[[#This Row],[进化点券]]+IF(ISNUMBER(C84), C84, 0)</f>
        <v>54000</v>
      </c>
      <c r="D85" s="36">
        <f>SUMPRODUCT(表_昆仑1到15段保底31[[#This Row],[昆仑珠]:[列12]],表_昆仑1到15段保底31[[#Totals],[昆仑珠]:[列12]])+表_昆仑1到15段保底31[[#This Row],[手续费(J)]]*折扣</f>
        <v>2347.1251612903225</v>
      </c>
      <c r="E85" s="36">
        <f>SUMPRODUCT(表_昆仑1到15段保底31[[#This Row],[破天武魂神物]:[列16]],表_昆仑1到15段保底31[[#Totals],[破天武魂神物]:[列16]])</f>
        <v>19500</v>
      </c>
      <c r="F85" s="40" t="s">
        <v>214</v>
      </c>
      <c r="G85" s="11">
        <v>200</v>
      </c>
      <c r="H85" s="11">
        <v>7</v>
      </c>
      <c r="I85" s="11"/>
      <c r="J85" s="11">
        <v>40</v>
      </c>
      <c r="K85" s="11">
        <v>40</v>
      </c>
      <c r="L85" s="11">
        <v>4</v>
      </c>
      <c r="M85" s="11">
        <v>4</v>
      </c>
      <c r="N85" s="11"/>
      <c r="O85" s="11"/>
      <c r="P85" s="11"/>
      <c r="Q85" s="11"/>
      <c r="R85" s="11"/>
      <c r="S85" s="30"/>
      <c r="T85" s="11">
        <v>13</v>
      </c>
      <c r="U85" s="11"/>
      <c r="V85" s="11"/>
      <c r="W85" s="11"/>
    </row>
    <row r="86" spans="1:23" x14ac:dyDescent="0.25">
      <c r="A86" t="s">
        <v>318</v>
      </c>
      <c r="B86" s="36">
        <f>表_昆仑1到15段保底31[[#This Row],[进化金币(J)]]+IF(ISNUMBER(B85), B85, 表_昆仑1到15段保底31[[#Totals],[进化阶段]])</f>
        <v>22153.251612903223</v>
      </c>
      <c r="C86" s="35">
        <f>表_昆仑1到15段保底31[[#This Row],[进化点券]]+IF(ISNUMBER(C85), C85, 0)</f>
        <v>79500</v>
      </c>
      <c r="D86" s="36">
        <f>SUMPRODUCT(表_昆仑1到15段保底31[[#This Row],[昆仑珠]:[列12]],表_昆仑1到15段保底31[[#Totals],[昆仑珠]:[列12]])+表_昆仑1到15段保底31[[#This Row],[手续费(J)]]*折扣</f>
        <v>2692.6564516129033</v>
      </c>
      <c r="E86" s="36">
        <f>SUMPRODUCT(表_昆仑1到15段保底31[[#This Row],[破天武魂神物]:[列16]],表_昆仑1到15段保底31[[#Totals],[破天武魂神物]:[列16]])</f>
        <v>25500</v>
      </c>
      <c r="F86" s="40" t="s">
        <v>215</v>
      </c>
      <c r="G86" s="11">
        <v>225</v>
      </c>
      <c r="H86" s="11">
        <v>8</v>
      </c>
      <c r="I86" s="11"/>
      <c r="J86" s="11">
        <v>45</v>
      </c>
      <c r="K86" s="11">
        <v>50</v>
      </c>
      <c r="L86" s="11">
        <v>5</v>
      </c>
      <c r="M86" s="11">
        <v>4</v>
      </c>
      <c r="N86" s="11"/>
      <c r="O86" s="11"/>
      <c r="P86" s="11"/>
      <c r="Q86" s="11"/>
      <c r="R86" s="11"/>
      <c r="S86" s="30"/>
      <c r="T86" s="11">
        <v>17</v>
      </c>
      <c r="U86" s="11"/>
      <c r="V86" s="11"/>
      <c r="W86" s="11"/>
    </row>
    <row r="87" spans="1:23" x14ac:dyDescent="0.25">
      <c r="A87" t="s">
        <v>318</v>
      </c>
      <c r="B87" s="36">
        <f>表_昆仑1到15段保底31[[#This Row],[进化金币(J)]]+IF(ISNUMBER(B86), B86, 表_昆仑1到15段保底31[[#Totals],[进化阶段]])</f>
        <v>25492.627096774191</v>
      </c>
      <c r="C87" s="35">
        <f>表_昆仑1到15段保底31[[#This Row],[进化点券]]+IF(ISNUMBER(C86), C86, 0)</f>
        <v>99000</v>
      </c>
      <c r="D87" s="36">
        <f>SUMPRODUCT(表_昆仑1到15段保底31[[#This Row],[昆仑珠]:[列12]],表_昆仑1到15段保底31[[#Totals],[昆仑珠]:[列12]])+表_昆仑1到15段保底31[[#This Row],[手续费(J)]]*折扣</f>
        <v>3339.3754838709679</v>
      </c>
      <c r="E87" s="36">
        <f>SUMPRODUCT(表_昆仑1到15段保底31[[#This Row],[破天武魂神物]:[列16]],表_昆仑1到15段保底31[[#Totals],[破天武魂神物]:[列16]])</f>
        <v>19500</v>
      </c>
      <c r="F87" s="40" t="s">
        <v>216</v>
      </c>
      <c r="G87" s="11">
        <v>150</v>
      </c>
      <c r="H87" s="11">
        <v>5</v>
      </c>
      <c r="I87" s="11"/>
      <c r="J87" s="11">
        <v>25</v>
      </c>
      <c r="K87" s="11">
        <v>30</v>
      </c>
      <c r="L87" s="11">
        <v>12</v>
      </c>
      <c r="M87" s="11">
        <v>3</v>
      </c>
      <c r="N87" s="11"/>
      <c r="O87" s="11"/>
      <c r="P87" s="11"/>
      <c r="Q87" s="11"/>
      <c r="R87" s="11"/>
      <c r="S87" s="30"/>
      <c r="T87" s="11">
        <v>13</v>
      </c>
      <c r="U87" s="11"/>
      <c r="V87" s="11"/>
      <c r="W87" s="11"/>
    </row>
    <row r="88" spans="1:23" x14ac:dyDescent="0.25">
      <c r="A88" t="s">
        <v>318</v>
      </c>
      <c r="B88" s="36">
        <f>表_昆仑1到15段保底31[[#This Row],[进化金币(J)]]+IF(ISNUMBER(B87), B87, 表_昆仑1到15段保底31[[#Totals],[进化阶段]])</f>
        <v>29868.377741935481</v>
      </c>
      <c r="C88" s="35">
        <f>表_昆仑1到15段保底31[[#This Row],[进化点券]]+IF(ISNUMBER(C87), C87, 0)</f>
        <v>123000</v>
      </c>
      <c r="D88" s="36">
        <f>SUMPRODUCT(表_昆仑1到15段保底31[[#This Row],[昆仑珠]:[列12]],表_昆仑1到15段保底31[[#Totals],[昆仑珠]:[列12]])+表_昆仑1到15段保底31[[#This Row],[手续费(J)]]*折扣</f>
        <v>4375.7506451612899</v>
      </c>
      <c r="E88" s="36">
        <f>SUMPRODUCT(表_昆仑1到15段保底31[[#This Row],[破天武魂神物]:[列16]],表_昆仑1到15段保底31[[#Totals],[破天武魂神物]:[列16]])</f>
        <v>24000</v>
      </c>
      <c r="F88" s="40" t="s">
        <v>217</v>
      </c>
      <c r="G88" s="11">
        <v>175</v>
      </c>
      <c r="H88" s="11">
        <v>7</v>
      </c>
      <c r="I88" s="11"/>
      <c r="J88" s="11">
        <v>30</v>
      </c>
      <c r="K88" s="11">
        <v>40</v>
      </c>
      <c r="L88" s="11">
        <v>16</v>
      </c>
      <c r="M88" s="11">
        <v>4</v>
      </c>
      <c r="N88" s="11"/>
      <c r="O88" s="11"/>
      <c r="P88" s="11"/>
      <c r="Q88" s="11"/>
      <c r="R88" s="11"/>
      <c r="S88" s="30"/>
      <c r="T88" s="11">
        <v>16</v>
      </c>
      <c r="U88" s="11"/>
      <c r="V88" s="11"/>
      <c r="W88" s="11"/>
    </row>
    <row r="89" spans="1:23" ht="15" thickBot="1" x14ac:dyDescent="0.3">
      <c r="A89" t="s">
        <v>318</v>
      </c>
      <c r="B89" s="38">
        <f>表_昆仑1到15段保底31[[#This Row],[进化金币(J)]]+IF(ISNUMBER(B88), B88, 表_昆仑1到15段保底31[[#Totals],[进化阶段]])</f>
        <v>34440.878387096775</v>
      </c>
      <c r="C89" s="37">
        <f>表_昆仑1到15段保底31[[#This Row],[进化点券]]+IF(ISNUMBER(C88), C88, 0)</f>
        <v>153000</v>
      </c>
      <c r="D89" s="38">
        <f>SUMPRODUCT(表_昆仑1到15段保底31[[#This Row],[昆仑珠]:[列12]],表_昆仑1到15段保底31[[#Totals],[昆仑珠]:[列12]])+表_昆仑1到15段保底31[[#This Row],[手续费(J)]]*折扣</f>
        <v>4572.5006451612899</v>
      </c>
      <c r="E89" s="38">
        <f>SUMPRODUCT(表_昆仑1到15段保底31[[#This Row],[破天武魂神物]:[列16]],表_昆仑1到15段保底31[[#Totals],[破天武魂神物]:[列16]])</f>
        <v>30000</v>
      </c>
      <c r="F89" s="67" t="s">
        <v>218</v>
      </c>
      <c r="G89" s="25">
        <v>200</v>
      </c>
      <c r="H89" s="25">
        <v>10</v>
      </c>
      <c r="I89" s="25"/>
      <c r="J89" s="25">
        <v>35</v>
      </c>
      <c r="K89" s="25">
        <v>40</v>
      </c>
      <c r="L89" s="25">
        <v>16</v>
      </c>
      <c r="M89" s="25">
        <v>4</v>
      </c>
      <c r="N89" s="25"/>
      <c r="O89" s="25"/>
      <c r="P89" s="25"/>
      <c r="Q89" s="25"/>
      <c r="R89" s="25"/>
      <c r="S89" s="31"/>
      <c r="T89" s="25">
        <v>20</v>
      </c>
      <c r="U89" s="25"/>
      <c r="V89" s="25"/>
      <c r="W89" s="25"/>
    </row>
    <row r="90" spans="1:23" ht="15" thickTop="1" x14ac:dyDescent="0.25">
      <c r="B90" s="72">
        <f>SUBTOTAL(104,表_昆仑1到15段保底31[累计金币(J)])</f>
        <v>34440.878387096775</v>
      </c>
      <c r="C90" s="72">
        <f>SUBTOTAL(104,表_昆仑1到15段保底31[累计点券])</f>
        <v>153000</v>
      </c>
      <c r="D90" s="73">
        <f>SUBTOTAL(109,表_昆仑1到15段保底31[进化金币(J)])</f>
        <v>32440.878387096771</v>
      </c>
      <c r="E90" s="74">
        <f>SUBTOTAL(109,表_昆仑1到15段保底31[进化点券])</f>
        <v>153000</v>
      </c>
      <c r="F90" s="88" t="s">
        <v>227</v>
      </c>
      <c r="G90" s="76" t="s">
        <v>190</v>
      </c>
      <c r="H90" s="77">
        <f xml:space="preserve"> _xlfn.IFNA(VLOOKUP(表_昆仑1到15段保底31[[#Headers],[昆仑珠]],金价一览,2,0), 0)</f>
        <v>26</v>
      </c>
      <c r="I90" s="77">
        <f xml:space="preserve"> _xlfn.IFNA(VLOOKUP(表_昆仑1到15段保底31[[#Headers],[太阳珠]],金价一览,2,0), 0)</f>
        <v>1.5</v>
      </c>
      <c r="J90" s="77">
        <f xml:space="preserve"> _xlfn.IFNA(VLOOKUP(表_昆仑1到15段保底31[[#Headers],[天元结晶]],金价一览,2,0), 0)</f>
        <v>20</v>
      </c>
      <c r="K90" s="77">
        <f xml:space="preserve"> _xlfn.IFNA(VLOOKUP(表_昆仑1到15段保底31[[#Headers],[月石]],金价一览,2,0), 0)</f>
        <v>1.35</v>
      </c>
      <c r="L90" s="77">
        <f xml:space="preserve"> _xlfn.IFNA(VLOOKUP(表_昆仑1到15段保底31[[#Headers],[高级进化石]],金价一览,2,0), 0)</f>
        <v>187.28129032258065</v>
      </c>
      <c r="M90" s="77">
        <f xml:space="preserve"> _xlfn.IFNA(VLOOKUP(表_昆仑1到15段保底31[[#Headers],[黑风魂]],金价一览,2,0), 0)</f>
        <v>103</v>
      </c>
      <c r="N90" s="77">
        <f xml:space="preserve"> _xlfn.IFNA(VLOOKUP(表_昆仑1到15段保底31[[#Headers],[列7]],金价一览,2,0), 0)</f>
        <v>0</v>
      </c>
      <c r="O90" s="77">
        <f xml:space="preserve"> _xlfn.IFNA(VLOOKUP(表_昆仑1到15段保底31[[#Headers],[列8]],金价一览,2,0), 0)</f>
        <v>0</v>
      </c>
      <c r="P90" s="77">
        <f xml:space="preserve"> _xlfn.IFNA(VLOOKUP(表_昆仑1到15段保底31[[#Headers],[列9]],金价一览,2,0), 0)</f>
        <v>0</v>
      </c>
      <c r="Q90" s="77">
        <f xml:space="preserve"> _xlfn.IFNA(VLOOKUP(表_昆仑1到15段保底31[[#Headers],[列10]],金价一览,2,0), 0)</f>
        <v>0</v>
      </c>
      <c r="R90" s="77">
        <f xml:space="preserve"> _xlfn.IFNA(VLOOKUP(表_昆仑1到15段保底31[[#Headers],[列11]],金价一览,2,0), 0)</f>
        <v>0</v>
      </c>
      <c r="S90" s="77">
        <f xml:space="preserve"> _xlfn.IFNA(VLOOKUP(表_昆仑1到15段保底31[[#Headers],[列12]],金价一览,2,0), 0)</f>
        <v>0</v>
      </c>
      <c r="T90" s="78">
        <f>_xlfn.IFNA(VLOOKUP(表_昆仑1到15段保底31[[#Headers],[破天武魂神物]],点券一览,2,0),0)</f>
        <v>1500</v>
      </c>
      <c r="U90" s="78">
        <f>_xlfn.IFNA(VLOOKUP(表_昆仑1到15段保底31[[#Headers],[列14]],点券一览,2,0),0)</f>
        <v>0</v>
      </c>
      <c r="V90" s="78">
        <f>_xlfn.IFNA(VLOOKUP(表_昆仑1到15段保底31[[#Headers],[列15]],点券一览,2,0),0)</f>
        <v>0</v>
      </c>
      <c r="W90" s="78">
        <f>_xlfn.IFNA(VLOOKUP(表_昆仑1到15段保底31[[#Headers],[列16]],点券一览,2,0),0)</f>
        <v>0</v>
      </c>
    </row>
    <row r="91" spans="1:23" x14ac:dyDescent="0.25">
      <c r="B91" s="188" t="s">
        <v>221</v>
      </c>
      <c r="C91" s="188"/>
      <c r="D91" s="188"/>
      <c r="E91" s="188"/>
      <c r="F91" s="189"/>
      <c r="G91" s="79" t="s">
        <v>224</v>
      </c>
      <c r="H91" s="52">
        <f>SUM(表_昆仑1到15段保底31[[#Data],[昆仑珠]])</f>
        <v>80</v>
      </c>
      <c r="I91" s="52">
        <f>SUM(表_昆仑1到15段保底31[[#Data],[太阳珠]])</f>
        <v>96</v>
      </c>
      <c r="J91" s="52">
        <f>SUM(表_昆仑1到15段保底31[[#Data],[天元结晶]])</f>
        <v>465</v>
      </c>
      <c r="K91" s="52">
        <f>SUM(表_昆仑1到15段保底31[[#Data],[月石]])</f>
        <v>510</v>
      </c>
      <c r="L91" s="52">
        <f>SUM(表_昆仑1到15段保底31[[#Data],[高级进化石]])</f>
        <v>84</v>
      </c>
      <c r="M91" s="52">
        <f>SUM(表_昆仑1到15段保底31[[#Data],[黑风魂]])</f>
        <v>26</v>
      </c>
      <c r="N91" s="52">
        <f>SUM(表_昆仑1到15段保底31[[#Data],[列7]])</f>
        <v>0</v>
      </c>
      <c r="O91" s="52">
        <f>SUM(表_昆仑1到15段保底31[[#Data],[列8]])</f>
        <v>0</v>
      </c>
      <c r="P91" s="52">
        <f>SUM(表_昆仑1到15段保底31[[#Data],[列9]])</f>
        <v>0</v>
      </c>
      <c r="Q91" s="52">
        <f>SUM(表_昆仑1到15段保底31[[#Data],[列10]])</f>
        <v>0</v>
      </c>
      <c r="R91" s="52">
        <f>SUM(表_昆仑1到15段保底31[[#Data],[列11]])</f>
        <v>0</v>
      </c>
      <c r="S91" s="52">
        <f>SUM(表_昆仑1到15段保底31[[#Data],[列12]])</f>
        <v>0</v>
      </c>
      <c r="T91" s="52">
        <f>SUM(表_昆仑1到15段保底31[[#Data],[破天武魂神物]])</f>
        <v>102</v>
      </c>
      <c r="U91" s="52">
        <f>SUM(表_昆仑1到15段保底31[[#Data],[列14]])</f>
        <v>0</v>
      </c>
      <c r="V91" s="52">
        <f>SUM(表_昆仑1到15段保底31[[#Data],[列15]])</f>
        <v>0</v>
      </c>
      <c r="W91" s="52">
        <f>SUM(表_昆仑1到15段保底31[[#Data],[列16]])</f>
        <v>0</v>
      </c>
    </row>
    <row r="92" spans="1:23" x14ac:dyDescent="0.25">
      <c r="B92" s="188"/>
      <c r="C92" s="188"/>
      <c r="D92" s="188"/>
      <c r="E92" s="188"/>
      <c r="F92" s="189"/>
      <c r="G92" s="80" t="s">
        <v>223</v>
      </c>
      <c r="H92" s="52">
        <f>H91*表_昆仑1到15段保底31[[#Totals],[昆仑珠]]</f>
        <v>2080</v>
      </c>
      <c r="I92" s="52">
        <f>I91*表_昆仑1到15段保底31[[#Totals],[太阳珠]]</f>
        <v>144</v>
      </c>
      <c r="J92" s="52">
        <f>J91*表_昆仑1到15段保底31[[#Totals],[天元结晶]]</f>
        <v>9300</v>
      </c>
      <c r="K92" s="52">
        <f>K91*表_昆仑1到15段保底31[[#Totals],[月石]]</f>
        <v>688.5</v>
      </c>
      <c r="L92" s="52">
        <f>L91*表_昆仑1到15段保底31[[#Totals],[高级进化石]]</f>
        <v>15731.628387096775</v>
      </c>
      <c r="M92" s="52">
        <f>M91*表_昆仑1到15段保底31[[#Totals],[黑风魂]]</f>
        <v>2678</v>
      </c>
      <c r="N92" s="52">
        <f>N91*表_昆仑1到15段保底31[[#Totals],[列7]]</f>
        <v>0</v>
      </c>
      <c r="O92" s="52">
        <f>O91*表_昆仑1到15段保底31[[#Totals],[列8]]</f>
        <v>0</v>
      </c>
      <c r="P92" s="52">
        <f>P91*表_昆仑1到15段保底31[[#Totals],[列9]]</f>
        <v>0</v>
      </c>
      <c r="Q92" s="52">
        <f>Q91*表_昆仑1到15段保底31[[#Totals],[列10]]</f>
        <v>0</v>
      </c>
      <c r="R92" s="52">
        <f>R91*表_昆仑1到15段保底31[[#Totals],[列11]]</f>
        <v>0</v>
      </c>
      <c r="S92" s="52">
        <f>S91*表_昆仑1到15段保底31[[#Totals],[列12]]</f>
        <v>0</v>
      </c>
      <c r="T92" s="52">
        <f>T91*表_昆仑1到15段保底31[[#Totals],[破天武魂神物]]</f>
        <v>153000</v>
      </c>
      <c r="U92" s="52">
        <f>U91*表_昆仑1到15段保底31[[#Totals],[列14]]</f>
        <v>0</v>
      </c>
      <c r="V92" s="52">
        <f>V91*表_昆仑1到15段保底31[[#Totals],[列15]]</f>
        <v>0</v>
      </c>
      <c r="W92" s="52">
        <f>W91*表_昆仑1到15段保底31[[#Totals],[列16]]</f>
        <v>0</v>
      </c>
    </row>
    <row r="95" spans="1:23" x14ac:dyDescent="0.25">
      <c r="B95" s="28" t="s">
        <v>244</v>
      </c>
      <c r="H95" s="43" t="s">
        <v>212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42" t="s">
        <v>211</v>
      </c>
      <c r="U95" s="41"/>
      <c r="V95" s="41"/>
      <c r="W95" s="41"/>
    </row>
    <row r="96" spans="1:23" ht="34.200000000000003" customHeight="1" thickBot="1" x14ac:dyDescent="0.3">
      <c r="B96" s="57" t="s">
        <v>187</v>
      </c>
      <c r="C96" s="57" t="s">
        <v>186</v>
      </c>
      <c r="D96" s="58" t="s">
        <v>252</v>
      </c>
      <c r="E96" s="58" t="s">
        <v>254</v>
      </c>
      <c r="F96" s="58" t="s">
        <v>181</v>
      </c>
      <c r="G96" s="58" t="s">
        <v>185</v>
      </c>
      <c r="H96" s="59" t="s">
        <v>133</v>
      </c>
      <c r="I96" s="60" t="s">
        <v>122</v>
      </c>
      <c r="J96" s="60" t="s">
        <v>129</v>
      </c>
      <c r="K96" s="60" t="s">
        <v>3</v>
      </c>
      <c r="L96" s="60" t="s">
        <v>134</v>
      </c>
      <c r="M96" s="60" t="s">
        <v>200</v>
      </c>
      <c r="N96" s="60" t="s">
        <v>201</v>
      </c>
      <c r="O96" s="60" t="s">
        <v>202</v>
      </c>
      <c r="P96" s="60" t="s">
        <v>203</v>
      </c>
      <c r="Q96" s="60" t="s">
        <v>204</v>
      </c>
      <c r="R96" s="60" t="s">
        <v>205</v>
      </c>
      <c r="S96" s="61" t="s">
        <v>206</v>
      </c>
      <c r="T96" s="62" t="s">
        <v>151</v>
      </c>
      <c r="U96" s="62" t="s">
        <v>208</v>
      </c>
      <c r="V96" s="62" t="s">
        <v>209</v>
      </c>
      <c r="W96" s="62" t="s">
        <v>210</v>
      </c>
    </row>
    <row r="97" spans="2:23" ht="15" thickTop="1" x14ac:dyDescent="0.25">
      <c r="B97" s="55"/>
      <c r="C97" s="54"/>
      <c r="D97" s="55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930.28129032258062</v>
      </c>
      <c r="E97" s="55">
        <f>SUMPRODUCT(表_武器进化32[[#This Row],[建元武魂神物]:[列16]],表_武器进化32[[#Totals],[建元武魂神物]:[列16]])</f>
        <v>31500</v>
      </c>
      <c r="F97" s="56" t="s">
        <v>132</v>
      </c>
      <c r="G97" s="34">
        <v>100</v>
      </c>
      <c r="H97" s="34">
        <v>14</v>
      </c>
      <c r="I97" s="34">
        <v>7</v>
      </c>
      <c r="J97" s="34">
        <v>14</v>
      </c>
      <c r="K97" s="34">
        <v>10</v>
      </c>
      <c r="L97" s="34">
        <v>1</v>
      </c>
      <c r="M97" s="34"/>
      <c r="N97" s="34"/>
      <c r="O97" s="34"/>
      <c r="P97" s="34"/>
      <c r="Q97" s="34"/>
      <c r="R97" s="34"/>
      <c r="S97" s="32"/>
      <c r="T97" s="34">
        <v>21</v>
      </c>
      <c r="U97" s="34"/>
      <c r="V97" s="34"/>
      <c r="W97" s="34"/>
    </row>
    <row r="98" spans="2:23" x14ac:dyDescent="0.25">
      <c r="B98" s="36"/>
      <c r="C98" s="35"/>
      <c r="D98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873.78129032258062</v>
      </c>
      <c r="E98" s="36">
        <f>SUMPRODUCT(表_武器进化32[[#This Row],[建元武魂神物]:[列16]],表_武器进化32[[#Totals],[建元武魂神物]:[列16]])</f>
        <v>22500</v>
      </c>
      <c r="F98" s="39" t="s">
        <v>139</v>
      </c>
      <c r="G98" s="11">
        <v>100</v>
      </c>
      <c r="H98" s="11">
        <v>13</v>
      </c>
      <c r="I98" s="11"/>
      <c r="J98" s="11">
        <v>13</v>
      </c>
      <c r="K98" s="11">
        <v>10</v>
      </c>
      <c r="L98" s="11">
        <v>1</v>
      </c>
      <c r="M98" s="11"/>
      <c r="N98" s="11"/>
      <c r="O98" s="11"/>
      <c r="P98" s="11"/>
      <c r="Q98" s="11"/>
      <c r="R98" s="11"/>
      <c r="S98" s="30"/>
      <c r="T98" s="34">
        <v>15</v>
      </c>
      <c r="U98" s="34"/>
      <c r="V98" s="34"/>
      <c r="W98" s="34"/>
    </row>
    <row r="99" spans="2:23" x14ac:dyDescent="0.25">
      <c r="B99" s="36"/>
      <c r="C99" s="35"/>
      <c r="D99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459.78129032258062</v>
      </c>
      <c r="E99" s="36">
        <f>SUMPRODUCT(表_武器进化32[[#This Row],[建元武魂神物]:[列16]],表_武器进化32[[#Totals],[建元武魂神物]:[列16]])</f>
        <v>9000</v>
      </c>
      <c r="F99" s="39" t="s">
        <v>140</v>
      </c>
      <c r="G99" s="11">
        <v>100</v>
      </c>
      <c r="H99" s="11">
        <v>4</v>
      </c>
      <c r="I99" s="11"/>
      <c r="J99" s="11">
        <v>4</v>
      </c>
      <c r="K99" s="11">
        <v>10</v>
      </c>
      <c r="L99" s="11">
        <v>1</v>
      </c>
      <c r="M99" s="11"/>
      <c r="N99" s="11"/>
      <c r="O99" s="11"/>
      <c r="P99" s="11"/>
      <c r="Q99" s="11"/>
      <c r="R99" s="11"/>
      <c r="S99" s="30"/>
      <c r="T99" s="34">
        <v>6</v>
      </c>
      <c r="U99" s="34"/>
      <c r="V99" s="34"/>
      <c r="W99" s="34"/>
    </row>
    <row r="100" spans="2:23" x14ac:dyDescent="0.25">
      <c r="B100" s="36"/>
      <c r="C100" s="35"/>
      <c r="D100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0" s="36">
        <f>SUMPRODUCT(表_武器进化32[[#This Row],[建元武魂神物]:[列16]],表_武器进化32[[#Totals],[建元武魂神物]:[列16]])</f>
        <v>0</v>
      </c>
      <c r="F100" s="4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30"/>
      <c r="T100" s="11"/>
      <c r="U100" s="11"/>
      <c r="V100" s="11"/>
      <c r="W100" s="11"/>
    </row>
    <row r="101" spans="2:23" x14ac:dyDescent="0.25">
      <c r="B101" s="36"/>
      <c r="C101" s="35"/>
      <c r="D101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1" s="36">
        <f>SUMPRODUCT(表_武器进化32[[#This Row],[建元武魂神物]:[列16]],表_武器进化32[[#Totals],[建元武魂神物]:[列16]])</f>
        <v>0</v>
      </c>
      <c r="F101" s="4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30"/>
      <c r="T101" s="11"/>
      <c r="U101" s="11"/>
      <c r="V101" s="11"/>
      <c r="W101" s="11"/>
    </row>
    <row r="102" spans="2:23" x14ac:dyDescent="0.25">
      <c r="B102" s="36"/>
      <c r="C102" s="35"/>
      <c r="D102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2" s="36">
        <f>SUMPRODUCT(表_武器进化32[[#This Row],[建元武魂神物]:[列16]],表_武器进化32[[#Totals],[建元武魂神物]:[列16]])</f>
        <v>0</v>
      </c>
      <c r="F102" s="4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30"/>
      <c r="T102" s="11"/>
      <c r="U102" s="11"/>
      <c r="V102" s="11"/>
      <c r="W102" s="11"/>
    </row>
    <row r="103" spans="2:23" x14ac:dyDescent="0.25">
      <c r="B103" s="36"/>
      <c r="C103" s="35"/>
      <c r="D103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3" s="36">
        <f>SUMPRODUCT(表_武器进化32[[#This Row],[建元武魂神物]:[列16]],表_武器进化32[[#Totals],[建元武魂神物]:[列16]])</f>
        <v>0</v>
      </c>
      <c r="F103" s="4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30"/>
      <c r="T103" s="11"/>
      <c r="U103" s="11"/>
      <c r="V103" s="11"/>
      <c r="W103" s="11"/>
    </row>
    <row r="104" spans="2:23" x14ac:dyDescent="0.25">
      <c r="B104" s="36"/>
      <c r="C104" s="35"/>
      <c r="D104" s="36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4" s="36">
        <f>SUMPRODUCT(表_武器进化32[[#This Row],[建元武魂神物]:[列16]],表_武器进化32[[#Totals],[建元武魂神物]:[列16]])</f>
        <v>0</v>
      </c>
      <c r="F104" s="4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30"/>
      <c r="T104" s="11"/>
      <c r="U104" s="11"/>
      <c r="V104" s="11"/>
      <c r="W104" s="11"/>
    </row>
    <row r="105" spans="2:23" ht="15" thickBot="1" x14ac:dyDescent="0.3">
      <c r="B105" s="38"/>
      <c r="C105" s="37"/>
      <c r="D105" s="38">
        <f>SUMPRODUCT(表_武器进化32[[#This Row],[昆仑珠]:[列12]],表_武器进化32[[#Totals],[昆仑珠]:[列12]])+表_武器进化32[[#This Row],[手续费(J)]]*折扣+IF(表_武器进化32[[#This Row],[进化阶段]]="1段-&gt;2段",表_武器进化32[[#Totals],[进化阶段]],0)</f>
        <v>0</v>
      </c>
      <c r="E105" s="38">
        <f>SUMPRODUCT(表_武器进化32[[#This Row],[建元武魂神物]:[列16]],表_武器进化32[[#Totals],[建元武魂神物]:[列16]])</f>
        <v>0</v>
      </c>
      <c r="F105" s="6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31"/>
      <c r="T105" s="25"/>
      <c r="U105" s="25"/>
      <c r="V105" s="25"/>
      <c r="W105" s="25"/>
    </row>
    <row r="106" spans="2:23" ht="15" thickTop="1" x14ac:dyDescent="0.25">
      <c r="B106" s="72">
        <f>SUBTOTAL(104,表_武器进化32[累计金币(J)])</f>
        <v>0</v>
      </c>
      <c r="C106" s="72">
        <f>SUBTOTAL(104,表_武器进化32[累计点券])</f>
        <v>0</v>
      </c>
      <c r="D106" s="73">
        <f>SUBTOTAL(109,表_武器进化32[进化金币(J)])</f>
        <v>2263.8438709677421</v>
      </c>
      <c r="E106" s="74">
        <f>SUBTOTAL(109,表_武器进化32[进化点券])</f>
        <v>63000</v>
      </c>
      <c r="F106" s="97"/>
      <c r="G106" s="76" t="s">
        <v>190</v>
      </c>
      <c r="H106" s="77">
        <f xml:space="preserve"> _xlfn.IFNA(VLOOKUP(表_武器进化32[[#Headers],[昆仑珠]],金价一览,2,0), 0)</f>
        <v>26</v>
      </c>
      <c r="I106" s="77">
        <f xml:space="preserve"> _xlfn.IFNA(VLOOKUP(表_武器进化32[[#Headers],[太阳珠]],金价一览,2,0), 0)</f>
        <v>1.5</v>
      </c>
      <c r="J106" s="77">
        <f xml:space="preserve"> _xlfn.IFNA(VLOOKUP(表_武器进化32[[#Headers],[天元结晶]],金价一览,2,0), 0)</f>
        <v>20</v>
      </c>
      <c r="K106" s="77">
        <f xml:space="preserve"> _xlfn.IFNA(VLOOKUP(表_武器进化32[[#Headers],[月石]],金价一览,2,0), 0)</f>
        <v>1.35</v>
      </c>
      <c r="L106" s="77">
        <f xml:space="preserve"> _xlfn.IFNA(VLOOKUP(表_武器进化32[[#Headers],[高级进化石]],金价一览,2,0), 0)</f>
        <v>187.28129032258065</v>
      </c>
      <c r="M106" s="77">
        <f xml:space="preserve"> _xlfn.IFNA(VLOOKUP(表_武器进化32[[#Headers],[列6]],金价一览,2,0), 0)</f>
        <v>0</v>
      </c>
      <c r="N106" s="77">
        <f xml:space="preserve"> _xlfn.IFNA(VLOOKUP(表_武器进化32[[#Headers],[列7]],金价一览,2,0), 0)</f>
        <v>0</v>
      </c>
      <c r="O106" s="77">
        <f xml:space="preserve"> _xlfn.IFNA(VLOOKUP(表_武器进化32[[#Headers],[列8]],金价一览,2,0), 0)</f>
        <v>0</v>
      </c>
      <c r="P106" s="77">
        <f xml:space="preserve"> _xlfn.IFNA(VLOOKUP(表_武器进化32[[#Headers],[列9]],金价一览,2,0), 0)</f>
        <v>0</v>
      </c>
      <c r="Q106" s="77">
        <f xml:space="preserve"> _xlfn.IFNA(VLOOKUP(表_武器进化32[[#Headers],[列10]],金价一览,2,0), 0)</f>
        <v>0</v>
      </c>
      <c r="R106" s="77">
        <f xml:space="preserve"> _xlfn.IFNA(VLOOKUP(表_武器进化32[[#Headers],[列11]],金价一览,2,0), 0)</f>
        <v>0</v>
      </c>
      <c r="S106" s="77">
        <f xml:space="preserve"> _xlfn.IFNA(VLOOKUP(表_武器进化32[[#Headers],[列12]],金价一览,2,0), 0)</f>
        <v>0</v>
      </c>
      <c r="T106" s="78">
        <f>_xlfn.IFNA(VLOOKUP(表_武器进化32[[#Headers],[建元武魂神物]],点券一览,2,0),0)</f>
        <v>1500</v>
      </c>
      <c r="U106" s="78">
        <f>_xlfn.IFNA(VLOOKUP(表_武器进化32[[#Headers],[列14]],点券一览,2,0),0)</f>
        <v>0</v>
      </c>
      <c r="V106" s="78">
        <f>_xlfn.IFNA(VLOOKUP(表_武器进化32[[#Headers],[列15]],点券一览,2,0),0)</f>
        <v>0</v>
      </c>
      <c r="W106" s="78">
        <f>_xlfn.IFNA(VLOOKUP(表_武器进化32[[#Headers],[列16]],点券一览,2,0),0)</f>
        <v>0</v>
      </c>
    </row>
    <row r="107" spans="2:23" x14ac:dyDescent="0.25">
      <c r="B107" s="188" t="s">
        <v>221</v>
      </c>
      <c r="C107" s="188"/>
      <c r="D107" s="188"/>
      <c r="E107" s="188"/>
      <c r="F107" s="189"/>
      <c r="G107" s="79" t="s">
        <v>224</v>
      </c>
      <c r="H107" s="52">
        <f>SUM(表_武器进化32[[#Data],[昆仑珠]])</f>
        <v>31</v>
      </c>
      <c r="I107" s="52">
        <f>SUM(表_武器进化32[[#Data],[太阳珠]])</f>
        <v>7</v>
      </c>
      <c r="J107" s="52">
        <f>SUM(表_武器进化32[[#Data],[天元结晶]])</f>
        <v>31</v>
      </c>
      <c r="K107" s="52">
        <f>SUM(表_武器进化32[[#Data],[月石]])</f>
        <v>30</v>
      </c>
      <c r="L107" s="52">
        <f>SUM(表_武器进化32[[#Data],[高级进化石]])</f>
        <v>3</v>
      </c>
      <c r="M107" s="52">
        <f>SUM(表_武器进化32[[#Data],[列6]])</f>
        <v>0</v>
      </c>
      <c r="N107" s="52">
        <f>SUM(表_武器进化32[[#Data],[列7]])</f>
        <v>0</v>
      </c>
      <c r="O107" s="52">
        <f>SUM(表_武器进化32[[#Data],[列8]])</f>
        <v>0</v>
      </c>
      <c r="P107" s="52">
        <f>SUM(表_武器进化32[[#Data],[列9]])</f>
        <v>0</v>
      </c>
      <c r="Q107" s="52">
        <f>SUM(表_武器进化32[[#Data],[列10]])</f>
        <v>0</v>
      </c>
      <c r="R107" s="52">
        <f>SUM(表_武器进化32[[#Data],[列11]])</f>
        <v>0</v>
      </c>
      <c r="S107" s="52">
        <f>SUM(表_武器进化32[[#Data],[列12]])</f>
        <v>0</v>
      </c>
      <c r="T107" s="52">
        <f>SUM(表_武器进化32[[#Data],[建元武魂神物]])</f>
        <v>42</v>
      </c>
      <c r="U107" s="52">
        <f>SUM(表_武器进化32[[#Data],[列14]])</f>
        <v>0</v>
      </c>
      <c r="V107" s="52">
        <f>SUM(表_武器进化32[[#Data],[列15]])</f>
        <v>0</v>
      </c>
      <c r="W107" s="52">
        <f>SUM(表_武器进化32[[#Data],[列16]])</f>
        <v>0</v>
      </c>
    </row>
    <row r="108" spans="2:23" x14ac:dyDescent="0.25">
      <c r="B108" s="188"/>
      <c r="C108" s="188"/>
      <c r="D108" s="188"/>
      <c r="E108" s="188"/>
      <c r="F108" s="189"/>
      <c r="G108" s="80" t="s">
        <v>223</v>
      </c>
      <c r="H108" s="52">
        <f>H107*表_武器进化32[[#Totals],[昆仑珠]]</f>
        <v>806</v>
      </c>
      <c r="I108" s="52">
        <f>I107*表_武器进化32[[#Totals],[太阳珠]]</f>
        <v>10.5</v>
      </c>
      <c r="J108" s="52">
        <f>J107*表_武器进化32[[#Totals],[天元结晶]]</f>
        <v>620</v>
      </c>
      <c r="K108" s="52">
        <f>K107*表_武器进化32[[#Totals],[月石]]</f>
        <v>40.5</v>
      </c>
      <c r="L108" s="52">
        <f>L107*表_武器进化32[[#Totals],[高级进化石]]</f>
        <v>561.84387096774196</v>
      </c>
      <c r="M108" s="52">
        <f>M107*表_武器进化32[[#Totals],[列6]]</f>
        <v>0</v>
      </c>
      <c r="N108" s="52">
        <f>N107*表_武器进化32[[#Totals],[列7]]</f>
        <v>0</v>
      </c>
      <c r="O108" s="52">
        <f>O107*表_武器进化32[[#Totals],[列8]]</f>
        <v>0</v>
      </c>
      <c r="P108" s="52">
        <f>P107*表_武器进化32[[#Totals],[列9]]</f>
        <v>0</v>
      </c>
      <c r="Q108" s="52">
        <f>Q107*表_武器进化32[[#Totals],[列10]]</f>
        <v>0</v>
      </c>
      <c r="R108" s="52">
        <f>R107*表_武器进化32[[#Totals],[列11]]</f>
        <v>0</v>
      </c>
      <c r="S108" s="52">
        <f>S107*表_武器进化32[[#Totals],[列12]]</f>
        <v>0</v>
      </c>
      <c r="T108" s="52">
        <f>T107*表_武器进化32[[#Totals],[建元武魂神物]]</f>
        <v>63000</v>
      </c>
      <c r="U108" s="52">
        <f>U107*表_武器进化32[[#Totals],[列14]]</f>
        <v>0</v>
      </c>
      <c r="V108" s="52">
        <f>V107*表_武器进化32[[#Totals],[列15]]</f>
        <v>0</v>
      </c>
      <c r="W108" s="52">
        <f>W107*表_武器进化32[[#Totals],[列16]]</f>
        <v>0</v>
      </c>
    </row>
  </sheetData>
  <mergeCells count="7">
    <mergeCell ref="B107:F108"/>
    <mergeCell ref="B19:F20"/>
    <mergeCell ref="B29:F30"/>
    <mergeCell ref="B39:F40"/>
    <mergeCell ref="B49:F50"/>
    <mergeCell ref="B70:F71"/>
    <mergeCell ref="B91:F92"/>
  </mergeCells>
  <phoneticPr fontId="10" type="noConversion"/>
  <conditionalFormatting sqref="H3:S3">
    <cfRule type="containsText" dxfId="669" priority="14" operator="containsText" text="列">
      <formula>NOT(ISERROR(SEARCH("列",H3)))</formula>
    </cfRule>
  </conditionalFormatting>
  <conditionalFormatting sqref="T3:W3">
    <cfRule type="containsText" dxfId="668" priority="13" operator="containsText" text="列">
      <formula>NOT(ISERROR(SEARCH("列",T3)))</formula>
    </cfRule>
  </conditionalFormatting>
  <conditionalFormatting sqref="H34:S34">
    <cfRule type="containsText" dxfId="667" priority="12" operator="containsText" text="列">
      <formula>NOT(ISERROR(SEARCH("列",H34)))</formula>
    </cfRule>
  </conditionalFormatting>
  <conditionalFormatting sqref="T34:W34">
    <cfRule type="containsText" dxfId="666" priority="11" operator="containsText" text="列">
      <formula>NOT(ISERROR(SEARCH("列",T34)))</formula>
    </cfRule>
  </conditionalFormatting>
  <conditionalFormatting sqref="H45:S45">
    <cfRule type="containsText" dxfId="665" priority="10" operator="containsText" text="列">
      <formula>NOT(ISERROR(SEARCH("列",H45)))</formula>
    </cfRule>
  </conditionalFormatting>
  <conditionalFormatting sqref="T45:W45">
    <cfRule type="containsText" dxfId="664" priority="9" operator="containsText" text="列">
      <formula>NOT(ISERROR(SEARCH("列",T45)))</formula>
    </cfRule>
  </conditionalFormatting>
  <conditionalFormatting sqref="H24:S24">
    <cfRule type="containsText" dxfId="663" priority="8" operator="containsText" text="列">
      <formula>NOT(ISERROR(SEARCH("列",H24)))</formula>
    </cfRule>
  </conditionalFormatting>
  <conditionalFormatting sqref="T24:W24">
    <cfRule type="containsText" dxfId="662" priority="7" operator="containsText" text="列">
      <formula>NOT(ISERROR(SEARCH("列",T24)))</formula>
    </cfRule>
  </conditionalFormatting>
  <conditionalFormatting sqref="H54:S54">
    <cfRule type="containsText" dxfId="661" priority="6" operator="containsText" text="列">
      <formula>NOT(ISERROR(SEARCH("列",H54)))</formula>
    </cfRule>
  </conditionalFormatting>
  <conditionalFormatting sqref="T54:W54">
    <cfRule type="containsText" dxfId="660" priority="5" operator="containsText" text="列">
      <formula>NOT(ISERROR(SEARCH("列",T54)))</formula>
    </cfRule>
  </conditionalFormatting>
  <conditionalFormatting sqref="H75:S75">
    <cfRule type="containsText" dxfId="659" priority="4" operator="containsText" text="列">
      <formula>NOT(ISERROR(SEARCH("列",H75)))</formula>
    </cfRule>
  </conditionalFormatting>
  <conditionalFormatting sqref="T75:W75">
    <cfRule type="containsText" dxfId="658" priority="3" operator="containsText" text="列">
      <formula>NOT(ISERROR(SEARCH("列",T75)))</formula>
    </cfRule>
  </conditionalFormatting>
  <conditionalFormatting sqref="H96:S96">
    <cfRule type="containsText" dxfId="657" priority="2" operator="containsText" text="列">
      <formula>NOT(ISERROR(SEARCH("列",H96)))</formula>
    </cfRule>
  </conditionalFormatting>
  <conditionalFormatting sqref="T96:W96">
    <cfRule type="containsText" dxfId="656" priority="1" operator="containsText" text="列">
      <formula>NOT(ISERROR(SEARCH("列",T96)))</formula>
    </cfRule>
  </conditionalFormatting>
  <dataValidations count="2">
    <dataValidation type="list" allowBlank="1" showInputMessage="1" showErrorMessage="1" sqref="T3:W3 T34:W34 T45:W45 T24:W24 T54:W54 T75:W75 T96:W96">
      <formula1>神物名</formula1>
    </dataValidation>
    <dataValidation type="list" allowBlank="1" showInputMessage="1" showErrorMessage="1" error="不存在的材料名" sqref="H3:S3 H34:S34 H45:S45 H24:S24 H54:S54 H75:S75 H96:S96">
      <formula1>材料名</formula1>
    </dataValidation>
  </dataValidations>
  <pageMargins left="0.7" right="0.7" top="0.75" bottom="0.75" header="0.3" footer="0.3"/>
  <pageSetup paperSize="9" orientation="portrait" r:id="rId1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03"/>
  <sheetViews>
    <sheetView workbookViewId="0">
      <pane xSplit="6" topLeftCell="H1" activePane="topRight" state="frozen"/>
      <selection pane="topRight" activeCell="E22" sqref="E22"/>
    </sheetView>
  </sheetViews>
  <sheetFormatPr defaultColWidth="13.6640625" defaultRowHeight="14.4" outlineLevelCol="1" x14ac:dyDescent="0.25"/>
  <cols>
    <col min="1" max="1" width="9" customWidth="1"/>
    <col min="2" max="2" width="8.88671875" customWidth="1"/>
    <col min="6" max="6" width="19.77734375" customWidth="1"/>
    <col min="14" max="14" width="13.6640625" customWidth="1"/>
    <col min="15" max="19" width="13.6640625" hidden="1" customWidth="1" outlineLevel="1"/>
    <col min="20" max="20" width="13.6640625" collapsed="1"/>
    <col min="21" max="21" width="13.6640625" customWidth="1"/>
    <col min="22" max="23" width="13.6640625" hidden="1" customWidth="1" outlineLevel="1"/>
    <col min="24" max="24" width="13.6640625" collapsed="1"/>
  </cols>
  <sheetData>
    <row r="2" spans="1:23" x14ac:dyDescent="0.25">
      <c r="B2" s="28" t="s">
        <v>257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98" t="s">
        <v>253</v>
      </c>
      <c r="E3" s="98" t="s">
        <v>255</v>
      </c>
      <c r="F3" s="58" t="s">
        <v>181</v>
      </c>
      <c r="G3" s="58" t="s">
        <v>185</v>
      </c>
      <c r="H3" s="59" t="s">
        <v>4</v>
      </c>
      <c r="I3" s="60" t="s">
        <v>115</v>
      </c>
      <c r="J3" s="60" t="s">
        <v>0</v>
      </c>
      <c r="K3" s="60" t="s">
        <v>3</v>
      </c>
      <c r="L3" s="60" t="s">
        <v>1</v>
      </c>
      <c r="M3" s="60" t="s">
        <v>2</v>
      </c>
      <c r="N3" s="60" t="s">
        <v>258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116</v>
      </c>
      <c r="U3" s="62" t="s">
        <v>120</v>
      </c>
      <c r="V3" s="62" t="s">
        <v>209</v>
      </c>
      <c r="W3" s="62" t="s">
        <v>210</v>
      </c>
    </row>
    <row r="4" spans="1:23" ht="15" thickTop="1" x14ac:dyDescent="0.25">
      <c r="A4" t="s">
        <v>320</v>
      </c>
      <c r="B4" s="55">
        <f>表_破天首饰必成[[#This Row],[进化金币(J)]]+IF(ISNUMBER(B3), B3, 表_破天首饰必成[[#Totals],[进化阶段]])</f>
        <v>273.14999999999998</v>
      </c>
      <c r="C4" s="54">
        <f>表_破天首饰必成[[#This Row],[进化点券]]+IF(ISNUMBER(C3), C3, 0)</f>
        <v>300</v>
      </c>
      <c r="D4" s="55">
        <f>IF(A4="○",SUMPRODUCT(表_破天首饰必成[[#This Row],[烛魔羽毛]:[列12]],表_破天首饰必成[[#Totals],[烛魔羽毛]:[列12]])+表_破天首饰必成[[#This Row],[手续费(J)]],0)</f>
        <v>173.15</v>
      </c>
      <c r="E4" s="55">
        <f>IF(A4="○",SUMPRODUCT(表_破天首饰必成[[#This Row],[高级宝玉神物]:[列16]],表_破天首饰必成[[#Totals],[高级宝玉神物]:[列16]]),0)</f>
        <v>300</v>
      </c>
      <c r="F4" s="56" t="s">
        <v>192</v>
      </c>
      <c r="G4" s="34">
        <v>30</v>
      </c>
      <c r="H4" s="34">
        <v>6</v>
      </c>
      <c r="I4" s="34">
        <v>1</v>
      </c>
      <c r="J4" s="34">
        <v>15</v>
      </c>
      <c r="K4" s="34">
        <v>15</v>
      </c>
      <c r="L4" s="34">
        <v>30</v>
      </c>
      <c r="M4" s="34">
        <v>30</v>
      </c>
      <c r="N4" s="34"/>
      <c r="O4" s="34"/>
      <c r="P4" s="34"/>
      <c r="Q4" s="34"/>
      <c r="R4" s="34"/>
      <c r="S4" s="32"/>
      <c r="T4" s="34">
        <v>2</v>
      </c>
      <c r="U4" s="34"/>
      <c r="V4" s="34"/>
      <c r="W4" s="34"/>
    </row>
    <row r="5" spans="1:23" x14ac:dyDescent="0.25">
      <c r="A5" t="s">
        <v>320</v>
      </c>
      <c r="B5" s="36">
        <f>表_破天首饰必成[[#This Row],[进化金币(J)]]+IF(ISNUMBER(B4), B4, 表_破天首饰必成[[#Totals],[进化阶段]])</f>
        <v>459.29999999999995</v>
      </c>
      <c r="C5" s="35">
        <f>表_破天首饰必成[[#This Row],[进化点券]]+IF(ISNUMBER(C4), C4, 0)</f>
        <v>900</v>
      </c>
      <c r="D5" s="36">
        <f>IF(A5="○",SUMPRODUCT(表_破天首饰必成[[#This Row],[烛魔羽毛]:[列12]],表_破天首饰必成[[#Totals],[烛魔羽毛]:[列12]])+表_破天首饰必成[[#This Row],[手续费(J)]],0)</f>
        <v>186.15</v>
      </c>
      <c r="E5" s="36">
        <f>IF(A5="○",SUMPRODUCT(表_破天首饰必成[[#This Row],[高级宝玉神物]:[列16]],表_破天首饰必成[[#Totals],[高级宝玉神物]:[列16]]),0)</f>
        <v>600</v>
      </c>
      <c r="F5" s="39" t="s">
        <v>193</v>
      </c>
      <c r="G5" s="11">
        <v>30</v>
      </c>
      <c r="H5" s="11">
        <v>8</v>
      </c>
      <c r="I5" s="11">
        <v>1</v>
      </c>
      <c r="J5" s="11">
        <v>15</v>
      </c>
      <c r="K5" s="11">
        <v>15</v>
      </c>
      <c r="L5" s="11">
        <v>30</v>
      </c>
      <c r="M5" s="11">
        <v>30</v>
      </c>
      <c r="N5" s="11"/>
      <c r="O5" s="11"/>
      <c r="P5" s="11"/>
      <c r="Q5" s="11"/>
      <c r="R5" s="11"/>
      <c r="S5" s="30"/>
      <c r="T5" s="34">
        <v>4</v>
      </c>
      <c r="U5" s="34"/>
      <c r="V5" s="34"/>
      <c r="W5" s="34"/>
    </row>
    <row r="6" spans="1:23" x14ac:dyDescent="0.25">
      <c r="A6" t="s">
        <v>320</v>
      </c>
      <c r="B6" s="36">
        <f>表_破天首饰必成[[#This Row],[进化金币(J)]]+IF(ISNUMBER(B5), B5, 表_破天首饰必成[[#Totals],[进化阶段]])</f>
        <v>676.05</v>
      </c>
      <c r="C6" s="35">
        <f>表_破天首饰必成[[#This Row],[进化点券]]+IF(ISNUMBER(C5), C5, 0)</f>
        <v>1800</v>
      </c>
      <c r="D6" s="36">
        <f>IF(A6="○",SUMPRODUCT(表_破天首饰必成[[#This Row],[烛魔羽毛]:[列12]],表_破天首饰必成[[#Totals],[烛魔羽毛]:[列12]])+表_破天首饰必成[[#This Row],[手续费(J)]],0)</f>
        <v>216.75</v>
      </c>
      <c r="E6" s="36">
        <f>IF(A6="○",SUMPRODUCT(表_破天首饰必成[[#This Row],[高级宝玉神物]:[列16]],表_破天首饰必成[[#Totals],[高级宝玉神物]:[列16]]),0)</f>
        <v>900</v>
      </c>
      <c r="F6" s="39" t="s">
        <v>194</v>
      </c>
      <c r="G6" s="11">
        <v>30</v>
      </c>
      <c r="H6" s="11">
        <v>10</v>
      </c>
      <c r="I6" s="11">
        <v>2</v>
      </c>
      <c r="J6" s="11">
        <v>15</v>
      </c>
      <c r="K6" s="11">
        <v>15</v>
      </c>
      <c r="L6" s="11">
        <v>30</v>
      </c>
      <c r="M6" s="11">
        <v>30</v>
      </c>
      <c r="N6" s="11"/>
      <c r="O6" s="11"/>
      <c r="P6" s="11"/>
      <c r="Q6" s="11"/>
      <c r="R6" s="11"/>
      <c r="S6" s="30"/>
      <c r="T6" s="34">
        <v>6</v>
      </c>
      <c r="U6" s="34"/>
      <c r="V6" s="34"/>
      <c r="W6" s="34"/>
    </row>
    <row r="7" spans="1:23" x14ac:dyDescent="0.25">
      <c r="A7" t="s">
        <v>320</v>
      </c>
      <c r="B7" s="36">
        <f>表_破天首饰必成[[#This Row],[进化金币(J)]]+IF(ISNUMBER(B6), B6, 表_破天首饰必成[[#Totals],[进化阶段]])</f>
        <v>905.8</v>
      </c>
      <c r="C7" s="35">
        <f>表_破天首饰必成[[#This Row],[进化点券]]+IF(ISNUMBER(C6), C6, 0)</f>
        <v>3300</v>
      </c>
      <c r="D7" s="36">
        <f>IF(A7="○",SUMPRODUCT(表_破天首饰必成[[#This Row],[烛魔羽毛]:[列12]],表_破天首饰必成[[#Totals],[烛魔羽毛]:[列12]])+表_破天首饰必成[[#This Row],[手续费(J)]],0)</f>
        <v>229.75</v>
      </c>
      <c r="E7" s="36">
        <f>IF(A7="○",SUMPRODUCT(表_破天首饰必成[[#This Row],[高级宝玉神物]:[列16]],表_破天首饰必成[[#Totals],[高级宝玉神物]:[列16]]),0)</f>
        <v>1500</v>
      </c>
      <c r="F7" s="39" t="s">
        <v>195</v>
      </c>
      <c r="G7" s="11">
        <v>30</v>
      </c>
      <c r="H7" s="11">
        <v>12</v>
      </c>
      <c r="I7" s="11">
        <v>2</v>
      </c>
      <c r="J7" s="11">
        <v>15</v>
      </c>
      <c r="K7" s="11">
        <v>15</v>
      </c>
      <c r="L7" s="11">
        <v>30</v>
      </c>
      <c r="M7" s="11">
        <v>30</v>
      </c>
      <c r="N7" s="11"/>
      <c r="O7" s="11"/>
      <c r="P7" s="11"/>
      <c r="Q7" s="11"/>
      <c r="R7" s="11"/>
      <c r="S7" s="30"/>
      <c r="T7" s="34">
        <v>10</v>
      </c>
      <c r="U7" s="34"/>
      <c r="V7" s="34"/>
      <c r="W7" s="34"/>
    </row>
    <row r="8" spans="1:23" x14ac:dyDescent="0.25">
      <c r="A8" t="s">
        <v>320</v>
      </c>
      <c r="B8" s="36">
        <f>表_破天首饰必成[[#This Row],[进化金币(J)]]+IF(ISNUMBER(B7), B7, 表_破天首饰必成[[#Totals],[进化阶段]])</f>
        <v>1166.1500000000001</v>
      </c>
      <c r="C8" s="35">
        <f>表_破天首饰必成[[#This Row],[进化点券]]+IF(ISNUMBER(C7), C7, 0)</f>
        <v>5550</v>
      </c>
      <c r="D8" s="36">
        <f>IF(A8="○",SUMPRODUCT(表_破天首饰必成[[#This Row],[烛魔羽毛]:[列12]],表_破天首饰必成[[#Totals],[烛魔羽毛]:[列12]])+表_破天首饰必成[[#This Row],[手续费(J)]],0)</f>
        <v>260.35000000000002</v>
      </c>
      <c r="E8" s="36">
        <f>IF(A8="○",SUMPRODUCT(表_破天首饰必成[[#This Row],[高级宝玉神物]:[列16]],表_破天首饰必成[[#Totals],[高级宝玉神物]:[列16]]),0)</f>
        <v>2250</v>
      </c>
      <c r="F8" s="39" t="s">
        <v>196</v>
      </c>
      <c r="G8" s="11">
        <v>30</v>
      </c>
      <c r="H8" s="11">
        <v>14</v>
      </c>
      <c r="I8" s="11">
        <v>3</v>
      </c>
      <c r="J8" s="11">
        <v>15</v>
      </c>
      <c r="K8" s="11">
        <v>15</v>
      </c>
      <c r="L8" s="11">
        <v>30</v>
      </c>
      <c r="M8" s="11">
        <v>30</v>
      </c>
      <c r="N8" s="11"/>
      <c r="O8" s="11"/>
      <c r="P8" s="11"/>
      <c r="Q8" s="11"/>
      <c r="R8" s="11"/>
      <c r="S8" s="30"/>
      <c r="T8" s="11">
        <v>15</v>
      </c>
      <c r="U8" s="11"/>
      <c r="V8" s="11"/>
      <c r="W8" s="11"/>
    </row>
    <row r="9" spans="1:23" x14ac:dyDescent="0.25">
      <c r="A9" t="s">
        <v>320</v>
      </c>
      <c r="B9" s="36">
        <f>表_破天首饰必成[[#This Row],[进化金币(J)]]+IF(ISNUMBER(B8), B8, 表_破天首饰必成[[#Totals],[进化阶段]])</f>
        <v>1433</v>
      </c>
      <c r="C9" s="35">
        <f>表_破天首饰必成[[#This Row],[进化点券]]+IF(ISNUMBER(C8), C8, 0)</f>
        <v>8550</v>
      </c>
      <c r="D9" s="38">
        <f>IF(A9="○",SUMPRODUCT(表_破天首饰必成[[#This Row],[烛魔羽毛]:[列12]],表_破天首饰必成[[#Totals],[烛魔羽毛]:[列12]])+表_破天首饰必成[[#This Row],[手续费(J)]],0)</f>
        <v>266.85000000000002</v>
      </c>
      <c r="E9" s="38">
        <f>IF(A9="○",SUMPRODUCT(表_破天首饰必成[[#This Row],[高级宝玉神物]:[列16]],表_破天首饰必成[[#Totals],[高级宝玉神物]:[列16]]),0)</f>
        <v>3000</v>
      </c>
      <c r="F9" s="39" t="s">
        <v>197</v>
      </c>
      <c r="G9" s="25">
        <v>30</v>
      </c>
      <c r="H9" s="25">
        <v>15</v>
      </c>
      <c r="I9" s="25">
        <v>3</v>
      </c>
      <c r="J9" s="25">
        <v>15</v>
      </c>
      <c r="K9" s="25">
        <v>15</v>
      </c>
      <c r="L9" s="25">
        <v>30</v>
      </c>
      <c r="M9" s="25">
        <v>30</v>
      </c>
      <c r="N9" s="25"/>
      <c r="O9" s="25"/>
      <c r="P9" s="25"/>
      <c r="Q9" s="25"/>
      <c r="R9" s="25"/>
      <c r="S9" s="31"/>
      <c r="T9" s="25">
        <v>20</v>
      </c>
      <c r="U9" s="25"/>
      <c r="V9" s="25"/>
      <c r="W9" s="25"/>
    </row>
    <row r="10" spans="1:23" x14ac:dyDescent="0.25">
      <c r="A10" t="s">
        <v>320</v>
      </c>
      <c r="B10" s="36">
        <f>表_破天首饰必成[[#This Row],[进化金币(J)]]+IF(ISNUMBER(B9), B9, 表_破天首饰必成[[#Totals],[进化阶段]])</f>
        <v>1699.85</v>
      </c>
      <c r="C10" s="35">
        <f>表_破天首饰必成[[#This Row],[进化点券]]+IF(ISNUMBER(C9), C9, 0)</f>
        <v>12300</v>
      </c>
      <c r="D10" s="36">
        <f>IF(A10="○",SUMPRODUCT(表_破天首饰必成[[#This Row],[烛魔羽毛]:[列12]],表_破天首饰必成[[#Totals],[烛魔羽毛]:[列12]])+表_破天首饰必成[[#This Row],[手续费(J)]],0)</f>
        <v>266.85000000000002</v>
      </c>
      <c r="E10" s="36">
        <f>IF(A10="○",SUMPRODUCT(表_破天首饰必成[[#This Row],[高级宝玉神物]:[列16]],表_破天首饰必成[[#Totals],[高级宝玉神物]:[列16]]),0)</f>
        <v>3750</v>
      </c>
      <c r="F10" s="39" t="s">
        <v>198</v>
      </c>
      <c r="G10" s="11">
        <v>30</v>
      </c>
      <c r="H10" s="11">
        <v>15</v>
      </c>
      <c r="I10" s="11">
        <v>3</v>
      </c>
      <c r="J10" s="11">
        <v>15</v>
      </c>
      <c r="K10" s="11">
        <v>15</v>
      </c>
      <c r="L10" s="11">
        <v>30</v>
      </c>
      <c r="M10" s="11">
        <v>30</v>
      </c>
      <c r="N10" s="11"/>
      <c r="O10" s="11"/>
      <c r="P10" s="11"/>
      <c r="Q10" s="11"/>
      <c r="R10" s="11"/>
      <c r="S10" s="30"/>
      <c r="T10" s="11">
        <v>25</v>
      </c>
      <c r="U10" s="11"/>
      <c r="V10" s="11"/>
      <c r="W10" s="11"/>
    </row>
    <row r="11" spans="1:23" x14ac:dyDescent="0.25">
      <c r="A11" t="s">
        <v>320</v>
      </c>
      <c r="B11" s="36">
        <f>表_破天首饰必成[[#This Row],[进化金币(J)]]+IF(ISNUMBER(B10), B10, 表_破天首饰必成[[#Totals],[进化阶段]])</f>
        <v>2127.1999999999998</v>
      </c>
      <c r="C11" s="35">
        <f>表_破天首饰必成[[#This Row],[进化点券]]+IF(ISNUMBER(C10), C10, 0)</f>
        <v>31800</v>
      </c>
      <c r="D11" s="36">
        <f>IF(A11="○",SUMPRODUCT(表_破天首饰必成[[#This Row],[烛魔羽毛]:[列12]],表_破天首饰必成[[#Totals],[烛魔羽毛]:[列12]])+表_破天首饰必成[[#This Row],[手续费(J)]],0)</f>
        <v>427.35</v>
      </c>
      <c r="E11" s="36">
        <f>IF(A11="○",SUMPRODUCT(表_破天首饰必成[[#This Row],[高级宝玉神物]:[列16]],表_破天首饰必成[[#Totals],[高级宝玉神物]:[列16]]),0)</f>
        <v>19500</v>
      </c>
      <c r="F11" s="40" t="s">
        <v>219</v>
      </c>
      <c r="G11" s="11">
        <v>45</v>
      </c>
      <c r="H11" s="11">
        <v>2</v>
      </c>
      <c r="I11" s="11">
        <v>15</v>
      </c>
      <c r="J11" s="11">
        <v>15</v>
      </c>
      <c r="K11" s="11">
        <v>30</v>
      </c>
      <c r="L11" s="11">
        <v>15</v>
      </c>
      <c r="M11" s="11">
        <v>30</v>
      </c>
      <c r="N11" s="11">
        <v>4</v>
      </c>
      <c r="O11" s="11"/>
      <c r="P11" s="11"/>
      <c r="Q11" s="11"/>
      <c r="R11" s="11"/>
      <c r="S11" s="30"/>
      <c r="T11" s="11"/>
      <c r="U11" s="11">
        <v>65</v>
      </c>
      <c r="V11" s="11"/>
      <c r="W11" s="11"/>
    </row>
    <row r="12" spans="1:23" x14ac:dyDescent="0.25">
      <c r="A12" t="s">
        <v>320</v>
      </c>
      <c r="B12" s="36">
        <f>表_破天首饰必成[[#This Row],[进化金币(J)]]+IF(ISNUMBER(B11), B11, 表_破天首饰必成[[#Totals],[进化阶段]])</f>
        <v>2554.5499999999997</v>
      </c>
      <c r="C12" s="35">
        <f>表_破天首饰必成[[#This Row],[进化点券]]+IF(ISNUMBER(C11), C11, 0)</f>
        <v>52800</v>
      </c>
      <c r="D12" s="36">
        <f>IF(A12="○",SUMPRODUCT(表_破天首饰必成[[#This Row],[烛魔羽毛]:[列12]],表_破天首饰必成[[#Totals],[烛魔羽毛]:[列12]])+表_破天首饰必成[[#This Row],[手续费(J)]],0)</f>
        <v>427.35</v>
      </c>
      <c r="E12" s="36">
        <f>IF(A12="○",SUMPRODUCT(表_破天首饰必成[[#This Row],[高级宝玉神物]:[列16]],表_破天首饰必成[[#Totals],[高级宝玉神物]:[列16]]),0)</f>
        <v>21000</v>
      </c>
      <c r="F12" s="40" t="s">
        <v>213</v>
      </c>
      <c r="G12" s="11">
        <v>45</v>
      </c>
      <c r="H12" s="11">
        <v>2</v>
      </c>
      <c r="I12" s="11">
        <v>15</v>
      </c>
      <c r="J12" s="11">
        <v>15</v>
      </c>
      <c r="K12" s="11">
        <v>30</v>
      </c>
      <c r="L12" s="11">
        <v>15</v>
      </c>
      <c r="M12" s="11">
        <v>30</v>
      </c>
      <c r="N12" s="11">
        <v>4</v>
      </c>
      <c r="O12" s="11"/>
      <c r="P12" s="11"/>
      <c r="Q12" s="11"/>
      <c r="R12" s="11"/>
      <c r="S12" s="30"/>
      <c r="T12" s="11"/>
      <c r="U12" s="11">
        <v>70</v>
      </c>
      <c r="V12" s="11"/>
      <c r="W12" s="11"/>
    </row>
    <row r="13" spans="1:23" x14ac:dyDescent="0.25">
      <c r="A13" t="s">
        <v>320</v>
      </c>
      <c r="B13" s="36">
        <f>表_破天首饰必成[[#This Row],[进化金币(J)]]+IF(ISNUMBER(B12), B12, 表_破天首饰必成[[#Totals],[进化阶段]])</f>
        <v>2981.8999999999996</v>
      </c>
      <c r="C13" s="35">
        <f>表_破天首饰必成[[#This Row],[进化点券]]+IF(ISNUMBER(C12), C12, 0)</f>
        <v>76800</v>
      </c>
      <c r="D13" s="36">
        <f>IF(A13="○",SUMPRODUCT(表_破天首饰必成[[#This Row],[烛魔羽毛]:[列12]],表_破天首饰必成[[#Totals],[烛魔羽毛]:[列12]])+表_破天首饰必成[[#This Row],[手续费(J)]],0)</f>
        <v>427.35</v>
      </c>
      <c r="E13" s="36">
        <f>IF(A13="○",SUMPRODUCT(表_破天首饰必成[[#This Row],[高级宝玉神物]:[列16]],表_破天首饰必成[[#Totals],[高级宝玉神物]:[列16]]),0)</f>
        <v>24000</v>
      </c>
      <c r="F13" s="40" t="s">
        <v>214</v>
      </c>
      <c r="G13" s="11">
        <v>45</v>
      </c>
      <c r="H13" s="11">
        <v>2</v>
      </c>
      <c r="I13" s="11">
        <v>15</v>
      </c>
      <c r="J13" s="11">
        <v>15</v>
      </c>
      <c r="K13" s="11">
        <v>30</v>
      </c>
      <c r="L13" s="11">
        <v>15</v>
      </c>
      <c r="M13" s="11">
        <v>30</v>
      </c>
      <c r="N13" s="11">
        <v>4</v>
      </c>
      <c r="O13" s="11"/>
      <c r="P13" s="11"/>
      <c r="Q13" s="11"/>
      <c r="R13" s="11"/>
      <c r="S13" s="30"/>
      <c r="T13" s="11"/>
      <c r="U13" s="11">
        <v>80</v>
      </c>
      <c r="V13" s="11"/>
      <c r="W13" s="11"/>
    </row>
    <row r="14" spans="1:23" ht="15" thickBot="1" x14ac:dyDescent="0.3">
      <c r="A14" t="s">
        <v>320</v>
      </c>
      <c r="B14" s="36">
        <f>表_破天首饰必成[[#This Row],[进化金币(J)]]+IF(ISNUMBER(B13), B13, 表_破天首饰必成[[#Totals],[进化阶段]])</f>
        <v>3409.2499999999995</v>
      </c>
      <c r="C14" s="35">
        <f>表_破天首饰必成[[#This Row],[进化点券]]+IF(ISNUMBER(C13), C13, 0)</f>
        <v>103800</v>
      </c>
      <c r="D14" s="36">
        <f>IF(A14="○",SUMPRODUCT(表_破天首饰必成[[#This Row],[烛魔羽毛]:[列12]],表_破天首饰必成[[#Totals],[烛魔羽毛]:[列12]])+表_破天首饰必成[[#This Row],[手续费(J)]],0)</f>
        <v>427.35</v>
      </c>
      <c r="E14" s="36">
        <f>IF(A14="○",SUMPRODUCT(表_破天首饰必成[[#This Row],[高级宝玉神物]:[列16]],表_破天首饰必成[[#Totals],[高级宝玉神物]:[列16]]),0)</f>
        <v>27000</v>
      </c>
      <c r="F14" s="40" t="s">
        <v>215</v>
      </c>
      <c r="G14" s="11">
        <v>45</v>
      </c>
      <c r="H14" s="11">
        <v>2</v>
      </c>
      <c r="I14" s="11">
        <v>15</v>
      </c>
      <c r="J14" s="11">
        <v>15</v>
      </c>
      <c r="K14" s="11">
        <v>30</v>
      </c>
      <c r="L14" s="11">
        <v>15</v>
      </c>
      <c r="M14" s="11">
        <v>30</v>
      </c>
      <c r="N14" s="11">
        <v>4</v>
      </c>
      <c r="O14" s="11"/>
      <c r="P14" s="11"/>
      <c r="Q14" s="11"/>
      <c r="R14" s="11"/>
      <c r="S14" s="30"/>
      <c r="T14" s="11"/>
      <c r="U14" s="11">
        <v>90</v>
      </c>
      <c r="V14" s="11"/>
      <c r="W14" s="11"/>
    </row>
    <row r="15" spans="1:23" ht="15" thickTop="1" x14ac:dyDescent="0.25">
      <c r="B15" s="72">
        <f>SUBTOTAL(104,表_破天首饰必成[累计金币(J)])</f>
        <v>3409.2499999999995</v>
      </c>
      <c r="C15" s="72">
        <f>SUBTOTAL(104,表_破天首饰必成[累计点券])</f>
        <v>103800</v>
      </c>
      <c r="D15" s="73">
        <f>SUBTOTAL(109,表_破天首饰必成[进化金币(J)])</f>
        <v>3309.2499999999995</v>
      </c>
      <c r="E15" s="74">
        <f>SUBTOTAL(109,表_破天首饰必成[进化点券])</f>
        <v>103800</v>
      </c>
      <c r="F15" s="88" t="s">
        <v>259</v>
      </c>
      <c r="G15" s="76" t="s">
        <v>190</v>
      </c>
      <c r="H15" s="77">
        <f xml:space="preserve"> _xlfn.IFNA(VLOOKUP(表_破天首饰必成[[#Headers],[烛魔羽毛]],金价一览,2,0), 0)</f>
        <v>6.5</v>
      </c>
      <c r="I15" s="77">
        <f xml:space="preserve"> _xlfn.IFNA(VLOOKUP(表_破天首饰必成[[#Headers],[烛魔硬骨]],金价一览,2,0), 0)</f>
        <v>17.600000000000001</v>
      </c>
      <c r="J15" s="77">
        <f xml:space="preserve"> _xlfn.IFNA(VLOOKUP(表_破天首饰必成[[#Headers],[仙丹]],金价一览,2,0), 0)</f>
        <v>4</v>
      </c>
      <c r="K15" s="77">
        <f xml:space="preserve"> _xlfn.IFNA(VLOOKUP(表_破天首饰必成[[#Headers],[月石]],金价一览,2,0), 0)</f>
        <v>1.35</v>
      </c>
      <c r="L15" s="77">
        <f xml:space="preserve"> _xlfn.IFNA(VLOOKUP(表_破天首饰必成[[#Headers],[灵丹]],金价一览,2,0), 0)</f>
        <v>0.15</v>
      </c>
      <c r="M15" s="77">
        <f xml:space="preserve"> _xlfn.IFNA(VLOOKUP(表_破天首饰必成[[#Headers],[灵石]],金价一览,2,0), 0)</f>
        <v>0.06</v>
      </c>
      <c r="N15" s="77">
        <f xml:space="preserve"> _xlfn.IFNA(VLOOKUP(表_破天首饰必成[[#Headers],[红色烛魔硬骨]],金价一览,2,0), 0)</f>
        <v>0.2</v>
      </c>
      <c r="O15" s="77">
        <f xml:space="preserve"> _xlfn.IFNA(VLOOKUP(表_破天首饰必成[[#Headers],[列8]],金价一览,2,0), 0)</f>
        <v>0</v>
      </c>
      <c r="P15" s="77">
        <f xml:space="preserve"> _xlfn.IFNA(VLOOKUP(表_破天首饰必成[[#Headers],[列9]],金价一览,2,0), 0)</f>
        <v>0</v>
      </c>
      <c r="Q15" s="77">
        <f xml:space="preserve"> _xlfn.IFNA(VLOOKUP(表_破天首饰必成[[#Headers],[列10]],金价一览,2,0), 0)</f>
        <v>0</v>
      </c>
      <c r="R15" s="77">
        <f xml:space="preserve"> _xlfn.IFNA(VLOOKUP(表_破天首饰必成[[#Headers],[列11]],金价一览,2,0), 0)</f>
        <v>0</v>
      </c>
      <c r="S15" s="77">
        <f xml:space="preserve"> _xlfn.IFNA(VLOOKUP(表_破天首饰必成[[#Headers],[列12]],金价一览,2,0), 0)</f>
        <v>0</v>
      </c>
      <c r="T15" s="78">
        <f>_xlfn.IFNA(VLOOKUP(表_破天首饰必成[[#Headers],[高级宝玉神物]],点券一览,2,0),0)</f>
        <v>150</v>
      </c>
      <c r="U15" s="78">
        <f>_xlfn.IFNA(VLOOKUP(表_破天首饰必成[[#Headers],[破天宝玉神物]],点券一览,2,0),0)</f>
        <v>300</v>
      </c>
      <c r="V15" s="78">
        <f>_xlfn.IFNA(VLOOKUP(表_破天首饰必成[[#Headers],[列15]],点券一览,2,0),0)</f>
        <v>0</v>
      </c>
      <c r="W15" s="78">
        <f>_xlfn.IFNA(VLOOKUP(表_破天首饰必成[[#Headers],[列16]],点券一览,2,0),0)</f>
        <v>0</v>
      </c>
    </row>
    <row r="16" spans="1:23" x14ac:dyDescent="0.25">
      <c r="B16" s="188" t="s">
        <v>221</v>
      </c>
      <c r="C16" s="188"/>
      <c r="D16" s="188"/>
      <c r="E16" s="188"/>
      <c r="F16" s="189"/>
      <c r="G16" s="79" t="s">
        <v>224</v>
      </c>
      <c r="H16" s="52">
        <f>SUM(表_破天首饰必成[[#Data],[烛魔羽毛]])</f>
        <v>88</v>
      </c>
      <c r="I16" s="52">
        <f>SUM(表_破天首饰必成[[#Data],[烛魔硬骨]])</f>
        <v>75</v>
      </c>
      <c r="J16" s="52">
        <f>SUM(表_破天首饰必成[[#Data],[仙丹]])</f>
        <v>165</v>
      </c>
      <c r="K16" s="52">
        <f>SUM(表_破天首饰必成[[#Data],[月石]])</f>
        <v>225</v>
      </c>
      <c r="L16" s="52">
        <f>SUM(表_破天首饰必成[[#Data],[灵丹]])</f>
        <v>270</v>
      </c>
      <c r="M16" s="52">
        <f>SUM(表_破天首饰必成[[#Data],[灵石]])</f>
        <v>330</v>
      </c>
      <c r="N16" s="52">
        <f>SUM(表_破天首饰必成[[#Data],[红色烛魔硬骨]])</f>
        <v>16</v>
      </c>
      <c r="O16" s="52">
        <f>SUM(表_破天首饰必成[[#Data],[列8]])</f>
        <v>0</v>
      </c>
      <c r="P16" s="52">
        <f>SUM(表_破天首饰必成[[#Data],[列9]])</f>
        <v>0</v>
      </c>
      <c r="Q16" s="52">
        <f>SUM(表_破天首饰必成[[#Data],[列10]])</f>
        <v>0</v>
      </c>
      <c r="R16" s="52">
        <f>SUM(表_破天首饰必成[[#Data],[列11]])</f>
        <v>0</v>
      </c>
      <c r="S16" s="52">
        <f>SUM(表_破天首饰必成[[#Data],[列12]])</f>
        <v>0</v>
      </c>
      <c r="T16" s="52">
        <f>SUM(表_破天首饰必成[[#Data],[高级宝玉神物]])</f>
        <v>82</v>
      </c>
      <c r="U16" s="52">
        <f>SUM(表_破天首饰必成[[#Data],[破天宝玉神物]])</f>
        <v>305</v>
      </c>
      <c r="V16" s="52">
        <f>SUM(表_破天首饰必成[[#Data],[列15]])</f>
        <v>0</v>
      </c>
      <c r="W16" s="52">
        <f>SUM(表_破天首饰必成[[#Data],[列16]])</f>
        <v>0</v>
      </c>
    </row>
    <row r="17" spans="1:23" x14ac:dyDescent="0.25">
      <c r="B17" s="188"/>
      <c r="C17" s="188"/>
      <c r="D17" s="188"/>
      <c r="E17" s="188"/>
      <c r="F17" s="189"/>
      <c r="G17" s="80" t="s">
        <v>223</v>
      </c>
      <c r="H17" s="52">
        <f>H16*表_破天首饰必成[[#Totals],[烛魔羽毛]]</f>
        <v>572</v>
      </c>
      <c r="I17" s="52">
        <f>I16*表_破天首饰必成[[#Totals],[烛魔硬骨]]</f>
        <v>1320</v>
      </c>
      <c r="J17" s="52">
        <f>J16*表_破天首饰必成[[#Totals],[仙丹]]</f>
        <v>660</v>
      </c>
      <c r="K17" s="52">
        <f>K16*表_破天首饰必成[[#Totals],[月石]]</f>
        <v>303.75</v>
      </c>
      <c r="L17" s="52">
        <f>L16*表_破天首饰必成[[#Totals],[灵丹]]</f>
        <v>40.5</v>
      </c>
      <c r="M17" s="52">
        <f>M16*表_破天首饰必成[[#Totals],[灵石]]</f>
        <v>19.8</v>
      </c>
      <c r="N17" s="52">
        <f>N16*表_破天首饰必成[[#Totals],[红色烛魔硬骨]]</f>
        <v>3.2</v>
      </c>
      <c r="O17" s="52">
        <f>O16*表_破天首饰必成[[#Totals],[列8]]</f>
        <v>0</v>
      </c>
      <c r="P17" s="52">
        <f>P16*表_破天首饰必成[[#Totals],[列9]]</f>
        <v>0</v>
      </c>
      <c r="Q17" s="52">
        <f>Q16*表_破天首饰必成[[#Totals],[列10]]</f>
        <v>0</v>
      </c>
      <c r="R17" s="52">
        <f>R16*表_破天首饰必成[[#Totals],[列11]]</f>
        <v>0</v>
      </c>
      <c r="S17" s="52">
        <f>S16*表_破天首饰必成[[#Totals],[列12]]</f>
        <v>0</v>
      </c>
      <c r="T17" s="52">
        <f>T16*表_破天首饰必成[[#Totals],[高级宝玉神物]]</f>
        <v>12300</v>
      </c>
      <c r="U17" s="52">
        <f>U16*表_破天首饰必成[[#Totals],[破天宝玉神物]]</f>
        <v>91500</v>
      </c>
      <c r="V17" s="52">
        <f>V16*表_破天首饰必成[[#Totals],[列15]]</f>
        <v>0</v>
      </c>
      <c r="W17" s="52">
        <f>W16*表_破天首饰必成[[#Totals],[列16]]</f>
        <v>0</v>
      </c>
    </row>
    <row r="20" spans="1:23" x14ac:dyDescent="0.25">
      <c r="B20" s="28" t="s">
        <v>260</v>
      </c>
      <c r="H20" s="43" t="s">
        <v>212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42" t="s">
        <v>211</v>
      </c>
      <c r="U20" s="41"/>
      <c r="V20" s="41"/>
      <c r="W20" s="41"/>
    </row>
    <row r="21" spans="1:23" ht="34.200000000000003" customHeight="1" thickBot="1" x14ac:dyDescent="0.3">
      <c r="B21" s="57" t="s">
        <v>187</v>
      </c>
      <c r="C21" s="57" t="s">
        <v>186</v>
      </c>
      <c r="D21" s="98" t="s">
        <v>253</v>
      </c>
      <c r="E21" s="98" t="s">
        <v>255</v>
      </c>
      <c r="F21" s="58" t="s">
        <v>181</v>
      </c>
      <c r="G21" s="58" t="s">
        <v>185</v>
      </c>
      <c r="H21" s="59" t="s">
        <v>129</v>
      </c>
      <c r="I21" s="59" t="s">
        <v>263</v>
      </c>
      <c r="J21" s="60" t="s">
        <v>261</v>
      </c>
      <c r="K21" s="60" t="s">
        <v>262</v>
      </c>
      <c r="L21" s="60" t="s">
        <v>199</v>
      </c>
      <c r="M21" s="60" t="s">
        <v>200</v>
      </c>
      <c r="N21" s="60" t="s">
        <v>201</v>
      </c>
      <c r="O21" s="60" t="s">
        <v>202</v>
      </c>
      <c r="P21" s="60" t="s">
        <v>203</v>
      </c>
      <c r="Q21" s="60" t="s">
        <v>204</v>
      </c>
      <c r="R21" s="60" t="s">
        <v>205</v>
      </c>
      <c r="S21" s="61" t="s">
        <v>206</v>
      </c>
      <c r="T21" s="62" t="s">
        <v>120</v>
      </c>
      <c r="U21" s="62" t="s">
        <v>264</v>
      </c>
      <c r="V21" s="62" t="s">
        <v>209</v>
      </c>
      <c r="W21" s="62" t="s">
        <v>210</v>
      </c>
    </row>
    <row r="22" spans="1:23" ht="15" thickTop="1" x14ac:dyDescent="0.25">
      <c r="A22" t="s">
        <v>320</v>
      </c>
      <c r="B22" s="55">
        <f>表_黑风首饰必成[[#This Row],[进化金币(J)]]+IF(ISNUMBER(B21), B21, 表_黑风首饰必成[[#Totals],[进化阶段]])</f>
        <v>815.28911290322583</v>
      </c>
      <c r="C22" s="54">
        <f>表_黑风首饰必成[[#This Row],[进化点券]]+IF(ISNUMBER(C21), C21, 0)</f>
        <v>1800</v>
      </c>
      <c r="D22" s="55">
        <f>IF(A22="○",SUMPRODUCT(表_黑风首饰必成[[#This Row],[天元结晶]:[列12]],表_黑风首饰必成[[#Totals],[天元结晶]:[列12]])+表_黑风首饰必成[[#This Row],[手续费(J)]],0)</f>
        <v>315.28911290322583</v>
      </c>
      <c r="E22" s="55">
        <f>IF(A22="○",SUMPRODUCT(表_黑风首饰必成[[#This Row],[破天宝玉神物]:[列16]],表_黑风首饰必成[[#Totals],[破天宝玉神物]:[列16]]),0)</f>
        <v>1800</v>
      </c>
      <c r="F22" s="56" t="s">
        <v>192</v>
      </c>
      <c r="G22" s="34">
        <v>52.5</v>
      </c>
      <c r="H22" s="34">
        <v>8</v>
      </c>
      <c r="I22" s="34">
        <v>5</v>
      </c>
      <c r="J22" s="34">
        <v>4</v>
      </c>
      <c r="K22" s="34">
        <v>0</v>
      </c>
      <c r="L22" s="34"/>
      <c r="M22" s="34"/>
      <c r="N22" s="34"/>
      <c r="O22" s="34"/>
      <c r="P22" s="34"/>
      <c r="Q22" s="34"/>
      <c r="R22" s="34"/>
      <c r="S22" s="32"/>
      <c r="T22" s="34">
        <v>6</v>
      </c>
      <c r="U22" s="34">
        <v>0</v>
      </c>
      <c r="V22" s="34"/>
      <c r="W22" s="34"/>
    </row>
    <row r="23" spans="1:23" x14ac:dyDescent="0.25">
      <c r="A23" t="s">
        <v>320</v>
      </c>
      <c r="B23" s="36">
        <f>表_黑风首饰必成[[#This Row],[进化金币(J)]]+IF(ISNUMBER(B22), B22, 表_黑风首饰必成[[#Totals],[进化阶段]])</f>
        <v>1194.3360483870968</v>
      </c>
      <c r="C23" s="35">
        <f>表_黑风首饰必成[[#This Row],[进化点券]]+IF(ISNUMBER(C22), C22, 0)</f>
        <v>3900</v>
      </c>
      <c r="D23" s="36">
        <f>IF(A23="○",SUMPRODUCT(表_黑风首饰必成[[#This Row],[天元结晶]:[列12]],表_黑风首饰必成[[#Totals],[天元结晶]:[列12]])+表_黑风首饰必成[[#This Row],[手续费(J)]],0)</f>
        <v>379.04693548387098</v>
      </c>
      <c r="E23" s="36">
        <f>IF(A23="○",SUMPRODUCT(表_黑风首饰必成[[#This Row],[破天宝玉神物]:[列16]],表_黑风首饰必成[[#Totals],[破天宝玉神物]:[列16]]),0)</f>
        <v>2100</v>
      </c>
      <c r="F23" s="39" t="s">
        <v>193</v>
      </c>
      <c r="G23" s="11">
        <v>52.5</v>
      </c>
      <c r="H23" s="11">
        <v>10</v>
      </c>
      <c r="I23" s="11">
        <v>6</v>
      </c>
      <c r="J23" s="11">
        <v>5</v>
      </c>
      <c r="K23" s="11">
        <v>0</v>
      </c>
      <c r="L23" s="11"/>
      <c r="M23" s="11"/>
      <c r="N23" s="11"/>
      <c r="O23" s="11"/>
      <c r="P23" s="11"/>
      <c r="Q23" s="11"/>
      <c r="R23" s="11"/>
      <c r="S23" s="30"/>
      <c r="T23" s="34">
        <v>7</v>
      </c>
      <c r="U23" s="34">
        <v>0</v>
      </c>
      <c r="V23" s="34"/>
      <c r="W23" s="34"/>
    </row>
    <row r="24" spans="1:23" x14ac:dyDescent="0.25">
      <c r="A24" t="s">
        <v>320</v>
      </c>
      <c r="B24" s="36">
        <f>表_黑风首饰必成[[#This Row],[进化金币(J)]]+IF(ISNUMBER(B23), B23, 表_黑风首饰必成[[#Totals],[进化阶段]])</f>
        <v>1637.1408064516129</v>
      </c>
      <c r="C24" s="35">
        <f>表_黑风首饰必成[[#This Row],[进化点券]]+IF(ISNUMBER(C23), C23, 0)</f>
        <v>6600</v>
      </c>
      <c r="D24" s="36">
        <f>IF(A24="○",SUMPRODUCT(表_黑风首饰必成[[#This Row],[天元结晶]:[列12]],表_黑风首饰必成[[#Totals],[天元结晶]:[列12]])+表_黑风首饰必成[[#This Row],[手续费(J)]],0)</f>
        <v>442.80475806451614</v>
      </c>
      <c r="E24" s="36">
        <f>IF(A24="○",SUMPRODUCT(表_黑风首饰必成[[#This Row],[破天宝玉神物]:[列16]],表_黑风首饰必成[[#Totals],[破天宝玉神物]:[列16]]),0)</f>
        <v>2700</v>
      </c>
      <c r="F24" s="39" t="s">
        <v>194</v>
      </c>
      <c r="G24" s="11">
        <v>52.5</v>
      </c>
      <c r="H24" s="11">
        <v>12</v>
      </c>
      <c r="I24" s="11">
        <v>7</v>
      </c>
      <c r="J24" s="11">
        <v>6</v>
      </c>
      <c r="K24" s="11">
        <v>0</v>
      </c>
      <c r="L24" s="11"/>
      <c r="M24" s="11"/>
      <c r="N24" s="11"/>
      <c r="O24" s="11"/>
      <c r="P24" s="11"/>
      <c r="Q24" s="11"/>
      <c r="R24" s="11"/>
      <c r="S24" s="30"/>
      <c r="T24" s="34">
        <v>9</v>
      </c>
      <c r="U24" s="34">
        <v>0</v>
      </c>
      <c r="V24" s="34"/>
      <c r="W24" s="34"/>
    </row>
    <row r="25" spans="1:23" x14ac:dyDescent="0.25">
      <c r="A25" t="s">
        <v>320</v>
      </c>
      <c r="B25" s="36">
        <f>表_黑风首饰必成[[#This Row],[进化金币(J)]]+IF(ISNUMBER(B24), B24, 表_黑风首饰必成[[#Totals],[进化阶段]])</f>
        <v>2158.7033870967743</v>
      </c>
      <c r="C25" s="35">
        <f>表_黑风首饰必成[[#This Row],[进化点券]]+IF(ISNUMBER(C24), C24, 0)</f>
        <v>9900</v>
      </c>
      <c r="D25" s="36">
        <f>IF(A25="○",SUMPRODUCT(表_黑风首饰必成[[#This Row],[天元结晶]:[列12]],表_黑风首饰必成[[#Totals],[天元结晶]:[列12]])+表_黑风首饰必成[[#This Row],[手续费(J)]],0)</f>
        <v>521.56258064516123</v>
      </c>
      <c r="E25" s="36">
        <f>IF(A25="○",SUMPRODUCT(表_黑风首饰必成[[#This Row],[破天宝玉神物]:[列16]],表_黑风首饰必成[[#Totals],[破天宝玉神物]:[列16]]),0)</f>
        <v>3300</v>
      </c>
      <c r="F25" s="39" t="s">
        <v>195</v>
      </c>
      <c r="G25" s="11">
        <v>67.5</v>
      </c>
      <c r="H25" s="11">
        <v>14</v>
      </c>
      <c r="I25" s="11">
        <v>8</v>
      </c>
      <c r="J25" s="11">
        <v>7</v>
      </c>
      <c r="K25" s="11">
        <v>0</v>
      </c>
      <c r="L25" s="11"/>
      <c r="M25" s="11"/>
      <c r="N25" s="11"/>
      <c r="O25" s="11"/>
      <c r="P25" s="11"/>
      <c r="Q25" s="11"/>
      <c r="R25" s="11"/>
      <c r="S25" s="30"/>
      <c r="T25" s="34">
        <v>11</v>
      </c>
      <c r="U25" s="34">
        <v>0</v>
      </c>
      <c r="V25" s="34"/>
      <c r="W25" s="34"/>
    </row>
    <row r="26" spans="1:23" x14ac:dyDescent="0.25">
      <c r="A26" t="s">
        <v>320</v>
      </c>
      <c r="B26" s="36">
        <f>表_黑风首饰必成[[#This Row],[进化金币(J)]]+IF(ISNUMBER(B25), B25, 表_黑风首饰必成[[#Totals],[进化阶段]])</f>
        <v>2744.0237903225807</v>
      </c>
      <c r="C26" s="35">
        <f>表_黑风首饰必成[[#This Row],[进化点券]]+IF(ISNUMBER(C25), C25, 0)</f>
        <v>13800</v>
      </c>
      <c r="D26" s="36">
        <f>IF(A26="○",SUMPRODUCT(表_黑风首饰必成[[#This Row],[天元结晶]:[列12]],表_黑风首饰必成[[#Totals],[天元结晶]:[列12]])+表_黑风首饰必成[[#This Row],[手续费(J)]],0)</f>
        <v>585.32040322580644</v>
      </c>
      <c r="E26" s="36">
        <f>IF(A26="○",SUMPRODUCT(表_黑风首饰必成[[#This Row],[破天宝玉神物]:[列16]],表_黑风首饰必成[[#Totals],[破天宝玉神物]:[列16]]),0)</f>
        <v>3900</v>
      </c>
      <c r="F26" s="39" t="s">
        <v>196</v>
      </c>
      <c r="G26" s="11">
        <v>67.5</v>
      </c>
      <c r="H26" s="11">
        <v>16</v>
      </c>
      <c r="I26" s="11">
        <v>9</v>
      </c>
      <c r="J26" s="11">
        <v>8</v>
      </c>
      <c r="K26" s="11">
        <v>0</v>
      </c>
      <c r="L26" s="11"/>
      <c r="M26" s="11"/>
      <c r="N26" s="11"/>
      <c r="O26" s="11"/>
      <c r="P26" s="11"/>
      <c r="Q26" s="11"/>
      <c r="R26" s="11"/>
      <c r="S26" s="30"/>
      <c r="T26" s="11">
        <v>13</v>
      </c>
      <c r="U26" s="11">
        <v>0</v>
      </c>
      <c r="V26" s="11"/>
      <c r="W26" s="11"/>
    </row>
    <row r="27" spans="1:23" x14ac:dyDescent="0.25">
      <c r="A27" t="s">
        <v>320</v>
      </c>
      <c r="B27" s="36">
        <f>表_黑风首饰必成[[#This Row],[进化金币(J)]]+IF(ISNUMBER(B26), B26, 表_黑风首饰必成[[#Totals],[进化阶段]])</f>
        <v>3393.1020161290326</v>
      </c>
      <c r="C27" s="35">
        <f>表_黑风首饰必成[[#This Row],[进化点券]]+IF(ISNUMBER(C26), C26, 0)</f>
        <v>18300</v>
      </c>
      <c r="D27" s="38">
        <f>IF(A27="○",SUMPRODUCT(表_黑风首饰必成[[#This Row],[天元结晶]:[列12]],表_黑风首饰必成[[#Totals],[天元结晶]:[列12]])+表_黑风首饰必成[[#This Row],[手续费(J)]],0)</f>
        <v>649.07822580645166</v>
      </c>
      <c r="E27" s="38">
        <f>IF(A27="○",SUMPRODUCT(表_黑风首饰必成[[#This Row],[破天宝玉神物]:[列16]],表_黑风首饰必成[[#Totals],[破天宝玉神物]:[列16]]),0)</f>
        <v>4500</v>
      </c>
      <c r="F27" s="39" t="s">
        <v>197</v>
      </c>
      <c r="G27" s="25">
        <v>67.5</v>
      </c>
      <c r="H27" s="25">
        <v>18</v>
      </c>
      <c r="I27" s="25">
        <v>10</v>
      </c>
      <c r="J27" s="25">
        <v>9</v>
      </c>
      <c r="K27" s="25">
        <v>0</v>
      </c>
      <c r="L27" s="25"/>
      <c r="M27" s="25"/>
      <c r="N27" s="25"/>
      <c r="O27" s="25"/>
      <c r="P27" s="25"/>
      <c r="Q27" s="25"/>
      <c r="R27" s="25"/>
      <c r="S27" s="31"/>
      <c r="T27" s="25">
        <v>15</v>
      </c>
      <c r="U27" s="25">
        <v>0</v>
      </c>
      <c r="V27" s="25"/>
      <c r="W27" s="25"/>
    </row>
    <row r="28" spans="1:23" x14ac:dyDescent="0.25">
      <c r="A28" t="s">
        <v>320</v>
      </c>
      <c r="B28" s="115">
        <f>表_黑风首饰必成[[#This Row],[进化金币(J)]]+IF(ISNUMBER(B27), B27, 表_黑风首饰必成[[#Totals],[进化阶段]])</f>
        <v>4113.6958870967746</v>
      </c>
      <c r="C28" s="124">
        <f>表_黑风首饰必成[[#This Row],[进化点券]]+IF(ISNUMBER(C27), C27, 0)</f>
        <v>24300</v>
      </c>
      <c r="D28" s="36">
        <f>IF(A28="○",SUMPRODUCT(表_黑风首饰必成[[#This Row],[天元结晶]:[列12]],表_黑风首饰必成[[#Totals],[天元结晶]:[列12]])+表_黑风首饰必成[[#This Row],[手续费(J)]],0)</f>
        <v>720.59387096774196</v>
      </c>
      <c r="E28" s="36">
        <f>IF(A28="○",SUMPRODUCT(表_黑风首饰必成[[#This Row],[破天宝玉神物]:[列16]],表_黑风首饰必成[[#Totals],[破天宝玉神物]:[列16]]),0)</f>
        <v>6000</v>
      </c>
      <c r="F28" s="39" t="s">
        <v>198</v>
      </c>
      <c r="G28" s="11">
        <v>67.5</v>
      </c>
      <c r="H28" s="11">
        <v>20</v>
      </c>
      <c r="I28" s="11">
        <v>12</v>
      </c>
      <c r="J28" s="11">
        <v>10</v>
      </c>
      <c r="K28" s="11">
        <v>0</v>
      </c>
      <c r="L28" s="11"/>
      <c r="M28" s="11"/>
      <c r="N28" s="11"/>
      <c r="O28" s="11"/>
      <c r="P28" s="11"/>
      <c r="Q28" s="11"/>
      <c r="R28" s="11"/>
      <c r="S28" s="30"/>
      <c r="T28" s="11">
        <v>20</v>
      </c>
      <c r="U28" s="11">
        <v>0</v>
      </c>
      <c r="V28" s="11"/>
      <c r="W28" s="11"/>
    </row>
    <row r="29" spans="1:23" x14ac:dyDescent="0.25">
      <c r="A29" t="s">
        <v>320</v>
      </c>
      <c r="B29" s="36">
        <f>表_黑风首饰必成[[#This Row],[进化金币(J)]]+IF(ISNUMBER(B28), B28, 表_黑风首饰必成[[#Totals],[进化阶段]])</f>
        <v>4908.7897580645167</v>
      </c>
      <c r="C29" s="35">
        <f>表_黑风首饰必成[[#This Row],[进化点券]]+IF(ISNUMBER(C28), C28, 0)</f>
        <v>30300</v>
      </c>
      <c r="D29" s="36">
        <f>IF(A29="○",SUMPRODUCT(表_黑风首饰必成[[#This Row],[天元结晶]:[列12]],表_黑风首饰必成[[#Totals],[天元结晶]:[列12]])+表_黑风首饰必成[[#This Row],[手续费(J)]],0)</f>
        <v>795.09387096774196</v>
      </c>
      <c r="E29" s="36">
        <f>IF(A29="○",SUMPRODUCT(表_黑风首饰必成[[#This Row],[破天宝玉神物]:[列16]],表_黑风首饰必成[[#Totals],[破天宝玉神物]:[列16]]),0)</f>
        <v>6000</v>
      </c>
      <c r="F29" s="40" t="s">
        <v>219</v>
      </c>
      <c r="G29" s="11">
        <v>75</v>
      </c>
      <c r="H29" s="11">
        <v>20</v>
      </c>
      <c r="I29" s="11">
        <v>12</v>
      </c>
      <c r="J29" s="11">
        <v>8</v>
      </c>
      <c r="K29" s="11">
        <v>3</v>
      </c>
      <c r="L29" s="11"/>
      <c r="M29" s="11"/>
      <c r="N29" s="11"/>
      <c r="O29" s="11"/>
      <c r="P29" s="11"/>
      <c r="Q29" s="11"/>
      <c r="R29" s="11"/>
      <c r="S29" s="30"/>
      <c r="T29" s="11">
        <v>0</v>
      </c>
      <c r="U29" s="11">
        <v>24</v>
      </c>
      <c r="V29" s="11"/>
      <c r="W29" s="11"/>
    </row>
    <row r="30" spans="1:23" x14ac:dyDescent="0.25">
      <c r="A30" t="s">
        <v>320</v>
      </c>
      <c r="B30" s="36">
        <f>表_黑风首饰必成[[#This Row],[进化金币(J)]]+IF(ISNUMBER(B29), B29, 表_黑风首饰必成[[#Totals],[进化阶段]])</f>
        <v>5942.9070967741936</v>
      </c>
      <c r="C30" s="35">
        <f>表_黑风首饰必成[[#This Row],[进化点券]]+IF(ISNUMBER(C29), C29, 0)</f>
        <v>39050</v>
      </c>
      <c r="D30" s="36">
        <f>IF(A30="○",SUMPRODUCT(表_黑风首饰必成[[#This Row],[天元结晶]:[列12]],表_黑风首饰必成[[#Totals],[天元结晶]:[列12]])+表_黑风首饰必成[[#This Row],[手续费(J)]],0)</f>
        <v>1034.1173387096774</v>
      </c>
      <c r="E30" s="36">
        <f>IF(A30="○",SUMPRODUCT(表_黑风首饰必成[[#This Row],[破天宝玉神物]:[列16]],表_黑风首饰必成[[#Totals],[破天宝玉神物]:[列16]]),0)</f>
        <v>8750</v>
      </c>
      <c r="F30" s="40" t="s">
        <v>213</v>
      </c>
      <c r="G30" s="11">
        <v>93.75</v>
      </c>
      <c r="H30" s="11">
        <v>25</v>
      </c>
      <c r="I30" s="11">
        <v>15</v>
      </c>
      <c r="J30" s="11">
        <v>12</v>
      </c>
      <c r="K30" s="11">
        <v>4</v>
      </c>
      <c r="L30" s="11"/>
      <c r="M30" s="11"/>
      <c r="N30" s="11"/>
      <c r="O30" s="11"/>
      <c r="P30" s="11"/>
      <c r="Q30" s="11"/>
      <c r="R30" s="11"/>
      <c r="S30" s="30"/>
      <c r="T30" s="11">
        <v>0</v>
      </c>
      <c r="U30" s="11">
        <v>35</v>
      </c>
      <c r="V30" s="11"/>
      <c r="W30" s="11"/>
    </row>
    <row r="31" spans="1:23" x14ac:dyDescent="0.25">
      <c r="A31" t="s">
        <v>320</v>
      </c>
      <c r="B31" s="36">
        <f>表_黑风首饰必成[[#This Row],[进化金币(J)]]+IF(ISNUMBER(B30), B30, 表_黑风首饰必成[[#Totals],[进化阶段]])</f>
        <v>7247.5635483870974</v>
      </c>
      <c r="C31" s="35">
        <f>表_黑风首饰必成[[#This Row],[进化点券]]+IF(ISNUMBER(C30), C30, 0)</f>
        <v>50800</v>
      </c>
      <c r="D31" s="36">
        <f>IF(A31="○",SUMPRODUCT(表_黑风首饰必成[[#This Row],[天元结晶]:[列12]],表_黑风首饰必成[[#Totals],[天元结晶]:[列12]])+表_黑风首饰必成[[#This Row],[手续费(J)]],0)</f>
        <v>1304.6564516129033</v>
      </c>
      <c r="E31" s="36">
        <f>IF(A31="○",SUMPRODUCT(表_黑风首饰必成[[#This Row],[破天宝玉神物]:[列16]],表_黑风首饰必成[[#Totals],[破天宝玉神物]:[列16]]),0)</f>
        <v>11750</v>
      </c>
      <c r="F31" s="40" t="s">
        <v>214</v>
      </c>
      <c r="G31" s="11">
        <v>112.5</v>
      </c>
      <c r="H31" s="11">
        <v>30</v>
      </c>
      <c r="I31" s="11">
        <v>20</v>
      </c>
      <c r="J31" s="11">
        <v>17</v>
      </c>
      <c r="K31" s="11">
        <v>5</v>
      </c>
      <c r="L31" s="11"/>
      <c r="M31" s="11"/>
      <c r="N31" s="11"/>
      <c r="O31" s="11"/>
      <c r="P31" s="11"/>
      <c r="Q31" s="11"/>
      <c r="R31" s="11"/>
      <c r="S31" s="30"/>
      <c r="T31" s="11">
        <v>0</v>
      </c>
      <c r="U31" s="11">
        <v>47</v>
      </c>
      <c r="V31" s="11"/>
      <c r="W31" s="11"/>
    </row>
    <row r="32" spans="1:23" ht="15" thickBot="1" x14ac:dyDescent="0.3">
      <c r="A32" t="s">
        <v>320</v>
      </c>
      <c r="B32" s="36">
        <f>表_黑风首饰必成[[#This Row],[进化金币(J)]]+IF(ISNUMBER(B31), B31, 表_黑风首饰必成[[#Totals],[进化阶段]])</f>
        <v>9157.5091129032262</v>
      </c>
      <c r="C32" s="35">
        <f>表_黑风首饰必成[[#This Row],[进化点券]]+IF(ISNUMBER(C31), C31, 0)</f>
        <v>65800</v>
      </c>
      <c r="D32" s="36">
        <f>IF(A32="○",SUMPRODUCT(表_黑风首饰必成[[#This Row],[天元结晶]:[列12]],表_黑风首饰必成[[#Totals],[天元结晶]:[列12]])+表_黑风首饰必成[[#This Row],[手续费(J)]],0)</f>
        <v>1909.945564516129</v>
      </c>
      <c r="E32" s="36">
        <f>IF(A32="○",SUMPRODUCT(表_黑风首饰必成[[#This Row],[破天宝玉神物]:[列16]],表_黑风首饰必成[[#Totals],[破天宝玉神物]:[列16]]),0)</f>
        <v>15000</v>
      </c>
      <c r="F32" s="40" t="s">
        <v>215</v>
      </c>
      <c r="G32" s="11">
        <v>150</v>
      </c>
      <c r="H32" s="11">
        <v>50</v>
      </c>
      <c r="I32" s="11">
        <v>25</v>
      </c>
      <c r="J32" s="11">
        <v>23</v>
      </c>
      <c r="K32" s="11">
        <v>6</v>
      </c>
      <c r="L32" s="11"/>
      <c r="M32" s="11"/>
      <c r="N32" s="11"/>
      <c r="O32" s="11"/>
      <c r="P32" s="11"/>
      <c r="Q32" s="11"/>
      <c r="R32" s="11"/>
      <c r="S32" s="30"/>
      <c r="T32" s="11">
        <v>0</v>
      </c>
      <c r="U32" s="11">
        <v>60</v>
      </c>
      <c r="V32" s="11"/>
      <c r="W32" s="11"/>
    </row>
    <row r="33" spans="1:23" ht="15" thickTop="1" x14ac:dyDescent="0.25">
      <c r="B33" s="72">
        <f>SUBTOTAL(104,表_黑风首饰必成[累计金币(J)])</f>
        <v>9157.5091129032262</v>
      </c>
      <c r="C33" s="72">
        <f>SUBTOTAL(104,表_黑风首饰必成[累计点券])</f>
        <v>65800</v>
      </c>
      <c r="D33" s="73">
        <f>SUBTOTAL(109,表_黑风首饰必成[进化金币(J)])</f>
        <v>8657.5091129032262</v>
      </c>
      <c r="E33" s="74">
        <f>SUBTOTAL(109,表_黑风首饰必成[进化点券])</f>
        <v>65800</v>
      </c>
      <c r="F33" s="88" t="s">
        <v>256</v>
      </c>
      <c r="G33" s="76" t="s">
        <v>190</v>
      </c>
      <c r="H33" s="77">
        <f xml:space="preserve"> _xlfn.IFNA(VLOOKUP(表_黑风首饰必成[[#Headers],[天元结晶]],金价一览,2,0), 0)</f>
        <v>20</v>
      </c>
      <c r="I33" s="77">
        <f xml:space="preserve"> _xlfn.IFNA(VLOOKUP(表_黑风首饰必成[[#Headers],[进化石]],金价一览,2,0), 0)</f>
        <v>7.7578225806451613</v>
      </c>
      <c r="J33" s="77">
        <f xml:space="preserve"> _xlfn.IFNA(VLOOKUP(表_黑风首饰必成[[#Headers],[冥王冤魂]],金价一览,2,0), 0)</f>
        <v>16</v>
      </c>
      <c r="K33" s="77">
        <f xml:space="preserve"> _xlfn.IFNA(VLOOKUP(表_黑风首饰必成[[#Headers],[超魔灵的心脏]],金价一览,2,0), 0)</f>
        <v>33</v>
      </c>
      <c r="L33" s="77">
        <f xml:space="preserve"> _xlfn.IFNA(VLOOKUP(表_黑风首饰必成[[#Headers],[列5]],金价一览,2,0), 0)</f>
        <v>0</v>
      </c>
      <c r="M33" s="77">
        <f xml:space="preserve"> _xlfn.IFNA(VLOOKUP(表_黑风首饰必成[[#Headers],[列6]],金价一览,2,0), 0)</f>
        <v>0</v>
      </c>
      <c r="N33" s="77">
        <f xml:space="preserve"> _xlfn.IFNA(VLOOKUP(表_黑风首饰必成[[#Headers],[列7]],金价一览,2,0), 0)</f>
        <v>0</v>
      </c>
      <c r="O33" s="77">
        <f xml:space="preserve"> _xlfn.IFNA(VLOOKUP(表_黑风首饰必成[[#Headers],[列8]],金价一览,2,0), 0)</f>
        <v>0</v>
      </c>
      <c r="P33" s="77">
        <f xml:space="preserve"> _xlfn.IFNA(VLOOKUP(表_黑风首饰必成[[#Headers],[列9]],金价一览,2,0), 0)</f>
        <v>0</v>
      </c>
      <c r="Q33" s="77">
        <f xml:space="preserve"> _xlfn.IFNA(VLOOKUP(表_黑风首饰必成[[#Headers],[列10]],金价一览,2,0), 0)</f>
        <v>0</v>
      </c>
      <c r="R33" s="77">
        <f xml:space="preserve"> _xlfn.IFNA(VLOOKUP(表_黑风首饰必成[[#Headers],[列11]],金价一览,2,0), 0)</f>
        <v>0</v>
      </c>
      <c r="S33" s="77">
        <f xml:space="preserve"> _xlfn.IFNA(VLOOKUP(表_黑风首饰必成[[#Headers],[列12]],金价一览,2,0), 0)</f>
        <v>0</v>
      </c>
      <c r="T33" s="78">
        <f>_xlfn.IFNA(VLOOKUP(表_黑风首饰必成[[#Headers],[破天宝玉神物]],点券一览,2,0),0)</f>
        <v>300</v>
      </c>
      <c r="U33" s="78">
        <f>_xlfn.IFNA(VLOOKUP(表_黑风首饰必成[[#Headers],[建元宝玉神物]],点券一览,2,0),0)</f>
        <v>250</v>
      </c>
      <c r="V33" s="78">
        <f>_xlfn.IFNA(VLOOKUP(表_黑风首饰必成[[#Headers],[列15]],点券一览,2,0),0)</f>
        <v>0</v>
      </c>
      <c r="W33" s="78">
        <f>_xlfn.IFNA(VLOOKUP(表_黑风首饰必成[[#Headers],[列16]],点券一览,2,0),0)</f>
        <v>0</v>
      </c>
    </row>
    <row r="34" spans="1:23" x14ac:dyDescent="0.25">
      <c r="B34" s="188" t="s">
        <v>221</v>
      </c>
      <c r="C34" s="188"/>
      <c r="D34" s="188"/>
      <c r="E34" s="188"/>
      <c r="F34" s="189"/>
      <c r="G34" s="79" t="s">
        <v>224</v>
      </c>
      <c r="H34" s="52">
        <f>SUM(表_黑风首饰必成[[#Data],[天元结晶]])</f>
        <v>223</v>
      </c>
      <c r="I34" s="52">
        <f>SUM(表_黑风首饰必成[[#Data],[进化石]])</f>
        <v>129</v>
      </c>
      <c r="J34" s="52">
        <f>SUM(表_黑风首饰必成[[#Data],[冥王冤魂]])</f>
        <v>109</v>
      </c>
      <c r="K34" s="52">
        <f>SUM(表_黑风首饰必成[[#Data],[超魔灵的心脏]])</f>
        <v>18</v>
      </c>
      <c r="L34" s="52">
        <f>SUM(表_黑风首饰必成[[#Data],[列5]])</f>
        <v>0</v>
      </c>
      <c r="M34" s="52">
        <f>SUM(表_黑风首饰必成[[#Data],[列6]])</f>
        <v>0</v>
      </c>
      <c r="N34" s="52">
        <f>SUM(表_黑风首饰必成[[#Data],[列7]])</f>
        <v>0</v>
      </c>
      <c r="O34" s="52">
        <f>SUM(表_黑风首饰必成[[#Data],[列8]])</f>
        <v>0</v>
      </c>
      <c r="P34" s="52">
        <f>SUM(表_黑风首饰必成[[#Data],[列9]])</f>
        <v>0</v>
      </c>
      <c r="Q34" s="52">
        <f>SUM(表_黑风首饰必成[[#Data],[列10]])</f>
        <v>0</v>
      </c>
      <c r="R34" s="52">
        <f>SUM(表_黑风首饰必成[[#Data],[列11]])</f>
        <v>0</v>
      </c>
      <c r="S34" s="52">
        <f>SUM(表_黑风首饰必成[[#Data],[列12]])</f>
        <v>0</v>
      </c>
      <c r="T34" s="52">
        <f>SUM(表_黑风首饰必成[[#Data],[破天宝玉神物]])</f>
        <v>81</v>
      </c>
      <c r="U34" s="52">
        <f>SUM(表_黑风首饰必成[[#Data],[建元宝玉神物]])</f>
        <v>166</v>
      </c>
      <c r="V34" s="52">
        <f>SUM(表_黑风首饰必成[[#Data],[列15]])</f>
        <v>0</v>
      </c>
      <c r="W34" s="52">
        <f>SUM(表_黑风首饰必成[[#Data],[列16]])</f>
        <v>0</v>
      </c>
    </row>
    <row r="35" spans="1:23" x14ac:dyDescent="0.25">
      <c r="B35" s="188"/>
      <c r="C35" s="188"/>
      <c r="D35" s="188"/>
      <c r="E35" s="188"/>
      <c r="F35" s="189"/>
      <c r="G35" s="80" t="s">
        <v>223</v>
      </c>
      <c r="H35" s="52">
        <f>H34*表_黑风首饰必成[[#Totals],[天元结晶]]</f>
        <v>4460</v>
      </c>
      <c r="I35" s="52">
        <f>I34*表_黑风首饰必成[[#Totals],[进化石]]</f>
        <v>1000.7591129032259</v>
      </c>
      <c r="J35" s="52">
        <f>J34*表_黑风首饰必成[[#Totals],[冥王冤魂]]</f>
        <v>1744</v>
      </c>
      <c r="K35" s="52">
        <f>K34*表_黑风首饰必成[[#Totals],[超魔灵的心脏]]</f>
        <v>594</v>
      </c>
      <c r="L35" s="52">
        <f>L34*表_黑风首饰必成[[#Totals],[列5]]</f>
        <v>0</v>
      </c>
      <c r="M35" s="52">
        <f>M34*表_黑风首饰必成[[#Totals],[列6]]</f>
        <v>0</v>
      </c>
      <c r="N35" s="52">
        <f>N34*表_黑风首饰必成[[#Totals],[列7]]</f>
        <v>0</v>
      </c>
      <c r="O35" s="52">
        <f>O34*表_黑风首饰必成[[#Totals],[列8]]</f>
        <v>0</v>
      </c>
      <c r="P35" s="52">
        <f>P34*表_黑风首饰必成[[#Totals],[列9]]</f>
        <v>0</v>
      </c>
      <c r="Q35" s="52">
        <f>Q34*表_黑风首饰必成[[#Totals],[列10]]</f>
        <v>0</v>
      </c>
      <c r="R35" s="52">
        <f>R34*表_黑风首饰必成[[#Totals],[列11]]</f>
        <v>0</v>
      </c>
      <c r="S35" s="52">
        <f>S34*表_黑风首饰必成[[#Totals],[列12]]</f>
        <v>0</v>
      </c>
      <c r="T35" s="52">
        <f>T34*表_黑风首饰必成[[#Totals],[破天宝玉神物]]</f>
        <v>24300</v>
      </c>
      <c r="U35" s="52">
        <f>U34*表_黑风首饰必成[[#Totals],[建元宝玉神物]]</f>
        <v>41500</v>
      </c>
      <c r="V35" s="52">
        <f>V34*表_黑风首饰必成[[#Totals],[列15]]</f>
        <v>0</v>
      </c>
      <c r="W35" s="52">
        <f>W34*表_黑风首饰必成[[#Totals],[列16]]</f>
        <v>0</v>
      </c>
    </row>
    <row r="38" spans="1:23" x14ac:dyDescent="0.25">
      <c r="B38" s="28" t="s">
        <v>265</v>
      </c>
      <c r="H38" s="43" t="s">
        <v>212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42" t="s">
        <v>211</v>
      </c>
      <c r="U38" s="41"/>
      <c r="V38" s="41"/>
      <c r="W38" s="41"/>
    </row>
    <row r="39" spans="1:23" ht="34.200000000000003" customHeight="1" thickBot="1" x14ac:dyDescent="0.3">
      <c r="B39" s="57" t="s">
        <v>187</v>
      </c>
      <c r="C39" s="57" t="s">
        <v>186</v>
      </c>
      <c r="D39" s="98" t="s">
        <v>253</v>
      </c>
      <c r="E39" s="98" t="s">
        <v>255</v>
      </c>
      <c r="F39" s="58" t="s">
        <v>181</v>
      </c>
      <c r="G39" s="58" t="s">
        <v>185</v>
      </c>
      <c r="H39" s="59" t="s">
        <v>126</v>
      </c>
      <c r="I39" s="60" t="s">
        <v>0</v>
      </c>
      <c r="J39" s="60" t="s">
        <v>1</v>
      </c>
      <c r="K39" s="60" t="s">
        <v>189</v>
      </c>
      <c r="L39" s="60" t="s">
        <v>199</v>
      </c>
      <c r="M39" s="60" t="s">
        <v>200</v>
      </c>
      <c r="N39" s="60" t="s">
        <v>201</v>
      </c>
      <c r="O39" s="60" t="s">
        <v>202</v>
      </c>
      <c r="P39" s="60" t="s">
        <v>203</v>
      </c>
      <c r="Q39" s="60" t="s">
        <v>204</v>
      </c>
      <c r="R39" s="60" t="s">
        <v>205</v>
      </c>
      <c r="S39" s="61" t="s">
        <v>206</v>
      </c>
      <c r="T39" s="62" t="s">
        <v>125</v>
      </c>
      <c r="U39" s="62" t="s">
        <v>208</v>
      </c>
      <c r="V39" s="62" t="s">
        <v>209</v>
      </c>
      <c r="W39" s="62" t="s">
        <v>210</v>
      </c>
    </row>
    <row r="40" spans="1:23" ht="15" thickTop="1" x14ac:dyDescent="0.25">
      <c r="A40" t="s">
        <v>320</v>
      </c>
      <c r="B40" s="55">
        <f>表_古代神首饰[[#This Row],[进化金币(J)]]+IF(ISNUMBER(B39), B39, 表_古代神首饰[[#Totals],[进化阶段]])</f>
        <v>29.7</v>
      </c>
      <c r="C40" s="54">
        <f>表_古代神首饰[[#This Row],[进化点券]]+IF(ISNUMBER(C39), C39, 0)</f>
        <v>4500</v>
      </c>
      <c r="D40" s="55">
        <f>SUMPRODUCT(表_古代神首饰[[#This Row],[传说宝玉]:[列12]],表_古代神首饰[[#Totals],[传说宝玉]:[列12]])+表_古代神首饰[[#This Row],[手续费(J)]]</f>
        <v>29.7</v>
      </c>
      <c r="E40" s="55">
        <f>SUMPRODUCT(表_古代神首饰[[#This Row],[宝玉神物]:[列16]],表_古代神首饰[[#Totals],[宝玉神物]:[列16]])</f>
        <v>4500</v>
      </c>
      <c r="F40" s="56" t="s">
        <v>192</v>
      </c>
      <c r="G40" s="34">
        <v>3</v>
      </c>
      <c r="H40" s="34">
        <v>4</v>
      </c>
      <c r="I40" s="34">
        <v>6</v>
      </c>
      <c r="J40" s="34">
        <v>18</v>
      </c>
      <c r="K40" s="34"/>
      <c r="L40" s="34"/>
      <c r="M40" s="34"/>
      <c r="N40" s="34"/>
      <c r="O40" s="34"/>
      <c r="P40" s="34"/>
      <c r="Q40" s="34"/>
      <c r="R40" s="34"/>
      <c r="S40" s="32"/>
      <c r="T40" s="34">
        <v>60</v>
      </c>
      <c r="U40" s="34"/>
      <c r="V40" s="34"/>
      <c r="W40" s="34"/>
    </row>
    <row r="41" spans="1:23" x14ac:dyDescent="0.25">
      <c r="A41" t="s">
        <v>320</v>
      </c>
      <c r="B41" s="36">
        <f>表_古代神首饰[[#This Row],[进化金币(J)]]+IF(ISNUMBER(B40), B40, 表_古代神首饰[[#Totals],[进化阶段]])</f>
        <v>59.4</v>
      </c>
      <c r="C41" s="35">
        <f>表_古代神首饰[[#This Row],[进化点券]]+IF(ISNUMBER(C40), C40, 0)</f>
        <v>9000</v>
      </c>
      <c r="D41" s="36">
        <f>SUMPRODUCT(表_古代神首饰[[#This Row],[传说宝玉]:[列12]],表_古代神首饰[[#Totals],[传说宝玉]:[列12]])+表_古代神首饰[[#This Row],[手续费(J)]]</f>
        <v>29.7</v>
      </c>
      <c r="E41" s="36">
        <f>SUMPRODUCT(表_古代神首饰[[#This Row],[宝玉神物]:[列16]],表_古代神首饰[[#Totals],[宝玉神物]:[列16]])</f>
        <v>4500</v>
      </c>
      <c r="F41" s="39" t="s">
        <v>193</v>
      </c>
      <c r="G41" s="11">
        <v>3</v>
      </c>
      <c r="H41" s="11">
        <v>4</v>
      </c>
      <c r="I41" s="11">
        <v>6</v>
      </c>
      <c r="J41" s="11">
        <v>18</v>
      </c>
      <c r="K41" s="11"/>
      <c r="L41" s="11"/>
      <c r="M41" s="11"/>
      <c r="N41" s="11"/>
      <c r="O41" s="11"/>
      <c r="P41" s="11"/>
      <c r="Q41" s="11"/>
      <c r="R41" s="11"/>
      <c r="S41" s="30"/>
      <c r="T41" s="34">
        <v>60</v>
      </c>
      <c r="U41" s="34"/>
      <c r="V41" s="34"/>
      <c r="W41" s="34"/>
    </row>
    <row r="42" spans="1:23" x14ac:dyDescent="0.25">
      <c r="A42" t="s">
        <v>320</v>
      </c>
      <c r="B42" s="36">
        <f>表_古代神首饰[[#This Row],[进化金币(J)]]+IF(ISNUMBER(B41), B41, 表_古代神首饰[[#Totals],[进化阶段]])</f>
        <v>89.1</v>
      </c>
      <c r="C42" s="35">
        <f>表_古代神首饰[[#This Row],[进化点券]]+IF(ISNUMBER(C41), C41, 0)</f>
        <v>13500</v>
      </c>
      <c r="D42" s="36">
        <f>SUMPRODUCT(表_古代神首饰[[#This Row],[传说宝玉]:[列12]],表_古代神首饰[[#Totals],[传说宝玉]:[列12]])+表_古代神首饰[[#This Row],[手续费(J)]]</f>
        <v>29.7</v>
      </c>
      <c r="E42" s="36">
        <f>SUMPRODUCT(表_古代神首饰[[#This Row],[宝玉神物]:[列16]],表_古代神首饰[[#Totals],[宝玉神物]:[列16]])</f>
        <v>4500</v>
      </c>
      <c r="F42" s="39" t="s">
        <v>194</v>
      </c>
      <c r="G42" s="11">
        <v>3</v>
      </c>
      <c r="H42" s="11">
        <v>4</v>
      </c>
      <c r="I42" s="11">
        <v>6</v>
      </c>
      <c r="J42" s="11">
        <v>18</v>
      </c>
      <c r="K42" s="11"/>
      <c r="L42" s="11"/>
      <c r="M42" s="11"/>
      <c r="N42" s="11"/>
      <c r="O42" s="11"/>
      <c r="P42" s="11"/>
      <c r="Q42" s="11"/>
      <c r="R42" s="11"/>
      <c r="S42" s="30"/>
      <c r="T42" s="34">
        <v>60</v>
      </c>
      <c r="U42" s="34"/>
      <c r="V42" s="34"/>
      <c r="W42" s="34"/>
    </row>
    <row r="43" spans="1:23" x14ac:dyDescent="0.25">
      <c r="A43" t="s">
        <v>320</v>
      </c>
      <c r="B43" s="36">
        <f>表_古代神首饰[[#This Row],[进化金币(J)]]+IF(ISNUMBER(B42), B42, 表_古代神首饰[[#Totals],[进化阶段]])</f>
        <v>118.8</v>
      </c>
      <c r="C43" s="35">
        <f>表_古代神首饰[[#This Row],[进化点券]]+IF(ISNUMBER(C42), C42, 0)</f>
        <v>18000</v>
      </c>
      <c r="D43" s="36">
        <f>SUMPRODUCT(表_古代神首饰[[#This Row],[传说宝玉]:[列12]],表_古代神首饰[[#Totals],[传说宝玉]:[列12]])+表_古代神首饰[[#This Row],[手续费(J)]]</f>
        <v>29.7</v>
      </c>
      <c r="E43" s="36">
        <f>SUMPRODUCT(表_古代神首饰[[#This Row],[宝玉神物]:[列16]],表_古代神首饰[[#Totals],[宝玉神物]:[列16]])</f>
        <v>4500</v>
      </c>
      <c r="F43" s="39" t="s">
        <v>195</v>
      </c>
      <c r="G43" s="11">
        <v>3</v>
      </c>
      <c r="H43" s="11">
        <v>4</v>
      </c>
      <c r="I43" s="11">
        <v>6</v>
      </c>
      <c r="J43" s="11">
        <v>18</v>
      </c>
      <c r="K43" s="11"/>
      <c r="L43" s="11"/>
      <c r="M43" s="11"/>
      <c r="N43" s="11"/>
      <c r="O43" s="11"/>
      <c r="P43" s="11"/>
      <c r="Q43" s="11"/>
      <c r="R43" s="11"/>
      <c r="S43" s="30"/>
      <c r="T43" s="34">
        <v>60</v>
      </c>
      <c r="U43" s="34"/>
      <c r="V43" s="34"/>
      <c r="W43" s="34"/>
    </row>
    <row r="44" spans="1:23" x14ac:dyDescent="0.25">
      <c r="A44" t="s">
        <v>320</v>
      </c>
      <c r="B44" s="36">
        <f>表_古代神首饰[[#This Row],[进化金币(J)]]+IF(ISNUMBER(B43), B43, 表_古代神首饰[[#Totals],[进化阶段]])</f>
        <v>148.5</v>
      </c>
      <c r="C44" s="35">
        <f>表_古代神首饰[[#This Row],[进化点券]]+IF(ISNUMBER(C43), C43, 0)</f>
        <v>22500</v>
      </c>
      <c r="D44" s="36">
        <f>SUMPRODUCT(表_古代神首饰[[#This Row],[传说宝玉]:[列12]],表_古代神首饰[[#Totals],[传说宝玉]:[列12]])+表_古代神首饰[[#This Row],[手续费(J)]]</f>
        <v>29.7</v>
      </c>
      <c r="E44" s="36">
        <f>SUMPRODUCT(表_古代神首饰[[#This Row],[宝玉神物]:[列16]],表_古代神首饰[[#Totals],[宝玉神物]:[列16]])</f>
        <v>4500</v>
      </c>
      <c r="F44" s="39" t="s">
        <v>196</v>
      </c>
      <c r="G44" s="11">
        <v>3</v>
      </c>
      <c r="H44" s="11">
        <v>4</v>
      </c>
      <c r="I44" s="11">
        <v>6</v>
      </c>
      <c r="J44" s="11">
        <v>18</v>
      </c>
      <c r="K44" s="11"/>
      <c r="L44" s="11"/>
      <c r="M44" s="11"/>
      <c r="N44" s="11"/>
      <c r="O44" s="11"/>
      <c r="P44" s="11"/>
      <c r="Q44" s="11"/>
      <c r="R44" s="11"/>
      <c r="S44" s="30"/>
      <c r="T44" s="11">
        <v>60</v>
      </c>
      <c r="U44" s="11"/>
      <c r="V44" s="11"/>
      <c r="W44" s="11"/>
    </row>
    <row r="45" spans="1:23" x14ac:dyDescent="0.25">
      <c r="A45" t="s">
        <v>320</v>
      </c>
      <c r="B45" s="36">
        <f>表_古代神首饰[[#This Row],[进化金币(J)]]+IF(ISNUMBER(B44), B44, 表_古代神首饰[[#Totals],[进化阶段]])</f>
        <v>178.2</v>
      </c>
      <c r="C45" s="35">
        <f>表_古代神首饰[[#This Row],[进化点券]]+IF(ISNUMBER(C44), C44, 0)</f>
        <v>27000</v>
      </c>
      <c r="D45" s="38">
        <f>SUMPRODUCT(表_古代神首饰[[#This Row],[传说宝玉]:[列12]],表_古代神首饰[[#Totals],[传说宝玉]:[列12]])+表_古代神首饰[[#This Row],[手续费(J)]]</f>
        <v>29.7</v>
      </c>
      <c r="E45" s="38">
        <f>SUMPRODUCT(表_古代神首饰[[#This Row],[宝玉神物]:[列16]],表_古代神首饰[[#Totals],[宝玉神物]:[列16]])</f>
        <v>4500</v>
      </c>
      <c r="F45" s="39" t="s">
        <v>197</v>
      </c>
      <c r="G45" s="25">
        <v>3</v>
      </c>
      <c r="H45" s="25">
        <v>4</v>
      </c>
      <c r="I45" s="25">
        <v>6</v>
      </c>
      <c r="J45" s="25">
        <v>18</v>
      </c>
      <c r="K45" s="25"/>
      <c r="L45" s="25"/>
      <c r="M45" s="25"/>
      <c r="N45" s="25"/>
      <c r="O45" s="25"/>
      <c r="P45" s="25"/>
      <c r="Q45" s="25"/>
      <c r="R45" s="25"/>
      <c r="S45" s="31"/>
      <c r="T45" s="25">
        <v>60</v>
      </c>
      <c r="U45" s="25"/>
      <c r="V45" s="25"/>
      <c r="W45" s="25"/>
    </row>
    <row r="46" spans="1:23" x14ac:dyDescent="0.25">
      <c r="A46" t="s">
        <v>320</v>
      </c>
      <c r="B46" s="36">
        <f>表_古代神首饰[[#This Row],[进化金币(J)]]+IF(ISNUMBER(B45), B45, 表_古代神首饰[[#Totals],[进化阶段]])</f>
        <v>207.89999999999998</v>
      </c>
      <c r="C46" s="35">
        <f>表_古代神首饰[[#This Row],[进化点券]]+IF(ISNUMBER(C45), C45, 0)</f>
        <v>31500</v>
      </c>
      <c r="D46" s="36">
        <f>SUMPRODUCT(表_古代神首饰[[#This Row],[传说宝玉]:[列12]],表_古代神首饰[[#Totals],[传说宝玉]:[列12]])+表_古代神首饰[[#This Row],[手续费(J)]]</f>
        <v>29.7</v>
      </c>
      <c r="E46" s="36">
        <f>SUMPRODUCT(表_古代神首饰[[#This Row],[宝玉神物]:[列16]],表_古代神首饰[[#Totals],[宝玉神物]:[列16]])</f>
        <v>4500</v>
      </c>
      <c r="F46" s="39" t="s">
        <v>198</v>
      </c>
      <c r="G46" s="11">
        <v>3</v>
      </c>
      <c r="H46" s="11">
        <v>4</v>
      </c>
      <c r="I46" s="11">
        <v>6</v>
      </c>
      <c r="J46" s="11">
        <v>18</v>
      </c>
      <c r="K46" s="11"/>
      <c r="L46" s="11"/>
      <c r="M46" s="11"/>
      <c r="N46" s="11"/>
      <c r="O46" s="11"/>
      <c r="P46" s="11"/>
      <c r="Q46" s="11"/>
      <c r="R46" s="11"/>
      <c r="S46" s="30"/>
      <c r="T46" s="11">
        <v>60</v>
      </c>
      <c r="U46" s="11"/>
      <c r="V46" s="11"/>
      <c r="W46" s="11"/>
    </row>
    <row r="47" spans="1:23" x14ac:dyDescent="0.25">
      <c r="A47" t="s">
        <v>320</v>
      </c>
      <c r="B47" s="36">
        <f>表_古代神首饰[[#This Row],[进化金币(J)]]+IF(ISNUMBER(B46), B46, 表_古代神首饰[[#Totals],[进化阶段]])</f>
        <v>268.79999999999995</v>
      </c>
      <c r="C47" s="35">
        <f>表_古代神首饰[[#This Row],[进化点券]]+IF(ISNUMBER(C46), C46, 0)</f>
        <v>46500</v>
      </c>
      <c r="D47" s="36">
        <f>SUMPRODUCT(表_古代神首饰[[#This Row],[传说宝玉]:[列12]],表_古代神首饰[[#Totals],[传说宝玉]:[列12]])+表_古代神首饰[[#This Row],[手续费(J)]]</f>
        <v>60.9</v>
      </c>
      <c r="E47" s="36">
        <f>SUMPRODUCT(表_古代神首饰[[#This Row],[宝玉神物]:[列16]],表_古代神首饰[[#Totals],[宝玉神物]:[列16]])</f>
        <v>15000</v>
      </c>
      <c r="F47" s="40" t="s">
        <v>219</v>
      </c>
      <c r="G47" s="11">
        <v>7.5</v>
      </c>
      <c r="H47" s="11">
        <v>0</v>
      </c>
      <c r="I47" s="11">
        <v>12</v>
      </c>
      <c r="J47" s="11">
        <v>36</v>
      </c>
      <c r="K47" s="11"/>
      <c r="L47" s="11"/>
      <c r="M47" s="11"/>
      <c r="N47" s="11"/>
      <c r="O47" s="11"/>
      <c r="P47" s="11"/>
      <c r="Q47" s="11"/>
      <c r="R47" s="11"/>
      <c r="S47" s="30"/>
      <c r="T47" s="11">
        <v>200</v>
      </c>
      <c r="U47" s="11"/>
      <c r="V47" s="11"/>
      <c r="W47" s="11"/>
    </row>
    <row r="48" spans="1:23" x14ac:dyDescent="0.25">
      <c r="A48" t="s">
        <v>320</v>
      </c>
      <c r="B48" s="36">
        <f>表_古代神首饰[[#This Row],[进化金币(J)]]+IF(ISNUMBER(B47), B47, 表_古代神首饰[[#Totals],[进化阶段]])</f>
        <v>329.69999999999993</v>
      </c>
      <c r="C48" s="35">
        <f>表_古代神首饰[[#This Row],[进化点券]]+IF(ISNUMBER(C47), C47, 0)</f>
        <v>61500</v>
      </c>
      <c r="D48" s="36">
        <f>SUMPRODUCT(表_古代神首饰[[#This Row],[传说宝玉]:[列12]],表_古代神首饰[[#Totals],[传说宝玉]:[列12]])+表_古代神首饰[[#This Row],[手续费(J)]]</f>
        <v>60.9</v>
      </c>
      <c r="E48" s="36">
        <f>SUMPRODUCT(表_古代神首饰[[#This Row],[宝玉神物]:[列16]],表_古代神首饰[[#Totals],[宝玉神物]:[列16]])</f>
        <v>15000</v>
      </c>
      <c r="F48" s="40" t="s">
        <v>213</v>
      </c>
      <c r="G48" s="11">
        <v>7.5</v>
      </c>
      <c r="H48" s="11">
        <v>0</v>
      </c>
      <c r="I48" s="11">
        <v>12</v>
      </c>
      <c r="J48" s="11">
        <v>36</v>
      </c>
      <c r="K48" s="11"/>
      <c r="L48" s="11"/>
      <c r="M48" s="11"/>
      <c r="N48" s="11"/>
      <c r="O48" s="11"/>
      <c r="P48" s="11"/>
      <c r="Q48" s="11"/>
      <c r="R48" s="11"/>
      <c r="S48" s="30"/>
      <c r="T48" s="11">
        <v>200</v>
      </c>
      <c r="U48" s="11"/>
      <c r="V48" s="11"/>
      <c r="W48" s="11"/>
    </row>
    <row r="49" spans="1:23" x14ac:dyDescent="0.25">
      <c r="A49" t="s">
        <v>320</v>
      </c>
      <c r="B49" s="36">
        <f>表_古代神首饰[[#This Row],[进化金币(J)]]+IF(ISNUMBER(B48), B48, 表_古代神首饰[[#Totals],[进化阶段]])</f>
        <v>390.59999999999991</v>
      </c>
      <c r="C49" s="35">
        <f>表_古代神首饰[[#This Row],[进化点券]]+IF(ISNUMBER(C48), C48, 0)</f>
        <v>76500</v>
      </c>
      <c r="D49" s="36">
        <f>SUMPRODUCT(表_古代神首饰[[#This Row],[传说宝玉]:[列12]],表_古代神首饰[[#Totals],[传说宝玉]:[列12]])+表_古代神首饰[[#This Row],[手续费(J)]]</f>
        <v>60.9</v>
      </c>
      <c r="E49" s="36">
        <f>SUMPRODUCT(表_古代神首饰[[#This Row],[宝玉神物]:[列16]],表_古代神首饰[[#Totals],[宝玉神物]:[列16]])</f>
        <v>15000</v>
      </c>
      <c r="F49" s="40" t="s">
        <v>214</v>
      </c>
      <c r="G49" s="11">
        <v>7.5</v>
      </c>
      <c r="H49" s="11">
        <v>0</v>
      </c>
      <c r="I49" s="11">
        <v>12</v>
      </c>
      <c r="J49" s="11">
        <v>36</v>
      </c>
      <c r="K49" s="11"/>
      <c r="L49" s="11"/>
      <c r="M49" s="11"/>
      <c r="N49" s="11"/>
      <c r="O49" s="11"/>
      <c r="P49" s="11"/>
      <c r="Q49" s="11"/>
      <c r="R49" s="11"/>
      <c r="S49" s="30"/>
      <c r="T49" s="11">
        <v>200</v>
      </c>
      <c r="U49" s="11"/>
      <c r="V49" s="11"/>
      <c r="W49" s="11"/>
    </row>
    <row r="50" spans="1:23" ht="15" thickBot="1" x14ac:dyDescent="0.3">
      <c r="A50" t="s">
        <v>320</v>
      </c>
      <c r="B50" s="36">
        <f>表_古代神首饰[[#This Row],[进化金币(J)]]+IF(ISNUMBER(B49), B49, 表_古代神首饰[[#Totals],[进化阶段]])</f>
        <v>451.49999999999989</v>
      </c>
      <c r="C50" s="35">
        <f>表_古代神首饰[[#This Row],[进化点券]]+IF(ISNUMBER(C49), C49, 0)</f>
        <v>91500</v>
      </c>
      <c r="D50" s="36">
        <f>SUMPRODUCT(表_古代神首饰[[#This Row],[传说宝玉]:[列12]],表_古代神首饰[[#Totals],[传说宝玉]:[列12]])+表_古代神首饰[[#This Row],[手续费(J)]]</f>
        <v>60.9</v>
      </c>
      <c r="E50" s="36">
        <f>SUMPRODUCT(表_古代神首饰[[#This Row],[宝玉神物]:[列16]],表_古代神首饰[[#Totals],[宝玉神物]:[列16]])</f>
        <v>15000</v>
      </c>
      <c r="F50" s="40" t="s">
        <v>215</v>
      </c>
      <c r="G50" s="11">
        <v>7.5</v>
      </c>
      <c r="H50" s="11">
        <v>0</v>
      </c>
      <c r="I50" s="11">
        <v>12</v>
      </c>
      <c r="J50" s="11">
        <v>36</v>
      </c>
      <c r="K50" s="11"/>
      <c r="L50" s="11"/>
      <c r="M50" s="11"/>
      <c r="N50" s="11"/>
      <c r="O50" s="11"/>
      <c r="P50" s="11"/>
      <c r="Q50" s="11"/>
      <c r="R50" s="11"/>
      <c r="S50" s="30"/>
      <c r="T50" s="11">
        <v>200</v>
      </c>
      <c r="U50" s="11"/>
      <c r="V50" s="11"/>
      <c r="W50" s="11"/>
    </row>
    <row r="51" spans="1:23" ht="15" thickTop="1" x14ac:dyDescent="0.25">
      <c r="B51" s="72">
        <f>SUBTOTAL(104,表_古代神首饰[累计金币(J)])</f>
        <v>451.49999999999989</v>
      </c>
      <c r="C51" s="72">
        <f>SUBTOTAL(104,表_古代神首饰[累计点券])</f>
        <v>91500</v>
      </c>
      <c r="D51" s="73">
        <f>SUBTOTAL(109,表_古代神首饰[进化金币(J)])</f>
        <v>451.49999999999989</v>
      </c>
      <c r="E51" s="74">
        <f>SUBTOTAL(109,表_古代神首饰[进化点券])</f>
        <v>91500</v>
      </c>
      <c r="F51" s="88"/>
      <c r="G51" s="76" t="s">
        <v>190</v>
      </c>
      <c r="H51" s="77">
        <f xml:space="preserve"> _xlfn.IFNA(VLOOKUP(表_古代神首饰[[#Headers],[传说宝玉]],金价一览,2,0), 0)</f>
        <v>0</v>
      </c>
      <c r="I51" s="77">
        <f xml:space="preserve"> _xlfn.IFNA(VLOOKUP(表_古代神首饰[[#Headers],[仙丹]],金价一览,2,0), 0)</f>
        <v>4</v>
      </c>
      <c r="J51" s="77">
        <f xml:space="preserve"> _xlfn.IFNA(VLOOKUP(表_古代神首饰[[#Headers],[灵丹]],金价一览,2,0), 0)</f>
        <v>0.15</v>
      </c>
      <c r="K51" s="77">
        <f xml:space="preserve"> _xlfn.IFNA(VLOOKUP(表_古代神首饰[[#Headers],[列4]],金价一览,2,0), 0)</f>
        <v>0</v>
      </c>
      <c r="L51" s="77">
        <f xml:space="preserve"> _xlfn.IFNA(VLOOKUP(表_古代神首饰[[#Headers],[列5]],金价一览,2,0), 0)</f>
        <v>0</v>
      </c>
      <c r="M51" s="77">
        <f xml:space="preserve"> _xlfn.IFNA(VLOOKUP(表_古代神首饰[[#Headers],[列6]],金价一览,2,0), 0)</f>
        <v>0</v>
      </c>
      <c r="N51" s="77">
        <f xml:space="preserve"> _xlfn.IFNA(VLOOKUP(表_古代神首饰[[#Headers],[列7]],金价一览,2,0), 0)</f>
        <v>0</v>
      </c>
      <c r="O51" s="77">
        <f xml:space="preserve"> _xlfn.IFNA(VLOOKUP(表_古代神首饰[[#Headers],[列8]],金价一览,2,0), 0)</f>
        <v>0</v>
      </c>
      <c r="P51" s="77">
        <f xml:space="preserve"> _xlfn.IFNA(VLOOKUP(表_古代神首饰[[#Headers],[列9]],金价一览,2,0), 0)</f>
        <v>0</v>
      </c>
      <c r="Q51" s="77">
        <f xml:space="preserve"> _xlfn.IFNA(VLOOKUP(表_古代神首饰[[#Headers],[列10]],金价一览,2,0), 0)</f>
        <v>0</v>
      </c>
      <c r="R51" s="77">
        <f xml:space="preserve"> _xlfn.IFNA(VLOOKUP(表_古代神首饰[[#Headers],[列11]],金价一览,2,0), 0)</f>
        <v>0</v>
      </c>
      <c r="S51" s="77">
        <f xml:space="preserve"> _xlfn.IFNA(VLOOKUP(表_古代神首饰[[#Headers],[列12]],金价一览,2,0), 0)</f>
        <v>0</v>
      </c>
      <c r="T51" s="78">
        <f>_xlfn.IFNA(VLOOKUP(表_古代神首饰[[#Headers],[宝玉神物]],点券一览,2,0),0)</f>
        <v>75</v>
      </c>
      <c r="U51" s="78">
        <f>_xlfn.IFNA(VLOOKUP(表_古代神首饰[[#Headers],[列14]],点券一览,2,0),0)</f>
        <v>0</v>
      </c>
      <c r="V51" s="78">
        <f>_xlfn.IFNA(VLOOKUP(表_古代神首饰[[#Headers],[列15]],点券一览,2,0),0)</f>
        <v>0</v>
      </c>
      <c r="W51" s="78">
        <f>_xlfn.IFNA(VLOOKUP(表_古代神首饰[[#Headers],[列16]],点券一览,2,0),0)</f>
        <v>0</v>
      </c>
    </row>
    <row r="52" spans="1:23" x14ac:dyDescent="0.25">
      <c r="B52" s="188" t="s">
        <v>221</v>
      </c>
      <c r="C52" s="188"/>
      <c r="D52" s="188"/>
      <c r="E52" s="188"/>
      <c r="F52" s="189"/>
      <c r="G52" s="79" t="s">
        <v>224</v>
      </c>
      <c r="H52" s="52">
        <f>SUM(表_古代神首饰[[#Data],[传说宝玉]])</f>
        <v>28</v>
      </c>
      <c r="I52" s="52">
        <f>SUM(表_古代神首饰[[#Data],[仙丹]])</f>
        <v>90</v>
      </c>
      <c r="J52" s="52">
        <f>SUM(表_古代神首饰[[#Data],[灵丹]])</f>
        <v>270</v>
      </c>
      <c r="K52" s="52">
        <f>SUM(表_古代神首饰[[#Data],[列4]])</f>
        <v>0</v>
      </c>
      <c r="L52" s="52">
        <f>SUM(表_古代神首饰[[#Data],[列5]])</f>
        <v>0</v>
      </c>
      <c r="M52" s="52">
        <f>SUM(表_古代神首饰[[#Data],[列6]])</f>
        <v>0</v>
      </c>
      <c r="N52" s="52">
        <f>SUM(表_古代神首饰[[#Data],[列7]])</f>
        <v>0</v>
      </c>
      <c r="O52" s="52">
        <f>SUM(表_古代神首饰[[#Data],[列8]])</f>
        <v>0</v>
      </c>
      <c r="P52" s="52">
        <f>SUM(表_古代神首饰[[#Data],[列9]])</f>
        <v>0</v>
      </c>
      <c r="Q52" s="52">
        <f>SUM(表_古代神首饰[[#Data],[列10]])</f>
        <v>0</v>
      </c>
      <c r="R52" s="52">
        <f>SUM(表_古代神首饰[[#Data],[列11]])</f>
        <v>0</v>
      </c>
      <c r="S52" s="52">
        <f>SUM(表_古代神首饰[[#Data],[列12]])</f>
        <v>0</v>
      </c>
      <c r="T52" s="52">
        <f>SUM(表_古代神首饰[[#Data],[宝玉神物]])</f>
        <v>1220</v>
      </c>
      <c r="U52" s="52">
        <f>SUM(表_古代神首饰[[#Data],[列14]])</f>
        <v>0</v>
      </c>
      <c r="V52" s="52">
        <f>SUM(表_古代神首饰[[#Data],[列15]])</f>
        <v>0</v>
      </c>
      <c r="W52" s="52">
        <f>SUM(表_古代神首饰[[#Data],[列16]])</f>
        <v>0</v>
      </c>
    </row>
    <row r="53" spans="1:23" x14ac:dyDescent="0.25">
      <c r="B53" s="188"/>
      <c r="C53" s="188"/>
      <c r="D53" s="188"/>
      <c r="E53" s="188"/>
      <c r="F53" s="189"/>
      <c r="G53" s="80" t="s">
        <v>223</v>
      </c>
      <c r="H53" s="52">
        <f>H52*表_古代神首饰[[#Totals],[传说宝玉]]</f>
        <v>0</v>
      </c>
      <c r="I53" s="52">
        <f>I52*表_古代神首饰[[#Totals],[仙丹]]</f>
        <v>360</v>
      </c>
      <c r="J53" s="52">
        <f>J52*表_古代神首饰[[#Totals],[灵丹]]</f>
        <v>40.5</v>
      </c>
      <c r="K53" s="52">
        <f>K52*表_古代神首饰[[#Totals],[列4]]</f>
        <v>0</v>
      </c>
      <c r="L53" s="52">
        <f>L52*表_古代神首饰[[#Totals],[列5]]</f>
        <v>0</v>
      </c>
      <c r="M53" s="52">
        <f>M52*表_古代神首饰[[#Totals],[列6]]</f>
        <v>0</v>
      </c>
      <c r="N53" s="52">
        <f>N52*表_古代神首饰[[#Totals],[列7]]</f>
        <v>0</v>
      </c>
      <c r="O53" s="52">
        <f>O52*表_古代神首饰[[#Totals],[列8]]</f>
        <v>0</v>
      </c>
      <c r="P53" s="52">
        <f>P52*表_古代神首饰[[#Totals],[列9]]</f>
        <v>0</v>
      </c>
      <c r="Q53" s="52">
        <f>Q52*表_古代神首饰[[#Totals],[列10]]</f>
        <v>0</v>
      </c>
      <c r="R53" s="52">
        <f>R52*表_古代神首饰[[#Totals],[列11]]</f>
        <v>0</v>
      </c>
      <c r="S53" s="52">
        <f>S52*表_古代神首饰[[#Totals],[列12]]</f>
        <v>0</v>
      </c>
      <c r="T53" s="52">
        <f>T52*表_古代神首饰[[#Totals],[宝玉神物]]</f>
        <v>91500</v>
      </c>
      <c r="U53" s="52">
        <f>U52*表_古代神首饰[[#Totals],[列14]]</f>
        <v>0</v>
      </c>
      <c r="V53" s="52">
        <f>V52*表_古代神首饰[[#Totals],[列15]]</f>
        <v>0</v>
      </c>
      <c r="W53" s="52">
        <f>W52*表_古代神首饰[[#Totals],[列16]]</f>
        <v>0</v>
      </c>
    </row>
    <row r="56" spans="1:23" x14ac:dyDescent="0.25">
      <c r="B56" s="28" t="s">
        <v>266</v>
      </c>
      <c r="H56" s="43" t="s">
        <v>212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42" t="s">
        <v>211</v>
      </c>
      <c r="U56" s="41"/>
      <c r="V56" s="41"/>
      <c r="W56" s="41"/>
    </row>
    <row r="57" spans="1:23" ht="34.200000000000003" customHeight="1" thickBot="1" x14ac:dyDescent="0.3">
      <c r="B57" s="57" t="s">
        <v>187</v>
      </c>
      <c r="C57" s="57" t="s">
        <v>186</v>
      </c>
      <c r="D57" s="98" t="s">
        <v>253</v>
      </c>
      <c r="E57" s="98" t="s">
        <v>255</v>
      </c>
      <c r="F57" s="58" t="s">
        <v>181</v>
      </c>
      <c r="G57" s="58" t="s">
        <v>185</v>
      </c>
      <c r="H57" s="59" t="s">
        <v>267</v>
      </c>
      <c r="I57" s="60" t="s">
        <v>115</v>
      </c>
      <c r="J57" s="60" t="s">
        <v>4</v>
      </c>
      <c r="K57" s="60" t="s">
        <v>3</v>
      </c>
      <c r="L57" s="60" t="s">
        <v>2</v>
      </c>
      <c r="M57" s="60" t="s">
        <v>0</v>
      </c>
      <c r="N57" s="60" t="s">
        <v>1</v>
      </c>
      <c r="O57" s="60" t="s">
        <v>202</v>
      </c>
      <c r="P57" s="60" t="s">
        <v>203</v>
      </c>
      <c r="Q57" s="60" t="s">
        <v>204</v>
      </c>
      <c r="R57" s="60" t="s">
        <v>205</v>
      </c>
      <c r="S57" s="61" t="s">
        <v>206</v>
      </c>
      <c r="T57" s="62" t="s">
        <v>116</v>
      </c>
      <c r="U57" s="62" t="s">
        <v>120</v>
      </c>
      <c r="V57" s="62" t="s">
        <v>209</v>
      </c>
      <c r="W57" s="62" t="s">
        <v>210</v>
      </c>
    </row>
    <row r="58" spans="1:23" ht="15" thickTop="1" x14ac:dyDescent="0.25">
      <c r="B58" s="55">
        <f>表_梵天阎魔手镯[[#This Row],[进化金币(J)]]+IF(ISNUMBER(B57), B57, 表_梵天阎魔手镯[[#Totals],[进化阶段]])</f>
        <v>200</v>
      </c>
      <c r="C58" s="54">
        <f>表_梵天阎魔手镯[[#This Row],[进化点券]]+IF(ISNUMBER(C57), C57, 0)</f>
        <v>0</v>
      </c>
      <c r="D58" s="55">
        <f>IF(A58="○",SUMPRODUCT(表_梵天阎魔手镯[[#This Row],[黑蛟麟]:[列12]],表_梵天阎魔手镯[[#Totals],[黑蛟麟]:[列12]])+表_梵天阎魔手镯[[#This Row],[手续费(J)]],0)</f>
        <v>0</v>
      </c>
      <c r="E58" s="55">
        <f>IF(A58="○",SUMPRODUCT(表_梵天阎魔手镯[[#This Row],[高级宝玉神物]:[列16]],表_梵天阎魔手镯[[#Totals],[高级宝玉神物]:[列16]]),0)</f>
        <v>0</v>
      </c>
      <c r="F58" s="56" t="s">
        <v>192</v>
      </c>
      <c r="G58" s="34">
        <v>22.5</v>
      </c>
      <c r="H58" s="34">
        <v>3</v>
      </c>
      <c r="I58" s="34">
        <v>15</v>
      </c>
      <c r="J58" s="34">
        <v>0</v>
      </c>
      <c r="K58" s="34">
        <v>20</v>
      </c>
      <c r="L58" s="34">
        <v>40</v>
      </c>
      <c r="M58" s="34">
        <v>20</v>
      </c>
      <c r="N58" s="34">
        <v>40</v>
      </c>
      <c r="O58" s="34"/>
      <c r="P58" s="34"/>
      <c r="Q58" s="34"/>
      <c r="R58" s="34"/>
      <c r="S58" s="32"/>
      <c r="T58" s="34">
        <v>6</v>
      </c>
      <c r="U58" s="34">
        <v>0</v>
      </c>
      <c r="V58" s="34"/>
      <c r="W58" s="34"/>
    </row>
    <row r="59" spans="1:23" x14ac:dyDescent="0.25">
      <c r="A59" t="s">
        <v>320</v>
      </c>
      <c r="B59" s="36">
        <f>表_梵天阎魔手镯[[#This Row],[进化金币(J)]]+IF(ISNUMBER(B58), B58, 表_梵天阎魔手镯[[#Totals],[进化阶段]])</f>
        <v>736.9</v>
      </c>
      <c r="C59" s="35">
        <f>表_梵天阎魔手镯[[#This Row],[进化点券]]+IF(ISNUMBER(C58), C58, 0)</f>
        <v>1200</v>
      </c>
      <c r="D59" s="36">
        <f>IF(A59="○",SUMPRODUCT(表_梵天阎魔手镯[[#This Row],[黑蛟麟]:[列12]],表_梵天阎魔手镯[[#Totals],[黑蛟麟]:[列12]])+表_梵天阎魔手镯[[#This Row],[手续费(J)]],0)</f>
        <v>536.9</v>
      </c>
      <c r="E59" s="36">
        <f>IF(A59="○",SUMPRODUCT(表_梵天阎魔手镯[[#This Row],[高级宝玉神物]:[列16]],表_梵天阎魔手镯[[#Totals],[高级宝玉神物]:[列16]]),0)</f>
        <v>1200</v>
      </c>
      <c r="F59" s="39" t="s">
        <v>193</v>
      </c>
      <c r="G59" s="11">
        <v>22.5</v>
      </c>
      <c r="H59" s="11">
        <v>3</v>
      </c>
      <c r="I59" s="11">
        <v>15</v>
      </c>
      <c r="J59" s="11">
        <v>0</v>
      </c>
      <c r="K59" s="11">
        <v>20</v>
      </c>
      <c r="L59" s="11">
        <v>40</v>
      </c>
      <c r="M59" s="11">
        <v>20</v>
      </c>
      <c r="N59" s="11">
        <v>40</v>
      </c>
      <c r="O59" s="11"/>
      <c r="P59" s="11"/>
      <c r="Q59" s="11"/>
      <c r="R59" s="11"/>
      <c r="S59" s="30"/>
      <c r="T59" s="34">
        <v>8</v>
      </c>
      <c r="U59" s="34">
        <v>0</v>
      </c>
      <c r="V59" s="34"/>
      <c r="W59" s="34"/>
    </row>
    <row r="60" spans="1:23" x14ac:dyDescent="0.25">
      <c r="A60" t="s">
        <v>320</v>
      </c>
      <c r="B60" s="36">
        <f>表_梵天阎魔手镯[[#This Row],[进化金币(J)]]+IF(ISNUMBER(B59), B59, 表_梵天阎魔手镯[[#Totals],[进化阶段]])</f>
        <v>1273.8</v>
      </c>
      <c r="C60" s="35">
        <f>表_梵天阎魔手镯[[#This Row],[进化点券]]+IF(ISNUMBER(C59), C59, 0)</f>
        <v>2700</v>
      </c>
      <c r="D60" s="36">
        <f>IF(A60="○",SUMPRODUCT(表_梵天阎魔手镯[[#This Row],[黑蛟麟]:[列12]],表_梵天阎魔手镯[[#Totals],[黑蛟麟]:[列12]])+表_梵天阎魔手镯[[#This Row],[手续费(J)]],0)</f>
        <v>536.9</v>
      </c>
      <c r="E60" s="36">
        <f>IF(A60="○",SUMPRODUCT(表_梵天阎魔手镯[[#This Row],[高级宝玉神物]:[列16]],表_梵天阎魔手镯[[#Totals],[高级宝玉神物]:[列16]]),0)</f>
        <v>1500</v>
      </c>
      <c r="F60" s="39" t="s">
        <v>194</v>
      </c>
      <c r="G60" s="11">
        <v>22.5</v>
      </c>
      <c r="H60" s="11">
        <v>3</v>
      </c>
      <c r="I60" s="11">
        <v>15</v>
      </c>
      <c r="J60" s="11">
        <v>0</v>
      </c>
      <c r="K60" s="11">
        <v>20</v>
      </c>
      <c r="L60" s="11">
        <v>40</v>
      </c>
      <c r="M60" s="11">
        <v>20</v>
      </c>
      <c r="N60" s="11">
        <v>40</v>
      </c>
      <c r="O60" s="11"/>
      <c r="P60" s="11"/>
      <c r="Q60" s="11"/>
      <c r="R60" s="11"/>
      <c r="S60" s="30"/>
      <c r="T60" s="34">
        <v>10</v>
      </c>
      <c r="U60" s="34">
        <v>0</v>
      </c>
      <c r="V60" s="34"/>
      <c r="W60" s="34"/>
    </row>
    <row r="61" spans="1:23" x14ac:dyDescent="0.25">
      <c r="A61" t="s">
        <v>320</v>
      </c>
      <c r="B61" s="36">
        <f>表_梵天阎魔手镯[[#This Row],[进化金币(J)]]+IF(ISNUMBER(B60), B60, 表_梵天阎魔手镯[[#Totals],[进化阶段]])</f>
        <v>1810.6999999999998</v>
      </c>
      <c r="C61" s="35">
        <f>表_梵天阎魔手镯[[#This Row],[进化点券]]+IF(ISNUMBER(C60), C60, 0)</f>
        <v>4800</v>
      </c>
      <c r="D61" s="36">
        <f>IF(A61="○",SUMPRODUCT(表_梵天阎魔手镯[[#This Row],[黑蛟麟]:[列12]],表_梵天阎魔手镯[[#Totals],[黑蛟麟]:[列12]])+表_梵天阎魔手镯[[#This Row],[手续费(J)]],0)</f>
        <v>536.9</v>
      </c>
      <c r="E61" s="36">
        <f>IF(A61="○",SUMPRODUCT(表_梵天阎魔手镯[[#This Row],[高级宝玉神物]:[列16]],表_梵天阎魔手镯[[#Totals],[高级宝玉神物]:[列16]]),0)</f>
        <v>2100</v>
      </c>
      <c r="F61" s="39" t="s">
        <v>195</v>
      </c>
      <c r="G61" s="11">
        <v>22.5</v>
      </c>
      <c r="H61" s="11">
        <v>3</v>
      </c>
      <c r="I61" s="11">
        <v>15</v>
      </c>
      <c r="J61" s="11">
        <v>0</v>
      </c>
      <c r="K61" s="11">
        <v>20</v>
      </c>
      <c r="L61" s="11">
        <v>40</v>
      </c>
      <c r="M61" s="11">
        <v>20</v>
      </c>
      <c r="N61" s="11">
        <v>40</v>
      </c>
      <c r="O61" s="11"/>
      <c r="P61" s="11"/>
      <c r="Q61" s="11"/>
      <c r="R61" s="11"/>
      <c r="S61" s="30"/>
      <c r="T61" s="34">
        <v>14</v>
      </c>
      <c r="U61" s="34">
        <v>0</v>
      </c>
      <c r="V61" s="34"/>
      <c r="W61" s="34"/>
    </row>
    <row r="62" spans="1:23" x14ac:dyDescent="0.25">
      <c r="A62" t="s">
        <v>320</v>
      </c>
      <c r="B62" s="36">
        <f>表_梵天阎魔手镯[[#This Row],[进化金币(J)]]+IF(ISNUMBER(B61), B61, 表_梵天阎魔手镯[[#Totals],[进化阶段]])</f>
        <v>2425.1</v>
      </c>
      <c r="C62" s="35">
        <f>表_梵天阎魔手镯[[#This Row],[进化点券]]+IF(ISNUMBER(C61), C61, 0)</f>
        <v>7800</v>
      </c>
      <c r="D62" s="36">
        <f>IF(A62="○",SUMPRODUCT(表_梵天阎魔手镯[[#This Row],[黑蛟麟]:[列12]],表_梵天阎魔手镯[[#Totals],[黑蛟麟]:[列12]])+表_梵天阎魔手镯[[#This Row],[手续费(J)]],0)</f>
        <v>614.4</v>
      </c>
      <c r="E62" s="36">
        <f>IF(A62="○",SUMPRODUCT(表_梵天阎魔手镯[[#This Row],[高级宝玉神物]:[列16]],表_梵天阎魔手镯[[#Totals],[高级宝玉神物]:[列16]]),0)</f>
        <v>3000</v>
      </c>
      <c r="F62" s="39" t="s">
        <v>196</v>
      </c>
      <c r="G62" s="11">
        <v>22.5</v>
      </c>
      <c r="H62" s="11">
        <v>4</v>
      </c>
      <c r="I62" s="11">
        <v>15</v>
      </c>
      <c r="J62" s="11">
        <v>5</v>
      </c>
      <c r="K62" s="11">
        <v>20</v>
      </c>
      <c r="L62" s="11">
        <v>40</v>
      </c>
      <c r="M62" s="11">
        <v>20</v>
      </c>
      <c r="N62" s="11">
        <v>40</v>
      </c>
      <c r="O62" s="11"/>
      <c r="P62" s="11"/>
      <c r="Q62" s="11"/>
      <c r="R62" s="11"/>
      <c r="S62" s="30"/>
      <c r="T62" s="11">
        <v>20</v>
      </c>
      <c r="U62" s="11">
        <v>0</v>
      </c>
      <c r="V62" s="11"/>
      <c r="W62" s="11"/>
    </row>
    <row r="63" spans="1:23" x14ac:dyDescent="0.25">
      <c r="A63" t="s">
        <v>320</v>
      </c>
      <c r="B63" s="36">
        <f>表_梵天阎魔手镯[[#This Row],[进化金币(J)]]+IF(ISNUMBER(B62), B62, 表_梵天阎魔手镯[[#Totals],[进化阶段]])</f>
        <v>3164.7</v>
      </c>
      <c r="C63" s="35">
        <f>表_梵天阎魔手镯[[#This Row],[进化点券]]+IF(ISNUMBER(C62), C62, 0)</f>
        <v>13200</v>
      </c>
      <c r="D63" s="38">
        <f>IF(A63="○",SUMPRODUCT(表_梵天阎魔手镯[[#This Row],[黑蛟麟]:[列12]],表_梵天阎魔手镯[[#Totals],[黑蛟麟]:[列12]])+表_梵天阎魔手镯[[#This Row],[手续费(J)]],0)</f>
        <v>739.6</v>
      </c>
      <c r="E63" s="38">
        <f>IF(A63="○",SUMPRODUCT(表_梵天阎魔手镯[[#This Row],[高级宝玉神物]:[列16]],表_梵天阎魔手镯[[#Totals],[高级宝玉神物]:[列16]]),0)</f>
        <v>5400</v>
      </c>
      <c r="F63" s="39" t="s">
        <v>197</v>
      </c>
      <c r="G63" s="25">
        <v>45</v>
      </c>
      <c r="H63" s="25">
        <v>5</v>
      </c>
      <c r="I63" s="25">
        <v>15</v>
      </c>
      <c r="J63" s="25">
        <v>5</v>
      </c>
      <c r="K63" s="25">
        <v>30</v>
      </c>
      <c r="L63" s="25">
        <v>60</v>
      </c>
      <c r="M63" s="25">
        <v>30</v>
      </c>
      <c r="N63" s="25">
        <v>60</v>
      </c>
      <c r="O63" s="25"/>
      <c r="P63" s="25"/>
      <c r="Q63" s="25"/>
      <c r="R63" s="25"/>
      <c r="S63" s="31"/>
      <c r="T63" s="25">
        <v>0</v>
      </c>
      <c r="U63" s="25">
        <v>18</v>
      </c>
      <c r="V63" s="25"/>
      <c r="W63" s="25"/>
    </row>
    <row r="64" spans="1:23" x14ac:dyDescent="0.25">
      <c r="A64" t="s">
        <v>320</v>
      </c>
      <c r="B64" s="92">
        <f>表_梵天阎魔手镯[[#This Row],[进化金币(J)]]+IF(ISNUMBER(B63), B63, 表_梵天阎魔手镯[[#Totals],[进化阶段]])</f>
        <v>3904.2999999999997</v>
      </c>
      <c r="C64" s="93">
        <f>表_梵天阎魔手镯[[#This Row],[进化点券]]+IF(ISNUMBER(C63), C63, 0)</f>
        <v>20400</v>
      </c>
      <c r="D64" s="36">
        <f>IF(A64="○",SUMPRODUCT(表_梵天阎魔手镯[[#This Row],[黑蛟麟]:[列12]],表_梵天阎魔手镯[[#Totals],[黑蛟麟]:[列12]])+表_梵天阎魔手镯[[#This Row],[手续费(J)]],0)</f>
        <v>739.6</v>
      </c>
      <c r="E64" s="36">
        <f>IF(A64="○",SUMPRODUCT(表_梵天阎魔手镯[[#This Row],[高级宝玉神物]:[列16]],表_梵天阎魔手镯[[#Totals],[高级宝玉神物]:[列16]]),0)</f>
        <v>7200</v>
      </c>
      <c r="F64" s="39" t="s">
        <v>198</v>
      </c>
      <c r="G64" s="11">
        <v>45</v>
      </c>
      <c r="H64" s="11">
        <v>5</v>
      </c>
      <c r="I64" s="11">
        <v>15</v>
      </c>
      <c r="J64" s="11">
        <v>5</v>
      </c>
      <c r="K64" s="11">
        <v>30</v>
      </c>
      <c r="L64" s="11">
        <v>60</v>
      </c>
      <c r="M64" s="11">
        <v>30</v>
      </c>
      <c r="N64" s="11">
        <v>60</v>
      </c>
      <c r="O64" s="11"/>
      <c r="P64" s="11"/>
      <c r="Q64" s="11"/>
      <c r="R64" s="11"/>
      <c r="S64" s="30"/>
      <c r="T64" s="11">
        <v>0</v>
      </c>
      <c r="U64" s="11">
        <v>24</v>
      </c>
      <c r="V64" s="11"/>
      <c r="W64" s="11"/>
    </row>
    <row r="65" spans="1:23" x14ac:dyDescent="0.25">
      <c r="A65" t="s">
        <v>320</v>
      </c>
      <c r="B65" s="36">
        <f>表_梵天阎魔手镯[[#This Row],[进化金币(J)]]+IF(ISNUMBER(B64), B64, 表_梵天阎魔手镯[[#Totals],[进化阶段]])</f>
        <v>4688.8999999999996</v>
      </c>
      <c r="C65" s="35">
        <f>表_梵天阎魔手镯[[#This Row],[进化点券]]+IF(ISNUMBER(C64), C64, 0)</f>
        <v>30900</v>
      </c>
      <c r="D65" s="36">
        <f>IF(A65="○",SUMPRODUCT(表_梵天阎魔手镯[[#This Row],[黑蛟麟]:[列12]],表_梵天阎魔手镯[[#Totals],[黑蛟麟]:[列12]])+表_梵天阎魔手镯[[#This Row],[手续费(J)]],0)</f>
        <v>784.6</v>
      </c>
      <c r="E65" s="36">
        <f>IF(A65="○",SUMPRODUCT(表_梵天阎魔手镯[[#This Row],[高级宝玉神物]:[列16]],表_梵天阎魔手镯[[#Totals],[高级宝玉神物]:[列16]]),0)</f>
        <v>10500</v>
      </c>
      <c r="F65" s="40" t="s">
        <v>219</v>
      </c>
      <c r="G65" s="11">
        <v>45</v>
      </c>
      <c r="H65" s="11">
        <v>6</v>
      </c>
      <c r="I65" s="11">
        <v>15</v>
      </c>
      <c r="J65" s="11">
        <v>5</v>
      </c>
      <c r="K65" s="11">
        <v>30</v>
      </c>
      <c r="L65" s="11">
        <v>60</v>
      </c>
      <c r="M65" s="11">
        <v>30</v>
      </c>
      <c r="N65" s="11">
        <v>60</v>
      </c>
      <c r="O65" s="11"/>
      <c r="P65" s="11"/>
      <c r="Q65" s="11"/>
      <c r="R65" s="11"/>
      <c r="S65" s="30"/>
      <c r="T65" s="11">
        <v>0</v>
      </c>
      <c r="U65" s="11">
        <v>35</v>
      </c>
      <c r="V65" s="11"/>
      <c r="W65" s="11"/>
    </row>
    <row r="66" spans="1:23" x14ac:dyDescent="0.25">
      <c r="A66" t="s">
        <v>320</v>
      </c>
      <c r="B66" s="36">
        <f>表_梵天阎魔手镯[[#This Row],[进化金币(J)]]+IF(ISNUMBER(B65), B65, 表_梵天阎魔手镯[[#Totals],[进化阶段]])</f>
        <v>5631.2</v>
      </c>
      <c r="C66" s="35">
        <f>表_梵天阎魔手镯[[#This Row],[进化点券]]+IF(ISNUMBER(C65), C65, 0)</f>
        <v>44400</v>
      </c>
      <c r="D66" s="36">
        <f>IF(A66="○",SUMPRODUCT(表_梵天阎魔手镯[[#This Row],[黑蛟麟]:[列12]],表_梵天阎魔手镯[[#Totals],[黑蛟麟]:[列12]])+表_梵天阎魔手镯[[#This Row],[手续费(J)]],0)</f>
        <v>942.3</v>
      </c>
      <c r="E66" s="36">
        <f>IF(A66="○",SUMPRODUCT(表_梵天阎魔手镯[[#This Row],[高级宝玉神物]:[列16]],表_梵天阎魔手镯[[#Totals],[高级宝玉神物]:[列16]]),0)</f>
        <v>13500</v>
      </c>
      <c r="F66" s="40" t="s">
        <v>213</v>
      </c>
      <c r="G66" s="11">
        <v>67.5</v>
      </c>
      <c r="H66" s="11">
        <v>7</v>
      </c>
      <c r="I66" s="11">
        <v>15</v>
      </c>
      <c r="J66" s="11">
        <v>10</v>
      </c>
      <c r="K66" s="11">
        <v>40</v>
      </c>
      <c r="L66" s="11">
        <v>80</v>
      </c>
      <c r="M66" s="11">
        <v>40</v>
      </c>
      <c r="N66" s="11">
        <v>80</v>
      </c>
      <c r="O66" s="11"/>
      <c r="P66" s="11"/>
      <c r="Q66" s="11"/>
      <c r="R66" s="11"/>
      <c r="S66" s="30"/>
      <c r="T66" s="11">
        <v>0</v>
      </c>
      <c r="U66" s="11">
        <v>45</v>
      </c>
      <c r="V66" s="11"/>
      <c r="W66" s="11"/>
    </row>
    <row r="67" spans="1:23" x14ac:dyDescent="0.25">
      <c r="A67" t="s">
        <v>320</v>
      </c>
      <c r="B67" s="36">
        <f>表_梵天阎魔手镯[[#This Row],[进化金币(J)]]+IF(ISNUMBER(B66), B66, 表_梵天阎魔手镯[[#Totals],[进化阶段]])</f>
        <v>6618.5</v>
      </c>
      <c r="C67" s="35">
        <f>表_梵天阎魔手镯[[#This Row],[进化点券]]+IF(ISNUMBER(C66), C66, 0)</f>
        <v>60900</v>
      </c>
      <c r="D67" s="36">
        <f>IF(A67="○",SUMPRODUCT(表_梵天阎魔手镯[[#This Row],[黑蛟麟]:[列12]],表_梵天阎魔手镯[[#Totals],[黑蛟麟]:[列12]])+表_梵天阎魔手镯[[#This Row],[手续费(J)]],0)</f>
        <v>987.3</v>
      </c>
      <c r="E67" s="36">
        <f>IF(A67="○",SUMPRODUCT(表_梵天阎魔手镯[[#This Row],[高级宝玉神物]:[列16]],表_梵天阎魔手镯[[#Totals],[高级宝玉神物]:[列16]]),0)</f>
        <v>16500</v>
      </c>
      <c r="F67" s="40" t="s">
        <v>214</v>
      </c>
      <c r="G67" s="11">
        <v>67.5</v>
      </c>
      <c r="H67" s="11">
        <v>8</v>
      </c>
      <c r="I67" s="11">
        <v>15</v>
      </c>
      <c r="J67" s="11">
        <v>10</v>
      </c>
      <c r="K67" s="11">
        <v>40</v>
      </c>
      <c r="L67" s="11">
        <v>80</v>
      </c>
      <c r="M67" s="11">
        <v>40</v>
      </c>
      <c r="N67" s="11">
        <v>80</v>
      </c>
      <c r="O67" s="11"/>
      <c r="P67" s="11"/>
      <c r="Q67" s="11"/>
      <c r="R67" s="11"/>
      <c r="S67" s="30"/>
      <c r="T67" s="11">
        <v>0</v>
      </c>
      <c r="U67" s="11">
        <v>55</v>
      </c>
      <c r="V67" s="11"/>
      <c r="W67" s="11"/>
    </row>
    <row r="68" spans="1:23" ht="15" thickBot="1" x14ac:dyDescent="0.3">
      <c r="A68" t="s">
        <v>320</v>
      </c>
      <c r="B68" s="36">
        <f>表_梵天阎魔手镯[[#This Row],[进化金币(J)]]+IF(ISNUMBER(B67), B67, 表_梵天阎魔手镯[[#Totals],[进化阶段]])</f>
        <v>7695.8</v>
      </c>
      <c r="C68" s="35">
        <f>表_梵天阎魔手镯[[#This Row],[进化点券]]+IF(ISNUMBER(C67), C67, 0)</f>
        <v>80400</v>
      </c>
      <c r="D68" s="36">
        <f>IF(A68="○",SUMPRODUCT(表_梵天阎魔手镯[[#This Row],[黑蛟麟]:[列12]],表_梵天阎魔手镯[[#Totals],[黑蛟麟]:[列12]])+表_梵天阎魔手镯[[#This Row],[手续费(J)]],0)</f>
        <v>1077.3</v>
      </c>
      <c r="E68" s="36">
        <f>IF(A68="○",SUMPRODUCT(表_梵天阎魔手镯[[#This Row],[高级宝玉神物]:[列16]],表_梵天阎魔手镯[[#Totals],[高级宝玉神物]:[列16]]),0)</f>
        <v>19500</v>
      </c>
      <c r="F68" s="40" t="s">
        <v>215</v>
      </c>
      <c r="G68" s="11">
        <v>67.5</v>
      </c>
      <c r="H68" s="11">
        <v>10</v>
      </c>
      <c r="I68" s="11">
        <v>15</v>
      </c>
      <c r="J68" s="11">
        <v>10</v>
      </c>
      <c r="K68" s="11">
        <v>40</v>
      </c>
      <c r="L68" s="11">
        <v>80</v>
      </c>
      <c r="M68" s="11">
        <v>40</v>
      </c>
      <c r="N68" s="11">
        <v>80</v>
      </c>
      <c r="O68" s="11"/>
      <c r="P68" s="11"/>
      <c r="Q68" s="11"/>
      <c r="R68" s="11"/>
      <c r="S68" s="30"/>
      <c r="T68" s="11">
        <v>0</v>
      </c>
      <c r="U68" s="11">
        <v>65</v>
      </c>
      <c r="V68" s="11"/>
      <c r="W68" s="11"/>
    </row>
    <row r="69" spans="1:23" ht="15" thickTop="1" x14ac:dyDescent="0.25">
      <c r="B69" s="72">
        <f>SUBTOTAL(104,表_梵天阎魔手镯[累计金币(J)])</f>
        <v>7695.8</v>
      </c>
      <c r="C69" s="72">
        <f>SUBTOTAL(104,表_梵天阎魔手镯[累计点券])</f>
        <v>80400</v>
      </c>
      <c r="D69" s="73">
        <f>SUBTOTAL(109,表_梵天阎魔手镯[进化金币(J)])</f>
        <v>7495.8</v>
      </c>
      <c r="E69" s="74">
        <f>SUBTOTAL(109,表_梵天阎魔手镯[进化点券])</f>
        <v>80400</v>
      </c>
      <c r="F69" s="88" t="s">
        <v>269</v>
      </c>
      <c r="G69" s="76" t="s">
        <v>190</v>
      </c>
      <c r="H69" s="77">
        <f xml:space="preserve"> _xlfn.IFNA(VLOOKUP(表_梵天阎魔手镯[[#Headers],[黑蛟麟]],金价一览,2,0), 0)</f>
        <v>45</v>
      </c>
      <c r="I69" s="77">
        <f xml:space="preserve"> _xlfn.IFNA(VLOOKUP(表_梵天阎魔手镯[[#Headers],[烛魔硬骨]],金价一览,2,0), 0)</f>
        <v>17.600000000000001</v>
      </c>
      <c r="J69" s="77">
        <f xml:space="preserve"> _xlfn.IFNA(VLOOKUP(表_梵天阎魔手镯[[#Headers],[烛魔羽毛]],金价一览,2,0), 0)</f>
        <v>6.5</v>
      </c>
      <c r="K69" s="77">
        <f xml:space="preserve"> _xlfn.IFNA(VLOOKUP(表_梵天阎魔手镯[[#Headers],[月石]],金价一览,2,0), 0)</f>
        <v>1.35</v>
      </c>
      <c r="L69" s="77">
        <f xml:space="preserve"> _xlfn.IFNA(VLOOKUP(表_梵天阎魔手镯[[#Headers],[灵石]],金价一览,2,0), 0)</f>
        <v>0.06</v>
      </c>
      <c r="M69" s="77">
        <f xml:space="preserve"> _xlfn.IFNA(VLOOKUP(表_梵天阎魔手镯[[#Headers],[仙丹]],金价一览,2,0), 0)</f>
        <v>4</v>
      </c>
      <c r="N69" s="77">
        <f xml:space="preserve"> _xlfn.IFNA(VLOOKUP(表_梵天阎魔手镯[[#Headers],[灵丹]],金价一览,2,0), 0)</f>
        <v>0.15</v>
      </c>
      <c r="O69" s="77">
        <f xml:space="preserve"> _xlfn.IFNA(VLOOKUP(表_梵天阎魔手镯[[#Headers],[列8]],金价一览,2,0), 0)</f>
        <v>0</v>
      </c>
      <c r="P69" s="77">
        <f xml:space="preserve"> _xlfn.IFNA(VLOOKUP(表_梵天阎魔手镯[[#Headers],[列9]],金价一览,2,0), 0)</f>
        <v>0</v>
      </c>
      <c r="Q69" s="77">
        <f xml:space="preserve"> _xlfn.IFNA(VLOOKUP(表_梵天阎魔手镯[[#Headers],[列10]],金价一览,2,0), 0)</f>
        <v>0</v>
      </c>
      <c r="R69" s="77">
        <f xml:space="preserve"> _xlfn.IFNA(VLOOKUP(表_梵天阎魔手镯[[#Headers],[列11]],金价一览,2,0), 0)</f>
        <v>0</v>
      </c>
      <c r="S69" s="77">
        <f xml:space="preserve"> _xlfn.IFNA(VLOOKUP(表_梵天阎魔手镯[[#Headers],[列12]],金价一览,2,0), 0)</f>
        <v>0</v>
      </c>
      <c r="T69" s="78">
        <f>_xlfn.IFNA(VLOOKUP(表_梵天阎魔手镯[[#Headers],[高级宝玉神物]],点券一览,2,0),0)</f>
        <v>150</v>
      </c>
      <c r="U69" s="78">
        <f>_xlfn.IFNA(VLOOKUP(表_梵天阎魔手镯[[#Headers],[破天宝玉神物]],点券一览,2,0),0)</f>
        <v>300</v>
      </c>
      <c r="V69" s="78">
        <f>_xlfn.IFNA(VLOOKUP(表_梵天阎魔手镯[[#Headers],[列15]],点券一览,2,0),0)</f>
        <v>0</v>
      </c>
      <c r="W69" s="78">
        <f>_xlfn.IFNA(VLOOKUP(表_梵天阎魔手镯[[#Headers],[列16]],点券一览,2,0),0)</f>
        <v>0</v>
      </c>
    </row>
    <row r="70" spans="1:23" x14ac:dyDescent="0.25">
      <c r="B70" s="188" t="s">
        <v>221</v>
      </c>
      <c r="C70" s="188"/>
      <c r="D70" s="188"/>
      <c r="E70" s="188"/>
      <c r="F70" s="189"/>
      <c r="G70" s="79" t="s">
        <v>224</v>
      </c>
      <c r="H70" s="52">
        <f>SUM(表_梵天阎魔手镯[[#Data],[黑蛟麟]])</f>
        <v>57</v>
      </c>
      <c r="I70" s="52">
        <f>SUM(表_梵天阎魔手镯[[#Data],[烛魔硬骨]])</f>
        <v>165</v>
      </c>
      <c r="J70" s="52">
        <f>SUM(表_梵天阎魔手镯[[#Data],[烛魔羽毛]])</f>
        <v>50</v>
      </c>
      <c r="K70" s="52">
        <f>SUM(表_梵天阎魔手镯[[#Data],[月石]])</f>
        <v>310</v>
      </c>
      <c r="L70" s="52">
        <f>SUM(表_梵天阎魔手镯[[#Data],[灵石]])</f>
        <v>620</v>
      </c>
      <c r="M70" s="52">
        <f>SUM(表_梵天阎魔手镯[[#Data],[仙丹]])</f>
        <v>310</v>
      </c>
      <c r="N70" s="52">
        <f>SUM(表_梵天阎魔手镯[[#Data],[灵丹]])</f>
        <v>620</v>
      </c>
      <c r="O70" s="52">
        <f>SUM(表_梵天阎魔手镯[[#Data],[列8]])</f>
        <v>0</v>
      </c>
      <c r="P70" s="52">
        <f>SUM(表_梵天阎魔手镯[[#Data],[列9]])</f>
        <v>0</v>
      </c>
      <c r="Q70" s="52">
        <f>SUM(表_梵天阎魔手镯[[#Data],[列10]])</f>
        <v>0</v>
      </c>
      <c r="R70" s="52">
        <f>SUM(表_梵天阎魔手镯[[#Data],[列11]])</f>
        <v>0</v>
      </c>
      <c r="S70" s="52">
        <f>SUM(表_梵天阎魔手镯[[#Data],[列12]])</f>
        <v>0</v>
      </c>
      <c r="T70" s="52">
        <f>SUM(表_梵天阎魔手镯[[#Data],[高级宝玉神物]])</f>
        <v>58</v>
      </c>
      <c r="U70" s="52">
        <f>SUM(表_梵天阎魔手镯[[#Data],[破天宝玉神物]])</f>
        <v>242</v>
      </c>
      <c r="V70" s="52">
        <f>SUM(表_梵天阎魔手镯[[#Data],[列15]])</f>
        <v>0</v>
      </c>
      <c r="W70" s="52">
        <f>SUM(表_梵天阎魔手镯[[#Data],[列16]])</f>
        <v>0</v>
      </c>
    </row>
    <row r="71" spans="1:23" x14ac:dyDescent="0.25">
      <c r="B71" s="188"/>
      <c r="C71" s="188"/>
      <c r="D71" s="188"/>
      <c r="E71" s="188"/>
      <c r="F71" s="189"/>
      <c r="G71" s="80" t="s">
        <v>223</v>
      </c>
      <c r="H71" s="52">
        <f>H70*表_梵天阎魔手镯[[#Totals],[黑蛟麟]]</f>
        <v>2565</v>
      </c>
      <c r="I71" s="52">
        <f>I70*表_梵天阎魔手镯[[#Totals],[烛魔硬骨]]</f>
        <v>2904.0000000000005</v>
      </c>
      <c r="J71" s="52">
        <f>J70*表_梵天阎魔手镯[[#Totals],[烛魔羽毛]]</f>
        <v>325</v>
      </c>
      <c r="K71" s="52">
        <f>K70*表_梵天阎魔手镯[[#Totals],[月石]]</f>
        <v>418.5</v>
      </c>
      <c r="L71" s="52">
        <f>L70*表_梵天阎魔手镯[[#Totals],[灵石]]</f>
        <v>37.199999999999996</v>
      </c>
      <c r="M71" s="52">
        <f>M70*表_梵天阎魔手镯[[#Totals],[仙丹]]</f>
        <v>1240</v>
      </c>
      <c r="N71" s="52">
        <f>N70*表_梵天阎魔手镯[[#Totals],[灵丹]]</f>
        <v>93</v>
      </c>
      <c r="O71" s="52">
        <f>O70*表_梵天阎魔手镯[[#Totals],[列8]]</f>
        <v>0</v>
      </c>
      <c r="P71" s="52">
        <f>P70*表_梵天阎魔手镯[[#Totals],[列9]]</f>
        <v>0</v>
      </c>
      <c r="Q71" s="52">
        <f>Q70*表_梵天阎魔手镯[[#Totals],[列10]]</f>
        <v>0</v>
      </c>
      <c r="R71" s="52">
        <f>R70*表_梵天阎魔手镯[[#Totals],[列11]]</f>
        <v>0</v>
      </c>
      <c r="S71" s="52">
        <f>S70*表_梵天阎魔手镯[[#Totals],[列12]]</f>
        <v>0</v>
      </c>
      <c r="T71" s="52">
        <f>T70*表_梵天阎魔手镯[[#Totals],[高级宝玉神物]]</f>
        <v>8700</v>
      </c>
      <c r="U71" s="52">
        <f>U70*表_梵天阎魔手镯[[#Totals],[破天宝玉神物]]</f>
        <v>72600</v>
      </c>
      <c r="V71" s="52">
        <f>V70*表_梵天阎魔手镯[[#Totals],[列15]]</f>
        <v>0</v>
      </c>
      <c r="W71" s="52">
        <f>W70*表_梵天阎魔手镯[[#Totals],[列16]]</f>
        <v>0</v>
      </c>
    </row>
    <row r="74" spans="1:23" x14ac:dyDescent="0.25">
      <c r="B74" s="28" t="s">
        <v>270</v>
      </c>
      <c r="H74" s="43" t="s">
        <v>212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42" t="s">
        <v>211</v>
      </c>
      <c r="U74" s="41"/>
      <c r="V74" s="41"/>
      <c r="W74" s="41"/>
    </row>
    <row r="75" spans="1:23" ht="34.200000000000003" customHeight="1" thickBot="1" x14ac:dyDescent="0.3">
      <c r="B75" s="57" t="s">
        <v>187</v>
      </c>
      <c r="C75" s="57" t="s">
        <v>186</v>
      </c>
      <c r="D75" s="98" t="s">
        <v>253</v>
      </c>
      <c r="E75" s="98" t="s">
        <v>255</v>
      </c>
      <c r="F75" s="58" t="s">
        <v>181</v>
      </c>
      <c r="G75" s="58" t="s">
        <v>185</v>
      </c>
      <c r="H75" s="59" t="s">
        <v>4</v>
      </c>
      <c r="I75" s="60" t="s">
        <v>267</v>
      </c>
      <c r="J75" s="60" t="s">
        <v>261</v>
      </c>
      <c r="K75" s="60" t="s">
        <v>189</v>
      </c>
      <c r="L75" s="60" t="s">
        <v>199</v>
      </c>
      <c r="M75" s="60" t="s">
        <v>200</v>
      </c>
      <c r="N75" s="60" t="s">
        <v>201</v>
      </c>
      <c r="O75" s="60" t="s">
        <v>202</v>
      </c>
      <c r="P75" s="60" t="s">
        <v>203</v>
      </c>
      <c r="Q75" s="60" t="s">
        <v>204</v>
      </c>
      <c r="R75" s="60" t="s">
        <v>205</v>
      </c>
      <c r="S75" s="61" t="s">
        <v>206</v>
      </c>
      <c r="T75" s="62" t="s">
        <v>207</v>
      </c>
      <c r="U75" s="62" t="s">
        <v>208</v>
      </c>
      <c r="V75" s="62" t="s">
        <v>209</v>
      </c>
      <c r="W75" s="62" t="s">
        <v>210</v>
      </c>
    </row>
    <row r="76" spans="1:23" ht="15" thickTop="1" x14ac:dyDescent="0.25">
      <c r="B76" s="55"/>
      <c r="C76" s="54"/>
      <c r="D76" s="55">
        <f>SUMPRODUCT(表_首饰进化[[#This Row],[烛魔羽毛]:[列12]],表_首饰进化[[#Totals],[烛魔羽毛]:[列12]])+表_首饰进化[[#This Row],[手续费(J)]]*折扣</f>
        <v>292.5</v>
      </c>
      <c r="E76" s="55">
        <f>SUMPRODUCT(表_首饰进化[[#This Row],[列13]:[列16]],表_首饰进化[[#Totals],[列13]:[列16]])</f>
        <v>0</v>
      </c>
      <c r="F76" s="100" t="s">
        <v>271</v>
      </c>
      <c r="G76" s="34"/>
      <c r="H76" s="34">
        <v>45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2"/>
      <c r="T76" s="34"/>
      <c r="U76" s="34"/>
      <c r="V76" s="34"/>
      <c r="W76" s="34"/>
    </row>
    <row r="77" spans="1:23" x14ac:dyDescent="0.25">
      <c r="B77" s="36"/>
      <c r="C77" s="35"/>
      <c r="D77" s="36">
        <f>SUMPRODUCT(表_首饰进化[[#This Row],[烛魔羽毛]:[列12]],表_首饰进化[[#Totals],[烛魔羽毛]:[列12]])+表_首饰进化[[#This Row],[手续费(J)]]*折扣</f>
        <v>160</v>
      </c>
      <c r="E77" s="36">
        <f>SUMPRODUCT(表_首饰进化[[#This Row],[列13]:[列16]],表_首饰进化[[#Totals],[列13]:[列16]])</f>
        <v>0</v>
      </c>
      <c r="F77" s="40" t="s">
        <v>272</v>
      </c>
      <c r="G77" s="11"/>
      <c r="H77" s="11"/>
      <c r="I77" s="11"/>
      <c r="J77" s="11">
        <v>10</v>
      </c>
      <c r="K77" s="11"/>
      <c r="L77" s="11"/>
      <c r="M77" s="11"/>
      <c r="N77" s="11"/>
      <c r="O77" s="11"/>
      <c r="P77" s="11"/>
      <c r="Q77" s="11"/>
      <c r="R77" s="11"/>
      <c r="S77" s="30"/>
      <c r="T77" s="34"/>
      <c r="U77" s="34"/>
      <c r="V77" s="34"/>
      <c r="W77" s="34"/>
    </row>
    <row r="78" spans="1:23" x14ac:dyDescent="0.25">
      <c r="B78" s="36"/>
      <c r="C78" s="35"/>
      <c r="D78" s="36">
        <f>SUMPRODUCT(表_首饰进化[[#This Row],[烛魔羽毛]:[列12]],表_首饰进化[[#Totals],[烛魔羽毛]:[列12]])+表_首饰进化[[#This Row],[手续费(J)]]*折扣</f>
        <v>320</v>
      </c>
      <c r="E78" s="36">
        <f>SUMPRODUCT(表_首饰进化[[#This Row],[列13]:[列16]],表_首饰进化[[#Totals],[列13]:[列16]])</f>
        <v>0</v>
      </c>
      <c r="F78" s="40" t="s">
        <v>273</v>
      </c>
      <c r="G78" s="11"/>
      <c r="H78" s="11"/>
      <c r="I78" s="11"/>
      <c r="J78" s="11">
        <v>20</v>
      </c>
      <c r="K78" s="11"/>
      <c r="L78" s="11"/>
      <c r="M78" s="11"/>
      <c r="N78" s="11"/>
      <c r="O78" s="11"/>
      <c r="P78" s="11"/>
      <c r="Q78" s="11"/>
      <c r="R78" s="11"/>
      <c r="S78" s="30"/>
      <c r="T78" s="34"/>
      <c r="U78" s="34"/>
      <c r="V78" s="34"/>
      <c r="W78" s="34"/>
    </row>
    <row r="79" spans="1:23" x14ac:dyDescent="0.25">
      <c r="B79" s="36"/>
      <c r="C79" s="35"/>
      <c r="D79" s="36">
        <f>SUMPRODUCT(表_首饰进化[[#This Row],[烛魔羽毛]:[列12]],表_首饰进化[[#Totals],[烛魔羽毛]:[列12]])+表_首饰进化[[#This Row],[手续费(J)]]*折扣</f>
        <v>4250</v>
      </c>
      <c r="E79" s="36">
        <f>SUMPRODUCT(表_首饰进化[[#This Row],[列13]:[列16]],表_首饰进化[[#Totals],[列13]:[列16]])</f>
        <v>0</v>
      </c>
      <c r="F79" s="40" t="s">
        <v>274</v>
      </c>
      <c r="G79" s="11"/>
      <c r="H79" s="11">
        <v>100</v>
      </c>
      <c r="I79" s="11">
        <v>80</v>
      </c>
      <c r="J79" s="11"/>
      <c r="K79" s="11"/>
      <c r="L79" s="11"/>
      <c r="M79" s="11"/>
      <c r="N79" s="11"/>
      <c r="O79" s="11"/>
      <c r="P79" s="11"/>
      <c r="Q79" s="11"/>
      <c r="R79" s="11"/>
      <c r="S79" s="30"/>
      <c r="T79" s="34"/>
      <c r="U79" s="34"/>
      <c r="V79" s="34"/>
      <c r="W79" s="34"/>
    </row>
    <row r="80" spans="1:23" x14ac:dyDescent="0.25">
      <c r="B80" s="36"/>
      <c r="C80" s="35"/>
      <c r="D80" s="36">
        <f>SUMPRODUCT(表_首饰进化[[#This Row],[烛魔羽毛]:[列12]],表_首饰进化[[#Totals],[烛魔羽毛]:[列12]])+表_首饰进化[[#This Row],[手续费(J)]]*折扣</f>
        <v>0</v>
      </c>
      <c r="E80" s="36">
        <f>SUMPRODUCT(表_首饰进化[[#This Row],[列13]:[列16]],表_首饰进化[[#Totals],[列13]:[列16]])</f>
        <v>0</v>
      </c>
      <c r="F80" s="3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30"/>
      <c r="T80" s="11"/>
      <c r="U80" s="11"/>
      <c r="V80" s="11"/>
      <c r="W80" s="11"/>
    </row>
    <row r="81" spans="1:23" x14ac:dyDescent="0.25">
      <c r="B81" s="36"/>
      <c r="C81" s="35"/>
      <c r="D81" s="38">
        <f>SUMPRODUCT(表_首饰进化[[#This Row],[烛魔羽毛]:[列12]],表_首饰进化[[#Totals],[烛魔羽毛]:[列12]])+表_首饰进化[[#This Row],[手续费(J)]]*折扣</f>
        <v>0</v>
      </c>
      <c r="E81" s="38">
        <f>SUMPRODUCT(表_首饰进化[[#This Row],[列13]:[列16]],表_首饰进化[[#Totals],[列13]:[列16]])</f>
        <v>0</v>
      </c>
      <c r="F81" s="39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31"/>
      <c r="T81" s="25"/>
      <c r="U81" s="25"/>
      <c r="V81" s="25"/>
      <c r="W81" s="25"/>
    </row>
    <row r="82" spans="1:23" ht="15" thickBot="1" x14ac:dyDescent="0.3">
      <c r="B82" s="36"/>
      <c r="C82" s="35"/>
      <c r="D82" s="36">
        <f>SUMPRODUCT(表_首饰进化[[#This Row],[烛魔羽毛]:[列12]],表_首饰进化[[#Totals],[烛魔羽毛]:[列12]])+表_首饰进化[[#This Row],[手续费(J)]]*折扣</f>
        <v>0</v>
      </c>
      <c r="E82" s="36">
        <f>SUMPRODUCT(表_首饰进化[[#This Row],[列13]:[列16]],表_首饰进化[[#Totals],[列13]:[列16]])</f>
        <v>0</v>
      </c>
      <c r="F82" s="3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30"/>
      <c r="T82" s="11"/>
      <c r="U82" s="11"/>
      <c r="V82" s="11"/>
      <c r="W82" s="11"/>
    </row>
    <row r="83" spans="1:23" ht="15" thickTop="1" x14ac:dyDescent="0.25">
      <c r="B83" s="72">
        <f>SUBTOTAL(104,表_首饰进化[累计金币(J)])</f>
        <v>0</v>
      </c>
      <c r="C83" s="72">
        <f>SUBTOTAL(104,表_首饰进化[累计点券])</f>
        <v>0</v>
      </c>
      <c r="D83" s="73">
        <f>SUBTOTAL(109,表_首饰进化[进化金币(J)])</f>
        <v>5022.5</v>
      </c>
      <c r="E83" s="74">
        <f>SUBTOTAL(109,表_首饰进化[进化点券])</f>
        <v>0</v>
      </c>
      <c r="F83" s="88"/>
      <c r="G83" s="76" t="s">
        <v>190</v>
      </c>
      <c r="H83" s="77">
        <f xml:space="preserve"> _xlfn.IFNA(VLOOKUP(表_首饰进化[[#Headers],[烛魔羽毛]],金价一览,2,0), 0)</f>
        <v>6.5</v>
      </c>
      <c r="I83" s="77">
        <f xml:space="preserve"> _xlfn.IFNA(VLOOKUP(表_首饰进化[[#Headers],[黑蛟麟]],金价一览,2,0), 0)</f>
        <v>45</v>
      </c>
      <c r="J83" s="77">
        <f xml:space="preserve"> _xlfn.IFNA(VLOOKUP(表_首饰进化[[#Headers],[冥王冤魂]],金价一览,2,0), 0)</f>
        <v>16</v>
      </c>
      <c r="K83" s="77">
        <f xml:space="preserve"> _xlfn.IFNA(VLOOKUP(表_首饰进化[[#Headers],[列4]],金价一览,2,0), 0)</f>
        <v>0</v>
      </c>
      <c r="L83" s="77">
        <f xml:space="preserve"> _xlfn.IFNA(VLOOKUP(表_首饰进化[[#Headers],[列5]],金价一览,2,0), 0)</f>
        <v>0</v>
      </c>
      <c r="M83" s="77">
        <f xml:space="preserve"> _xlfn.IFNA(VLOOKUP(表_首饰进化[[#Headers],[列6]],金价一览,2,0), 0)</f>
        <v>0</v>
      </c>
      <c r="N83" s="77">
        <f xml:space="preserve"> _xlfn.IFNA(VLOOKUP(表_首饰进化[[#Headers],[列7]],金价一览,2,0), 0)</f>
        <v>0</v>
      </c>
      <c r="O83" s="77">
        <f xml:space="preserve"> _xlfn.IFNA(VLOOKUP(表_首饰进化[[#Headers],[列8]],金价一览,2,0), 0)</f>
        <v>0</v>
      </c>
      <c r="P83" s="77">
        <f xml:space="preserve"> _xlfn.IFNA(VLOOKUP(表_首饰进化[[#Headers],[列9]],金价一览,2,0), 0)</f>
        <v>0</v>
      </c>
      <c r="Q83" s="77">
        <f xml:space="preserve"> _xlfn.IFNA(VLOOKUP(表_首饰进化[[#Headers],[列10]],金价一览,2,0), 0)</f>
        <v>0</v>
      </c>
      <c r="R83" s="77">
        <f xml:space="preserve"> _xlfn.IFNA(VLOOKUP(表_首饰进化[[#Headers],[列11]],金价一览,2,0), 0)</f>
        <v>0</v>
      </c>
      <c r="S83" s="77">
        <f xml:space="preserve"> _xlfn.IFNA(VLOOKUP(表_首饰进化[[#Headers],[列12]],金价一览,2,0), 0)</f>
        <v>0</v>
      </c>
      <c r="T83" s="78">
        <f>_xlfn.IFNA(VLOOKUP(表_首饰进化[[#Headers],[列13]],点券一览,2,0),0)</f>
        <v>0</v>
      </c>
      <c r="U83" s="78">
        <f>_xlfn.IFNA(VLOOKUP(表_首饰进化[[#Headers],[列14]],点券一览,2,0),0)</f>
        <v>0</v>
      </c>
      <c r="V83" s="78">
        <f>_xlfn.IFNA(VLOOKUP(表_首饰进化[[#Headers],[列15]],点券一览,2,0),0)</f>
        <v>0</v>
      </c>
      <c r="W83" s="78">
        <f>_xlfn.IFNA(VLOOKUP(表_首饰进化[[#Headers],[列16]],点券一览,2,0),0)</f>
        <v>0</v>
      </c>
    </row>
    <row r="84" spans="1:23" hidden="1" x14ac:dyDescent="0.25">
      <c r="B84" s="188" t="s">
        <v>221</v>
      </c>
      <c r="C84" s="188"/>
      <c r="D84" s="188"/>
      <c r="E84" s="188"/>
      <c r="F84" s="189"/>
      <c r="G84" s="79" t="s">
        <v>224</v>
      </c>
      <c r="H84" s="52">
        <f>SUM(表_首饰进化[[#Data],[烛魔羽毛]])</f>
        <v>145</v>
      </c>
      <c r="I84" s="52">
        <f>SUM(表_首饰进化[[#Data],[黑蛟麟]])</f>
        <v>80</v>
      </c>
      <c r="J84" s="52">
        <f>SUM(表_首饰进化[[#Data],[冥王冤魂]])</f>
        <v>30</v>
      </c>
      <c r="K84" s="52">
        <f>SUM(表_首饰进化[[#Data],[列4]])</f>
        <v>0</v>
      </c>
      <c r="L84" s="52">
        <f>SUM(表_首饰进化[[#Data],[列5]])</f>
        <v>0</v>
      </c>
      <c r="M84" s="52">
        <f>SUM(表_首饰进化[[#Data],[列6]])</f>
        <v>0</v>
      </c>
      <c r="N84" s="52">
        <f>SUM(表_首饰进化[[#Data],[列7]])</f>
        <v>0</v>
      </c>
      <c r="O84" s="52">
        <f>SUM(表_首饰进化[[#Data],[列8]])</f>
        <v>0</v>
      </c>
      <c r="P84" s="52">
        <f>SUM(表_首饰进化[[#Data],[列9]])</f>
        <v>0</v>
      </c>
      <c r="Q84" s="52">
        <f>SUM(表_首饰进化[[#Data],[列10]])</f>
        <v>0</v>
      </c>
      <c r="R84" s="52">
        <f>SUM(表_首饰进化[[#Data],[列11]])</f>
        <v>0</v>
      </c>
      <c r="S84" s="52">
        <f>SUM(表_首饰进化[[#Data],[列12]])</f>
        <v>0</v>
      </c>
      <c r="T84" s="52">
        <f>SUM(表_首饰进化[[#Data],[列13]])</f>
        <v>0</v>
      </c>
      <c r="U84" s="52">
        <f>SUM(表_首饰进化[[#Data],[列14]])</f>
        <v>0</v>
      </c>
      <c r="V84" s="52">
        <f>SUM(表_首饰进化[[#Data],[列15]])</f>
        <v>0</v>
      </c>
      <c r="W84" s="52">
        <f>SUM(表_首饰进化[[#Data],[列16]])</f>
        <v>0</v>
      </c>
    </row>
    <row r="85" spans="1:23" hidden="1" x14ac:dyDescent="0.25">
      <c r="B85" s="188"/>
      <c r="C85" s="188"/>
      <c r="D85" s="188"/>
      <c r="E85" s="188"/>
      <c r="F85" s="189"/>
      <c r="G85" s="80" t="s">
        <v>223</v>
      </c>
      <c r="H85" s="52">
        <f>H84*表_首饰进化[[#Totals],[烛魔羽毛]]</f>
        <v>942.5</v>
      </c>
      <c r="I85" s="52">
        <f>I84*表_首饰进化[[#Totals],[黑蛟麟]]</f>
        <v>3600</v>
      </c>
      <c r="J85" s="52">
        <f>J84*表_首饰进化[[#Totals],[冥王冤魂]]</f>
        <v>480</v>
      </c>
      <c r="K85" s="52">
        <f>K84*表_首饰进化[[#Totals],[列4]]</f>
        <v>0</v>
      </c>
      <c r="L85" s="52">
        <f>L84*表_首饰进化[[#Totals],[列5]]</f>
        <v>0</v>
      </c>
      <c r="M85" s="52">
        <f>M84*表_首饰进化[[#Totals],[列6]]</f>
        <v>0</v>
      </c>
      <c r="N85" s="52">
        <f>N84*表_首饰进化[[#Totals],[列7]]</f>
        <v>0</v>
      </c>
      <c r="O85" s="52">
        <f>O84*表_首饰进化[[#Totals],[列8]]</f>
        <v>0</v>
      </c>
      <c r="P85" s="52">
        <f>P84*表_首饰进化[[#Totals],[列9]]</f>
        <v>0</v>
      </c>
      <c r="Q85" s="52">
        <f>Q84*表_首饰进化[[#Totals],[列10]]</f>
        <v>0</v>
      </c>
      <c r="R85" s="52">
        <f>R84*表_首饰进化[[#Totals],[列11]]</f>
        <v>0</v>
      </c>
      <c r="S85" s="52">
        <f>S84*表_首饰进化[[#Totals],[列12]]</f>
        <v>0</v>
      </c>
      <c r="T85" s="52">
        <f>T84*表_首饰进化[[#Totals],[列13]]</f>
        <v>0</v>
      </c>
      <c r="U85" s="52">
        <f>U84*表_首饰进化[[#Totals],[列14]]</f>
        <v>0</v>
      </c>
      <c r="V85" s="52">
        <f>V84*表_首饰进化[[#Totals],[列15]]</f>
        <v>0</v>
      </c>
      <c r="W85" s="52">
        <f>W84*表_首饰进化[[#Totals],[列16]]</f>
        <v>0</v>
      </c>
    </row>
    <row r="88" spans="1:23" x14ac:dyDescent="0.25">
      <c r="B88" s="28" t="s">
        <v>286</v>
      </c>
      <c r="H88" s="43" t="s">
        <v>212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42" t="s">
        <v>211</v>
      </c>
      <c r="U88" s="41"/>
      <c r="V88" s="41"/>
      <c r="W88" s="41"/>
    </row>
    <row r="89" spans="1:23" ht="34.200000000000003" customHeight="1" thickBot="1" x14ac:dyDescent="0.3">
      <c r="B89" s="57" t="s">
        <v>187</v>
      </c>
      <c r="C89" s="57" t="s">
        <v>186</v>
      </c>
      <c r="D89" s="98" t="s">
        <v>253</v>
      </c>
      <c r="E89" s="98" t="s">
        <v>255</v>
      </c>
      <c r="F89" s="58" t="s">
        <v>181</v>
      </c>
      <c r="G89" s="58" t="s">
        <v>185</v>
      </c>
      <c r="H89" s="59" t="s">
        <v>287</v>
      </c>
      <c r="I89" s="60" t="s">
        <v>4</v>
      </c>
      <c r="J89" s="60" t="s">
        <v>3</v>
      </c>
      <c r="K89" s="60" t="s">
        <v>2</v>
      </c>
      <c r="L89" s="60" t="s">
        <v>0</v>
      </c>
      <c r="M89" s="60" t="s">
        <v>1</v>
      </c>
      <c r="N89" s="60" t="s">
        <v>201</v>
      </c>
      <c r="O89" s="60" t="s">
        <v>202</v>
      </c>
      <c r="P89" s="60" t="s">
        <v>203</v>
      </c>
      <c r="Q89" s="60" t="s">
        <v>204</v>
      </c>
      <c r="R89" s="60" t="s">
        <v>205</v>
      </c>
      <c r="S89" s="61" t="s">
        <v>206</v>
      </c>
      <c r="T89" s="62" t="s">
        <v>116</v>
      </c>
      <c r="U89" s="62" t="s">
        <v>120</v>
      </c>
      <c r="V89" s="62" t="s">
        <v>209</v>
      </c>
      <c r="W89" s="62" t="s">
        <v>210</v>
      </c>
    </row>
    <row r="90" spans="1:23" ht="15" thickTop="1" x14ac:dyDescent="0.25">
      <c r="A90" t="s">
        <v>320</v>
      </c>
      <c r="B90" s="55">
        <f>表模板_29[[#This Row],[进化金币(J)]]+IF(ISNUMBER(B89), B89, 表模板_29[[#Totals],[进化阶段]])</f>
        <v>340.4</v>
      </c>
      <c r="C90" s="54">
        <f>表模板_29[[#This Row],[进化点券]]+IF(ISNUMBER(C89), C89, 0)</f>
        <v>2250</v>
      </c>
      <c r="D90" s="55">
        <f>SUMPRODUCT(表模板_29[[#This Row],[无尽斗争印章]:[列12]],表模板_29[[#Totals],[无尽斗争印章]:[列12]])+表模板_29[[#This Row],[手续费(J)]]</f>
        <v>340.4</v>
      </c>
      <c r="E90" s="55">
        <f>SUMPRODUCT(表模板_29[[#This Row],[高级宝玉神物]:[列16]],表模板_29[[#Totals],[高级宝玉神物]:[列16]])</f>
        <v>2250</v>
      </c>
      <c r="F90" s="56" t="s">
        <v>192</v>
      </c>
      <c r="G90" s="34">
        <v>225</v>
      </c>
      <c r="H90" s="34">
        <v>4</v>
      </c>
      <c r="I90" s="34">
        <v>0</v>
      </c>
      <c r="J90" s="34">
        <v>20</v>
      </c>
      <c r="K90" s="34">
        <v>40</v>
      </c>
      <c r="L90" s="34">
        <v>20</v>
      </c>
      <c r="M90" s="34">
        <v>40</v>
      </c>
      <c r="N90" s="34"/>
      <c r="O90" s="34"/>
      <c r="P90" s="34"/>
      <c r="Q90" s="34"/>
      <c r="R90" s="34"/>
      <c r="S90" s="32"/>
      <c r="T90" s="34">
        <v>15</v>
      </c>
      <c r="U90" s="34">
        <v>0</v>
      </c>
      <c r="V90" s="34"/>
      <c r="W90" s="34"/>
    </row>
    <row r="91" spans="1:23" x14ac:dyDescent="0.25">
      <c r="A91" t="s">
        <v>320</v>
      </c>
      <c r="B91" s="36">
        <f>表模板_29[[#This Row],[进化金币(J)]]+IF(ISNUMBER(B90), B90, 表模板_29[[#Totals],[进化阶段]])</f>
        <v>680.8</v>
      </c>
      <c r="C91" s="35">
        <f>表模板_29[[#This Row],[进化点券]]+IF(ISNUMBER(C90), C90, 0)</f>
        <v>4500</v>
      </c>
      <c r="D91" s="36">
        <f>SUMPRODUCT(表模板_29[[#This Row],[无尽斗争印章]:[列12]],表模板_29[[#Totals],[无尽斗争印章]:[列12]])+表模板_29[[#This Row],[手续费(J)]]</f>
        <v>340.4</v>
      </c>
      <c r="E91" s="36">
        <f>SUMPRODUCT(表模板_29[[#This Row],[高级宝玉神物]:[列16]],表模板_29[[#Totals],[高级宝玉神物]:[列16]])</f>
        <v>2250</v>
      </c>
      <c r="F91" s="39" t="s">
        <v>193</v>
      </c>
      <c r="G91" s="11">
        <v>225</v>
      </c>
      <c r="H91" s="11">
        <v>4</v>
      </c>
      <c r="I91" s="11">
        <v>0</v>
      </c>
      <c r="J91" s="11">
        <v>20</v>
      </c>
      <c r="K91" s="11">
        <v>40</v>
      </c>
      <c r="L91" s="11">
        <v>20</v>
      </c>
      <c r="M91" s="11">
        <v>40</v>
      </c>
      <c r="N91" s="11"/>
      <c r="O91" s="11"/>
      <c r="P91" s="11"/>
      <c r="Q91" s="11"/>
      <c r="R91" s="11"/>
      <c r="S91" s="30"/>
      <c r="T91" s="34">
        <v>15</v>
      </c>
      <c r="U91" s="34">
        <v>0</v>
      </c>
      <c r="V91" s="34"/>
      <c r="W91" s="34"/>
    </row>
    <row r="92" spans="1:23" x14ac:dyDescent="0.25">
      <c r="A92" t="s">
        <v>320</v>
      </c>
      <c r="B92" s="36">
        <f>表模板_29[[#This Row],[进化金币(J)]]+IF(ISNUMBER(B91), B91, 表模板_29[[#Totals],[进化阶段]])</f>
        <v>1021.1999999999999</v>
      </c>
      <c r="C92" s="35">
        <f>表模板_29[[#This Row],[进化点券]]+IF(ISNUMBER(C91), C91, 0)</f>
        <v>6750</v>
      </c>
      <c r="D92" s="36">
        <f>SUMPRODUCT(表模板_29[[#This Row],[无尽斗争印章]:[列12]],表模板_29[[#Totals],[无尽斗争印章]:[列12]])+表模板_29[[#This Row],[手续费(J)]]</f>
        <v>340.4</v>
      </c>
      <c r="E92" s="36">
        <f>SUMPRODUCT(表模板_29[[#This Row],[高级宝玉神物]:[列16]],表模板_29[[#Totals],[高级宝玉神物]:[列16]])</f>
        <v>2250</v>
      </c>
      <c r="F92" s="39" t="s">
        <v>194</v>
      </c>
      <c r="G92" s="11">
        <v>225</v>
      </c>
      <c r="H92" s="11">
        <v>4</v>
      </c>
      <c r="I92" s="11">
        <v>0</v>
      </c>
      <c r="J92" s="11">
        <v>20</v>
      </c>
      <c r="K92" s="11">
        <v>40</v>
      </c>
      <c r="L92" s="11">
        <v>20</v>
      </c>
      <c r="M92" s="11">
        <v>40</v>
      </c>
      <c r="N92" s="11"/>
      <c r="O92" s="11"/>
      <c r="P92" s="11"/>
      <c r="Q92" s="11"/>
      <c r="R92" s="11"/>
      <c r="S92" s="30"/>
      <c r="T92" s="34">
        <v>15</v>
      </c>
      <c r="U92" s="34">
        <v>0</v>
      </c>
      <c r="V92" s="34"/>
      <c r="W92" s="34"/>
    </row>
    <row r="93" spans="1:23" x14ac:dyDescent="0.25">
      <c r="A93" t="s">
        <v>320</v>
      </c>
      <c r="B93" s="36">
        <f>表模板_29[[#This Row],[进化金币(J)]]+IF(ISNUMBER(B92), B92, 表模板_29[[#Totals],[进化阶段]])</f>
        <v>1361.6</v>
      </c>
      <c r="C93" s="35">
        <f>表模板_29[[#This Row],[进化点券]]+IF(ISNUMBER(C92), C92, 0)</f>
        <v>9000</v>
      </c>
      <c r="D93" s="36">
        <f>SUMPRODUCT(表模板_29[[#This Row],[无尽斗争印章]:[列12]],表模板_29[[#Totals],[无尽斗争印章]:[列12]])+表模板_29[[#This Row],[手续费(J)]]</f>
        <v>340.4</v>
      </c>
      <c r="E93" s="36">
        <f>SUMPRODUCT(表模板_29[[#This Row],[高级宝玉神物]:[列16]],表模板_29[[#Totals],[高级宝玉神物]:[列16]])</f>
        <v>2250</v>
      </c>
      <c r="F93" s="39" t="s">
        <v>195</v>
      </c>
      <c r="G93" s="11">
        <v>225</v>
      </c>
      <c r="H93" s="11">
        <v>4</v>
      </c>
      <c r="I93" s="11">
        <v>0</v>
      </c>
      <c r="J93" s="11">
        <v>20</v>
      </c>
      <c r="K93" s="11">
        <v>40</v>
      </c>
      <c r="L93" s="11">
        <v>20</v>
      </c>
      <c r="M93" s="11">
        <v>40</v>
      </c>
      <c r="N93" s="11"/>
      <c r="O93" s="11"/>
      <c r="P93" s="11"/>
      <c r="Q93" s="11"/>
      <c r="R93" s="11"/>
      <c r="S93" s="30"/>
      <c r="T93" s="34">
        <v>15</v>
      </c>
      <c r="U93" s="34">
        <v>0</v>
      </c>
      <c r="V93" s="34"/>
      <c r="W93" s="34"/>
    </row>
    <row r="94" spans="1:23" x14ac:dyDescent="0.25">
      <c r="A94" t="s">
        <v>320</v>
      </c>
      <c r="B94" s="36">
        <f>表模板_29[[#This Row],[进化金币(J)]]+IF(ISNUMBER(B93), B93, 表模板_29[[#Totals],[进化阶段]])</f>
        <v>1734.5</v>
      </c>
      <c r="C94" s="35">
        <f>表模板_29[[#This Row],[进化点券]]+IF(ISNUMBER(C93), C93, 0)</f>
        <v>11250</v>
      </c>
      <c r="D94" s="36">
        <f>SUMPRODUCT(表模板_29[[#This Row],[无尽斗争印章]:[列12]],表模板_29[[#Totals],[无尽斗争印章]:[列12]])+表模板_29[[#This Row],[手续费(J)]]</f>
        <v>372.9</v>
      </c>
      <c r="E94" s="36">
        <f>SUMPRODUCT(表模板_29[[#This Row],[高级宝玉神物]:[列16]],表模板_29[[#Totals],[高级宝玉神物]:[列16]])</f>
        <v>2250</v>
      </c>
      <c r="F94" s="39" t="s">
        <v>196</v>
      </c>
      <c r="G94" s="11">
        <v>225</v>
      </c>
      <c r="H94" s="11">
        <v>4</v>
      </c>
      <c r="I94" s="11">
        <v>5</v>
      </c>
      <c r="J94" s="11">
        <v>20</v>
      </c>
      <c r="K94" s="11">
        <v>40</v>
      </c>
      <c r="L94" s="11">
        <v>20</v>
      </c>
      <c r="M94" s="11">
        <v>40</v>
      </c>
      <c r="N94" s="11"/>
      <c r="O94" s="11"/>
      <c r="P94" s="11"/>
      <c r="Q94" s="11"/>
      <c r="R94" s="11"/>
      <c r="S94" s="30"/>
      <c r="T94" s="11">
        <v>15</v>
      </c>
      <c r="U94" s="11">
        <v>0</v>
      </c>
      <c r="V94" s="11"/>
      <c r="W94" s="11"/>
    </row>
    <row r="95" spans="1:23" x14ac:dyDescent="0.25">
      <c r="A95" t="s">
        <v>320</v>
      </c>
      <c r="B95" s="36">
        <f>表模板_29[[#This Row],[进化金币(J)]]+IF(ISNUMBER(B94), B94, 表模板_29[[#Totals],[进化阶段]])</f>
        <v>2165.1</v>
      </c>
      <c r="C95" s="35">
        <f>表模板_29[[#This Row],[进化点券]]+IF(ISNUMBER(C94), C94, 0)</f>
        <v>16650</v>
      </c>
      <c r="D95" s="38">
        <f>SUMPRODUCT(表模板_29[[#This Row],[无尽斗争印章]:[列12]],表模板_29[[#Totals],[无尽斗争印章]:[列12]])+表模板_29[[#This Row],[手续费(J)]]</f>
        <v>430.6</v>
      </c>
      <c r="E95" s="38">
        <f>SUMPRODUCT(表模板_29[[#This Row],[高级宝玉神物]:[列16]],表模板_29[[#Totals],[高级宝玉神物]:[列16]])</f>
        <v>5400</v>
      </c>
      <c r="F95" s="39" t="s">
        <v>197</v>
      </c>
      <c r="G95" s="25">
        <v>225</v>
      </c>
      <c r="H95" s="25">
        <v>6</v>
      </c>
      <c r="I95" s="25">
        <v>5</v>
      </c>
      <c r="J95" s="25">
        <v>30</v>
      </c>
      <c r="K95" s="25">
        <v>60</v>
      </c>
      <c r="L95" s="25">
        <v>30</v>
      </c>
      <c r="M95" s="25">
        <v>60</v>
      </c>
      <c r="N95" s="25"/>
      <c r="O95" s="25"/>
      <c r="P95" s="25"/>
      <c r="Q95" s="25"/>
      <c r="R95" s="25"/>
      <c r="S95" s="31"/>
      <c r="T95" s="25">
        <v>0</v>
      </c>
      <c r="U95" s="25">
        <v>18</v>
      </c>
      <c r="V95" s="25"/>
      <c r="W95" s="25"/>
    </row>
    <row r="96" spans="1:23" x14ac:dyDescent="0.25">
      <c r="A96" t="s">
        <v>320</v>
      </c>
      <c r="B96" s="36">
        <f>表模板_29[[#This Row],[进化金币(J)]]+IF(ISNUMBER(B95), B95, 表模板_29[[#Totals],[进化阶段]])</f>
        <v>2595.6999999999998</v>
      </c>
      <c r="C96" s="35">
        <f>表模板_29[[#This Row],[进化点券]]+IF(ISNUMBER(C95), C95, 0)</f>
        <v>23850</v>
      </c>
      <c r="D96" s="36">
        <f>SUMPRODUCT(表模板_29[[#This Row],[无尽斗争印章]:[列12]],表模板_29[[#Totals],[无尽斗争印章]:[列12]])+表模板_29[[#This Row],[手续费(J)]]</f>
        <v>430.6</v>
      </c>
      <c r="E96" s="36">
        <f>SUMPRODUCT(表模板_29[[#This Row],[高级宝玉神物]:[列16]],表模板_29[[#Totals],[高级宝玉神物]:[列16]])</f>
        <v>7200</v>
      </c>
      <c r="F96" s="39" t="s">
        <v>198</v>
      </c>
      <c r="G96" s="11">
        <v>225</v>
      </c>
      <c r="H96" s="11">
        <v>6</v>
      </c>
      <c r="I96" s="11">
        <v>5</v>
      </c>
      <c r="J96" s="11">
        <v>30</v>
      </c>
      <c r="K96" s="11">
        <v>60</v>
      </c>
      <c r="L96" s="11">
        <v>30</v>
      </c>
      <c r="M96" s="11">
        <v>60</v>
      </c>
      <c r="N96" s="11"/>
      <c r="O96" s="11"/>
      <c r="P96" s="11"/>
      <c r="Q96" s="11"/>
      <c r="R96" s="11"/>
      <c r="S96" s="30"/>
      <c r="T96" s="11">
        <v>0</v>
      </c>
      <c r="U96" s="11">
        <v>24</v>
      </c>
      <c r="V96" s="11"/>
      <c r="W96" s="11"/>
    </row>
    <row r="97" spans="1:23" x14ac:dyDescent="0.25">
      <c r="A97" t="s">
        <v>320</v>
      </c>
      <c r="B97" s="36">
        <f>表模板_29[[#This Row],[进化金币(J)]]+IF(ISNUMBER(B96), B96, 表模板_29[[#Totals],[进化阶段]])</f>
        <v>3138.7999999999997</v>
      </c>
      <c r="C97" s="35">
        <f>表模板_29[[#This Row],[进化点券]]+IF(ISNUMBER(C96), C96, 0)</f>
        <v>34350</v>
      </c>
      <c r="D97" s="36">
        <f>SUMPRODUCT(表模板_29[[#This Row],[无尽斗争印章]:[列12]],表模板_29[[#Totals],[无尽斗争印章]:[列12]])+表模板_29[[#This Row],[手续费(J)]]</f>
        <v>543.1</v>
      </c>
      <c r="E97" s="36">
        <f>SUMPRODUCT(表模板_29[[#This Row],[高级宝玉神物]:[列16]],表模板_29[[#Totals],[高级宝玉神物]:[列16]])</f>
        <v>10500</v>
      </c>
      <c r="F97" s="40" t="s">
        <v>219</v>
      </c>
      <c r="G97" s="11">
        <v>337.5</v>
      </c>
      <c r="H97" s="11">
        <v>6</v>
      </c>
      <c r="I97" s="11">
        <v>5</v>
      </c>
      <c r="J97" s="11">
        <v>30</v>
      </c>
      <c r="K97" s="11">
        <v>60</v>
      </c>
      <c r="L97" s="11">
        <v>30</v>
      </c>
      <c r="M97" s="11">
        <v>60</v>
      </c>
      <c r="N97" s="11"/>
      <c r="O97" s="11"/>
      <c r="P97" s="11"/>
      <c r="Q97" s="11"/>
      <c r="R97" s="11"/>
      <c r="S97" s="30"/>
      <c r="T97" s="11">
        <v>0</v>
      </c>
      <c r="U97" s="11">
        <v>35</v>
      </c>
      <c r="V97" s="11"/>
      <c r="W97" s="11"/>
    </row>
    <row r="98" spans="1:23" x14ac:dyDescent="0.25">
      <c r="A98" t="s">
        <v>320</v>
      </c>
      <c r="B98" s="36">
        <f>表模板_29[[#This Row],[进化金币(J)]]+IF(ISNUMBER(B97), B97, 表模板_29[[#Totals],[进化阶段]])</f>
        <v>3772.0999999999995</v>
      </c>
      <c r="C98" s="35">
        <f>表模板_29[[#This Row],[进化点券]]+IF(ISNUMBER(C97), C97, 0)</f>
        <v>47850</v>
      </c>
      <c r="D98" s="36">
        <f>SUMPRODUCT(表模板_29[[#This Row],[无尽斗争印章]:[列12]],表模板_29[[#Totals],[无尽斗争印章]:[列12]])+表模板_29[[#This Row],[手续费(J)]]</f>
        <v>633.29999999999995</v>
      </c>
      <c r="E98" s="36">
        <f>SUMPRODUCT(表模板_29[[#This Row],[高级宝玉神物]:[列16]],表模板_29[[#Totals],[高级宝玉神物]:[列16]])</f>
        <v>13500</v>
      </c>
      <c r="F98" s="40" t="s">
        <v>213</v>
      </c>
      <c r="G98" s="11">
        <v>337.5</v>
      </c>
      <c r="H98" s="11">
        <v>8</v>
      </c>
      <c r="I98" s="11">
        <v>10</v>
      </c>
      <c r="J98" s="11">
        <v>40</v>
      </c>
      <c r="K98" s="11">
        <v>80</v>
      </c>
      <c r="L98" s="11">
        <v>40</v>
      </c>
      <c r="M98" s="11">
        <v>80</v>
      </c>
      <c r="N98" s="11"/>
      <c r="O98" s="11"/>
      <c r="P98" s="11"/>
      <c r="Q98" s="11"/>
      <c r="R98" s="11"/>
      <c r="S98" s="30"/>
      <c r="T98" s="11">
        <v>0</v>
      </c>
      <c r="U98" s="11">
        <v>45</v>
      </c>
      <c r="V98" s="11"/>
      <c r="W98" s="11"/>
    </row>
    <row r="99" spans="1:23" x14ac:dyDescent="0.25">
      <c r="A99" t="s">
        <v>320</v>
      </c>
      <c r="B99" s="36">
        <f>表模板_29[[#This Row],[进化金币(J)]]+IF(ISNUMBER(B98), B98, 表模板_29[[#Totals],[进化阶段]])</f>
        <v>4405.3999999999996</v>
      </c>
      <c r="C99" s="35">
        <f>表模板_29[[#This Row],[进化点券]]+IF(ISNUMBER(C98), C98, 0)</f>
        <v>64350</v>
      </c>
      <c r="D99" s="36">
        <f>SUMPRODUCT(表模板_29[[#This Row],[无尽斗争印章]:[列12]],表模板_29[[#Totals],[无尽斗争印章]:[列12]])+表模板_29[[#This Row],[手续费(J)]]</f>
        <v>633.29999999999995</v>
      </c>
      <c r="E99" s="36">
        <f>SUMPRODUCT(表模板_29[[#This Row],[高级宝玉神物]:[列16]],表模板_29[[#Totals],[高级宝玉神物]:[列16]])</f>
        <v>16500</v>
      </c>
      <c r="F99" s="40" t="s">
        <v>214</v>
      </c>
      <c r="G99" s="11">
        <v>337.5</v>
      </c>
      <c r="H99" s="11">
        <v>8</v>
      </c>
      <c r="I99" s="11">
        <v>10</v>
      </c>
      <c r="J99" s="11">
        <v>40</v>
      </c>
      <c r="K99" s="11">
        <v>80</v>
      </c>
      <c r="L99" s="11">
        <v>40</v>
      </c>
      <c r="M99" s="11">
        <v>80</v>
      </c>
      <c r="N99" s="11"/>
      <c r="O99" s="11"/>
      <c r="P99" s="11"/>
      <c r="Q99" s="11"/>
      <c r="R99" s="11"/>
      <c r="S99" s="30"/>
      <c r="T99" s="11">
        <v>0</v>
      </c>
      <c r="U99" s="11">
        <v>55</v>
      </c>
      <c r="V99" s="11"/>
      <c r="W99" s="11"/>
    </row>
    <row r="100" spans="1:23" ht="15" thickBot="1" x14ac:dyDescent="0.3">
      <c r="A100" t="s">
        <v>320</v>
      </c>
      <c r="B100" s="36">
        <f>表模板_29[[#This Row],[进化金币(J)]]+IF(ISNUMBER(B99), B99, 表模板_29[[#Totals],[进化阶段]])</f>
        <v>5038.7</v>
      </c>
      <c r="C100" s="35">
        <f>表模板_29[[#This Row],[进化点券]]+IF(ISNUMBER(C99), C99, 0)</f>
        <v>83850</v>
      </c>
      <c r="D100" s="36">
        <f>SUMPRODUCT(表模板_29[[#This Row],[无尽斗争印章]:[列12]],表模板_29[[#Totals],[无尽斗争印章]:[列12]])+表模板_29[[#This Row],[手续费(J)]]</f>
        <v>633.29999999999995</v>
      </c>
      <c r="E100" s="36">
        <f>SUMPRODUCT(表模板_29[[#This Row],[高级宝玉神物]:[列16]],表模板_29[[#Totals],[高级宝玉神物]:[列16]])</f>
        <v>19500</v>
      </c>
      <c r="F100" s="40" t="s">
        <v>215</v>
      </c>
      <c r="G100" s="11">
        <v>337.5</v>
      </c>
      <c r="H100" s="11">
        <v>10</v>
      </c>
      <c r="I100" s="11">
        <v>10</v>
      </c>
      <c r="J100" s="11">
        <v>40</v>
      </c>
      <c r="K100" s="11">
        <v>80</v>
      </c>
      <c r="L100" s="11">
        <v>40</v>
      </c>
      <c r="M100" s="11">
        <v>80</v>
      </c>
      <c r="N100" s="11"/>
      <c r="O100" s="11"/>
      <c r="P100" s="11"/>
      <c r="Q100" s="11"/>
      <c r="R100" s="11"/>
      <c r="S100" s="30"/>
      <c r="T100" s="11">
        <v>0</v>
      </c>
      <c r="U100" s="11">
        <v>65</v>
      </c>
      <c r="V100" s="11"/>
      <c r="W100" s="11"/>
    </row>
    <row r="101" spans="1:23" ht="15" thickTop="1" x14ac:dyDescent="0.25">
      <c r="B101" s="72">
        <f>SUBTOTAL(104,表模板_29[累计金币(J)])</f>
        <v>5038.7</v>
      </c>
      <c r="C101" s="72">
        <f>SUBTOTAL(104,表模板_29[累计点券])</f>
        <v>83850</v>
      </c>
      <c r="D101" s="73">
        <f>SUBTOTAL(109,表模板_29[进化金币(J)])</f>
        <v>5038.7</v>
      </c>
      <c r="E101" s="74">
        <f>SUBTOTAL(109,表模板_29[进化点券])</f>
        <v>83850</v>
      </c>
      <c r="F101" s="88"/>
      <c r="G101" s="76" t="s">
        <v>190</v>
      </c>
      <c r="H101" s="77">
        <f xml:space="preserve"> _xlfn.IFNA(VLOOKUP(表模板_29[[#Headers],[无尽斗争印章]],金价一览,2,0), 0)</f>
        <v>0</v>
      </c>
      <c r="I101" s="77">
        <f xml:space="preserve"> _xlfn.IFNA(VLOOKUP(表模板_29[[#Headers],[烛魔羽毛]],金价一览,2,0), 0)</f>
        <v>6.5</v>
      </c>
      <c r="J101" s="77">
        <f xml:space="preserve"> _xlfn.IFNA(VLOOKUP(表模板_29[[#Headers],[月石]],金价一览,2,0), 0)</f>
        <v>1.35</v>
      </c>
      <c r="K101" s="77">
        <f xml:space="preserve"> _xlfn.IFNA(VLOOKUP(表模板_29[[#Headers],[灵石]],金价一览,2,0), 0)</f>
        <v>0.06</v>
      </c>
      <c r="L101" s="77">
        <f xml:space="preserve"> _xlfn.IFNA(VLOOKUP(表模板_29[[#Headers],[仙丹]],金价一览,2,0), 0)</f>
        <v>4</v>
      </c>
      <c r="M101" s="77">
        <f xml:space="preserve"> _xlfn.IFNA(VLOOKUP(表模板_29[[#Headers],[灵丹]],金价一览,2,0), 0)</f>
        <v>0.15</v>
      </c>
      <c r="N101" s="77">
        <f xml:space="preserve"> _xlfn.IFNA(VLOOKUP(表模板_29[[#Headers],[列7]],金价一览,2,0), 0)</f>
        <v>0</v>
      </c>
      <c r="O101" s="77">
        <f xml:space="preserve"> _xlfn.IFNA(VLOOKUP(表模板_29[[#Headers],[列8]],金价一览,2,0), 0)</f>
        <v>0</v>
      </c>
      <c r="P101" s="77">
        <f xml:space="preserve"> _xlfn.IFNA(VLOOKUP(表模板_29[[#Headers],[列9]],金价一览,2,0), 0)</f>
        <v>0</v>
      </c>
      <c r="Q101" s="77">
        <f xml:space="preserve"> _xlfn.IFNA(VLOOKUP(表模板_29[[#Headers],[列10]],金价一览,2,0), 0)</f>
        <v>0</v>
      </c>
      <c r="R101" s="77">
        <f xml:space="preserve"> _xlfn.IFNA(VLOOKUP(表模板_29[[#Headers],[列11]],金价一览,2,0), 0)</f>
        <v>0</v>
      </c>
      <c r="S101" s="77">
        <f xml:space="preserve"> _xlfn.IFNA(VLOOKUP(表模板_29[[#Headers],[列12]],金价一览,2,0), 0)</f>
        <v>0</v>
      </c>
      <c r="T101" s="78">
        <f>_xlfn.IFNA(VLOOKUP(表模板_29[[#Headers],[高级宝玉神物]],点券一览,2,0),0)</f>
        <v>150</v>
      </c>
      <c r="U101" s="78">
        <f>_xlfn.IFNA(VLOOKUP(表模板_29[[#Headers],[破天宝玉神物]],点券一览,2,0),0)</f>
        <v>300</v>
      </c>
      <c r="V101" s="78">
        <f>_xlfn.IFNA(VLOOKUP(表模板_29[[#Headers],[列15]],点券一览,2,0),0)</f>
        <v>0</v>
      </c>
      <c r="W101" s="78">
        <f>_xlfn.IFNA(VLOOKUP(表模板_29[[#Headers],[列16]],点券一览,2,0),0)</f>
        <v>0</v>
      </c>
    </row>
    <row r="102" spans="1:23" x14ac:dyDescent="0.25">
      <c r="B102" s="188" t="s">
        <v>221</v>
      </c>
      <c r="C102" s="188"/>
      <c r="D102" s="188"/>
      <c r="E102" s="188"/>
      <c r="F102" s="189"/>
      <c r="G102" s="79" t="s">
        <v>224</v>
      </c>
      <c r="H102" s="52">
        <f>SUM(表模板_29[[#Data],[无尽斗争印章]])</f>
        <v>64</v>
      </c>
      <c r="I102" s="52">
        <f>SUM(表模板_29[[#Data],[烛魔羽毛]])</f>
        <v>50</v>
      </c>
      <c r="J102" s="52">
        <f>SUM(表模板_29[[#Data],[月石]])</f>
        <v>310</v>
      </c>
      <c r="K102" s="52">
        <f>SUM(表模板_29[[#Data],[灵石]])</f>
        <v>620</v>
      </c>
      <c r="L102" s="52">
        <f>SUM(表模板_29[[#Data],[仙丹]])</f>
        <v>310</v>
      </c>
      <c r="M102" s="52">
        <f>SUM(表模板_29[[#Data],[灵丹]])</f>
        <v>620</v>
      </c>
      <c r="N102" s="52">
        <f>SUM(表模板_29[[#Data],[列7]])</f>
        <v>0</v>
      </c>
      <c r="O102" s="52">
        <f>SUM(表模板_29[[#Data],[列8]])</f>
        <v>0</v>
      </c>
      <c r="P102" s="52">
        <f>SUM(表模板_29[[#Data],[列9]])</f>
        <v>0</v>
      </c>
      <c r="Q102" s="52">
        <f>SUM(表模板_29[[#Data],[列10]])</f>
        <v>0</v>
      </c>
      <c r="R102" s="52">
        <f>SUM(表模板_29[[#Data],[列11]])</f>
        <v>0</v>
      </c>
      <c r="S102" s="52">
        <f>SUM(表模板_29[[#Data],[列12]])</f>
        <v>0</v>
      </c>
      <c r="T102" s="52">
        <f>SUM(表模板_29[[#Data],[高级宝玉神物]])</f>
        <v>75</v>
      </c>
      <c r="U102" s="52">
        <f>SUM(表模板_29[[#Data],[破天宝玉神物]])</f>
        <v>242</v>
      </c>
      <c r="V102" s="52">
        <f>SUM(表模板_29[[#Data],[列15]])</f>
        <v>0</v>
      </c>
      <c r="W102" s="52">
        <f>SUM(表模板_29[[#Data],[列16]])</f>
        <v>0</v>
      </c>
    </row>
    <row r="103" spans="1:23" x14ac:dyDescent="0.25">
      <c r="B103" s="188"/>
      <c r="C103" s="188"/>
      <c r="D103" s="188"/>
      <c r="E103" s="188"/>
      <c r="F103" s="189"/>
      <c r="G103" s="80" t="s">
        <v>223</v>
      </c>
      <c r="H103" s="52">
        <f>H102*表模板_29[[#Totals],[无尽斗争印章]]</f>
        <v>0</v>
      </c>
      <c r="I103" s="52">
        <f>I102*表模板_29[[#Totals],[烛魔羽毛]]</f>
        <v>325</v>
      </c>
      <c r="J103" s="52">
        <f>J102*表模板_29[[#Totals],[月石]]</f>
        <v>418.5</v>
      </c>
      <c r="K103" s="52">
        <f>K102*表模板_29[[#Totals],[灵石]]</f>
        <v>37.199999999999996</v>
      </c>
      <c r="L103" s="52">
        <f>L102*表模板_29[[#Totals],[仙丹]]</f>
        <v>1240</v>
      </c>
      <c r="M103" s="52">
        <f>M102*表模板_29[[#Totals],[灵丹]]</f>
        <v>93</v>
      </c>
      <c r="N103" s="52">
        <f>N102*表模板_29[[#Totals],[列7]]</f>
        <v>0</v>
      </c>
      <c r="O103" s="52">
        <f>O102*表模板_29[[#Totals],[列8]]</f>
        <v>0</v>
      </c>
      <c r="P103" s="52">
        <f>P102*表模板_29[[#Totals],[列9]]</f>
        <v>0</v>
      </c>
      <c r="Q103" s="52">
        <f>Q102*表模板_29[[#Totals],[列10]]</f>
        <v>0</v>
      </c>
      <c r="R103" s="52">
        <f>R102*表模板_29[[#Totals],[列11]]</f>
        <v>0</v>
      </c>
      <c r="S103" s="52">
        <f>S102*表模板_29[[#Totals],[列12]]</f>
        <v>0</v>
      </c>
      <c r="T103" s="52">
        <f>T102*表模板_29[[#Totals],[高级宝玉神物]]</f>
        <v>11250</v>
      </c>
      <c r="U103" s="52">
        <f>U102*表模板_29[[#Totals],[破天宝玉神物]]</f>
        <v>72600</v>
      </c>
      <c r="V103" s="52">
        <f>V102*表模板_29[[#Totals],[列15]]</f>
        <v>0</v>
      </c>
      <c r="W103" s="52">
        <f>W102*表模板_29[[#Totals],[列16]]</f>
        <v>0</v>
      </c>
    </row>
  </sheetData>
  <mergeCells count="6">
    <mergeCell ref="B102:F103"/>
    <mergeCell ref="B16:F17"/>
    <mergeCell ref="B34:F35"/>
    <mergeCell ref="B52:F53"/>
    <mergeCell ref="B70:F71"/>
    <mergeCell ref="B84:F85"/>
  </mergeCells>
  <phoneticPr fontId="10" type="noConversion"/>
  <conditionalFormatting sqref="H3:S3">
    <cfRule type="containsText" dxfId="456" priority="12" operator="containsText" text="列">
      <formula>NOT(ISERROR(SEARCH("列",H3)))</formula>
    </cfRule>
  </conditionalFormatting>
  <conditionalFormatting sqref="T3:W3">
    <cfRule type="containsText" dxfId="455" priority="11" operator="containsText" text="列">
      <formula>NOT(ISERROR(SEARCH("列",T3)))</formula>
    </cfRule>
  </conditionalFormatting>
  <conditionalFormatting sqref="H21:S21">
    <cfRule type="containsText" dxfId="454" priority="10" operator="containsText" text="列">
      <formula>NOT(ISERROR(SEARCH("列",H21)))</formula>
    </cfRule>
  </conditionalFormatting>
  <conditionalFormatting sqref="T21:W21">
    <cfRule type="containsText" dxfId="453" priority="9" operator="containsText" text="列">
      <formula>NOT(ISERROR(SEARCH("列",T21)))</formula>
    </cfRule>
  </conditionalFormatting>
  <conditionalFormatting sqref="H39:S39">
    <cfRule type="containsText" dxfId="452" priority="8" operator="containsText" text="列">
      <formula>NOT(ISERROR(SEARCH("列",H39)))</formula>
    </cfRule>
  </conditionalFormatting>
  <conditionalFormatting sqref="T39:W39">
    <cfRule type="containsText" dxfId="451" priority="7" operator="containsText" text="列">
      <formula>NOT(ISERROR(SEARCH("列",T39)))</formula>
    </cfRule>
  </conditionalFormatting>
  <conditionalFormatting sqref="H57:S57">
    <cfRule type="containsText" dxfId="450" priority="6" operator="containsText" text="列">
      <formula>NOT(ISERROR(SEARCH("列",H57)))</formula>
    </cfRule>
  </conditionalFormatting>
  <conditionalFormatting sqref="T57:W57">
    <cfRule type="containsText" dxfId="449" priority="5" operator="containsText" text="列">
      <formula>NOT(ISERROR(SEARCH("列",T57)))</formula>
    </cfRule>
  </conditionalFormatting>
  <conditionalFormatting sqref="H75:S75">
    <cfRule type="containsText" dxfId="448" priority="4" operator="containsText" text="列">
      <formula>NOT(ISERROR(SEARCH("列",H75)))</formula>
    </cfRule>
  </conditionalFormatting>
  <conditionalFormatting sqref="T75:W75">
    <cfRule type="containsText" dxfId="447" priority="3" operator="containsText" text="列">
      <formula>NOT(ISERROR(SEARCH("列",T75)))</formula>
    </cfRule>
  </conditionalFormatting>
  <conditionalFormatting sqref="H89:S89">
    <cfRule type="containsText" dxfId="446" priority="2" operator="containsText" text="列">
      <formula>NOT(ISERROR(SEARCH("列",H89)))</formula>
    </cfRule>
  </conditionalFormatting>
  <conditionalFormatting sqref="T89:W89">
    <cfRule type="containsText" dxfId="445" priority="1" operator="containsText" text="列">
      <formula>NOT(ISERROR(SEARCH("列",T89)))</formula>
    </cfRule>
  </conditionalFormatting>
  <dataValidations count="2">
    <dataValidation type="list" allowBlank="1" showInputMessage="1" showErrorMessage="1" sqref="T3:W3 T21:W21 T39:W39 T57:W57 T75:W75 T89:W89">
      <formula1>神物名</formula1>
    </dataValidation>
    <dataValidation type="list" allowBlank="1" showInputMessage="1" showErrorMessage="1" error="不存在的材料名" sqref="H3:S3 H21:S21 H39:S39 H57:S57 H75:S75 H89:S89">
      <formula1>材料名</formula1>
    </dataValidation>
  </dataValidation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69"/>
  <sheetViews>
    <sheetView topLeftCell="A36" workbookViewId="0">
      <selection activeCell="D53" sqref="D53:M56"/>
    </sheetView>
  </sheetViews>
  <sheetFormatPr defaultRowHeight="14.4" outlineLevelCol="1" x14ac:dyDescent="0.25"/>
  <cols>
    <col min="1" max="1" width="8.88671875" customWidth="1"/>
    <col min="2" max="2" width="13.109375" customWidth="1"/>
    <col min="3" max="3" width="11.5546875" customWidth="1"/>
    <col min="4" max="4" width="13.6640625" customWidth="1"/>
    <col min="5" max="5" width="11.5546875" customWidth="1"/>
    <col min="6" max="6" width="17" customWidth="1"/>
    <col min="7" max="7" width="12" customWidth="1"/>
    <col min="8" max="13" width="11.5546875" customWidth="1"/>
    <col min="14" max="19" width="11.5546875" hidden="1" customWidth="1" outlineLevel="1"/>
    <col min="20" max="20" width="11.5546875" customWidth="1" collapsed="1"/>
    <col min="21" max="23" width="11.5546875" customWidth="1" outlineLevel="1"/>
  </cols>
  <sheetData>
    <row r="2" spans="1:23" x14ac:dyDescent="0.25">
      <c r="B2" s="28" t="s">
        <v>245</v>
      </c>
      <c r="H2" s="43" t="s">
        <v>212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42" t="s">
        <v>211</v>
      </c>
      <c r="U2" s="41"/>
      <c r="V2" s="41"/>
      <c r="W2" s="41"/>
    </row>
    <row r="3" spans="1:23" ht="34.200000000000003" customHeight="1" thickBot="1" x14ac:dyDescent="0.3">
      <c r="B3" s="57" t="s">
        <v>187</v>
      </c>
      <c r="C3" s="57" t="s">
        <v>186</v>
      </c>
      <c r="D3" s="58" t="s">
        <v>252</v>
      </c>
      <c r="E3" s="58" t="s">
        <v>254</v>
      </c>
      <c r="F3" s="58" t="s">
        <v>181</v>
      </c>
      <c r="G3" s="58" t="s">
        <v>185</v>
      </c>
      <c r="H3" s="59" t="s">
        <v>0</v>
      </c>
      <c r="I3" s="60" t="s">
        <v>1</v>
      </c>
      <c r="J3" s="60" t="s">
        <v>2</v>
      </c>
      <c r="K3" s="60" t="s">
        <v>3</v>
      </c>
      <c r="L3" s="60" t="s">
        <v>117</v>
      </c>
      <c r="M3" s="60" t="s">
        <v>118</v>
      </c>
      <c r="N3" s="60" t="s">
        <v>201</v>
      </c>
      <c r="O3" s="60" t="s">
        <v>202</v>
      </c>
      <c r="P3" s="60" t="s">
        <v>203</v>
      </c>
      <c r="Q3" s="60" t="s">
        <v>204</v>
      </c>
      <c r="R3" s="60" t="s">
        <v>205</v>
      </c>
      <c r="S3" s="61" t="s">
        <v>206</v>
      </c>
      <c r="T3" s="62" t="s">
        <v>119</v>
      </c>
      <c r="U3" s="62" t="s">
        <v>208</v>
      </c>
      <c r="V3" s="62" t="s">
        <v>209</v>
      </c>
      <c r="W3" s="62" t="s">
        <v>210</v>
      </c>
    </row>
    <row r="4" spans="1:23" ht="15" thickTop="1" x14ac:dyDescent="0.25">
      <c r="B4" s="55">
        <f>表_破天魂[[#This Row],[进化金币(J)]]+IF(ISNUMBER(B3), B3, 表_破天魂[[#Totals],[进化阶段]])</f>
        <v>0</v>
      </c>
      <c r="C4" s="54">
        <f>表_破天魂[[#This Row],[进化点券]]+IF(ISNUMBER(C3), C3, 0)</f>
        <v>0</v>
      </c>
      <c r="D4" s="55">
        <f>IF(A4="○",SUMPRODUCT(表_破天魂[[#This Row],[仙丹]:[列12]],表_破天魂[[#Totals],[仙丹]:[列12]])+表_破天魂[[#This Row],[手续费(J)]]*折扣,0)</f>
        <v>0</v>
      </c>
      <c r="E4" s="55">
        <f>IF(A4="○",SUMPRODUCT(表_破天魂[[#This Row],[破天魂神物]:[列16]],表_破天魂[[#Totals],[破天魂神物]:[列16]]),0)</f>
        <v>0</v>
      </c>
      <c r="F4" s="56" t="s">
        <v>192</v>
      </c>
      <c r="G4" s="34">
        <v>45</v>
      </c>
      <c r="H4" s="34">
        <v>10</v>
      </c>
      <c r="I4" s="34">
        <v>100</v>
      </c>
      <c r="J4" s="34">
        <v>100</v>
      </c>
      <c r="K4" s="34">
        <v>10</v>
      </c>
      <c r="L4" s="34">
        <v>4</v>
      </c>
      <c r="M4" s="34"/>
      <c r="N4" s="34"/>
      <c r="O4" s="34"/>
      <c r="P4" s="34"/>
      <c r="Q4" s="34"/>
      <c r="R4" s="34"/>
      <c r="S4" s="32"/>
      <c r="T4" s="34"/>
      <c r="U4" s="34"/>
      <c r="V4" s="34"/>
      <c r="W4" s="34"/>
    </row>
    <row r="5" spans="1:23" x14ac:dyDescent="0.25">
      <c r="B5" s="36">
        <f>表_破天魂[[#This Row],[进化金币(J)]]+IF(ISNUMBER(B4), B4, 表_破天魂[[#Totals],[进化阶段]])</f>
        <v>0</v>
      </c>
      <c r="C5" s="35">
        <f>表_破天魂[[#This Row],[进化点券]]+IF(ISNUMBER(C4), C4, 0)</f>
        <v>0</v>
      </c>
      <c r="D5" s="36">
        <f>IF(A5="○",SUMPRODUCT(表_破天魂[[#This Row],[仙丹]:[列12]],表_破天魂[[#Totals],[仙丹]:[列12]])+表_破天魂[[#This Row],[手续费(J)]]*折扣,0)</f>
        <v>0</v>
      </c>
      <c r="E5" s="36">
        <f>IF(A5="○",SUMPRODUCT(表_破天魂[[#This Row],[破天魂神物]:[列16]],表_破天魂[[#Totals],[破天魂神物]:[列16]]),0)</f>
        <v>0</v>
      </c>
      <c r="F5" s="39" t="s">
        <v>193</v>
      </c>
      <c r="G5" s="11">
        <v>45</v>
      </c>
      <c r="H5" s="11">
        <v>10</v>
      </c>
      <c r="I5" s="11">
        <v>100</v>
      </c>
      <c r="J5" s="11">
        <v>100</v>
      </c>
      <c r="K5" s="11">
        <v>10</v>
      </c>
      <c r="L5" s="11">
        <v>5</v>
      </c>
      <c r="M5" s="11"/>
      <c r="N5" s="11"/>
      <c r="O5" s="11"/>
      <c r="P5" s="11"/>
      <c r="Q5" s="11"/>
      <c r="R5" s="11"/>
      <c r="S5" s="30"/>
      <c r="T5" s="34"/>
      <c r="U5" s="34"/>
      <c r="V5" s="34"/>
      <c r="W5" s="34"/>
    </row>
    <row r="6" spans="1:23" x14ac:dyDescent="0.25">
      <c r="B6" s="36">
        <f>表_破天魂[[#This Row],[进化金币(J)]]+IF(ISNUMBER(B5), B5, 表_破天魂[[#Totals],[进化阶段]])</f>
        <v>0</v>
      </c>
      <c r="C6" s="35">
        <f>表_破天魂[[#This Row],[进化点券]]+IF(ISNUMBER(C5), C5, 0)</f>
        <v>0</v>
      </c>
      <c r="D6" s="36">
        <f>IF(A6="○",SUMPRODUCT(表_破天魂[[#This Row],[仙丹]:[列12]],表_破天魂[[#Totals],[仙丹]:[列12]])+表_破天魂[[#This Row],[手续费(J)]]*折扣,0)</f>
        <v>0</v>
      </c>
      <c r="E6" s="36">
        <f>IF(A6="○",SUMPRODUCT(表_破天魂[[#This Row],[破天魂神物]:[列16]],表_破天魂[[#Totals],[破天魂神物]:[列16]]),0)</f>
        <v>0</v>
      </c>
      <c r="F6" s="39" t="s">
        <v>194</v>
      </c>
      <c r="G6" s="11">
        <v>45</v>
      </c>
      <c r="H6" s="11">
        <v>10</v>
      </c>
      <c r="I6" s="11">
        <v>100</v>
      </c>
      <c r="J6" s="11">
        <v>100</v>
      </c>
      <c r="K6" s="11">
        <v>10</v>
      </c>
      <c r="L6" s="11">
        <v>6</v>
      </c>
      <c r="M6" s="11"/>
      <c r="N6" s="11"/>
      <c r="O6" s="11"/>
      <c r="P6" s="11"/>
      <c r="Q6" s="11"/>
      <c r="R6" s="11"/>
      <c r="S6" s="30"/>
      <c r="T6" s="34"/>
      <c r="U6" s="34"/>
      <c r="V6" s="34"/>
      <c r="W6" s="34"/>
    </row>
    <row r="7" spans="1:23" x14ac:dyDescent="0.25">
      <c r="B7" s="36">
        <f>表_破天魂[[#This Row],[进化金币(J)]]+IF(ISNUMBER(B6), B6, 表_破天魂[[#Totals],[进化阶段]])</f>
        <v>0</v>
      </c>
      <c r="C7" s="35">
        <f>表_破天魂[[#This Row],[进化点券]]+IF(ISNUMBER(C6), C6, 0)</f>
        <v>0</v>
      </c>
      <c r="D7" s="36">
        <f>IF(A7="○",SUMPRODUCT(表_破天魂[[#This Row],[仙丹]:[列12]],表_破天魂[[#Totals],[仙丹]:[列12]])+表_破天魂[[#This Row],[手续费(J)]]*折扣,0)</f>
        <v>0</v>
      </c>
      <c r="E7" s="36">
        <f>IF(A7="○",SUMPRODUCT(表_破天魂[[#This Row],[破天魂神物]:[列16]],表_破天魂[[#Totals],[破天魂神物]:[列16]]),0)</f>
        <v>0</v>
      </c>
      <c r="F7" s="39" t="s">
        <v>195</v>
      </c>
      <c r="G7" s="11">
        <v>45</v>
      </c>
      <c r="H7" s="11">
        <v>10</v>
      </c>
      <c r="I7" s="11">
        <v>100</v>
      </c>
      <c r="J7" s="11">
        <v>100</v>
      </c>
      <c r="K7" s="11">
        <v>10</v>
      </c>
      <c r="L7" s="11">
        <v>7</v>
      </c>
      <c r="M7" s="11"/>
      <c r="N7" s="11"/>
      <c r="O7" s="11"/>
      <c r="P7" s="11"/>
      <c r="Q7" s="11"/>
      <c r="R7" s="11"/>
      <c r="S7" s="30"/>
      <c r="T7" s="34"/>
      <c r="U7" s="34"/>
      <c r="V7" s="34"/>
      <c r="W7" s="34"/>
    </row>
    <row r="8" spans="1:23" x14ac:dyDescent="0.25">
      <c r="A8" t="s">
        <v>319</v>
      </c>
      <c r="B8" s="36">
        <f>表_破天魂[[#This Row],[进化金币(J)]]+IF(ISNUMBER(B7), B7, 表_破天魂[[#Totals],[进化阶段]])</f>
        <v>192.9</v>
      </c>
      <c r="C8" s="35">
        <f>表_破天魂[[#This Row],[进化点券]]+IF(ISNUMBER(C7), C7, 0)</f>
        <v>2100</v>
      </c>
      <c r="D8" s="36">
        <f>IF(A8="○",SUMPRODUCT(表_破天魂[[#This Row],[仙丹]:[列12]],表_破天魂[[#Totals],[仙丹]:[列12]])+表_破天魂[[#This Row],[手续费(J)]]*折扣,0)</f>
        <v>192.9</v>
      </c>
      <c r="E8" s="36">
        <f>IF(A8="○",SUMPRODUCT(表_破天魂[[#This Row],[破天魂神物]:[列16]],表_破天魂[[#Totals],[破天魂神物]:[列16]]),0)</f>
        <v>2100</v>
      </c>
      <c r="F8" s="39" t="s">
        <v>196</v>
      </c>
      <c r="G8" s="11">
        <v>50</v>
      </c>
      <c r="H8" s="11">
        <v>20</v>
      </c>
      <c r="I8" s="11">
        <v>200</v>
      </c>
      <c r="J8" s="11">
        <v>200</v>
      </c>
      <c r="K8" s="11">
        <v>20</v>
      </c>
      <c r="L8" s="11">
        <v>8</v>
      </c>
      <c r="M8" s="11"/>
      <c r="N8" s="11"/>
      <c r="O8" s="11"/>
      <c r="P8" s="11"/>
      <c r="Q8" s="11"/>
      <c r="R8" s="11"/>
      <c r="S8" s="30"/>
      <c r="T8" s="11">
        <v>7</v>
      </c>
      <c r="U8" s="11"/>
      <c r="V8" s="11"/>
      <c r="W8" s="11"/>
    </row>
    <row r="9" spans="1:23" x14ac:dyDescent="0.25">
      <c r="A9" t="s">
        <v>319</v>
      </c>
      <c r="B9" s="36">
        <f>表_破天魂[[#This Row],[进化金币(J)]]+IF(ISNUMBER(B8), B8, 表_破天魂[[#Totals],[进化阶段]])</f>
        <v>387.4</v>
      </c>
      <c r="C9" s="35">
        <f>表_破天魂[[#This Row],[进化点券]]+IF(ISNUMBER(C8), C8, 0)</f>
        <v>5100</v>
      </c>
      <c r="D9" s="38">
        <f>IF(A9="○",SUMPRODUCT(表_破天魂[[#This Row],[仙丹]:[列12]],表_破天魂[[#Totals],[仙丹]:[列12]])+表_破天魂[[#This Row],[手续费(J)]]*折扣,0)</f>
        <v>194.5</v>
      </c>
      <c r="E9" s="38">
        <f>IF(A9="○",SUMPRODUCT(表_破天魂[[#This Row],[破天魂神物]:[列16]],表_破天魂[[#Totals],[破天魂神物]:[列16]]),0)</f>
        <v>3000</v>
      </c>
      <c r="F9" s="39" t="s">
        <v>197</v>
      </c>
      <c r="G9" s="25">
        <v>50</v>
      </c>
      <c r="H9" s="25">
        <v>20</v>
      </c>
      <c r="I9" s="25">
        <v>200</v>
      </c>
      <c r="J9" s="25">
        <v>200</v>
      </c>
      <c r="K9" s="25">
        <v>20</v>
      </c>
      <c r="L9" s="25">
        <v>10</v>
      </c>
      <c r="M9" s="25"/>
      <c r="N9" s="25"/>
      <c r="O9" s="25"/>
      <c r="P9" s="25"/>
      <c r="Q9" s="25"/>
      <c r="R9" s="25"/>
      <c r="S9" s="31"/>
      <c r="T9" s="25">
        <v>10</v>
      </c>
      <c r="U9" s="25"/>
      <c r="V9" s="25"/>
      <c r="W9" s="25"/>
    </row>
    <row r="10" spans="1:23" x14ac:dyDescent="0.25">
      <c r="A10" t="s">
        <v>319</v>
      </c>
      <c r="B10" s="36">
        <f>表_破天魂[[#This Row],[进化金币(J)]]+IF(ISNUMBER(B9), B9, 表_破天魂[[#Totals],[进化阶段]])</f>
        <v>583.5</v>
      </c>
      <c r="C10" s="35">
        <f>表_破天魂[[#This Row],[进化点券]]+IF(ISNUMBER(C9), C9, 0)</f>
        <v>8700</v>
      </c>
      <c r="D10" s="36">
        <f>IF(A10="○",SUMPRODUCT(表_破天魂[[#This Row],[仙丹]:[列12]],表_破天魂[[#Totals],[仙丹]:[列12]])+表_破天魂[[#This Row],[手续费(J)]]*折扣,0)</f>
        <v>196.1</v>
      </c>
      <c r="E10" s="36">
        <f>IF(A10="○",SUMPRODUCT(表_破天魂[[#This Row],[破天魂神物]:[列16]],表_破天魂[[#Totals],[破天魂神物]:[列16]]),0)</f>
        <v>3600</v>
      </c>
      <c r="F10" s="39" t="s">
        <v>198</v>
      </c>
      <c r="G10" s="11">
        <v>50</v>
      </c>
      <c r="H10" s="11">
        <v>20</v>
      </c>
      <c r="I10" s="11">
        <v>200</v>
      </c>
      <c r="J10" s="11">
        <v>200</v>
      </c>
      <c r="K10" s="11">
        <v>20</v>
      </c>
      <c r="L10" s="11">
        <v>12</v>
      </c>
      <c r="M10" s="11"/>
      <c r="N10" s="11"/>
      <c r="O10" s="11"/>
      <c r="P10" s="11"/>
      <c r="Q10" s="11"/>
      <c r="R10" s="11"/>
      <c r="S10" s="30"/>
      <c r="T10" s="11">
        <v>12</v>
      </c>
      <c r="U10" s="11"/>
      <c r="V10" s="11"/>
      <c r="W10" s="11"/>
    </row>
    <row r="11" spans="1:23" x14ac:dyDescent="0.25">
      <c r="A11" t="s">
        <v>319</v>
      </c>
      <c r="B11" s="36">
        <f>表_破天魂[[#This Row],[进化金币(J)]]+IF(ISNUMBER(B10), B10, 表_破天魂[[#Totals],[进化阶段]])</f>
        <v>874</v>
      </c>
      <c r="C11" s="35">
        <f>表_破天魂[[#This Row],[进化点券]]+IF(ISNUMBER(C10), C10, 0)</f>
        <v>16800</v>
      </c>
      <c r="D11" s="36">
        <f>IF(A11="○",SUMPRODUCT(表_破天魂[[#This Row],[仙丹]:[列12]],表_破天魂[[#Totals],[仙丹]:[列12]])+表_破天魂[[#This Row],[手续费(J)]]*折扣,0)</f>
        <v>290.5</v>
      </c>
      <c r="E11" s="36">
        <f>IF(A11="○",SUMPRODUCT(表_破天魂[[#This Row],[破天魂神物]:[列16]],表_破天魂[[#Totals],[破天魂神物]:[列16]]),0)</f>
        <v>8100</v>
      </c>
      <c r="F11" s="40" t="s">
        <v>219</v>
      </c>
      <c r="G11" s="11">
        <v>60</v>
      </c>
      <c r="H11" s="11">
        <v>30</v>
      </c>
      <c r="I11" s="11">
        <v>300</v>
      </c>
      <c r="J11" s="11">
        <v>300</v>
      </c>
      <c r="K11" s="11">
        <v>30</v>
      </c>
      <c r="L11" s="11">
        <v>15</v>
      </c>
      <c r="M11" s="11">
        <v>10</v>
      </c>
      <c r="N11" s="11"/>
      <c r="O11" s="11"/>
      <c r="P11" s="11"/>
      <c r="Q11" s="11"/>
      <c r="R11" s="11"/>
      <c r="S11" s="30"/>
      <c r="T11" s="11">
        <v>27</v>
      </c>
      <c r="U11" s="11"/>
      <c r="V11" s="11"/>
      <c r="W11" s="11"/>
    </row>
    <row r="12" spans="1:23" x14ac:dyDescent="0.25">
      <c r="A12" t="s">
        <v>319</v>
      </c>
      <c r="B12" s="36">
        <f>表_破天魂[[#This Row],[进化金币(J)]]+IF(ISNUMBER(B11), B11, 表_破天魂[[#Totals],[进化阶段]])</f>
        <v>1164.5</v>
      </c>
      <c r="C12" s="35">
        <f>表_破天魂[[#This Row],[进化点券]]+IF(ISNUMBER(C11), C11, 0)</f>
        <v>28200</v>
      </c>
      <c r="D12" s="36">
        <f>IF(A12="○",SUMPRODUCT(表_破天魂[[#This Row],[仙丹]:[列12]],表_破天魂[[#Totals],[仙丹]:[列12]])+表_破天魂[[#This Row],[手续费(J)]]*折扣,0)</f>
        <v>290.5</v>
      </c>
      <c r="E12" s="36">
        <f>IF(A12="○",SUMPRODUCT(表_破天魂[[#This Row],[破天魂神物]:[列16]],表_破天魂[[#Totals],[破天魂神物]:[列16]]),0)</f>
        <v>11400</v>
      </c>
      <c r="F12" s="40" t="s">
        <v>213</v>
      </c>
      <c r="G12" s="11">
        <v>60</v>
      </c>
      <c r="H12" s="11">
        <v>30</v>
      </c>
      <c r="I12" s="11">
        <v>300</v>
      </c>
      <c r="J12" s="11">
        <v>300</v>
      </c>
      <c r="K12" s="11">
        <v>30</v>
      </c>
      <c r="L12" s="11">
        <v>15</v>
      </c>
      <c r="M12" s="11">
        <v>10</v>
      </c>
      <c r="N12" s="11"/>
      <c r="O12" s="11"/>
      <c r="P12" s="11"/>
      <c r="Q12" s="11"/>
      <c r="R12" s="11"/>
      <c r="S12" s="30"/>
      <c r="T12" s="11">
        <v>38</v>
      </c>
      <c r="U12" s="11"/>
      <c r="V12" s="11"/>
      <c r="W12" s="11"/>
    </row>
    <row r="13" spans="1:23" x14ac:dyDescent="0.25">
      <c r="A13" t="s">
        <v>319</v>
      </c>
      <c r="B13" s="36">
        <f>表_破天魂[[#This Row],[进化金币(J)]]+IF(ISNUMBER(B12), B12, 表_破天魂[[#Totals],[进化阶段]])</f>
        <v>1455</v>
      </c>
      <c r="C13" s="35">
        <f>表_破天魂[[#This Row],[进化点券]]+IF(ISNUMBER(C12), C12, 0)</f>
        <v>47400</v>
      </c>
      <c r="D13" s="36">
        <f>IF(A13="○",SUMPRODUCT(表_破天魂[[#This Row],[仙丹]:[列12]],表_破天魂[[#Totals],[仙丹]:[列12]])+表_破天魂[[#This Row],[手续费(J)]]*折扣,0)</f>
        <v>290.5</v>
      </c>
      <c r="E13" s="36">
        <f>IF(A13="○",SUMPRODUCT(表_破天魂[[#This Row],[破天魂神物]:[列16]],表_破天魂[[#Totals],[破天魂神物]:[列16]]),0)</f>
        <v>19200</v>
      </c>
      <c r="F13" s="40" t="s">
        <v>214</v>
      </c>
      <c r="G13" s="11">
        <v>60</v>
      </c>
      <c r="H13" s="11">
        <v>30</v>
      </c>
      <c r="I13" s="11">
        <v>300</v>
      </c>
      <c r="J13" s="11">
        <v>300</v>
      </c>
      <c r="K13" s="11">
        <v>30</v>
      </c>
      <c r="L13" s="11">
        <v>15</v>
      </c>
      <c r="M13" s="11">
        <v>10</v>
      </c>
      <c r="N13" s="11"/>
      <c r="O13" s="11"/>
      <c r="P13" s="11"/>
      <c r="Q13" s="11"/>
      <c r="R13" s="11"/>
      <c r="S13" s="30"/>
      <c r="T13" s="11">
        <v>64</v>
      </c>
      <c r="U13" s="11"/>
      <c r="V13" s="11"/>
      <c r="W13" s="11"/>
    </row>
    <row r="14" spans="1:23" ht="15" thickBot="1" x14ac:dyDescent="0.3">
      <c r="A14" t="s">
        <v>319</v>
      </c>
      <c r="B14" s="36">
        <f>表_破天魂[[#This Row],[进化金币(J)]]+IF(ISNUMBER(B13), B13, 表_破天魂[[#Totals],[进化阶段]])</f>
        <v>1745.5</v>
      </c>
      <c r="C14" s="35">
        <f>表_破天魂[[#This Row],[进化点券]]+IF(ISNUMBER(C13), C13, 0)</f>
        <v>72900</v>
      </c>
      <c r="D14" s="36">
        <f>IF(A14="○",SUMPRODUCT(表_破天魂[[#This Row],[仙丹]:[列12]],表_破天魂[[#Totals],[仙丹]:[列12]])+表_破天魂[[#This Row],[手续费(J)]]*折扣,0)</f>
        <v>290.5</v>
      </c>
      <c r="E14" s="36">
        <f>IF(A14="○",SUMPRODUCT(表_破天魂[[#This Row],[破天魂神物]:[列16]],表_破天魂[[#Totals],[破天魂神物]:[列16]]),0)</f>
        <v>25500</v>
      </c>
      <c r="F14" s="40" t="s">
        <v>215</v>
      </c>
      <c r="G14" s="11">
        <v>60</v>
      </c>
      <c r="H14" s="11">
        <v>30</v>
      </c>
      <c r="I14" s="11">
        <v>300</v>
      </c>
      <c r="J14" s="11">
        <v>300</v>
      </c>
      <c r="K14" s="11">
        <v>30</v>
      </c>
      <c r="L14" s="11">
        <v>15</v>
      </c>
      <c r="M14" s="11">
        <v>10</v>
      </c>
      <c r="N14" s="11"/>
      <c r="O14" s="11"/>
      <c r="P14" s="11"/>
      <c r="Q14" s="11"/>
      <c r="R14" s="11"/>
      <c r="S14" s="30"/>
      <c r="T14" s="11">
        <v>85</v>
      </c>
      <c r="U14" s="11"/>
      <c r="V14" s="11"/>
      <c r="W14" s="11"/>
    </row>
    <row r="15" spans="1:23" ht="15" thickTop="1" x14ac:dyDescent="0.25">
      <c r="B15" s="72">
        <f>SUBTOTAL(104,表_破天魂[累计金币(J)])</f>
        <v>1745.5</v>
      </c>
      <c r="C15" s="72">
        <f>SUBTOTAL(104,表_破天魂[累计点券])</f>
        <v>72900</v>
      </c>
      <c r="D15" s="73">
        <f>SUBTOTAL(109,表_破天魂[进化金币(J)])</f>
        <v>1745.5</v>
      </c>
      <c r="E15" s="74">
        <f>SUBTOTAL(109,表_破天魂[进化点券])</f>
        <v>72900</v>
      </c>
      <c r="F15" s="88"/>
      <c r="G15" s="76" t="s">
        <v>190</v>
      </c>
      <c r="H15" s="77">
        <f xml:space="preserve"> _xlfn.IFNA(VLOOKUP(表_破天魂[[#Headers],[仙丹]],金价一览,2,0), 0)</f>
        <v>4</v>
      </c>
      <c r="I15" s="77">
        <f xml:space="preserve"> _xlfn.IFNA(VLOOKUP(表_破天魂[[#Headers],[灵丹]],金价一览,2,0), 0)</f>
        <v>0.15</v>
      </c>
      <c r="J15" s="77">
        <f xml:space="preserve"> _xlfn.IFNA(VLOOKUP(表_破天魂[[#Headers],[灵石]],金价一览,2,0), 0)</f>
        <v>0.06</v>
      </c>
      <c r="K15" s="77">
        <f xml:space="preserve"> _xlfn.IFNA(VLOOKUP(表_破天魂[[#Headers],[月石]],金价一览,2,0), 0)</f>
        <v>1.35</v>
      </c>
      <c r="L15" s="77">
        <f xml:space="preserve"> _xlfn.IFNA(VLOOKUP(表_破天魂[[#Headers],[破天魂石]],金价一览,2,0), 0)</f>
        <v>0.8</v>
      </c>
      <c r="M15" s="77">
        <f xml:space="preserve"> _xlfn.IFNA(VLOOKUP(表_破天魂[[#Headers],[高级破天魂石]],金价一览,2,0), 0)</f>
        <v>1</v>
      </c>
      <c r="N15" s="77">
        <f xml:space="preserve"> _xlfn.IFNA(VLOOKUP(表_破天魂[[#Headers],[列7]],金价一览,2,0), 0)</f>
        <v>0</v>
      </c>
      <c r="O15" s="77">
        <f xml:space="preserve"> _xlfn.IFNA(VLOOKUP(表_破天魂[[#Headers],[列8]],金价一览,2,0), 0)</f>
        <v>0</v>
      </c>
      <c r="P15" s="77">
        <f xml:space="preserve"> _xlfn.IFNA(VLOOKUP(表_破天魂[[#Headers],[列9]],金价一览,2,0), 0)</f>
        <v>0</v>
      </c>
      <c r="Q15" s="77">
        <f xml:space="preserve"> _xlfn.IFNA(VLOOKUP(表_破天魂[[#Headers],[列10]],金价一览,2,0), 0)</f>
        <v>0</v>
      </c>
      <c r="R15" s="77">
        <f xml:space="preserve"> _xlfn.IFNA(VLOOKUP(表_破天魂[[#Headers],[列11]],金价一览,2,0), 0)</f>
        <v>0</v>
      </c>
      <c r="S15" s="77">
        <f xml:space="preserve"> _xlfn.IFNA(VLOOKUP(表_破天魂[[#Headers],[列12]],金价一览,2,0), 0)</f>
        <v>0</v>
      </c>
      <c r="T15" s="78">
        <f>_xlfn.IFNA(VLOOKUP(表_破天魂[[#Headers],[破天魂神物]],点券一览,2,0),0)</f>
        <v>300</v>
      </c>
      <c r="U15" s="78">
        <f>_xlfn.IFNA(VLOOKUP(表_破天魂[[#Headers],[列14]],点券一览,2,0),0)</f>
        <v>0</v>
      </c>
      <c r="V15" s="78">
        <f>_xlfn.IFNA(VLOOKUP(表_破天魂[[#Headers],[列15]],点券一览,2,0),0)</f>
        <v>0</v>
      </c>
      <c r="W15" s="78">
        <f>_xlfn.IFNA(VLOOKUP(表_破天魂[[#Headers],[列16]],点券一览,2,0),0)</f>
        <v>0</v>
      </c>
    </row>
    <row r="16" spans="1:23" x14ac:dyDescent="0.25">
      <c r="B16" s="188" t="s">
        <v>221</v>
      </c>
      <c r="C16" s="188"/>
      <c r="D16" s="188"/>
      <c r="E16" s="188"/>
      <c r="F16" s="189"/>
      <c r="G16" s="79" t="s">
        <v>224</v>
      </c>
      <c r="H16" s="52">
        <f>SUM(表_破天魂[[#Data],[仙丹]])</f>
        <v>220</v>
      </c>
      <c r="I16" s="52">
        <f>SUM(表_破天魂[[#Data],[灵丹]])</f>
        <v>2200</v>
      </c>
      <c r="J16" s="52">
        <f>SUM(表_破天魂[[#Data],[灵石]])</f>
        <v>2200</v>
      </c>
      <c r="K16" s="52">
        <f>SUM(表_破天魂[[#Data],[月石]])</f>
        <v>220</v>
      </c>
      <c r="L16" s="52">
        <f>SUM(表_破天魂[[#Data],[破天魂石]])</f>
        <v>112</v>
      </c>
      <c r="M16" s="52">
        <f>SUM(表_破天魂[[#Data],[高级破天魂石]])</f>
        <v>40</v>
      </c>
      <c r="N16" s="52">
        <f>SUM(表_破天魂[[#Data],[列7]])</f>
        <v>0</v>
      </c>
      <c r="O16" s="52">
        <f>SUM(表_破天魂[[#Data],[列8]])</f>
        <v>0</v>
      </c>
      <c r="P16" s="52">
        <f>SUM(表_破天魂[[#Data],[列9]])</f>
        <v>0</v>
      </c>
      <c r="Q16" s="52">
        <f>SUM(表_破天魂[[#Data],[列10]])</f>
        <v>0</v>
      </c>
      <c r="R16" s="52">
        <f>SUM(表_破天魂[[#Data],[列11]])</f>
        <v>0</v>
      </c>
      <c r="S16" s="52">
        <f>SUM(表_破天魂[[#Data],[列12]])</f>
        <v>0</v>
      </c>
      <c r="T16" s="52">
        <f>SUM(表_破天魂[[#Data],[破天魂神物]])</f>
        <v>243</v>
      </c>
      <c r="U16" s="52">
        <f>SUM(表_破天魂[[#Data],[列14]])</f>
        <v>0</v>
      </c>
      <c r="V16" s="52">
        <f>SUM(表_破天魂[[#Data],[列15]])</f>
        <v>0</v>
      </c>
      <c r="W16" s="52">
        <f>SUM(表_破天魂[[#Data],[列16]])</f>
        <v>0</v>
      </c>
    </row>
    <row r="17" spans="1:23" x14ac:dyDescent="0.25">
      <c r="B17" s="188"/>
      <c r="C17" s="188"/>
      <c r="D17" s="188"/>
      <c r="E17" s="188"/>
      <c r="F17" s="189"/>
      <c r="G17" s="80" t="s">
        <v>223</v>
      </c>
      <c r="H17" s="52">
        <f>H16*表_破天魂[[#Totals],[仙丹]]</f>
        <v>880</v>
      </c>
      <c r="I17" s="52">
        <f>I16*表_破天魂[[#Totals],[灵丹]]</f>
        <v>330</v>
      </c>
      <c r="J17" s="52">
        <f>J16*表_破天魂[[#Totals],[灵石]]</f>
        <v>132</v>
      </c>
      <c r="K17" s="52">
        <f>K16*表_破天魂[[#Totals],[月石]]</f>
        <v>297</v>
      </c>
      <c r="L17" s="52">
        <f>L16*表_破天魂[[#Totals],[破天魂石]]</f>
        <v>89.600000000000009</v>
      </c>
      <c r="M17" s="52">
        <f>M16*表_破天魂[[#Totals],[高级破天魂石]]</f>
        <v>40</v>
      </c>
      <c r="N17" s="52">
        <f>N16*表_破天魂[[#Totals],[列7]]</f>
        <v>0</v>
      </c>
      <c r="O17" s="52">
        <f>O16*表_破天魂[[#Totals],[列8]]</f>
        <v>0</v>
      </c>
      <c r="P17" s="52">
        <f>P16*表_破天魂[[#Totals],[列9]]</f>
        <v>0</v>
      </c>
      <c r="Q17" s="52">
        <f>Q16*表_破天魂[[#Totals],[列10]]</f>
        <v>0</v>
      </c>
      <c r="R17" s="52">
        <f>R16*表_破天魂[[#Totals],[列11]]</f>
        <v>0</v>
      </c>
      <c r="S17" s="52">
        <f>S16*表_破天魂[[#Totals],[列12]]</f>
        <v>0</v>
      </c>
      <c r="T17" s="52">
        <f>T16*表_破天魂[[#Totals],[破天魂神物]]</f>
        <v>72900</v>
      </c>
      <c r="U17" s="52">
        <f>U16*表_破天魂[[#Totals],[列14]]</f>
        <v>0</v>
      </c>
      <c r="V17" s="52">
        <f>V16*表_破天魂[[#Totals],[列15]]</f>
        <v>0</v>
      </c>
      <c r="W17" s="52">
        <f>W16*表_破天魂[[#Totals],[列16]]</f>
        <v>0</v>
      </c>
    </row>
    <row r="20" spans="1:23" x14ac:dyDescent="0.25">
      <c r="B20" s="28" t="s">
        <v>246</v>
      </c>
      <c r="H20" s="43" t="s">
        <v>212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42" t="s">
        <v>211</v>
      </c>
      <c r="U20" s="41"/>
      <c r="V20" s="41"/>
      <c r="W20" s="41"/>
    </row>
    <row r="21" spans="1:23" ht="34.200000000000003" customHeight="1" thickBot="1" x14ac:dyDescent="0.3">
      <c r="B21" s="57" t="s">
        <v>187</v>
      </c>
      <c r="C21" s="57" t="s">
        <v>186</v>
      </c>
      <c r="D21" s="58" t="s">
        <v>252</v>
      </c>
      <c r="E21" s="58" t="s">
        <v>254</v>
      </c>
      <c r="F21" s="58" t="s">
        <v>181</v>
      </c>
      <c r="G21" s="58" t="s">
        <v>185</v>
      </c>
      <c r="H21" s="59" t="s">
        <v>0</v>
      </c>
      <c r="I21" s="60" t="s">
        <v>1</v>
      </c>
      <c r="J21" s="60" t="s">
        <v>2</v>
      </c>
      <c r="K21" s="60" t="s">
        <v>3</v>
      </c>
      <c r="L21" s="60" t="s">
        <v>174</v>
      </c>
      <c r="M21" s="60" t="s">
        <v>129</v>
      </c>
      <c r="N21" s="60" t="s">
        <v>201</v>
      </c>
      <c r="O21" s="60" t="s">
        <v>202</v>
      </c>
      <c r="P21" s="60" t="s">
        <v>203</v>
      </c>
      <c r="Q21" s="60" t="s">
        <v>204</v>
      </c>
      <c r="R21" s="60" t="s">
        <v>205</v>
      </c>
      <c r="S21" s="61" t="s">
        <v>206</v>
      </c>
      <c r="T21" s="62" t="s">
        <v>119</v>
      </c>
      <c r="U21" s="62" t="s">
        <v>208</v>
      </c>
      <c r="V21" s="62" t="s">
        <v>209</v>
      </c>
      <c r="W21" s="62" t="s">
        <v>210</v>
      </c>
    </row>
    <row r="22" spans="1:23" ht="15" thickTop="1" x14ac:dyDescent="0.25">
      <c r="A22" t="s">
        <v>319</v>
      </c>
      <c r="B22" s="55">
        <f>表_建元魂[[#This Row],[进化金币(J)]]+IF(ISNUMBER(B21), B21, 表_建元魂[[#Totals],[进化阶段]])</f>
        <v>672.9</v>
      </c>
      <c r="C22" s="54">
        <f>表_建元魂[[#This Row],[进化点券]]+IF(ISNUMBER(C21), C21, 0)</f>
        <v>0</v>
      </c>
      <c r="D22" s="55">
        <f>IF(A22="○",SUMPRODUCT(表_建元魂[[#This Row],[仙丹]:[列12]],表_建元魂[[#Totals],[仙丹]:[列12]])+表_建元魂[[#This Row],[手续费(J)]]*折扣,0)</f>
        <v>672.9</v>
      </c>
      <c r="E22" s="55">
        <f>IF(A22="○",SUMPRODUCT(表_建元魂[[#This Row],[破天魂神物]:[列16]],表_建元魂[[#Totals],[破天魂神物]:[列16]]),0)</f>
        <v>0</v>
      </c>
      <c r="F22" s="56" t="s">
        <v>192</v>
      </c>
      <c r="G22" s="34">
        <v>100</v>
      </c>
      <c r="H22" s="34">
        <v>20</v>
      </c>
      <c r="I22" s="34">
        <v>40</v>
      </c>
      <c r="J22" s="34">
        <v>40</v>
      </c>
      <c r="K22" s="34">
        <v>20</v>
      </c>
      <c r="L22" s="34">
        <v>5</v>
      </c>
      <c r="M22" s="34">
        <v>18</v>
      </c>
      <c r="N22" s="34"/>
      <c r="O22" s="34"/>
      <c r="P22" s="34"/>
      <c r="Q22" s="34"/>
      <c r="R22" s="34"/>
      <c r="S22" s="32"/>
      <c r="T22" s="34"/>
      <c r="U22" s="34"/>
      <c r="V22" s="34"/>
      <c r="W22" s="34"/>
    </row>
    <row r="23" spans="1:23" x14ac:dyDescent="0.25">
      <c r="A23" t="s">
        <v>319</v>
      </c>
      <c r="B23" s="36">
        <f>表_建元魂[[#This Row],[进化金币(J)]]+IF(ISNUMBER(B22), B22, 表_建元魂[[#Totals],[进化阶段]])</f>
        <v>1400.8</v>
      </c>
      <c r="C23" s="35">
        <f>表_建元魂[[#This Row],[进化点券]]+IF(ISNUMBER(C22), C22, 0)</f>
        <v>0</v>
      </c>
      <c r="D23" s="36">
        <f>IF(A23="○",SUMPRODUCT(表_建元魂[[#This Row],[仙丹]:[列12]],表_建元魂[[#Totals],[仙丹]:[列12]])+表_建元魂[[#This Row],[手续费(J)]]*折扣,0)</f>
        <v>727.9</v>
      </c>
      <c r="E23" s="36">
        <f>IF(A23="○",SUMPRODUCT(表_建元魂[[#This Row],[破天魂神物]:[列16]],表_建元魂[[#Totals],[破天魂神物]:[列16]]),0)</f>
        <v>0</v>
      </c>
      <c r="F23" s="39" t="s">
        <v>193</v>
      </c>
      <c r="G23" s="11">
        <v>120</v>
      </c>
      <c r="H23" s="11">
        <v>20</v>
      </c>
      <c r="I23" s="11">
        <v>40</v>
      </c>
      <c r="J23" s="11">
        <v>40</v>
      </c>
      <c r="K23" s="11">
        <v>20</v>
      </c>
      <c r="L23" s="11">
        <v>5</v>
      </c>
      <c r="M23" s="11">
        <v>20</v>
      </c>
      <c r="N23" s="11"/>
      <c r="O23" s="11"/>
      <c r="P23" s="11"/>
      <c r="Q23" s="11"/>
      <c r="R23" s="11"/>
      <c r="S23" s="30"/>
      <c r="T23" s="34"/>
      <c r="U23" s="34"/>
      <c r="V23" s="34"/>
      <c r="W23" s="34"/>
    </row>
    <row r="24" spans="1:23" x14ac:dyDescent="0.25">
      <c r="A24" t="s">
        <v>319</v>
      </c>
      <c r="B24" s="36">
        <f>表_建元魂[[#This Row],[进化金币(J)]]+IF(ISNUMBER(B23), B23, 表_建元魂[[#Totals],[进化阶段]])</f>
        <v>2183.6999999999998</v>
      </c>
      <c r="C24" s="35">
        <f>表_建元魂[[#This Row],[进化点券]]+IF(ISNUMBER(C23), C23, 0)</f>
        <v>0</v>
      </c>
      <c r="D24" s="36">
        <f>IF(A24="○",SUMPRODUCT(表_建元魂[[#This Row],[仙丹]:[列12]],表_建元魂[[#Totals],[仙丹]:[列12]])+表_建元魂[[#This Row],[手续费(J)]]*折扣,0)</f>
        <v>782.9</v>
      </c>
      <c r="E24" s="36">
        <f>IF(A24="○",SUMPRODUCT(表_建元魂[[#This Row],[破天魂神物]:[列16]],表_建元魂[[#Totals],[破天魂神物]:[列16]]),0)</f>
        <v>0</v>
      </c>
      <c r="F24" s="39" t="s">
        <v>194</v>
      </c>
      <c r="G24" s="11">
        <v>140</v>
      </c>
      <c r="H24" s="11">
        <v>20</v>
      </c>
      <c r="I24" s="11">
        <v>40</v>
      </c>
      <c r="J24" s="11">
        <v>40</v>
      </c>
      <c r="K24" s="11">
        <v>20</v>
      </c>
      <c r="L24" s="11">
        <v>5</v>
      </c>
      <c r="M24" s="11">
        <v>22</v>
      </c>
      <c r="N24" s="11"/>
      <c r="O24" s="11"/>
      <c r="P24" s="11"/>
      <c r="Q24" s="11"/>
      <c r="R24" s="11"/>
      <c r="S24" s="30"/>
      <c r="T24" s="34"/>
      <c r="U24" s="34"/>
      <c r="V24" s="34"/>
      <c r="W24" s="34"/>
    </row>
    <row r="25" spans="1:23" x14ac:dyDescent="0.25">
      <c r="A25" t="s">
        <v>319</v>
      </c>
      <c r="B25" s="36">
        <f>表_建元魂[[#This Row],[进化金币(J)]]+IF(ISNUMBER(B24), B24, 表_建元魂[[#Totals],[进化阶段]])</f>
        <v>3021.6</v>
      </c>
      <c r="C25" s="35">
        <f>表_建元魂[[#This Row],[进化点券]]+IF(ISNUMBER(C24), C24, 0)</f>
        <v>0</v>
      </c>
      <c r="D25" s="36">
        <f>IF(A25="○",SUMPRODUCT(表_建元魂[[#This Row],[仙丹]:[列12]],表_建元魂[[#Totals],[仙丹]:[列12]])+表_建元魂[[#This Row],[手续费(J)]]*折扣,0)</f>
        <v>837.9</v>
      </c>
      <c r="E25" s="36">
        <f>IF(A25="○",SUMPRODUCT(表_建元魂[[#This Row],[破天魂神物]:[列16]],表_建元魂[[#Totals],[破天魂神物]:[列16]]),0)</f>
        <v>0</v>
      </c>
      <c r="F25" s="39" t="s">
        <v>195</v>
      </c>
      <c r="G25" s="11">
        <v>160</v>
      </c>
      <c r="H25" s="11">
        <v>20</v>
      </c>
      <c r="I25" s="11">
        <v>40</v>
      </c>
      <c r="J25" s="11">
        <v>40</v>
      </c>
      <c r="K25" s="11">
        <v>20</v>
      </c>
      <c r="L25" s="11">
        <v>5</v>
      </c>
      <c r="M25" s="11">
        <v>24</v>
      </c>
      <c r="N25" s="11"/>
      <c r="O25" s="11"/>
      <c r="P25" s="11"/>
      <c r="Q25" s="11"/>
      <c r="R25" s="11"/>
      <c r="S25" s="30"/>
      <c r="T25" s="34"/>
      <c r="U25" s="34"/>
      <c r="V25" s="34"/>
      <c r="W25" s="34"/>
    </row>
    <row r="26" spans="1:23" x14ac:dyDescent="0.25">
      <c r="A26" t="s">
        <v>319</v>
      </c>
      <c r="B26" s="36">
        <f>表_建元魂[[#This Row],[进化金币(J)]]+IF(ISNUMBER(B25), B25, 表_建元魂[[#Totals],[进化阶段]])</f>
        <v>3914.5</v>
      </c>
      <c r="C26" s="35">
        <f>表_建元魂[[#This Row],[进化点券]]+IF(ISNUMBER(C25), C25, 0)</f>
        <v>8100</v>
      </c>
      <c r="D26" s="36">
        <f>IF(A26="○",SUMPRODUCT(表_建元魂[[#This Row],[仙丹]:[列12]],表_建元魂[[#Totals],[仙丹]:[列12]])+表_建元魂[[#This Row],[手续费(J)]]*折扣,0)</f>
        <v>892.9</v>
      </c>
      <c r="E26" s="36">
        <f>IF(A26="○",SUMPRODUCT(表_建元魂[[#This Row],[破天魂神物]:[列16]],表_建元魂[[#Totals],[破天魂神物]:[列16]]),0)</f>
        <v>8100</v>
      </c>
      <c r="F26" s="39" t="s">
        <v>196</v>
      </c>
      <c r="G26" s="11">
        <v>180</v>
      </c>
      <c r="H26" s="11">
        <v>20</v>
      </c>
      <c r="I26" s="11">
        <v>40</v>
      </c>
      <c r="J26" s="11">
        <v>40</v>
      </c>
      <c r="K26" s="11">
        <v>20</v>
      </c>
      <c r="L26" s="11">
        <v>5</v>
      </c>
      <c r="M26" s="11">
        <v>26</v>
      </c>
      <c r="N26" s="11"/>
      <c r="O26" s="11"/>
      <c r="P26" s="11"/>
      <c r="Q26" s="11"/>
      <c r="R26" s="11"/>
      <c r="S26" s="30"/>
      <c r="T26" s="11">
        <v>27</v>
      </c>
      <c r="U26" s="11"/>
      <c r="V26" s="11"/>
      <c r="W26" s="11"/>
    </row>
    <row r="27" spans="1:23" x14ac:dyDescent="0.25">
      <c r="A27" t="s">
        <v>319</v>
      </c>
      <c r="B27" s="36">
        <f>表_建元魂[[#This Row],[进化金币(J)]]+IF(ISNUMBER(B26), B26, 表_建元魂[[#Totals],[进化阶段]])</f>
        <v>4862.3999999999996</v>
      </c>
      <c r="C27" s="35">
        <f>表_建元魂[[#This Row],[进化点券]]+IF(ISNUMBER(C26), C26, 0)</f>
        <v>17100</v>
      </c>
      <c r="D27" s="38">
        <f>IF(A27="○",SUMPRODUCT(表_建元魂[[#This Row],[仙丹]:[列12]],表_建元魂[[#Totals],[仙丹]:[列12]])+表_建元魂[[#This Row],[手续费(J)]]*折扣,0)</f>
        <v>947.9</v>
      </c>
      <c r="E27" s="38">
        <f>IF(A27="○",SUMPRODUCT(表_建元魂[[#This Row],[破天魂神物]:[列16]],表_建元魂[[#Totals],[破天魂神物]:[列16]]),0)</f>
        <v>9000</v>
      </c>
      <c r="F27" s="39" t="s">
        <v>197</v>
      </c>
      <c r="G27" s="25">
        <v>200</v>
      </c>
      <c r="H27" s="25">
        <v>20</v>
      </c>
      <c r="I27" s="25">
        <v>40</v>
      </c>
      <c r="J27" s="25">
        <v>40</v>
      </c>
      <c r="K27" s="25">
        <v>20</v>
      </c>
      <c r="L27" s="25">
        <v>5</v>
      </c>
      <c r="M27" s="25">
        <v>28</v>
      </c>
      <c r="N27" s="25"/>
      <c r="O27" s="25"/>
      <c r="P27" s="25"/>
      <c r="Q27" s="25"/>
      <c r="R27" s="25"/>
      <c r="S27" s="31"/>
      <c r="T27" s="25">
        <v>30</v>
      </c>
      <c r="U27" s="25"/>
      <c r="V27" s="25"/>
      <c r="W27" s="25"/>
    </row>
    <row r="28" spans="1:23" x14ac:dyDescent="0.25">
      <c r="A28" t="s">
        <v>319</v>
      </c>
      <c r="B28" s="36">
        <f>表_建元魂[[#This Row],[进化金币(J)]]+IF(ISNUMBER(B27), B27, 表_建元魂[[#Totals],[进化阶段]])</f>
        <v>5865.2999999999993</v>
      </c>
      <c r="C28" s="35">
        <f>表_建元魂[[#This Row],[进化点券]]+IF(ISNUMBER(C27), C27, 0)</f>
        <v>29100</v>
      </c>
      <c r="D28" s="36">
        <f>IF(A28="○",SUMPRODUCT(表_建元魂[[#This Row],[仙丹]:[列12]],表_建元魂[[#Totals],[仙丹]:[列12]])+表_建元魂[[#This Row],[手续费(J)]]*折扣,0)</f>
        <v>1002.9</v>
      </c>
      <c r="E28" s="36">
        <f>IF(A28="○",SUMPRODUCT(表_建元魂[[#This Row],[破天魂神物]:[列16]],表_建元魂[[#Totals],[破天魂神物]:[列16]]),0)</f>
        <v>12000</v>
      </c>
      <c r="F28" s="39" t="s">
        <v>198</v>
      </c>
      <c r="G28" s="11">
        <v>220</v>
      </c>
      <c r="H28" s="11">
        <v>20</v>
      </c>
      <c r="I28" s="11">
        <v>40</v>
      </c>
      <c r="J28" s="11">
        <v>40</v>
      </c>
      <c r="K28" s="11">
        <v>20</v>
      </c>
      <c r="L28" s="11">
        <v>5</v>
      </c>
      <c r="M28" s="11">
        <v>30</v>
      </c>
      <c r="N28" s="11"/>
      <c r="O28" s="11"/>
      <c r="P28" s="11"/>
      <c r="Q28" s="11"/>
      <c r="R28" s="11"/>
      <c r="S28" s="30"/>
      <c r="T28" s="11">
        <v>40</v>
      </c>
      <c r="U28" s="11"/>
      <c r="V28" s="11"/>
      <c r="W28" s="11"/>
    </row>
    <row r="29" spans="1:23" x14ac:dyDescent="0.25">
      <c r="A29" t="s">
        <v>319</v>
      </c>
      <c r="B29" s="36">
        <f>表_建元魂[[#This Row],[进化金币(J)]]+IF(ISNUMBER(B28), B28, 表_建元魂[[#Totals],[进化阶段]])</f>
        <v>7183.6999999999989</v>
      </c>
      <c r="C29" s="35">
        <f>表_建元魂[[#This Row],[进化点券]]+IF(ISNUMBER(C28), C28, 0)</f>
        <v>44100</v>
      </c>
      <c r="D29" s="36">
        <f>IF(A29="○",SUMPRODUCT(表_建元魂[[#This Row],[仙丹]:[列12]],表_建元魂[[#Totals],[仙丹]:[列12]])+表_建元魂[[#This Row],[手续费(J)]]*折扣,0)</f>
        <v>1318.4</v>
      </c>
      <c r="E29" s="36">
        <f>IF(A29="○",SUMPRODUCT(表_建元魂[[#This Row],[破天魂神物]:[列16]],表_建元魂[[#Totals],[破天魂神物]:[列16]]),0)</f>
        <v>15000</v>
      </c>
      <c r="F29" s="40" t="s">
        <v>219</v>
      </c>
      <c r="G29" s="11">
        <v>240</v>
      </c>
      <c r="H29" s="11">
        <v>40</v>
      </c>
      <c r="I29" s="11">
        <v>80</v>
      </c>
      <c r="J29" s="11">
        <v>40</v>
      </c>
      <c r="K29" s="11">
        <v>80</v>
      </c>
      <c r="L29" s="11">
        <v>8</v>
      </c>
      <c r="M29" s="11">
        <v>33</v>
      </c>
      <c r="N29" s="11"/>
      <c r="O29" s="11"/>
      <c r="P29" s="11"/>
      <c r="Q29" s="11"/>
      <c r="R29" s="11"/>
      <c r="S29" s="30"/>
      <c r="T29" s="11">
        <v>50</v>
      </c>
      <c r="U29" s="11"/>
      <c r="V29" s="11"/>
      <c r="W29" s="11"/>
    </row>
    <row r="30" spans="1:23" x14ac:dyDescent="0.25">
      <c r="A30" t="s">
        <v>319</v>
      </c>
      <c r="B30" s="36">
        <f>表_建元魂[[#This Row],[进化金币(J)]]+IF(ISNUMBER(B29), B29, 表_建元魂[[#Totals],[进化阶段]])</f>
        <v>8640.9</v>
      </c>
      <c r="C30" s="35">
        <f>表_建元魂[[#This Row],[进化点券]]+IF(ISNUMBER(C29), C29, 0)</f>
        <v>62100</v>
      </c>
      <c r="D30" s="36">
        <f>IF(A30="○",SUMPRODUCT(表_建元魂[[#This Row],[仙丹]:[列12]],表_建元魂[[#Totals],[仙丹]:[列12]])+表_建元魂[[#This Row],[手续费(J)]]*折扣,0)</f>
        <v>1457.2</v>
      </c>
      <c r="E30" s="36">
        <f>IF(A30="○",SUMPRODUCT(表_建元魂[[#This Row],[破天魂神物]:[列16]],表_建元魂[[#Totals],[破天魂神物]:[列16]]),0)</f>
        <v>18000</v>
      </c>
      <c r="F30" s="40" t="s">
        <v>213</v>
      </c>
      <c r="G30" s="11">
        <v>260</v>
      </c>
      <c r="H30" s="11">
        <v>60</v>
      </c>
      <c r="I30" s="11">
        <v>120</v>
      </c>
      <c r="J30" s="11">
        <v>120</v>
      </c>
      <c r="K30" s="11">
        <v>60</v>
      </c>
      <c r="L30" s="11">
        <v>8</v>
      </c>
      <c r="M30" s="11">
        <v>36</v>
      </c>
      <c r="N30" s="11"/>
      <c r="O30" s="11"/>
      <c r="P30" s="11"/>
      <c r="Q30" s="11"/>
      <c r="R30" s="11"/>
      <c r="S30" s="30"/>
      <c r="T30" s="11">
        <v>60</v>
      </c>
      <c r="U30" s="11"/>
      <c r="V30" s="11"/>
      <c r="W30" s="11"/>
    </row>
    <row r="31" spans="1:23" x14ac:dyDescent="0.25">
      <c r="A31" t="s">
        <v>319</v>
      </c>
      <c r="B31" s="36">
        <f>表_建元魂[[#This Row],[进化金币(J)]]+IF(ISNUMBER(B30), B30, 表_建元魂[[#Totals],[进化阶段]])</f>
        <v>10193.1</v>
      </c>
      <c r="C31" s="35">
        <f>表_建元魂[[#This Row],[进化点券]]+IF(ISNUMBER(C30), C30, 0)</f>
        <v>81600</v>
      </c>
      <c r="D31" s="115">
        <f>IF(A31="○",SUMPRODUCT(表_建元魂[[#This Row],[仙丹]:[列12]],表_建元魂[[#Totals],[仙丹]:[列12]])+表_建元魂[[#This Row],[手续费(J)]]*折扣,0)</f>
        <v>1552.2</v>
      </c>
      <c r="E31" s="115">
        <f>IF(A31="○",SUMPRODUCT(表_建元魂[[#This Row],[破天魂神物]:[列16]],表_建元魂[[#Totals],[破天魂神物]:[列16]]),0)</f>
        <v>19500</v>
      </c>
      <c r="F31" s="40" t="s">
        <v>214</v>
      </c>
      <c r="G31" s="11">
        <v>280</v>
      </c>
      <c r="H31" s="11">
        <v>60</v>
      </c>
      <c r="I31" s="11">
        <v>120</v>
      </c>
      <c r="J31" s="11">
        <v>120</v>
      </c>
      <c r="K31" s="11">
        <v>60</v>
      </c>
      <c r="L31" s="11">
        <v>8</v>
      </c>
      <c r="M31" s="11">
        <v>40</v>
      </c>
      <c r="N31" s="11"/>
      <c r="O31" s="11"/>
      <c r="P31" s="11"/>
      <c r="Q31" s="11"/>
      <c r="R31" s="11"/>
      <c r="S31" s="30"/>
      <c r="T31" s="11">
        <v>65</v>
      </c>
      <c r="U31" s="11"/>
      <c r="V31" s="11"/>
      <c r="W31" s="11"/>
    </row>
    <row r="32" spans="1:23" x14ac:dyDescent="0.25">
      <c r="A32" t="s">
        <v>319</v>
      </c>
      <c r="B32" s="36">
        <f>表_建元魂[[#This Row],[进化金币(J)]]+IF(ISNUMBER(B31), B31, 表_建元魂[[#Totals],[进化阶段]])</f>
        <v>11875.300000000001</v>
      </c>
      <c r="C32" s="35">
        <f>表_建元魂[[#This Row],[进化点券]]+IF(ISNUMBER(C31), C31, 0)</f>
        <v>104100</v>
      </c>
      <c r="D32" s="115">
        <f>IF(A32="○",SUMPRODUCT(表_建元魂[[#This Row],[仙丹]:[列12]],表_建元魂[[#Totals],[仙丹]:[列12]])+表_建元魂[[#This Row],[手续费(J)]]*折扣,0)</f>
        <v>1682.2</v>
      </c>
      <c r="E32" s="115">
        <f>IF(A32="○",SUMPRODUCT(表_建元魂[[#This Row],[破天魂神物]:[列16]],表_建元魂[[#Totals],[破天魂神物]:[列16]]),0)</f>
        <v>22500</v>
      </c>
      <c r="F32" s="40" t="s">
        <v>215</v>
      </c>
      <c r="G32" s="11">
        <v>320</v>
      </c>
      <c r="H32" s="11">
        <v>60</v>
      </c>
      <c r="I32" s="11">
        <v>120</v>
      </c>
      <c r="J32" s="11">
        <v>120</v>
      </c>
      <c r="K32" s="11">
        <v>60</v>
      </c>
      <c r="L32" s="11">
        <v>8</v>
      </c>
      <c r="M32" s="11">
        <v>45</v>
      </c>
      <c r="N32" s="11"/>
      <c r="O32" s="11"/>
      <c r="P32" s="11"/>
      <c r="Q32" s="11"/>
      <c r="R32" s="11"/>
      <c r="S32" s="30"/>
      <c r="T32" s="11">
        <v>75</v>
      </c>
      <c r="U32" s="11"/>
      <c r="V32" s="11"/>
      <c r="W32" s="11"/>
    </row>
    <row r="33" spans="1:23" x14ac:dyDescent="0.25">
      <c r="A33" t="s">
        <v>319</v>
      </c>
      <c r="B33" s="36">
        <f>表_建元魂[[#This Row],[进化金币(J)]]+IF(ISNUMBER(B32), B32, 表_建元魂[[#Totals],[进化阶段]])</f>
        <v>13802.900000000001</v>
      </c>
      <c r="C33" s="35">
        <f>表_建元魂[[#This Row],[进化点券]]+IF(ISNUMBER(C32), C32, 0)</f>
        <v>128100</v>
      </c>
      <c r="D33" s="36">
        <f>IF(A33="○",SUMPRODUCT(表_建元魂[[#This Row],[仙丹]:[列12]],表_建元魂[[#Totals],[仙丹]:[列12]])+表_建元魂[[#This Row],[手续费(J)]]*折扣,0)</f>
        <v>1927.6</v>
      </c>
      <c r="E33" s="36">
        <f>IF(A33="○",SUMPRODUCT(表_建元魂[[#This Row],[破天魂神物]:[列16]],表_建元魂[[#Totals],[破天魂神物]:[列16]]),0)</f>
        <v>24000</v>
      </c>
      <c r="F33" s="40" t="s">
        <v>216</v>
      </c>
      <c r="G33" s="11">
        <v>360</v>
      </c>
      <c r="H33" s="11">
        <v>80</v>
      </c>
      <c r="I33" s="11">
        <v>160</v>
      </c>
      <c r="J33" s="11">
        <v>160</v>
      </c>
      <c r="K33" s="11">
        <v>80</v>
      </c>
      <c r="L33" s="11">
        <v>8</v>
      </c>
      <c r="M33" s="11">
        <v>50</v>
      </c>
      <c r="N33" s="11"/>
      <c r="O33" s="11"/>
      <c r="P33" s="11"/>
      <c r="Q33" s="11"/>
      <c r="R33" s="11"/>
      <c r="S33" s="30"/>
      <c r="T33" s="11">
        <v>80</v>
      </c>
      <c r="U33" s="11"/>
      <c r="V33" s="11"/>
      <c r="W33" s="11"/>
    </row>
    <row r="34" spans="1:23" x14ac:dyDescent="0.25">
      <c r="A34" t="s">
        <v>319</v>
      </c>
      <c r="B34" s="36">
        <f>表_建元魂[[#This Row],[进化金币(J)]]+IF(ISNUMBER(B33), B33, 表_建元魂[[#Totals],[进化阶段]])</f>
        <v>15860.500000000002</v>
      </c>
      <c r="C34" s="35">
        <f>表_建元魂[[#This Row],[进化点券]]+IF(ISNUMBER(C33), C33, 0)</f>
        <v>155100</v>
      </c>
      <c r="D34" s="36">
        <f>IF(A34="○",SUMPRODUCT(表_建元魂[[#This Row],[仙丹]:[列12]],表_建元魂[[#Totals],[仙丹]:[列12]])+表_建元魂[[#This Row],[手续费(J)]]*折扣,0)</f>
        <v>2057.6</v>
      </c>
      <c r="E34" s="36">
        <f>IF(A34="○",SUMPRODUCT(表_建元魂[[#This Row],[破天魂神物]:[列16]],表_建元魂[[#Totals],[破天魂神物]:[列16]]),0)</f>
        <v>27000</v>
      </c>
      <c r="F34" s="40" t="s">
        <v>217</v>
      </c>
      <c r="G34" s="11">
        <v>400</v>
      </c>
      <c r="H34" s="11">
        <v>80</v>
      </c>
      <c r="I34" s="11">
        <v>160</v>
      </c>
      <c r="J34" s="11">
        <v>160</v>
      </c>
      <c r="K34" s="11">
        <v>80</v>
      </c>
      <c r="L34" s="11">
        <v>8</v>
      </c>
      <c r="M34" s="11">
        <v>55</v>
      </c>
      <c r="N34" s="11"/>
      <c r="O34" s="11"/>
      <c r="P34" s="11"/>
      <c r="Q34" s="11"/>
      <c r="R34" s="11"/>
      <c r="S34" s="30"/>
      <c r="T34" s="11">
        <v>90</v>
      </c>
      <c r="U34" s="11"/>
      <c r="V34" s="11"/>
      <c r="W34" s="11"/>
    </row>
    <row r="35" spans="1:23" ht="15" thickBot="1" x14ac:dyDescent="0.3">
      <c r="A35" t="s">
        <v>319</v>
      </c>
      <c r="B35" s="38">
        <f>表_建元魂[[#This Row],[进化金币(J)]]+IF(ISNUMBER(B34), B34, 表_建元魂[[#Totals],[进化阶段]])</f>
        <v>18055.600000000002</v>
      </c>
      <c r="C35" s="37">
        <f>表_建元魂[[#This Row],[进化点券]]+IF(ISNUMBER(C34), C34, 0)</f>
        <v>185100</v>
      </c>
      <c r="D35" s="38">
        <f>IF(A35="○",SUMPRODUCT(表_建元魂[[#This Row],[仙丹]:[列12]],表_建元魂[[#Totals],[仙丹]:[列12]])+表_建元魂[[#This Row],[手续费(J)]]*折扣,0)</f>
        <v>2195.1</v>
      </c>
      <c r="E35" s="38">
        <f>IF(A35="○",SUMPRODUCT(表_建元魂[[#This Row],[破天魂神物]:[列16]],表_建元魂[[#Totals],[破天魂神物]:[列16]]),0)</f>
        <v>30000</v>
      </c>
      <c r="F35" s="67" t="s">
        <v>218</v>
      </c>
      <c r="G35" s="25">
        <v>450</v>
      </c>
      <c r="H35" s="25">
        <v>80</v>
      </c>
      <c r="I35" s="25">
        <v>160</v>
      </c>
      <c r="J35" s="25">
        <v>160</v>
      </c>
      <c r="K35" s="25">
        <v>80</v>
      </c>
      <c r="L35" s="25">
        <v>8</v>
      </c>
      <c r="M35" s="25">
        <v>60</v>
      </c>
      <c r="N35" s="25"/>
      <c r="O35" s="25"/>
      <c r="P35" s="25"/>
      <c r="Q35" s="25"/>
      <c r="R35" s="25"/>
      <c r="S35" s="31"/>
      <c r="T35" s="25">
        <v>100</v>
      </c>
      <c r="U35" s="25"/>
      <c r="V35" s="25"/>
      <c r="W35" s="25"/>
    </row>
    <row r="36" spans="1:23" ht="15" thickTop="1" x14ac:dyDescent="0.25">
      <c r="B36" s="72">
        <f>SUBTOTAL(104,表_建元魂[累计金币(J)])</f>
        <v>18055.600000000002</v>
      </c>
      <c r="C36" s="72">
        <f>SUBTOTAL(104,表_建元魂[累计点券])</f>
        <v>185100</v>
      </c>
      <c r="D36" s="73">
        <f>SUBTOTAL(109,表_建元魂[进化金币(J)])</f>
        <v>18055.600000000002</v>
      </c>
      <c r="E36" s="74">
        <f>SUBTOTAL(109,表_建元魂[进化点券])</f>
        <v>185100</v>
      </c>
      <c r="F36" s="88"/>
      <c r="G36" s="76" t="s">
        <v>190</v>
      </c>
      <c r="H36" s="77">
        <f xml:space="preserve"> _xlfn.IFNA(VLOOKUP(表_建元魂[[#Headers],[仙丹]],金价一览,2,0), 0)</f>
        <v>4</v>
      </c>
      <c r="I36" s="77">
        <f xml:space="preserve"> _xlfn.IFNA(VLOOKUP(表_建元魂[[#Headers],[灵丹]],金价一览,2,0), 0)</f>
        <v>0.15</v>
      </c>
      <c r="J36" s="77">
        <f xml:space="preserve"> _xlfn.IFNA(VLOOKUP(表_建元魂[[#Headers],[灵石]],金价一览,2,0), 0)</f>
        <v>0.06</v>
      </c>
      <c r="K36" s="77">
        <f xml:space="preserve"> _xlfn.IFNA(VLOOKUP(表_建元魂[[#Headers],[月石]],金价一览,2,0), 0)</f>
        <v>1.35</v>
      </c>
      <c r="L36" s="77">
        <f xml:space="preserve"> _xlfn.IFNA(VLOOKUP(表_建元魂[[#Headers],[建元魂石]],金价一览,2,0), 0)</f>
        <v>24.5</v>
      </c>
      <c r="M36" s="77">
        <f xml:space="preserve"> _xlfn.IFNA(VLOOKUP(表_建元魂[[#Headers],[天元结晶]],金价一览,2,0), 0)</f>
        <v>20</v>
      </c>
      <c r="N36" s="77">
        <f xml:space="preserve"> _xlfn.IFNA(VLOOKUP(表_建元魂[[#Headers],[列7]],金价一览,2,0), 0)</f>
        <v>0</v>
      </c>
      <c r="O36" s="77">
        <f xml:space="preserve"> _xlfn.IFNA(VLOOKUP(表_建元魂[[#Headers],[列8]],金价一览,2,0), 0)</f>
        <v>0</v>
      </c>
      <c r="P36" s="77">
        <f xml:space="preserve"> _xlfn.IFNA(VLOOKUP(表_建元魂[[#Headers],[列9]],金价一览,2,0), 0)</f>
        <v>0</v>
      </c>
      <c r="Q36" s="77">
        <f xml:space="preserve"> _xlfn.IFNA(VLOOKUP(表_建元魂[[#Headers],[列10]],金价一览,2,0), 0)</f>
        <v>0</v>
      </c>
      <c r="R36" s="77">
        <f xml:space="preserve"> _xlfn.IFNA(VLOOKUP(表_建元魂[[#Headers],[列11]],金价一览,2,0), 0)</f>
        <v>0</v>
      </c>
      <c r="S36" s="77">
        <f xml:space="preserve"> _xlfn.IFNA(VLOOKUP(表_建元魂[[#Headers],[列12]],金价一览,2,0), 0)</f>
        <v>0</v>
      </c>
      <c r="T36" s="78">
        <f>_xlfn.IFNA(VLOOKUP(表_建元魂[[#Headers],[破天魂神物]],点券一览,2,0),0)</f>
        <v>300</v>
      </c>
      <c r="U36" s="78">
        <f>_xlfn.IFNA(VLOOKUP(表_建元魂[[#Headers],[列14]],点券一览,2,0),0)</f>
        <v>0</v>
      </c>
      <c r="V36" s="78">
        <f>_xlfn.IFNA(VLOOKUP(表_建元魂[[#Headers],[列15]],点券一览,2,0),0)</f>
        <v>0</v>
      </c>
      <c r="W36" s="78">
        <f>_xlfn.IFNA(VLOOKUP(表_建元魂[[#Headers],[列16]],点券一览,2,0),0)</f>
        <v>0</v>
      </c>
    </row>
    <row r="37" spans="1:23" x14ac:dyDescent="0.25">
      <c r="B37" s="188" t="s">
        <v>221</v>
      </c>
      <c r="C37" s="188"/>
      <c r="D37" s="188"/>
      <c r="E37" s="188"/>
      <c r="F37" s="189"/>
      <c r="G37" s="79" t="s">
        <v>224</v>
      </c>
      <c r="H37" s="52">
        <f>SUM(表_建元魂[[#Data],[仙丹]])</f>
        <v>600</v>
      </c>
      <c r="I37" s="52">
        <f>SUM(表_建元魂[[#Data],[灵丹]])</f>
        <v>1200</v>
      </c>
      <c r="J37" s="52">
        <f>SUM(表_建元魂[[#Data],[灵石]])</f>
        <v>1160</v>
      </c>
      <c r="K37" s="52">
        <f>SUM(表_建元魂[[#Data],[月石]])</f>
        <v>640</v>
      </c>
      <c r="L37" s="52">
        <f>SUM(表_建元魂[[#Data],[建元魂石]])</f>
        <v>91</v>
      </c>
      <c r="M37" s="52">
        <f>SUM(表_建元魂[[#Data],[天元结晶]])</f>
        <v>487</v>
      </c>
      <c r="N37" s="52">
        <f>SUM(表_建元魂[[#Data],[列7]])</f>
        <v>0</v>
      </c>
      <c r="O37" s="52">
        <f>SUM(表_建元魂[[#Data],[列8]])</f>
        <v>0</v>
      </c>
      <c r="P37" s="52">
        <f>SUM(表_建元魂[[#Data],[列9]])</f>
        <v>0</v>
      </c>
      <c r="Q37" s="52">
        <f>SUM(表_建元魂[[#Data],[列10]])</f>
        <v>0</v>
      </c>
      <c r="R37" s="52">
        <f>SUM(表_建元魂[[#Data],[列11]])</f>
        <v>0</v>
      </c>
      <c r="S37" s="52">
        <f>SUM(表_建元魂[[#Data],[列12]])</f>
        <v>0</v>
      </c>
      <c r="T37" s="52">
        <f>SUM(表_建元魂[[#Data],[破天魂神物]])</f>
        <v>617</v>
      </c>
      <c r="U37" s="52">
        <f>SUM(表_建元魂[[#Data],[列14]])</f>
        <v>0</v>
      </c>
      <c r="V37" s="52">
        <f>SUM(表_建元魂[[#Data],[列15]])</f>
        <v>0</v>
      </c>
      <c r="W37" s="52">
        <f>SUM(表_建元魂[[#Data],[列16]])</f>
        <v>0</v>
      </c>
    </row>
    <row r="38" spans="1:23" x14ac:dyDescent="0.25">
      <c r="B38" s="188"/>
      <c r="C38" s="188"/>
      <c r="D38" s="188"/>
      <c r="E38" s="188"/>
      <c r="F38" s="189"/>
      <c r="G38" s="80" t="s">
        <v>223</v>
      </c>
      <c r="H38" s="52">
        <f>H37*表_建元魂[[#Totals],[仙丹]]</f>
        <v>2400</v>
      </c>
      <c r="I38" s="52">
        <f>I37*表_建元魂[[#Totals],[灵丹]]</f>
        <v>180</v>
      </c>
      <c r="J38" s="52">
        <f>J37*表_建元魂[[#Totals],[灵石]]</f>
        <v>69.599999999999994</v>
      </c>
      <c r="K38" s="52">
        <f>K37*表_建元魂[[#Totals],[月石]]</f>
        <v>864</v>
      </c>
      <c r="L38" s="52">
        <f>L37*表_建元魂[[#Totals],[建元魂石]]</f>
        <v>2229.5</v>
      </c>
      <c r="M38" s="52">
        <f>M37*表_建元魂[[#Totals],[天元结晶]]</f>
        <v>9740</v>
      </c>
      <c r="N38" s="52">
        <f>N37*表_建元魂[[#Totals],[列7]]</f>
        <v>0</v>
      </c>
      <c r="O38" s="52">
        <f>O37*表_建元魂[[#Totals],[列8]]</f>
        <v>0</v>
      </c>
      <c r="P38" s="52">
        <f>P37*表_建元魂[[#Totals],[列9]]</f>
        <v>0</v>
      </c>
      <c r="Q38" s="52">
        <f>Q37*表_建元魂[[#Totals],[列10]]</f>
        <v>0</v>
      </c>
      <c r="R38" s="52">
        <f>R37*表_建元魂[[#Totals],[列11]]</f>
        <v>0</v>
      </c>
      <c r="S38" s="52">
        <f>S37*表_建元魂[[#Totals],[列12]]</f>
        <v>0</v>
      </c>
      <c r="T38" s="52">
        <f>T37*表_建元魂[[#Totals],[破天魂神物]]</f>
        <v>185100</v>
      </c>
      <c r="U38" s="52">
        <f>U37*表_建元魂[[#Totals],[列14]]</f>
        <v>0</v>
      </c>
      <c r="V38" s="52">
        <f>V37*表_建元魂[[#Totals],[列15]]</f>
        <v>0</v>
      </c>
      <c r="W38" s="52">
        <f>W37*表_建元魂[[#Totals],[列16]]</f>
        <v>0</v>
      </c>
    </row>
    <row r="41" spans="1:23" x14ac:dyDescent="0.25">
      <c r="B41" s="28" t="s">
        <v>247</v>
      </c>
      <c r="H41" s="43" t="s">
        <v>212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42" t="s">
        <v>211</v>
      </c>
      <c r="U41" s="41"/>
      <c r="V41" s="41"/>
      <c r="W41" s="41"/>
    </row>
    <row r="42" spans="1:23" ht="34.200000000000003" customHeight="1" thickBot="1" x14ac:dyDescent="0.3">
      <c r="B42" s="57" t="s">
        <v>187</v>
      </c>
      <c r="C42" s="57" t="s">
        <v>186</v>
      </c>
      <c r="D42" s="58" t="s">
        <v>252</v>
      </c>
      <c r="E42" s="58" t="s">
        <v>254</v>
      </c>
      <c r="F42" s="58" t="s">
        <v>181</v>
      </c>
      <c r="G42" s="58" t="s">
        <v>185</v>
      </c>
      <c r="H42" s="59" t="s">
        <v>248</v>
      </c>
      <c r="I42" s="60" t="s">
        <v>249</v>
      </c>
      <c r="J42" s="60" t="s">
        <v>3</v>
      </c>
      <c r="K42" s="60" t="s">
        <v>2</v>
      </c>
      <c r="L42" s="60" t="s">
        <v>0</v>
      </c>
      <c r="M42" s="60" t="s">
        <v>1</v>
      </c>
      <c r="N42" s="60" t="s">
        <v>201</v>
      </c>
      <c r="O42" s="60" t="s">
        <v>202</v>
      </c>
      <c r="P42" s="60" t="s">
        <v>203</v>
      </c>
      <c r="Q42" s="60" t="s">
        <v>204</v>
      </c>
      <c r="R42" s="60" t="s">
        <v>205</v>
      </c>
      <c r="S42" s="61" t="s">
        <v>206</v>
      </c>
      <c r="T42" s="62" t="s">
        <v>177</v>
      </c>
      <c r="U42" s="62" t="s">
        <v>208</v>
      </c>
      <c r="V42" s="62" t="s">
        <v>209</v>
      </c>
      <c r="W42" s="62" t="s">
        <v>210</v>
      </c>
    </row>
    <row r="43" spans="1:23" ht="15" thickTop="1" x14ac:dyDescent="0.25">
      <c r="B43" s="55">
        <f>表_天乾魂[[#This Row],[进化金币(J)]]+IF(ISNUMBER(B42), B42, 表_天乾魂[[#Totals],[进化阶段]])</f>
        <v>700</v>
      </c>
      <c r="C43" s="54">
        <f>表_天乾魂[[#This Row],[进化点券]]+IF(ISNUMBER(C42), C42, 0)</f>
        <v>0</v>
      </c>
      <c r="D43" s="55">
        <f>IF(A43="○",SUMPRODUCT(表_天乾魂[[#This Row],[赤流结晶]:[列12]],表_天乾魂[[#Totals],[赤流结晶]:[列12]])+表_天乾魂[[#This Row],[手续费(J)]]*折扣,0)</f>
        <v>0</v>
      </c>
      <c r="E43" s="55">
        <f>IF(A43="○",SUMPRODUCT(表_天乾魂[[#This Row],[天乾魂神物]:[列16]],表_天乾魂[[#Totals],[天乾魂神物]:[列16]]),0)</f>
        <v>0</v>
      </c>
      <c r="F43" s="56" t="s">
        <v>192</v>
      </c>
      <c r="G43" s="34">
        <v>75</v>
      </c>
      <c r="H43" s="34">
        <v>12</v>
      </c>
      <c r="I43" s="34">
        <v>7</v>
      </c>
      <c r="J43" s="34">
        <v>20</v>
      </c>
      <c r="K43" s="34">
        <v>40</v>
      </c>
      <c r="L43" s="34">
        <v>20</v>
      </c>
      <c r="M43" s="34">
        <v>40</v>
      </c>
      <c r="N43" s="34"/>
      <c r="O43" s="34"/>
      <c r="P43" s="34"/>
      <c r="Q43" s="34"/>
      <c r="R43" s="34"/>
      <c r="S43" s="32"/>
      <c r="T43" s="34">
        <v>0</v>
      </c>
      <c r="U43" s="34"/>
      <c r="V43" s="34"/>
      <c r="W43" s="34"/>
    </row>
    <row r="44" spans="1:23" x14ac:dyDescent="0.25">
      <c r="B44" s="36">
        <f>表_天乾魂[[#This Row],[进化金币(J)]]+IF(ISNUMBER(B43), B43, 表_天乾魂[[#Totals],[进化阶段]])</f>
        <v>700</v>
      </c>
      <c r="C44" s="35">
        <f>表_天乾魂[[#This Row],[进化点券]]+IF(ISNUMBER(C43), C43, 0)</f>
        <v>0</v>
      </c>
      <c r="D44" s="36">
        <f>IF(A44="○",SUMPRODUCT(表_天乾魂[[#This Row],[赤流结晶]:[列12]],表_天乾魂[[#Totals],[赤流结晶]:[列12]])+表_天乾魂[[#This Row],[手续费(J)]]*折扣,0)</f>
        <v>0</v>
      </c>
      <c r="E44" s="36">
        <f>IF(A44="○",SUMPRODUCT(表_天乾魂[[#This Row],[天乾魂神物]:[列16]],表_天乾魂[[#Totals],[天乾魂神物]:[列16]]),0)</f>
        <v>0</v>
      </c>
      <c r="F44" s="39" t="s">
        <v>193</v>
      </c>
      <c r="G44" s="11">
        <v>90</v>
      </c>
      <c r="H44" s="11">
        <v>13</v>
      </c>
      <c r="I44" s="11">
        <v>8</v>
      </c>
      <c r="J44" s="11">
        <v>20</v>
      </c>
      <c r="K44" s="11">
        <v>40</v>
      </c>
      <c r="L44" s="11">
        <v>20</v>
      </c>
      <c r="M44" s="11">
        <v>40</v>
      </c>
      <c r="N44" s="11"/>
      <c r="O44" s="11"/>
      <c r="P44" s="11"/>
      <c r="Q44" s="11"/>
      <c r="R44" s="11"/>
      <c r="S44" s="30"/>
      <c r="T44" s="34">
        <v>0</v>
      </c>
      <c r="U44" s="34"/>
      <c r="V44" s="34"/>
      <c r="W44" s="34"/>
    </row>
    <row r="45" spans="1:23" x14ac:dyDescent="0.25">
      <c r="B45" s="36">
        <f>表_天乾魂[[#This Row],[进化金币(J)]]+IF(ISNUMBER(B44), B44, 表_天乾魂[[#Totals],[进化阶段]])</f>
        <v>700</v>
      </c>
      <c r="C45" s="35">
        <f>表_天乾魂[[#This Row],[进化点券]]+IF(ISNUMBER(C44), C44, 0)</f>
        <v>0</v>
      </c>
      <c r="D45" s="36">
        <f>IF(A45="○",SUMPRODUCT(表_天乾魂[[#This Row],[赤流结晶]:[列12]],表_天乾魂[[#Totals],[赤流结晶]:[列12]])+表_天乾魂[[#This Row],[手续费(J)]]*折扣,0)</f>
        <v>0</v>
      </c>
      <c r="E45" s="36">
        <f>IF(A45="○",SUMPRODUCT(表_天乾魂[[#This Row],[天乾魂神物]:[列16]],表_天乾魂[[#Totals],[天乾魂神物]:[列16]]),0)</f>
        <v>0</v>
      </c>
      <c r="F45" s="39" t="s">
        <v>194</v>
      </c>
      <c r="G45" s="11">
        <v>105</v>
      </c>
      <c r="H45" s="11">
        <v>14</v>
      </c>
      <c r="I45" s="11">
        <v>9</v>
      </c>
      <c r="J45" s="11">
        <v>20</v>
      </c>
      <c r="K45" s="11">
        <v>40</v>
      </c>
      <c r="L45" s="11">
        <v>20</v>
      </c>
      <c r="M45" s="11">
        <v>40</v>
      </c>
      <c r="N45" s="11"/>
      <c r="O45" s="11"/>
      <c r="P45" s="11"/>
      <c r="Q45" s="11"/>
      <c r="R45" s="11"/>
      <c r="S45" s="30"/>
      <c r="T45" s="34">
        <v>0</v>
      </c>
      <c r="U45" s="34"/>
      <c r="V45" s="34"/>
      <c r="W45" s="34"/>
    </row>
    <row r="46" spans="1:23" x14ac:dyDescent="0.25">
      <c r="B46" s="36">
        <f>表_天乾魂[[#This Row],[进化金币(J)]]+IF(ISNUMBER(B45), B45, 表_天乾魂[[#Totals],[进化阶段]])</f>
        <v>700</v>
      </c>
      <c r="C46" s="35">
        <f>表_天乾魂[[#This Row],[进化点券]]+IF(ISNUMBER(C45), C45, 0)</f>
        <v>0</v>
      </c>
      <c r="D46" s="36">
        <f>IF(A46="○",SUMPRODUCT(表_天乾魂[[#This Row],[赤流结晶]:[列12]],表_天乾魂[[#Totals],[赤流结晶]:[列12]])+表_天乾魂[[#This Row],[手续费(J)]]*折扣,0)</f>
        <v>0</v>
      </c>
      <c r="E46" s="36">
        <f>IF(A46="○",SUMPRODUCT(表_天乾魂[[#This Row],[天乾魂神物]:[列16]],表_天乾魂[[#Totals],[天乾魂神物]:[列16]]),0)</f>
        <v>0</v>
      </c>
      <c r="F46" s="39" t="s">
        <v>195</v>
      </c>
      <c r="G46" s="11">
        <v>120</v>
      </c>
      <c r="H46" s="11">
        <v>15</v>
      </c>
      <c r="I46" s="11">
        <v>10</v>
      </c>
      <c r="J46" s="11">
        <v>20</v>
      </c>
      <c r="K46" s="11">
        <v>40</v>
      </c>
      <c r="L46" s="11">
        <v>20</v>
      </c>
      <c r="M46" s="11">
        <v>40</v>
      </c>
      <c r="N46" s="11"/>
      <c r="O46" s="11"/>
      <c r="P46" s="11"/>
      <c r="Q46" s="11"/>
      <c r="R46" s="11"/>
      <c r="S46" s="30"/>
      <c r="T46" s="34">
        <v>0</v>
      </c>
      <c r="U46" s="34"/>
      <c r="V46" s="34"/>
      <c r="W46" s="34"/>
    </row>
    <row r="47" spans="1:23" x14ac:dyDescent="0.25">
      <c r="B47" s="36">
        <f>表_天乾魂[[#This Row],[进化金币(J)]]+IF(ISNUMBER(B46), B46, 表_天乾魂[[#Totals],[进化阶段]])</f>
        <v>700</v>
      </c>
      <c r="C47" s="35">
        <f>表_天乾魂[[#This Row],[进化点券]]+IF(ISNUMBER(C46), C46, 0)</f>
        <v>0</v>
      </c>
      <c r="D47" s="36">
        <f>IF(A47="○",SUMPRODUCT(表_天乾魂[[#This Row],[赤流结晶]:[列12]],表_天乾魂[[#Totals],[赤流结晶]:[列12]])+表_天乾魂[[#This Row],[手续费(J)]]*折扣,0)</f>
        <v>0</v>
      </c>
      <c r="E47" s="36">
        <f>IF(A47="○",SUMPRODUCT(表_天乾魂[[#This Row],[天乾魂神物]:[列16]],表_天乾魂[[#Totals],[天乾魂神物]:[列16]]),0)</f>
        <v>0</v>
      </c>
      <c r="F47" s="39" t="s">
        <v>196</v>
      </c>
      <c r="G47" s="11">
        <v>135</v>
      </c>
      <c r="H47" s="11">
        <v>17</v>
      </c>
      <c r="I47" s="11">
        <v>11</v>
      </c>
      <c r="J47" s="11">
        <v>20</v>
      </c>
      <c r="K47" s="11">
        <v>40</v>
      </c>
      <c r="L47" s="11">
        <v>20</v>
      </c>
      <c r="M47" s="11">
        <v>40</v>
      </c>
      <c r="N47" s="11"/>
      <c r="O47" s="11"/>
      <c r="P47" s="11"/>
      <c r="Q47" s="11"/>
      <c r="R47" s="11"/>
      <c r="S47" s="30"/>
      <c r="T47" s="11">
        <v>25</v>
      </c>
      <c r="U47" s="11"/>
      <c r="V47" s="11"/>
      <c r="W47" s="11"/>
    </row>
    <row r="48" spans="1:23" x14ac:dyDescent="0.25">
      <c r="B48" s="36">
        <f>表_天乾魂[[#This Row],[进化金币(J)]]+IF(ISNUMBER(B47), B47, 表_天乾魂[[#Totals],[进化阶段]])</f>
        <v>700</v>
      </c>
      <c r="C48" s="35">
        <f>表_天乾魂[[#This Row],[进化点券]]+IF(ISNUMBER(C47), C47, 0)</f>
        <v>0</v>
      </c>
      <c r="D48" s="38">
        <f>IF(A48="○",SUMPRODUCT(表_天乾魂[[#This Row],[赤流结晶]:[列12]],表_天乾魂[[#Totals],[赤流结晶]:[列12]])+表_天乾魂[[#This Row],[手续费(J)]]*折扣,0)</f>
        <v>0</v>
      </c>
      <c r="E48" s="38">
        <f>IF(A48="○",SUMPRODUCT(表_天乾魂[[#This Row],[天乾魂神物]:[列16]],表_天乾魂[[#Totals],[天乾魂神物]:[列16]]),0)</f>
        <v>0</v>
      </c>
      <c r="F48" s="39" t="s">
        <v>197</v>
      </c>
      <c r="G48" s="25">
        <v>150</v>
      </c>
      <c r="H48" s="25">
        <v>19</v>
      </c>
      <c r="I48" s="25">
        <v>12</v>
      </c>
      <c r="J48" s="25">
        <v>20</v>
      </c>
      <c r="K48" s="25">
        <v>40</v>
      </c>
      <c r="L48" s="25">
        <v>20</v>
      </c>
      <c r="M48" s="25">
        <v>40</v>
      </c>
      <c r="N48" s="25"/>
      <c r="O48" s="25"/>
      <c r="P48" s="25"/>
      <c r="Q48" s="25"/>
      <c r="R48" s="25"/>
      <c r="S48" s="31"/>
      <c r="T48" s="25">
        <v>35</v>
      </c>
      <c r="U48" s="25"/>
      <c r="V48" s="25"/>
      <c r="W48" s="25"/>
    </row>
    <row r="49" spans="1:23" x14ac:dyDescent="0.25">
      <c r="B49" s="36">
        <f>表_天乾魂[[#This Row],[进化金币(J)]]+IF(ISNUMBER(B48), B48, 表_天乾魂[[#Totals],[进化阶段]])</f>
        <v>700</v>
      </c>
      <c r="C49" s="35">
        <f>表_天乾魂[[#This Row],[进化点券]]+IF(ISNUMBER(C48), C48, 0)</f>
        <v>0</v>
      </c>
      <c r="D49" s="36">
        <f>IF(A49="○",SUMPRODUCT(表_天乾魂[[#This Row],[赤流结晶]:[列12]],表_天乾魂[[#Totals],[赤流结晶]:[列12]])+表_天乾魂[[#This Row],[手续费(J)]]*折扣,0)</f>
        <v>0</v>
      </c>
      <c r="E49" s="36">
        <f>IF(A49="○",SUMPRODUCT(表_天乾魂[[#This Row],[天乾魂神物]:[列16]],表_天乾魂[[#Totals],[天乾魂神物]:[列16]]),0)</f>
        <v>0</v>
      </c>
      <c r="F49" s="39" t="s">
        <v>198</v>
      </c>
      <c r="G49" s="11">
        <v>165</v>
      </c>
      <c r="H49" s="11">
        <v>22</v>
      </c>
      <c r="I49" s="11">
        <v>13</v>
      </c>
      <c r="J49" s="11">
        <v>40</v>
      </c>
      <c r="K49" s="11">
        <v>80</v>
      </c>
      <c r="L49" s="11">
        <v>40</v>
      </c>
      <c r="M49" s="11">
        <v>80</v>
      </c>
      <c r="N49" s="11"/>
      <c r="O49" s="11"/>
      <c r="P49" s="11"/>
      <c r="Q49" s="11"/>
      <c r="R49" s="11"/>
      <c r="S49" s="30"/>
      <c r="T49" s="11">
        <v>45</v>
      </c>
      <c r="U49" s="11"/>
      <c r="V49" s="11"/>
      <c r="W49" s="11"/>
    </row>
    <row r="50" spans="1:23" x14ac:dyDescent="0.25">
      <c r="B50" s="36">
        <f>表_天乾魂[[#This Row],[进化金币(J)]]+IF(ISNUMBER(B49), B49, 表_天乾魂[[#Totals],[进化阶段]])</f>
        <v>700</v>
      </c>
      <c r="C50" s="35">
        <f>表_天乾魂[[#This Row],[进化点券]]+IF(ISNUMBER(C49), C49, 0)</f>
        <v>0</v>
      </c>
      <c r="D50" s="36">
        <f>IF(A50="○",SUMPRODUCT(表_天乾魂[[#This Row],[赤流结晶]:[列12]],表_天乾魂[[#Totals],[赤流结晶]:[列12]])+表_天乾魂[[#This Row],[手续费(J)]]*折扣,0)</f>
        <v>0</v>
      </c>
      <c r="E50" s="36">
        <f>IF(A50="○",SUMPRODUCT(表_天乾魂[[#This Row],[天乾魂神物]:[列16]],表_天乾魂[[#Totals],[天乾魂神物]:[列16]]),0)</f>
        <v>0</v>
      </c>
      <c r="F50" s="40" t="s">
        <v>219</v>
      </c>
      <c r="G50" s="11">
        <v>180</v>
      </c>
      <c r="H50" s="11">
        <v>25</v>
      </c>
      <c r="I50" s="11">
        <v>14</v>
      </c>
      <c r="J50" s="11">
        <v>40</v>
      </c>
      <c r="K50" s="11">
        <v>80</v>
      </c>
      <c r="L50" s="11">
        <v>40</v>
      </c>
      <c r="M50" s="11">
        <v>80</v>
      </c>
      <c r="N50" s="11"/>
      <c r="O50" s="11"/>
      <c r="P50" s="11"/>
      <c r="Q50" s="11"/>
      <c r="R50" s="11"/>
      <c r="S50" s="30"/>
      <c r="T50" s="11">
        <v>55</v>
      </c>
      <c r="U50" s="11"/>
      <c r="V50" s="11"/>
      <c r="W50" s="11"/>
    </row>
    <row r="51" spans="1:23" x14ac:dyDescent="0.25">
      <c r="B51" s="36">
        <f>表_天乾魂[[#This Row],[进化金币(J)]]+IF(ISNUMBER(B50), B50, 表_天乾魂[[#Totals],[进化阶段]])</f>
        <v>700</v>
      </c>
      <c r="C51" s="35">
        <f>表_天乾魂[[#This Row],[进化点券]]+IF(ISNUMBER(C50), C50, 0)</f>
        <v>0</v>
      </c>
      <c r="D51" s="36">
        <f>IF(A51="○",SUMPRODUCT(表_天乾魂[[#This Row],[赤流结晶]:[列12]],表_天乾魂[[#Totals],[赤流结晶]:[列12]])+表_天乾魂[[#This Row],[手续费(J)]]*折扣,0)</f>
        <v>0</v>
      </c>
      <c r="E51" s="36">
        <f>IF(A51="○",SUMPRODUCT(表_天乾魂[[#This Row],[天乾魂神物]:[列16]],表_天乾魂[[#Totals],[天乾魂神物]:[列16]]),0)</f>
        <v>0</v>
      </c>
      <c r="F51" s="40" t="s">
        <v>213</v>
      </c>
      <c r="G51" s="11">
        <v>195</v>
      </c>
      <c r="H51" s="11">
        <v>29</v>
      </c>
      <c r="I51" s="11">
        <v>15</v>
      </c>
      <c r="J51" s="11">
        <v>60</v>
      </c>
      <c r="K51" s="11">
        <v>120</v>
      </c>
      <c r="L51" s="11">
        <v>60</v>
      </c>
      <c r="M51" s="11">
        <v>120</v>
      </c>
      <c r="N51" s="11"/>
      <c r="O51" s="11"/>
      <c r="P51" s="11"/>
      <c r="Q51" s="11"/>
      <c r="R51" s="11"/>
      <c r="S51" s="30"/>
      <c r="T51" s="11">
        <v>70</v>
      </c>
      <c r="U51" s="11"/>
      <c r="V51" s="11"/>
      <c r="W51" s="11"/>
    </row>
    <row r="52" spans="1:23" x14ac:dyDescent="0.25">
      <c r="B52" s="36">
        <f>表_天乾魂[[#This Row],[进化金币(J)]]+IF(ISNUMBER(B51), B51, 表_天乾魂[[#Totals],[进化阶段]])</f>
        <v>700</v>
      </c>
      <c r="C52" s="35">
        <f>表_天乾魂[[#This Row],[进化点券]]+IF(ISNUMBER(C51), C51, 0)</f>
        <v>0</v>
      </c>
      <c r="D52" s="36">
        <f>IF(A52="○",SUMPRODUCT(表_天乾魂[[#This Row],[赤流结晶]:[列12]],表_天乾魂[[#Totals],[赤流结晶]:[列12]])+表_天乾魂[[#This Row],[手续费(J)]]*折扣,0)</f>
        <v>0</v>
      </c>
      <c r="E52" s="36">
        <f>IF(A52="○",SUMPRODUCT(表_天乾魂[[#This Row],[天乾魂神物]:[列16]],表_天乾魂[[#Totals],[天乾魂神物]:[列16]]),0)</f>
        <v>0</v>
      </c>
      <c r="F52" s="40" t="s">
        <v>214</v>
      </c>
      <c r="G52" s="11">
        <v>210</v>
      </c>
      <c r="H52" s="11">
        <v>33</v>
      </c>
      <c r="I52" s="11">
        <v>16</v>
      </c>
      <c r="J52" s="11">
        <v>60</v>
      </c>
      <c r="K52" s="11">
        <v>120</v>
      </c>
      <c r="L52" s="11">
        <v>60</v>
      </c>
      <c r="M52" s="11">
        <v>120</v>
      </c>
      <c r="N52" s="11"/>
      <c r="O52" s="11"/>
      <c r="P52" s="11"/>
      <c r="Q52" s="11"/>
      <c r="R52" s="11"/>
      <c r="S52" s="30"/>
      <c r="T52" s="11">
        <v>90</v>
      </c>
      <c r="U52" s="11"/>
      <c r="V52" s="11"/>
      <c r="W52" s="11"/>
    </row>
    <row r="53" spans="1:23" x14ac:dyDescent="0.25">
      <c r="A53" t="s">
        <v>319</v>
      </c>
      <c r="B53" s="36">
        <f>表_天乾魂[[#This Row],[进化金币(J)]]+IF(ISNUMBER(B52), B52, 表_天乾魂[[#Totals],[进化阶段]])</f>
        <v>3214.2</v>
      </c>
      <c r="C53" s="35">
        <f>表_天乾魂[[#This Row],[进化点券]]+IF(ISNUMBER(C52), C52, 0)</f>
        <v>30000</v>
      </c>
      <c r="D53" s="36">
        <f>IF(A53="○",SUMPRODUCT(表_天乾魂[[#This Row],[赤流结晶]:[列12]],表_天乾魂[[#Totals],[赤流结晶]:[列12]])+表_天乾魂[[#This Row],[手续费(J)]]*折扣,0)</f>
        <v>2514.1999999999998</v>
      </c>
      <c r="E53" s="36">
        <f>IF(A53="○",SUMPRODUCT(表_天乾魂[[#This Row],[天乾魂神物]:[列16]],表_天乾魂[[#Totals],[天乾魂神物]:[列16]]),0)</f>
        <v>30000</v>
      </c>
      <c r="F53" s="40" t="s">
        <v>215</v>
      </c>
      <c r="G53" s="11">
        <v>240</v>
      </c>
      <c r="H53" s="11">
        <v>37</v>
      </c>
      <c r="I53" s="11">
        <v>17</v>
      </c>
      <c r="J53" s="11">
        <v>60</v>
      </c>
      <c r="K53" s="11">
        <v>120</v>
      </c>
      <c r="L53" s="11">
        <v>60</v>
      </c>
      <c r="M53" s="11">
        <v>120</v>
      </c>
      <c r="N53" s="11"/>
      <c r="O53" s="11"/>
      <c r="P53" s="11"/>
      <c r="Q53" s="11"/>
      <c r="R53" s="11"/>
      <c r="S53" s="30"/>
      <c r="T53" s="11">
        <v>120</v>
      </c>
      <c r="U53" s="11"/>
      <c r="V53" s="11"/>
      <c r="W53" s="11"/>
    </row>
    <row r="54" spans="1:23" x14ac:dyDescent="0.25">
      <c r="A54" t="s">
        <v>319</v>
      </c>
      <c r="B54" s="36">
        <f>表_天乾魂[[#This Row],[进化金币(J)]]+IF(ISNUMBER(B53), B53, 表_天乾魂[[#Totals],[进化阶段]])</f>
        <v>5950.2999999999993</v>
      </c>
      <c r="C54" s="35">
        <f>表_天乾魂[[#This Row],[进化点券]]+IF(ISNUMBER(C53), C53, 0)</f>
        <v>70000</v>
      </c>
      <c r="D54" s="36">
        <f>IF(A54="○",SUMPRODUCT(表_天乾魂[[#This Row],[赤流结晶]:[列12]],表_天乾魂[[#Totals],[赤流结晶]:[列12]])+表_天乾魂[[#This Row],[手续费(J)]]*折扣,0)</f>
        <v>2736.1</v>
      </c>
      <c r="E54" s="36">
        <f>IF(A54="○",SUMPRODUCT(表_天乾魂[[#This Row],[天乾魂神物]:[列16]],表_天乾魂[[#Totals],[天乾魂神物]:[列16]]),0)</f>
        <v>40000</v>
      </c>
      <c r="F54" s="40" t="s">
        <v>216</v>
      </c>
      <c r="G54" s="11">
        <v>270</v>
      </c>
      <c r="H54" s="11">
        <v>38</v>
      </c>
      <c r="I54" s="11">
        <v>18</v>
      </c>
      <c r="J54" s="11">
        <v>80</v>
      </c>
      <c r="K54" s="11">
        <v>160</v>
      </c>
      <c r="L54" s="11">
        <v>80</v>
      </c>
      <c r="M54" s="11">
        <v>160</v>
      </c>
      <c r="N54" s="11"/>
      <c r="O54" s="11"/>
      <c r="P54" s="11"/>
      <c r="Q54" s="11"/>
      <c r="R54" s="11"/>
      <c r="S54" s="30"/>
      <c r="T54" s="11">
        <v>160</v>
      </c>
      <c r="U54" s="11"/>
      <c r="V54" s="11"/>
      <c r="W54" s="11"/>
    </row>
    <row r="55" spans="1:23" x14ac:dyDescent="0.25">
      <c r="A55" t="s">
        <v>319</v>
      </c>
      <c r="B55" s="36">
        <f>表_天乾魂[[#This Row],[进化金币(J)]]+IF(ISNUMBER(B54), B54, 表_天乾魂[[#Totals],[进化阶段]])</f>
        <v>8792.9</v>
      </c>
      <c r="C55" s="35">
        <f>表_天乾魂[[#This Row],[进化点券]]+IF(ISNUMBER(C54), C54, 0)</f>
        <v>120000</v>
      </c>
      <c r="D55" s="36">
        <f>IF(A55="○",SUMPRODUCT(表_天乾魂[[#This Row],[赤流结晶]:[列12]],表_天乾魂[[#Totals],[赤流结晶]:[列12]])+表_天乾魂[[#This Row],[手续费(J)]]*折扣,0)</f>
        <v>2842.6</v>
      </c>
      <c r="E55" s="36">
        <f>IF(A55="○",SUMPRODUCT(表_天乾魂[[#This Row],[天乾魂神物]:[列16]],表_天乾魂[[#Totals],[天乾魂神物]:[列16]]),0)</f>
        <v>50000</v>
      </c>
      <c r="F55" s="40" t="s">
        <v>217</v>
      </c>
      <c r="G55" s="11">
        <v>300</v>
      </c>
      <c r="H55" s="11">
        <v>39</v>
      </c>
      <c r="I55" s="11">
        <v>19</v>
      </c>
      <c r="J55" s="11">
        <v>80</v>
      </c>
      <c r="K55" s="11">
        <v>160</v>
      </c>
      <c r="L55" s="11">
        <v>80</v>
      </c>
      <c r="M55" s="11">
        <v>160</v>
      </c>
      <c r="N55" s="11"/>
      <c r="O55" s="11"/>
      <c r="P55" s="11"/>
      <c r="Q55" s="11"/>
      <c r="R55" s="11"/>
      <c r="S55" s="30"/>
      <c r="T55" s="11">
        <v>200</v>
      </c>
      <c r="U55" s="11"/>
      <c r="V55" s="11"/>
      <c r="W55" s="11"/>
    </row>
    <row r="56" spans="1:23" ht="15" thickBot="1" x14ac:dyDescent="0.3">
      <c r="A56" t="s">
        <v>319</v>
      </c>
      <c r="B56" s="38">
        <f>表_天乾魂[[#This Row],[进化金币(J)]]+IF(ISNUMBER(B55), B55, 表_天乾魂[[#Totals],[进化阶段]])</f>
        <v>11747.625</v>
      </c>
      <c r="C56" s="37">
        <f>表_天乾魂[[#This Row],[进化点券]]+IF(ISNUMBER(C55), C55, 0)</f>
        <v>182500</v>
      </c>
      <c r="D56" s="38">
        <f>IF(A56="○",SUMPRODUCT(表_天乾魂[[#This Row],[赤流结晶]:[列12]],表_天乾魂[[#Totals],[赤流结晶]:[列12]])+表_天乾魂[[#This Row],[手续费(J)]]*折扣,0)</f>
        <v>2954.7249999999999</v>
      </c>
      <c r="E56" s="38">
        <f>IF(A56="○",SUMPRODUCT(表_天乾魂[[#This Row],[天乾魂神物]:[列16]],表_天乾魂[[#Totals],[天乾魂神物]:[列16]]),0)</f>
        <v>62500</v>
      </c>
      <c r="F56" s="67" t="s">
        <v>218</v>
      </c>
      <c r="G56" s="25">
        <v>337.5</v>
      </c>
      <c r="H56" s="25">
        <v>40</v>
      </c>
      <c r="I56" s="25">
        <v>20</v>
      </c>
      <c r="J56" s="25">
        <v>80</v>
      </c>
      <c r="K56" s="25">
        <v>160</v>
      </c>
      <c r="L56" s="25">
        <v>80</v>
      </c>
      <c r="M56" s="25">
        <v>160</v>
      </c>
      <c r="N56" s="25"/>
      <c r="O56" s="25"/>
      <c r="P56" s="25"/>
      <c r="Q56" s="25"/>
      <c r="R56" s="25"/>
      <c r="S56" s="31"/>
      <c r="T56" s="25">
        <v>250</v>
      </c>
      <c r="U56" s="25"/>
      <c r="V56" s="25"/>
      <c r="W56" s="25"/>
    </row>
    <row r="57" spans="1:23" ht="15" thickTop="1" x14ac:dyDescent="0.25">
      <c r="B57" s="72">
        <f>SUBTOTAL(104,表_天乾魂[累计金币(J)])</f>
        <v>11747.625</v>
      </c>
      <c r="C57" s="72">
        <f>SUBTOTAL(104,表_天乾魂[累计点券])</f>
        <v>182500</v>
      </c>
      <c r="D57" s="73">
        <f>SUBTOTAL(109,表_天乾魂[进化金币(J)])</f>
        <v>11047.625</v>
      </c>
      <c r="E57" s="74">
        <f>SUBTOTAL(109,表_天乾魂[进化点券])</f>
        <v>182500</v>
      </c>
      <c r="F57" s="88" t="s">
        <v>350</v>
      </c>
      <c r="G57" s="76" t="s">
        <v>190</v>
      </c>
      <c r="H57" s="77">
        <f xml:space="preserve"> _xlfn.IFNA(VLOOKUP(表_天乾魂[[#Headers],[赤流结晶]],金价一览,2,0), 0)</f>
        <v>28</v>
      </c>
      <c r="I57" s="77">
        <f xml:space="preserve"> _xlfn.IFNA(VLOOKUP(表_天乾魂[[#Headers],[天乾魂石]],金价一览,2,0), 0)</f>
        <v>56</v>
      </c>
      <c r="J57" s="77">
        <f xml:space="preserve"> _xlfn.IFNA(VLOOKUP(表_天乾魂[[#Headers],[月石]],金价一览,2,0), 0)</f>
        <v>1.35</v>
      </c>
      <c r="K57" s="77">
        <f xml:space="preserve"> _xlfn.IFNA(VLOOKUP(表_天乾魂[[#Headers],[灵石]],金价一览,2,0), 0)</f>
        <v>0.06</v>
      </c>
      <c r="L57" s="77">
        <f xml:space="preserve"> _xlfn.IFNA(VLOOKUP(表_天乾魂[[#Headers],[仙丹]],金价一览,2,0), 0)</f>
        <v>4</v>
      </c>
      <c r="M57" s="77">
        <f xml:space="preserve"> _xlfn.IFNA(VLOOKUP(表_天乾魂[[#Headers],[灵丹]],金价一览,2,0), 0)</f>
        <v>0.15</v>
      </c>
      <c r="N57" s="77">
        <f xml:space="preserve"> _xlfn.IFNA(VLOOKUP(表_天乾魂[[#Headers],[列7]],金价一览,2,0), 0)</f>
        <v>0</v>
      </c>
      <c r="O57" s="77">
        <f xml:space="preserve"> _xlfn.IFNA(VLOOKUP(表_天乾魂[[#Headers],[列8]],金价一览,2,0), 0)</f>
        <v>0</v>
      </c>
      <c r="P57" s="77">
        <f xml:space="preserve"> _xlfn.IFNA(VLOOKUP(表_天乾魂[[#Headers],[列9]],金价一览,2,0), 0)</f>
        <v>0</v>
      </c>
      <c r="Q57" s="77">
        <f xml:space="preserve"> _xlfn.IFNA(VLOOKUP(表_天乾魂[[#Headers],[列10]],金价一览,2,0), 0)</f>
        <v>0</v>
      </c>
      <c r="R57" s="77">
        <f xml:space="preserve"> _xlfn.IFNA(VLOOKUP(表_天乾魂[[#Headers],[列11]],金价一览,2,0), 0)</f>
        <v>0</v>
      </c>
      <c r="S57" s="77">
        <f xml:space="preserve"> _xlfn.IFNA(VLOOKUP(表_天乾魂[[#Headers],[列12]],金价一览,2,0), 0)</f>
        <v>0</v>
      </c>
      <c r="T57" s="78">
        <f>_xlfn.IFNA(VLOOKUP(表_天乾魂[[#Headers],[天乾魂神物]],点券一览,2,0),0)</f>
        <v>250</v>
      </c>
      <c r="U57" s="78">
        <f>_xlfn.IFNA(VLOOKUP(表_天乾魂[[#Headers],[列14]],点券一览,2,0),0)</f>
        <v>0</v>
      </c>
      <c r="V57" s="78">
        <f>_xlfn.IFNA(VLOOKUP(表_天乾魂[[#Headers],[列15]],点券一览,2,0),0)</f>
        <v>0</v>
      </c>
      <c r="W57" s="78">
        <f>_xlfn.IFNA(VLOOKUP(表_天乾魂[[#Headers],[列16]],点券一览,2,0),0)</f>
        <v>0</v>
      </c>
    </row>
    <row r="58" spans="1:23" x14ac:dyDescent="0.25">
      <c r="B58" s="188" t="s">
        <v>221</v>
      </c>
      <c r="C58" s="188"/>
      <c r="D58" s="188"/>
      <c r="E58" s="188"/>
      <c r="F58" s="189"/>
      <c r="G58" s="79" t="s">
        <v>224</v>
      </c>
      <c r="H58" s="52">
        <f>SUM(表_天乾魂[[#Data],[赤流结晶]])</f>
        <v>353</v>
      </c>
      <c r="I58" s="52">
        <f>SUM(表_天乾魂[[#Data],[天乾魂石]])</f>
        <v>189</v>
      </c>
      <c r="J58" s="52">
        <f>SUM(表_天乾魂[[#Data],[月石]])</f>
        <v>620</v>
      </c>
      <c r="K58" s="52">
        <f>SUM(表_天乾魂[[#Data],[灵石]])</f>
        <v>1240</v>
      </c>
      <c r="L58" s="52">
        <f>SUM(表_天乾魂[[#Data],[仙丹]])</f>
        <v>620</v>
      </c>
      <c r="M58" s="52">
        <f>SUM(表_天乾魂[[#Data],[灵丹]])</f>
        <v>1240</v>
      </c>
      <c r="N58" s="52">
        <f>SUM(表_天乾魂[[#Data],[列7]])</f>
        <v>0</v>
      </c>
      <c r="O58" s="52">
        <f>SUM(表_天乾魂[[#Data],[列8]])</f>
        <v>0</v>
      </c>
      <c r="P58" s="52">
        <f>SUM(表_天乾魂[[#Data],[列9]])</f>
        <v>0</v>
      </c>
      <c r="Q58" s="52">
        <f>SUM(表_天乾魂[[#Data],[列10]])</f>
        <v>0</v>
      </c>
      <c r="R58" s="52">
        <f>SUM(表_天乾魂[[#Data],[列11]])</f>
        <v>0</v>
      </c>
      <c r="S58" s="52">
        <f>SUM(表_天乾魂[[#Data],[列12]])</f>
        <v>0</v>
      </c>
      <c r="T58" s="52">
        <f>SUM(表_天乾魂[[#Data],[天乾魂神物]])</f>
        <v>1050</v>
      </c>
      <c r="U58" s="52">
        <f>SUM(表_天乾魂[[#Data],[列14]])</f>
        <v>0</v>
      </c>
      <c r="V58" s="52">
        <f>SUM(表_天乾魂[[#Data],[列15]])</f>
        <v>0</v>
      </c>
      <c r="W58" s="52">
        <f>SUM(表_天乾魂[[#Data],[列16]])</f>
        <v>0</v>
      </c>
    </row>
    <row r="59" spans="1:23" x14ac:dyDescent="0.25">
      <c r="B59" s="188"/>
      <c r="C59" s="188"/>
      <c r="D59" s="188"/>
      <c r="E59" s="188"/>
      <c r="F59" s="189"/>
      <c r="G59" s="80" t="s">
        <v>223</v>
      </c>
      <c r="H59" s="52">
        <f>H58*表_天乾魂[[#Totals],[赤流结晶]]</f>
        <v>9884</v>
      </c>
      <c r="I59" s="52">
        <f>I58*表_天乾魂[[#Totals],[天乾魂石]]</f>
        <v>10584</v>
      </c>
      <c r="J59" s="52">
        <f>J58*表_天乾魂[[#Totals],[月石]]</f>
        <v>837</v>
      </c>
      <c r="K59" s="52">
        <f>K58*表_天乾魂[[#Totals],[灵石]]</f>
        <v>74.399999999999991</v>
      </c>
      <c r="L59" s="52">
        <f>L58*表_天乾魂[[#Totals],[仙丹]]</f>
        <v>2480</v>
      </c>
      <c r="M59" s="52">
        <f>M58*表_天乾魂[[#Totals],[灵丹]]</f>
        <v>186</v>
      </c>
      <c r="N59" s="52">
        <f>N58*表_天乾魂[[#Totals],[列7]]</f>
        <v>0</v>
      </c>
      <c r="O59" s="52">
        <f>O58*表_天乾魂[[#Totals],[列8]]</f>
        <v>0</v>
      </c>
      <c r="P59" s="52">
        <f>P58*表_天乾魂[[#Totals],[列9]]</f>
        <v>0</v>
      </c>
      <c r="Q59" s="52">
        <f>Q58*表_天乾魂[[#Totals],[列10]]</f>
        <v>0</v>
      </c>
      <c r="R59" s="52">
        <f>R58*表_天乾魂[[#Totals],[列11]]</f>
        <v>0</v>
      </c>
      <c r="S59" s="52">
        <f>S58*表_天乾魂[[#Totals],[列12]]</f>
        <v>0</v>
      </c>
      <c r="T59" s="52">
        <f>T58*表_天乾魂[[#Totals],[天乾魂神物]]</f>
        <v>262500</v>
      </c>
      <c r="U59" s="52">
        <f>U58*表_天乾魂[[#Totals],[列14]]</f>
        <v>0</v>
      </c>
      <c r="V59" s="52">
        <f>V58*表_天乾魂[[#Totals],[列15]]</f>
        <v>0</v>
      </c>
      <c r="W59" s="52">
        <f>W58*表_天乾魂[[#Totals],[列16]]</f>
        <v>0</v>
      </c>
    </row>
    <row r="62" spans="1:23" x14ac:dyDescent="0.25">
      <c r="B62" s="28" t="s">
        <v>308</v>
      </c>
      <c r="H62" s="43" t="s">
        <v>212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42" t="s">
        <v>211</v>
      </c>
      <c r="U62" s="41"/>
      <c r="V62" s="41"/>
      <c r="W62" s="41"/>
    </row>
    <row r="63" spans="1:23" ht="34.200000000000003" customHeight="1" thickBot="1" x14ac:dyDescent="0.3">
      <c r="B63" s="57" t="s">
        <v>187</v>
      </c>
      <c r="C63" s="57" t="s">
        <v>186</v>
      </c>
      <c r="D63" s="98" t="s">
        <v>253</v>
      </c>
      <c r="E63" s="98" t="s">
        <v>255</v>
      </c>
      <c r="F63" s="58" t="s">
        <v>181</v>
      </c>
      <c r="G63" s="58" t="s">
        <v>185</v>
      </c>
      <c r="H63" s="59" t="s">
        <v>248</v>
      </c>
      <c r="I63" s="60" t="s">
        <v>158</v>
      </c>
      <c r="J63" s="60" t="s">
        <v>159</v>
      </c>
      <c r="K63" s="60" t="s">
        <v>189</v>
      </c>
      <c r="L63" s="60" t="s">
        <v>199</v>
      </c>
      <c r="M63" s="60" t="s">
        <v>200</v>
      </c>
      <c r="N63" s="60" t="s">
        <v>201</v>
      </c>
      <c r="O63" s="60" t="s">
        <v>202</v>
      </c>
      <c r="P63" s="60" t="s">
        <v>203</v>
      </c>
      <c r="Q63" s="60" t="s">
        <v>204</v>
      </c>
      <c r="R63" s="60" t="s">
        <v>205</v>
      </c>
      <c r="S63" s="61" t="s">
        <v>206</v>
      </c>
      <c r="T63" s="62" t="s">
        <v>119</v>
      </c>
      <c r="U63" s="62" t="s">
        <v>177</v>
      </c>
      <c r="V63" s="62" t="s">
        <v>209</v>
      </c>
      <c r="W63" s="62" t="s">
        <v>210</v>
      </c>
    </row>
    <row r="64" spans="1:23" ht="15" thickTop="1" x14ac:dyDescent="0.25">
      <c r="B64" s="55"/>
      <c r="C64" s="54"/>
      <c r="D64" s="55">
        <f>SUMPRODUCT(表_灵核进化[[#This Row],[赤流结晶]:[列12]],表_灵核进化[[#Totals],[赤流结晶]:[列12]])+表_灵核进化[[#This Row],[手续费(J)]]*折扣</f>
        <v>37.5</v>
      </c>
      <c r="E64" s="55">
        <f>SUMPRODUCT(表_灵核进化[[#This Row],[破天魂神物]:[列16]],表_灵核进化[[#Totals],[破天魂神物]:[列16]])</f>
        <v>12000</v>
      </c>
      <c r="F64" s="100" t="s">
        <v>309</v>
      </c>
      <c r="G64" s="34">
        <v>50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2"/>
      <c r="T64" s="34">
        <v>40</v>
      </c>
      <c r="U64" s="34"/>
      <c r="V64" s="34"/>
      <c r="W64" s="34"/>
    </row>
    <row r="65" spans="2:23" x14ac:dyDescent="0.25">
      <c r="B65" s="36"/>
      <c r="C65" s="35"/>
      <c r="D65" s="36">
        <f>SUMPRODUCT(表_灵核进化[[#This Row],[赤流结晶]:[列12]],表_灵核进化[[#Totals],[赤流结晶]:[列12]])+表_灵核进化[[#This Row],[手续费(J)]]*折扣</f>
        <v>700</v>
      </c>
      <c r="E65" s="36">
        <f>SUMPRODUCT(表_灵核进化[[#This Row],[破天魂神物]:[列16]],表_灵核进化[[#Totals],[破天魂神物]:[列16]])</f>
        <v>5000</v>
      </c>
      <c r="F65" s="40" t="s">
        <v>310</v>
      </c>
      <c r="G65" s="11"/>
      <c r="H65" s="11">
        <v>25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30"/>
      <c r="T65" s="34"/>
      <c r="U65" s="34">
        <v>20</v>
      </c>
      <c r="V65" s="34"/>
      <c r="W65" s="34"/>
    </row>
    <row r="66" spans="2:23" ht="15" thickBot="1" x14ac:dyDescent="0.3">
      <c r="B66" s="36"/>
      <c r="C66" s="35"/>
      <c r="D66" s="36">
        <f>SUMPRODUCT(表_灵核进化[[#This Row],[赤流结晶]:[列12]],表_灵核进化[[#Totals],[赤流结晶]:[列12]])+表_灵核进化[[#This Row],[手续费(J)]]*折扣</f>
        <v>700</v>
      </c>
      <c r="E66" s="36">
        <f>SUMPRODUCT(表_灵核进化[[#This Row],[破天魂神物]:[列16]],表_灵核进化[[#Totals],[破天魂神物]:[列16]])</f>
        <v>5000</v>
      </c>
      <c r="F66" s="40" t="s">
        <v>311</v>
      </c>
      <c r="G66" s="11"/>
      <c r="H66" s="11">
        <v>25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30"/>
      <c r="T66" s="34"/>
      <c r="U66" s="34">
        <v>20</v>
      </c>
      <c r="V66" s="34"/>
      <c r="W66" s="34"/>
    </row>
    <row r="67" spans="2:23" ht="15" thickTop="1" x14ac:dyDescent="0.25">
      <c r="B67" s="72">
        <f>SUBTOTAL(104,表_灵核进化[累计金币(J)])</f>
        <v>0</v>
      </c>
      <c r="C67" s="72">
        <f>SUBTOTAL(104,表_灵核进化[累计点券])</f>
        <v>0</v>
      </c>
      <c r="D67" s="73">
        <f>SUBTOTAL(109,表_灵核进化[进化金币(J)])</f>
        <v>1437.5</v>
      </c>
      <c r="E67" s="74">
        <f>SUBTOTAL(109,表_灵核进化[进化点券])</f>
        <v>22000</v>
      </c>
      <c r="F67" s="88"/>
      <c r="G67" s="76" t="s">
        <v>190</v>
      </c>
      <c r="H67" s="77">
        <f xml:space="preserve"> _xlfn.IFNA(VLOOKUP(表_灵核进化[[#Headers],[赤流结晶]],金价一览,2,0), 0)</f>
        <v>28</v>
      </c>
      <c r="I67" s="77">
        <f xml:space="preserve"> _xlfn.IFNA(VLOOKUP(表_灵核进化[[#Headers],[列2]],金价一览,2,0), 0)</f>
        <v>0</v>
      </c>
      <c r="J67" s="77">
        <f xml:space="preserve"> _xlfn.IFNA(VLOOKUP(表_灵核进化[[#Headers],[列3]],金价一览,2,0), 0)</f>
        <v>0</v>
      </c>
      <c r="K67" s="77">
        <f xml:space="preserve"> _xlfn.IFNA(VLOOKUP(表_灵核进化[[#Headers],[列4]],金价一览,2,0), 0)</f>
        <v>0</v>
      </c>
      <c r="L67" s="77">
        <f xml:space="preserve"> _xlfn.IFNA(VLOOKUP(表_灵核进化[[#Headers],[列5]],金价一览,2,0), 0)</f>
        <v>0</v>
      </c>
      <c r="M67" s="77">
        <f xml:space="preserve"> _xlfn.IFNA(VLOOKUP(表_灵核进化[[#Headers],[列6]],金价一览,2,0), 0)</f>
        <v>0</v>
      </c>
      <c r="N67" s="77">
        <f xml:space="preserve"> _xlfn.IFNA(VLOOKUP(表_灵核进化[[#Headers],[列7]],金价一览,2,0), 0)</f>
        <v>0</v>
      </c>
      <c r="O67" s="77">
        <f xml:space="preserve"> _xlfn.IFNA(VLOOKUP(表_灵核进化[[#Headers],[列8]],金价一览,2,0), 0)</f>
        <v>0</v>
      </c>
      <c r="P67" s="77">
        <f xml:space="preserve"> _xlfn.IFNA(VLOOKUP(表_灵核进化[[#Headers],[列9]],金价一览,2,0), 0)</f>
        <v>0</v>
      </c>
      <c r="Q67" s="77">
        <f xml:space="preserve"> _xlfn.IFNA(VLOOKUP(表_灵核进化[[#Headers],[列10]],金价一览,2,0), 0)</f>
        <v>0</v>
      </c>
      <c r="R67" s="77">
        <f xml:space="preserve"> _xlfn.IFNA(VLOOKUP(表_灵核进化[[#Headers],[列11]],金价一览,2,0), 0)</f>
        <v>0</v>
      </c>
      <c r="S67" s="77">
        <f xml:space="preserve"> _xlfn.IFNA(VLOOKUP(表_灵核进化[[#Headers],[列12]],金价一览,2,0), 0)</f>
        <v>0</v>
      </c>
      <c r="T67" s="78">
        <f>_xlfn.IFNA(VLOOKUP(表_灵核进化[[#Headers],[破天魂神物]],点券一览,2,0),0)</f>
        <v>300</v>
      </c>
      <c r="U67" s="78">
        <f>_xlfn.IFNA(VLOOKUP(表_灵核进化[[#Headers],[天乾魂神物]],点券一览,2,0),0)</f>
        <v>250</v>
      </c>
      <c r="V67" s="78">
        <f>_xlfn.IFNA(VLOOKUP(表_灵核进化[[#Headers],[列15]],点券一览,2,0),0)</f>
        <v>0</v>
      </c>
      <c r="W67" s="78">
        <f>_xlfn.IFNA(VLOOKUP(表_灵核进化[[#Headers],[列16]],点券一览,2,0),0)</f>
        <v>0</v>
      </c>
    </row>
    <row r="68" spans="2:23" x14ac:dyDescent="0.25">
      <c r="B68" s="188" t="s">
        <v>221</v>
      </c>
      <c r="C68" s="188"/>
      <c r="D68" s="188"/>
      <c r="E68" s="188"/>
      <c r="F68" s="189"/>
      <c r="G68" s="79" t="s">
        <v>224</v>
      </c>
      <c r="H68" s="52">
        <f>SUM(表_灵核进化[[#Data],[赤流结晶]])</f>
        <v>50</v>
      </c>
      <c r="I68" s="52">
        <f>SUM(表_灵核进化[[#Data],[列2]])</f>
        <v>0</v>
      </c>
      <c r="J68" s="52">
        <f>SUM(表_灵核进化[[#Data],[列3]])</f>
        <v>0</v>
      </c>
      <c r="K68" s="52">
        <f>SUM(表_灵核进化[[#Data],[列4]])</f>
        <v>0</v>
      </c>
      <c r="L68" s="52">
        <f>SUM(表_灵核进化[[#Data],[列5]])</f>
        <v>0</v>
      </c>
      <c r="M68" s="52">
        <f>SUM(表_灵核进化[[#Data],[列6]])</f>
        <v>0</v>
      </c>
      <c r="N68" s="52">
        <f>SUM(表_灵核进化[[#Data],[列7]])</f>
        <v>0</v>
      </c>
      <c r="O68" s="52">
        <f>SUM(表_灵核进化[[#Data],[列8]])</f>
        <v>0</v>
      </c>
      <c r="P68" s="52">
        <f>SUM(表_灵核进化[[#Data],[列9]])</f>
        <v>0</v>
      </c>
      <c r="Q68" s="52">
        <f>SUM(表_灵核进化[[#Data],[列10]])</f>
        <v>0</v>
      </c>
      <c r="R68" s="52">
        <f>SUM(表_灵核进化[[#Data],[列11]])</f>
        <v>0</v>
      </c>
      <c r="S68" s="52">
        <f>SUM(表_灵核进化[[#Data],[列12]])</f>
        <v>0</v>
      </c>
      <c r="T68" s="52">
        <f>SUM(表_灵核进化[[#Data],[破天魂神物]])</f>
        <v>40</v>
      </c>
      <c r="U68" s="52">
        <f>SUM(表_灵核进化[[#Data],[天乾魂神物]])</f>
        <v>40</v>
      </c>
      <c r="V68" s="52">
        <f>SUM(表_灵核进化[[#Data],[列15]])</f>
        <v>0</v>
      </c>
      <c r="W68" s="52">
        <f>SUM(表_灵核进化[[#Data],[列16]])</f>
        <v>0</v>
      </c>
    </row>
    <row r="69" spans="2:23" x14ac:dyDescent="0.25">
      <c r="B69" s="188"/>
      <c r="C69" s="188"/>
      <c r="D69" s="188"/>
      <c r="E69" s="188"/>
      <c r="F69" s="189"/>
      <c r="G69" s="80" t="s">
        <v>223</v>
      </c>
      <c r="H69" s="52">
        <f>H68*表_灵核进化[[#Totals],[赤流结晶]]</f>
        <v>1400</v>
      </c>
      <c r="I69" s="52">
        <f>I68*表_灵核进化[[#Totals],[列2]]</f>
        <v>0</v>
      </c>
      <c r="J69" s="52">
        <f>J68*表_灵核进化[[#Totals],[列3]]</f>
        <v>0</v>
      </c>
      <c r="K69" s="52">
        <f>K68*表_灵核进化[[#Totals],[列4]]</f>
        <v>0</v>
      </c>
      <c r="L69" s="52">
        <f>L68*表_灵核进化[[#Totals],[列5]]</f>
        <v>0</v>
      </c>
      <c r="M69" s="52">
        <f>M68*表_灵核进化[[#Totals],[列6]]</f>
        <v>0</v>
      </c>
      <c r="N69" s="52">
        <f>N68*表_灵核进化[[#Totals],[列7]]</f>
        <v>0</v>
      </c>
      <c r="O69" s="52">
        <f>O68*表_灵核进化[[#Totals],[列8]]</f>
        <v>0</v>
      </c>
      <c r="P69" s="52">
        <f>P68*表_灵核进化[[#Totals],[列9]]</f>
        <v>0</v>
      </c>
      <c r="Q69" s="52">
        <f>Q68*表_灵核进化[[#Totals],[列10]]</f>
        <v>0</v>
      </c>
      <c r="R69" s="52">
        <f>R68*表_灵核进化[[#Totals],[列11]]</f>
        <v>0</v>
      </c>
      <c r="S69" s="52">
        <f>S68*表_灵核进化[[#Totals],[列12]]</f>
        <v>0</v>
      </c>
      <c r="T69" s="52">
        <f>T68*表_灵核进化[[#Totals],[破天魂神物]]</f>
        <v>12000</v>
      </c>
      <c r="U69" s="52">
        <f>U68*表_灵核进化[[#Totals],[天乾魂神物]]</f>
        <v>10000</v>
      </c>
      <c r="V69" s="52">
        <f>V68*表_灵核进化[[#Totals],[列15]]</f>
        <v>0</v>
      </c>
      <c r="W69" s="52">
        <f>W68*表_灵核进化[[#Totals],[列16]]</f>
        <v>0</v>
      </c>
    </row>
  </sheetData>
  <mergeCells count="4">
    <mergeCell ref="B16:F17"/>
    <mergeCell ref="B37:F38"/>
    <mergeCell ref="B58:F59"/>
    <mergeCell ref="B68:F69"/>
  </mergeCells>
  <phoneticPr fontId="10" type="noConversion"/>
  <conditionalFormatting sqref="H3:S3">
    <cfRule type="containsText" dxfId="267" priority="8" operator="containsText" text="列">
      <formula>NOT(ISERROR(SEARCH("列",H3)))</formula>
    </cfRule>
  </conditionalFormatting>
  <conditionalFormatting sqref="T3:W3">
    <cfRule type="containsText" dxfId="266" priority="7" operator="containsText" text="列">
      <formula>NOT(ISERROR(SEARCH("列",T3)))</formula>
    </cfRule>
  </conditionalFormatting>
  <conditionalFormatting sqref="H21:S21">
    <cfRule type="containsText" dxfId="265" priority="6" operator="containsText" text="列">
      <formula>NOT(ISERROR(SEARCH("列",H21)))</formula>
    </cfRule>
  </conditionalFormatting>
  <conditionalFormatting sqref="T21:W21">
    <cfRule type="containsText" dxfId="264" priority="5" operator="containsText" text="列">
      <formula>NOT(ISERROR(SEARCH("列",T21)))</formula>
    </cfRule>
  </conditionalFormatting>
  <conditionalFormatting sqref="H42:S42">
    <cfRule type="containsText" dxfId="263" priority="4" operator="containsText" text="列">
      <formula>NOT(ISERROR(SEARCH("列",H42)))</formula>
    </cfRule>
  </conditionalFormatting>
  <conditionalFormatting sqref="T42:W42">
    <cfRule type="containsText" dxfId="262" priority="3" operator="containsText" text="列">
      <formula>NOT(ISERROR(SEARCH("列",T42)))</formula>
    </cfRule>
  </conditionalFormatting>
  <conditionalFormatting sqref="H63:S63">
    <cfRule type="containsText" dxfId="261" priority="2" operator="containsText" text="列">
      <formula>NOT(ISERROR(SEARCH("列",H63)))</formula>
    </cfRule>
  </conditionalFormatting>
  <conditionalFormatting sqref="T63:W63">
    <cfRule type="containsText" dxfId="260" priority="1" operator="containsText" text="列">
      <formula>NOT(ISERROR(SEARCH("列",T63)))</formula>
    </cfRule>
  </conditionalFormatting>
  <dataValidations disablePrompts="1" count="2">
    <dataValidation type="list" allowBlank="1" showInputMessage="1" showErrorMessage="1" sqref="T3:W3 T21:W21 T42:W42 T63:W63">
      <formula1>神物名</formula1>
    </dataValidation>
    <dataValidation type="list" allowBlank="1" showInputMessage="1" showErrorMessage="1" error="不存在的材料名" sqref="H3:S3 H21:S21 H42:S42 H63:S63">
      <formula1>材料名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4" sqref="D4"/>
    </sheetView>
  </sheetViews>
  <sheetFormatPr defaultColWidth="15.6640625" defaultRowHeight="20.100000000000001" customHeight="1" x14ac:dyDescent="0.25"/>
  <cols>
    <col min="1" max="1" width="8.88671875" style="125" customWidth="1"/>
    <col min="2" max="16384" width="15.6640625" style="125"/>
  </cols>
  <sheetData>
    <row r="1" spans="1:6" ht="20.100000000000001" customHeight="1" x14ac:dyDescent="0.25">
      <c r="A1" s="190" t="s">
        <v>321</v>
      </c>
      <c r="B1" s="191"/>
      <c r="C1" s="191"/>
      <c r="D1" s="191"/>
      <c r="E1" s="191"/>
      <c r="F1" s="192"/>
    </row>
    <row r="2" spans="1:6" ht="20.100000000000001" customHeight="1" thickBot="1" x14ac:dyDescent="0.3">
      <c r="A2" s="193"/>
      <c r="B2" s="194"/>
      <c r="C2" s="194"/>
      <c r="D2" s="194"/>
      <c r="E2" s="194"/>
      <c r="F2" s="195"/>
    </row>
    <row r="3" spans="1:6" ht="20.100000000000001" customHeight="1" x14ac:dyDescent="0.25">
      <c r="A3" s="126"/>
      <c r="B3" s="127" t="s">
        <v>322</v>
      </c>
      <c r="C3" s="127" t="s">
        <v>323</v>
      </c>
      <c r="D3" s="127" t="s">
        <v>281</v>
      </c>
      <c r="E3" s="127" t="s">
        <v>280</v>
      </c>
      <c r="F3" s="128" t="s">
        <v>283</v>
      </c>
    </row>
    <row r="4" spans="1:6" ht="20.100000000000001" customHeight="1" x14ac:dyDescent="0.25">
      <c r="A4" s="129" t="s">
        <v>275</v>
      </c>
      <c r="B4" s="130">
        <v>1</v>
      </c>
      <c r="C4" s="130">
        <v>8</v>
      </c>
      <c r="D4" s="130">
        <v>48000</v>
      </c>
      <c r="E4" s="130">
        <v>9600</v>
      </c>
      <c r="F4" s="131">
        <v>1800</v>
      </c>
    </row>
    <row r="5" spans="1:6" ht="20.100000000000001" customHeight="1" x14ac:dyDescent="0.25">
      <c r="A5" s="129" t="s">
        <v>276</v>
      </c>
      <c r="B5" s="130">
        <f>VLOOKUP(B3,金价一览,2,0)</f>
        <v>500</v>
      </c>
      <c r="C5" s="130">
        <f>VLOOKUP(C3,金价一览,2,0)</f>
        <v>103</v>
      </c>
      <c r="D5" s="130">
        <f>VLOOKUP(D3,金价一览,2,0)</f>
        <v>0.15</v>
      </c>
      <c r="E5" s="130">
        <f>VLOOKUP(E3,金价一览,2,0)</f>
        <v>4</v>
      </c>
      <c r="F5" s="131">
        <v>1</v>
      </c>
    </row>
    <row r="6" spans="1:6" ht="20.100000000000001" customHeight="1" x14ac:dyDescent="0.25">
      <c r="A6" s="129" t="s">
        <v>277</v>
      </c>
      <c r="B6" s="130">
        <f>B4*B5</f>
        <v>500</v>
      </c>
      <c r="C6" s="130">
        <f>C4*C5</f>
        <v>824</v>
      </c>
      <c r="D6" s="130">
        <f>D4*D5</f>
        <v>7200</v>
      </c>
      <c r="E6" s="130">
        <f>E4*E5</f>
        <v>38400</v>
      </c>
      <c r="F6" s="131">
        <f>F4*F5</f>
        <v>1800</v>
      </c>
    </row>
    <row r="7" spans="1:6" ht="20.100000000000001" customHeight="1" x14ac:dyDescent="0.25">
      <c r="A7" s="129" t="s">
        <v>278</v>
      </c>
      <c r="B7" s="130">
        <f>B6+C6+D6+E6+F6</f>
        <v>48724</v>
      </c>
      <c r="C7" s="130"/>
      <c r="D7" s="130"/>
      <c r="E7" s="130"/>
      <c r="F7" s="131"/>
    </row>
    <row r="8" spans="1:6" ht="20.100000000000001" customHeight="1" thickBot="1" x14ac:dyDescent="0.3">
      <c r="A8" s="132" t="s">
        <v>324</v>
      </c>
      <c r="B8" s="133">
        <f>B7/15</f>
        <v>3248.2666666666669</v>
      </c>
      <c r="C8" s="133"/>
      <c r="D8" s="133"/>
      <c r="E8" s="133"/>
      <c r="F8" s="134"/>
    </row>
    <row r="9" spans="1:6" ht="20.100000000000001" customHeight="1" x14ac:dyDescent="0.25">
      <c r="A9" s="135" t="s">
        <v>325</v>
      </c>
      <c r="B9" s="127" t="s">
        <v>282</v>
      </c>
      <c r="C9" s="127" t="s">
        <v>279</v>
      </c>
      <c r="D9" s="128" t="s">
        <v>283</v>
      </c>
      <c r="F9" s="136"/>
    </row>
    <row r="10" spans="1:6" ht="20.100000000000001" customHeight="1" x14ac:dyDescent="0.25">
      <c r="A10" s="129" t="s">
        <v>275</v>
      </c>
      <c r="B10" s="130">
        <v>100</v>
      </c>
      <c r="C10" s="130">
        <v>1000</v>
      </c>
      <c r="D10" s="131">
        <v>100</v>
      </c>
      <c r="F10" s="136"/>
    </row>
    <row r="11" spans="1:6" ht="20.100000000000001" customHeight="1" x14ac:dyDescent="0.25">
      <c r="A11" s="129" t="s">
        <v>276</v>
      </c>
      <c r="B11" s="130">
        <f>VLOOKUP(B9,金价一览,2,0)</f>
        <v>1.35</v>
      </c>
      <c r="C11" s="130">
        <f>VLOOKUP(C9,金价一览,2,0)</f>
        <v>0.06</v>
      </c>
      <c r="D11" s="131">
        <v>1</v>
      </c>
      <c r="F11" s="136"/>
    </row>
    <row r="12" spans="1:6" ht="20.100000000000001" customHeight="1" x14ac:dyDescent="0.25">
      <c r="A12" s="129" t="s">
        <v>277</v>
      </c>
      <c r="B12" s="130">
        <f>B10*B11</f>
        <v>135</v>
      </c>
      <c r="C12" s="130">
        <f>C10*C11</f>
        <v>60</v>
      </c>
      <c r="D12" s="131">
        <f>D10*D11</f>
        <v>100</v>
      </c>
      <c r="F12" s="136"/>
    </row>
    <row r="13" spans="1:6" ht="20.100000000000001" customHeight="1" x14ac:dyDescent="0.25">
      <c r="A13" s="129" t="s">
        <v>278</v>
      </c>
      <c r="B13" s="130">
        <f>B12+C12+D12</f>
        <v>295</v>
      </c>
      <c r="C13" s="130"/>
      <c r="D13" s="131"/>
    </row>
    <row r="14" spans="1:6" ht="20.100000000000001" customHeight="1" thickBot="1" x14ac:dyDescent="0.3">
      <c r="A14" s="132" t="s">
        <v>324</v>
      </c>
      <c r="B14" s="133"/>
      <c r="C14" s="133"/>
      <c r="D14" s="134"/>
    </row>
  </sheetData>
  <mergeCells count="1">
    <mergeCell ref="A1:F2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16</vt:i4>
      </vt:variant>
    </vt:vector>
  </HeadingPairs>
  <TitlesOfParts>
    <vt:vector size="31" baseType="lpstr">
      <vt:lpstr>图表</vt:lpstr>
      <vt:lpstr>价格</vt:lpstr>
      <vt:lpstr>武器进化</vt:lpstr>
      <vt:lpstr>元气石进化</vt:lpstr>
      <vt:lpstr>真气石进化</vt:lpstr>
      <vt:lpstr>武器进化 (旧)</vt:lpstr>
      <vt:lpstr>首饰进化</vt:lpstr>
      <vt:lpstr>灵核进化</vt:lpstr>
      <vt:lpstr>昆仑仙仑秘功牌&amp;八卦喂养</vt:lpstr>
      <vt:lpstr>制作</vt:lpstr>
      <vt:lpstr>参照_新版制作</vt:lpstr>
      <vt:lpstr>参照_烛魔武器效果</vt:lpstr>
      <vt:lpstr>模板</vt:lpstr>
      <vt:lpstr>Sheet3</vt:lpstr>
      <vt:lpstr>模板 (bak)</vt:lpstr>
      <vt:lpstr>'模板 (bak)'!材料名</vt:lpstr>
      <vt:lpstr>'武器进化 (旧)'!材料名</vt:lpstr>
      <vt:lpstr>制作!材料名</vt:lpstr>
      <vt:lpstr>材料名</vt:lpstr>
      <vt:lpstr>'模板 (bak)'!点券一览</vt:lpstr>
      <vt:lpstr>'武器进化 (旧)'!点券一览</vt:lpstr>
      <vt:lpstr>制作!点券一览</vt:lpstr>
      <vt:lpstr>点券一览</vt:lpstr>
      <vt:lpstr>'模板 (bak)'!金价一览</vt:lpstr>
      <vt:lpstr>'武器进化 (旧)'!金价一览</vt:lpstr>
      <vt:lpstr>制作!金价一览</vt:lpstr>
      <vt:lpstr>金价一览</vt:lpstr>
      <vt:lpstr>'模板 (bak)'!神物名</vt:lpstr>
      <vt:lpstr>'武器进化 (旧)'!神物名</vt:lpstr>
      <vt:lpstr>制作!神物名</vt:lpstr>
      <vt:lpstr>神物名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2017-11-06T14:31:46Z</dcterms:modified>
</cp:coreProperties>
</file>